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75" yWindow="585" windowWidth="20145" windowHeight="6300" activeTab="6"/>
  </bookViews>
  <sheets>
    <sheet name="Control" sheetId="42" r:id="rId1"/>
    <sheet name="Cultivation" sheetId="6" r:id="rId2"/>
    <sheet name="Drying" sheetId="7" r:id="rId3"/>
    <sheet name="WE" sheetId="8" r:id="rId4"/>
    <sheet name="WED" sheetId="41" r:id="rId5"/>
    <sheet name="Hydrotreat" sheetId="44" r:id="rId6"/>
    <sheet name="HTL" sheetId="9" r:id="rId7"/>
    <sheet name="DryingNoSummer" sheetId="36" state="hidden" r:id="rId8"/>
    <sheet name="WEFlat" sheetId="39" state="hidden" r:id="rId9"/>
    <sheet name="Cultivationcoefs" sheetId="5" r:id="rId10"/>
    <sheet name="Cultivationcoefs (2)" sheetId="47" r:id="rId11"/>
    <sheet name="Ref" sheetId="40" r:id="rId12"/>
    <sheet name="test" sheetId="43" r:id="rId13"/>
    <sheet name="CultivationcoefsOLDTEST" sheetId="46" r:id="rId14"/>
    <sheet name="CapitalOLD" sheetId="12" state="hidden" r:id="rId15"/>
    <sheet name="LaborAuto" sheetId="15" state="hidden" r:id="rId16"/>
  </sheets>
  <definedNames>
    <definedName name="Algae_CO2_energy_penalty">Cultivation!$C$22</definedName>
    <definedName name="Algae_CO2_fertilizer">Cultivation!$C$19</definedName>
    <definedName name="Algae_CO2_non_energy_cost">Cultivation!$C$23</definedName>
    <definedName name="Algae_electricity">Cultivation!$C$14</definedName>
    <definedName name="Algae_electricity_factor">Cultivation!$C$16</definedName>
    <definedName name="Algae_N_fertilizer">Cultivation!$C$17</definedName>
    <definedName name="Algae_nonLandVariableCost">Cultivation!$C$13</definedName>
    <definedName name="ALGAE_ON">Control!$G$13</definedName>
    <definedName name="Algae_P_fertilizer">Cultivation!$C$18</definedName>
    <definedName name="Algae_water">Cultivation!$C$20</definedName>
    <definedName name="Algae_yield">Cultivation!$C$12</definedName>
    <definedName name="Algae_yield_cost_factor">Cultivation!$C$15</definedName>
    <definedName name="AltFood_Algae">Drying!$C$13</definedName>
    <definedName name="AltFood_electricity">Drying!$C$15</definedName>
    <definedName name="AltFood_input_cost">Drying!$C$16</definedName>
    <definedName name="AltFood_wholesale_gas">Drying!$C$14</definedName>
    <definedName name="HTL_Algae">HTL!$C$12</definedName>
    <definedName name="HTL_elect_td_ind">HTL!$C$14</definedName>
    <definedName name="HTL_input_cost">HTL!$C$15</definedName>
    <definedName name="HTL_SecOut_CO2_CCU">HTL!$C$18</definedName>
    <definedName name="HTL_SecOut_N_fertilizer">HTL!$C$16</definedName>
    <definedName name="HTL_SecOut_P_fertilizer">HTL!$C$17</definedName>
    <definedName name="HTL_wholesale_gas">HTL!$C$13</definedName>
    <definedName name="HTL_wholsale_gas">HTL!$C$13</definedName>
    <definedName name="WE_Algae">WE!$C$12</definedName>
    <definedName name="WE_electricity">WE!$C$14</definedName>
    <definedName name="WE_input_cost">WE!$C$16</definedName>
    <definedName name="WE_SecOut_BiomassOil">WE!$C$15</definedName>
    <definedName name="WE_wholesale_gas">WE!$C$13</definedName>
  </definedNames>
  <calcPr calcId="145621"/>
</workbook>
</file>

<file path=xl/calcChain.xml><?xml version="1.0" encoding="utf-8"?>
<calcChain xmlns="http://schemas.openxmlformats.org/spreadsheetml/2006/main">
  <c r="AF195" i="47" l="1"/>
  <c r="L195" i="47"/>
  <c r="AH195" i="47" s="1"/>
  <c r="K195" i="47"/>
  <c r="AG195" i="47" s="1"/>
  <c r="J195" i="47"/>
  <c r="I195" i="47"/>
  <c r="AE195" i="47" s="1"/>
  <c r="H195" i="47"/>
  <c r="AD195" i="47" s="1"/>
  <c r="G195" i="47"/>
  <c r="F195" i="47"/>
  <c r="AF194" i="47"/>
  <c r="AE194" i="47"/>
  <c r="L194" i="47"/>
  <c r="AH194" i="47" s="1"/>
  <c r="K194" i="47"/>
  <c r="AG194" i="47" s="1"/>
  <c r="J194" i="47"/>
  <c r="I194" i="47"/>
  <c r="H194" i="47"/>
  <c r="AD194" i="47" s="1"/>
  <c r="G194" i="47"/>
  <c r="F194" i="47"/>
  <c r="AF193" i="47"/>
  <c r="AE193" i="47"/>
  <c r="L193" i="47"/>
  <c r="AH193" i="47" s="1"/>
  <c r="K193" i="47"/>
  <c r="AG193" i="47" s="1"/>
  <c r="J193" i="47"/>
  <c r="I193" i="47"/>
  <c r="H193" i="47"/>
  <c r="AD193" i="47" s="1"/>
  <c r="G193" i="47"/>
  <c r="F193" i="47"/>
  <c r="AF192" i="47"/>
  <c r="AE192" i="47"/>
  <c r="L192" i="47"/>
  <c r="AH192" i="47" s="1"/>
  <c r="K192" i="47"/>
  <c r="AG192" i="47" s="1"/>
  <c r="J192" i="47"/>
  <c r="I192" i="47"/>
  <c r="H192" i="47"/>
  <c r="AD192" i="47" s="1"/>
  <c r="G192" i="47"/>
  <c r="F192" i="47"/>
  <c r="AF191" i="47"/>
  <c r="AE191" i="47"/>
  <c r="AD191" i="47"/>
  <c r="L191" i="47"/>
  <c r="AH191" i="47" s="1"/>
  <c r="K191" i="47"/>
  <c r="AG191" i="47" s="1"/>
  <c r="J191" i="47"/>
  <c r="I191" i="47"/>
  <c r="H191" i="47"/>
  <c r="G191" i="47"/>
  <c r="F191" i="47"/>
  <c r="AF190" i="47"/>
  <c r="AE190" i="47"/>
  <c r="L190" i="47"/>
  <c r="AH190" i="47" s="1"/>
  <c r="K190" i="47"/>
  <c r="AG190" i="47" s="1"/>
  <c r="J190" i="47"/>
  <c r="I190" i="47"/>
  <c r="H190" i="47"/>
  <c r="AD190" i="47" s="1"/>
  <c r="G190" i="47"/>
  <c r="F190" i="47"/>
  <c r="AF189" i="47"/>
  <c r="AE189" i="47"/>
  <c r="L189" i="47"/>
  <c r="AH189" i="47" s="1"/>
  <c r="K189" i="47"/>
  <c r="AG189" i="47" s="1"/>
  <c r="J189" i="47"/>
  <c r="I189" i="47"/>
  <c r="H189" i="47"/>
  <c r="AD189" i="47" s="1"/>
  <c r="G189" i="47"/>
  <c r="F189" i="47"/>
  <c r="AF188" i="47"/>
  <c r="AE188" i="47"/>
  <c r="L188" i="47"/>
  <c r="AH188" i="47" s="1"/>
  <c r="K188" i="47"/>
  <c r="AG188" i="47" s="1"/>
  <c r="J188" i="47"/>
  <c r="I188" i="47"/>
  <c r="H188" i="47"/>
  <c r="AD188" i="47" s="1"/>
  <c r="G188" i="47"/>
  <c r="F188" i="47"/>
  <c r="AE187" i="47"/>
  <c r="L187" i="47"/>
  <c r="AH187" i="47" s="1"/>
  <c r="K187" i="47"/>
  <c r="AG187" i="47" s="1"/>
  <c r="J187" i="47"/>
  <c r="AF187" i="47" s="1"/>
  <c r="I187" i="47"/>
  <c r="H187" i="47"/>
  <c r="AD187" i="47" s="1"/>
  <c r="G187" i="47"/>
  <c r="F187" i="47"/>
  <c r="AH186" i="47"/>
  <c r="AE186" i="47"/>
  <c r="AD186" i="47"/>
  <c r="L186" i="47"/>
  <c r="K186" i="47"/>
  <c r="AG186" i="47" s="1"/>
  <c r="J186" i="47"/>
  <c r="AF186" i="47" s="1"/>
  <c r="I186" i="47"/>
  <c r="H186" i="47"/>
  <c r="G186" i="47"/>
  <c r="F186" i="47"/>
  <c r="AH185" i="47"/>
  <c r="AE185" i="47"/>
  <c r="AD185" i="47"/>
  <c r="L185" i="47"/>
  <c r="K185" i="47"/>
  <c r="AG185" i="47" s="1"/>
  <c r="J185" i="47"/>
  <c r="AF185" i="47" s="1"/>
  <c r="I185" i="47"/>
  <c r="H185" i="47"/>
  <c r="G185" i="47"/>
  <c r="F185" i="47"/>
  <c r="AH184" i="47"/>
  <c r="AE184" i="47"/>
  <c r="AD184" i="47"/>
  <c r="L184" i="47"/>
  <c r="K184" i="47"/>
  <c r="AG184" i="47" s="1"/>
  <c r="J184" i="47"/>
  <c r="AF184" i="47" s="1"/>
  <c r="I184" i="47"/>
  <c r="H184" i="47"/>
  <c r="G184" i="47"/>
  <c r="F184" i="47"/>
  <c r="AH183" i="47"/>
  <c r="AD183" i="47"/>
  <c r="L183" i="47"/>
  <c r="K183" i="47"/>
  <c r="AG183" i="47" s="1"/>
  <c r="J183" i="47"/>
  <c r="AF183" i="47" s="1"/>
  <c r="I183" i="47"/>
  <c r="AE183" i="47" s="1"/>
  <c r="H183" i="47"/>
  <c r="G183" i="47"/>
  <c r="F183" i="47"/>
  <c r="AH182" i="47"/>
  <c r="AG182" i="47"/>
  <c r="AD182" i="47"/>
  <c r="L182" i="47"/>
  <c r="K182" i="47"/>
  <c r="J182" i="47"/>
  <c r="AF182" i="47" s="1"/>
  <c r="I182" i="47"/>
  <c r="AE182" i="47" s="1"/>
  <c r="H182" i="47"/>
  <c r="G182" i="47"/>
  <c r="F182" i="47"/>
  <c r="AH181" i="47"/>
  <c r="AG181" i="47"/>
  <c r="AD181" i="47"/>
  <c r="L181" i="47"/>
  <c r="K181" i="47"/>
  <c r="J181" i="47"/>
  <c r="AF181" i="47" s="1"/>
  <c r="I181" i="47"/>
  <c r="AE181" i="47" s="1"/>
  <c r="H181" i="47"/>
  <c r="G181" i="47"/>
  <c r="F181" i="47"/>
  <c r="AH180" i="47"/>
  <c r="AG180" i="47"/>
  <c r="AD180" i="47"/>
  <c r="L180" i="47"/>
  <c r="K180" i="47"/>
  <c r="J180" i="47"/>
  <c r="AF180" i="47" s="1"/>
  <c r="I180" i="47"/>
  <c r="AE180" i="47" s="1"/>
  <c r="H180" i="47"/>
  <c r="G180" i="47"/>
  <c r="F180" i="47"/>
  <c r="AE179" i="47"/>
  <c r="L179" i="47"/>
  <c r="AH179" i="47" s="1"/>
  <c r="K179" i="47"/>
  <c r="AG179" i="47" s="1"/>
  <c r="J179" i="47"/>
  <c r="AF179" i="47" s="1"/>
  <c r="I179" i="47"/>
  <c r="H179" i="47"/>
  <c r="AD179" i="47" s="1"/>
  <c r="G179" i="47"/>
  <c r="F179" i="47"/>
  <c r="AE178" i="47"/>
  <c r="L178" i="47"/>
  <c r="AH178" i="47" s="1"/>
  <c r="K178" i="47"/>
  <c r="AG178" i="47" s="1"/>
  <c r="J178" i="47"/>
  <c r="AF178" i="47" s="1"/>
  <c r="I178" i="47"/>
  <c r="H178" i="47"/>
  <c r="AD178" i="47" s="1"/>
  <c r="G178" i="47"/>
  <c r="F178" i="47"/>
  <c r="AF177" i="47"/>
  <c r="AE177" i="47"/>
  <c r="L177" i="47"/>
  <c r="AH177" i="47" s="1"/>
  <c r="K177" i="47"/>
  <c r="AG177" i="47" s="1"/>
  <c r="J177" i="47"/>
  <c r="I177" i="47"/>
  <c r="H177" i="47"/>
  <c r="AD177" i="47" s="1"/>
  <c r="G177" i="47"/>
  <c r="F177" i="47"/>
  <c r="AF176" i="47"/>
  <c r="AE176" i="47"/>
  <c r="L176" i="47"/>
  <c r="AH176" i="47" s="1"/>
  <c r="K176" i="47"/>
  <c r="AG176" i="47" s="1"/>
  <c r="J176" i="47"/>
  <c r="I176" i="47"/>
  <c r="H176" i="47"/>
  <c r="AD176" i="47" s="1"/>
  <c r="G176" i="47"/>
  <c r="F176" i="47"/>
  <c r="AF175" i="47"/>
  <c r="AE175" i="47"/>
  <c r="L175" i="47"/>
  <c r="AH175" i="47" s="1"/>
  <c r="K175" i="47"/>
  <c r="AG175" i="47" s="1"/>
  <c r="J175" i="47"/>
  <c r="I175" i="47"/>
  <c r="H175" i="47"/>
  <c r="AD175" i="47" s="1"/>
  <c r="G175" i="47"/>
  <c r="F175" i="47"/>
  <c r="AF174" i="47"/>
  <c r="AE174" i="47"/>
  <c r="L174" i="47"/>
  <c r="AH174" i="47" s="1"/>
  <c r="K174" i="47"/>
  <c r="AG174" i="47" s="1"/>
  <c r="J174" i="47"/>
  <c r="I174" i="47"/>
  <c r="H174" i="47"/>
  <c r="AD174" i="47" s="1"/>
  <c r="G174" i="47"/>
  <c r="F174" i="47"/>
  <c r="AF173" i="47"/>
  <c r="AE173" i="47"/>
  <c r="L173" i="47"/>
  <c r="AH173" i="47" s="1"/>
  <c r="K173" i="47"/>
  <c r="AG173" i="47" s="1"/>
  <c r="J173" i="47"/>
  <c r="I173" i="47"/>
  <c r="H173" i="47"/>
  <c r="AD173" i="47" s="1"/>
  <c r="G173" i="47"/>
  <c r="F173" i="47"/>
  <c r="AF172" i="47"/>
  <c r="L172" i="47"/>
  <c r="AH172" i="47" s="1"/>
  <c r="K172" i="47"/>
  <c r="AG172" i="47" s="1"/>
  <c r="J172" i="47"/>
  <c r="I172" i="47"/>
  <c r="AE172" i="47" s="1"/>
  <c r="H172" i="47"/>
  <c r="AD172" i="47" s="1"/>
  <c r="G172" i="47"/>
  <c r="F172" i="47"/>
  <c r="AF171" i="47"/>
  <c r="L171" i="47"/>
  <c r="AH171" i="47" s="1"/>
  <c r="K171" i="47"/>
  <c r="AG171" i="47" s="1"/>
  <c r="J171" i="47"/>
  <c r="I171" i="47"/>
  <c r="AE171" i="47" s="1"/>
  <c r="H171" i="47"/>
  <c r="AD171" i="47" s="1"/>
  <c r="G171" i="47"/>
  <c r="F171" i="47"/>
  <c r="AH170" i="47"/>
  <c r="AE170" i="47"/>
  <c r="AD170" i="47"/>
  <c r="L170" i="47"/>
  <c r="K170" i="47"/>
  <c r="AG170" i="47" s="1"/>
  <c r="J170" i="47"/>
  <c r="AF170" i="47" s="1"/>
  <c r="I170" i="47"/>
  <c r="H170" i="47"/>
  <c r="G170" i="47"/>
  <c r="F170" i="47"/>
  <c r="AH169" i="47"/>
  <c r="AE169" i="47"/>
  <c r="AD169" i="47"/>
  <c r="L169" i="47"/>
  <c r="K169" i="47"/>
  <c r="AG169" i="47" s="1"/>
  <c r="J169" i="47"/>
  <c r="AF169" i="47" s="1"/>
  <c r="I169" i="47"/>
  <c r="H169" i="47"/>
  <c r="G169" i="47"/>
  <c r="F169" i="47"/>
  <c r="AH168" i="47"/>
  <c r="AE168" i="47"/>
  <c r="AD168" i="47"/>
  <c r="L168" i="47"/>
  <c r="K168" i="47"/>
  <c r="AG168" i="47" s="1"/>
  <c r="J168" i="47"/>
  <c r="AF168" i="47" s="1"/>
  <c r="I168" i="47"/>
  <c r="H168" i="47"/>
  <c r="G168" i="47"/>
  <c r="F168" i="47"/>
  <c r="AH167" i="47"/>
  <c r="AE167" i="47"/>
  <c r="AD167" i="47"/>
  <c r="L167" i="47"/>
  <c r="K167" i="47"/>
  <c r="AG167" i="47" s="1"/>
  <c r="J167" i="47"/>
  <c r="AF167" i="47" s="1"/>
  <c r="I167" i="47"/>
  <c r="H167" i="47"/>
  <c r="G167" i="47"/>
  <c r="F167" i="47"/>
  <c r="AH166" i="47"/>
  <c r="AE166" i="47"/>
  <c r="AD166" i="47"/>
  <c r="L166" i="47"/>
  <c r="K166" i="47"/>
  <c r="AG166" i="47" s="1"/>
  <c r="J166" i="47"/>
  <c r="AF166" i="47" s="1"/>
  <c r="I166" i="47"/>
  <c r="H166" i="47"/>
  <c r="G166" i="47"/>
  <c r="F166" i="47"/>
  <c r="AH165" i="47"/>
  <c r="AE165" i="47"/>
  <c r="AD165" i="47"/>
  <c r="L165" i="47"/>
  <c r="K165" i="47"/>
  <c r="AG165" i="47" s="1"/>
  <c r="J165" i="47"/>
  <c r="AF165" i="47" s="1"/>
  <c r="I165" i="47"/>
  <c r="H165" i="47"/>
  <c r="G165" i="47"/>
  <c r="F165" i="47"/>
  <c r="AH164" i="47"/>
  <c r="AE164" i="47"/>
  <c r="AD164" i="47"/>
  <c r="L164" i="47"/>
  <c r="K164" i="47"/>
  <c r="AG164" i="47" s="1"/>
  <c r="J164" i="47"/>
  <c r="AF164" i="47" s="1"/>
  <c r="I164" i="47"/>
  <c r="H164" i="47"/>
  <c r="G164" i="47"/>
  <c r="F164" i="47"/>
  <c r="AH163" i="47"/>
  <c r="AE163" i="47"/>
  <c r="AD163" i="47"/>
  <c r="L163" i="47"/>
  <c r="K163" i="47"/>
  <c r="AG163" i="47" s="1"/>
  <c r="J163" i="47"/>
  <c r="AF163" i="47" s="1"/>
  <c r="I163" i="47"/>
  <c r="H163" i="47"/>
  <c r="G163" i="47"/>
  <c r="F163" i="47"/>
  <c r="AH162" i="47"/>
  <c r="AE162" i="47"/>
  <c r="AD162" i="47"/>
  <c r="L162" i="47"/>
  <c r="K162" i="47"/>
  <c r="AG162" i="47" s="1"/>
  <c r="J162" i="47"/>
  <c r="AF162" i="47" s="1"/>
  <c r="I162" i="47"/>
  <c r="H162" i="47"/>
  <c r="G162" i="47"/>
  <c r="F162" i="47"/>
  <c r="AH161" i="47"/>
  <c r="AE161" i="47"/>
  <c r="AD161" i="47"/>
  <c r="L161" i="47"/>
  <c r="K161" i="47"/>
  <c r="AG161" i="47" s="1"/>
  <c r="J161" i="47"/>
  <c r="AF161" i="47" s="1"/>
  <c r="I161" i="47"/>
  <c r="H161" i="47"/>
  <c r="G161" i="47"/>
  <c r="F161" i="47"/>
  <c r="AH160" i="47"/>
  <c r="AE160" i="47"/>
  <c r="AD160" i="47"/>
  <c r="L160" i="47"/>
  <c r="K160" i="47"/>
  <c r="AG160" i="47" s="1"/>
  <c r="J160" i="47"/>
  <c r="AF160" i="47" s="1"/>
  <c r="I160" i="47"/>
  <c r="H160" i="47"/>
  <c r="G160" i="47"/>
  <c r="F160" i="47"/>
  <c r="AH159" i="47"/>
  <c r="AE159" i="47"/>
  <c r="AD159" i="47"/>
  <c r="L159" i="47"/>
  <c r="K159" i="47"/>
  <c r="AG159" i="47" s="1"/>
  <c r="J159" i="47"/>
  <c r="AF159" i="47" s="1"/>
  <c r="I159" i="47"/>
  <c r="H159" i="47"/>
  <c r="G159" i="47"/>
  <c r="F159" i="47"/>
  <c r="AH158" i="47"/>
  <c r="AE158" i="47"/>
  <c r="AD158" i="47"/>
  <c r="L158" i="47"/>
  <c r="K158" i="47"/>
  <c r="AG158" i="47" s="1"/>
  <c r="J158" i="47"/>
  <c r="AF158" i="47" s="1"/>
  <c r="I158" i="47"/>
  <c r="H158" i="47"/>
  <c r="G158" i="47"/>
  <c r="F158" i="47"/>
  <c r="AH157" i="47"/>
  <c r="AE157" i="47"/>
  <c r="AD157" i="47"/>
  <c r="L157" i="47"/>
  <c r="K157" i="47"/>
  <c r="AG157" i="47" s="1"/>
  <c r="J157" i="47"/>
  <c r="AF157" i="47" s="1"/>
  <c r="I157" i="47"/>
  <c r="H157" i="47"/>
  <c r="G157" i="47"/>
  <c r="F157" i="47"/>
  <c r="AE156" i="47"/>
  <c r="L156" i="47"/>
  <c r="AH156" i="47" s="1"/>
  <c r="K156" i="47"/>
  <c r="AG156" i="47" s="1"/>
  <c r="J156" i="47"/>
  <c r="AF156" i="47" s="1"/>
  <c r="I156" i="47"/>
  <c r="H156" i="47"/>
  <c r="AD156" i="47" s="1"/>
  <c r="G156" i="47"/>
  <c r="F156" i="47"/>
  <c r="AH155" i="47"/>
  <c r="AE155" i="47"/>
  <c r="L155" i="47"/>
  <c r="K155" i="47"/>
  <c r="AG155" i="47" s="1"/>
  <c r="J155" i="47"/>
  <c r="AF155" i="47" s="1"/>
  <c r="I155" i="47"/>
  <c r="H155" i="47"/>
  <c r="AD155" i="47" s="1"/>
  <c r="G155" i="47"/>
  <c r="F155" i="47"/>
  <c r="AF154" i="47"/>
  <c r="AE154" i="47"/>
  <c r="L154" i="47"/>
  <c r="AH154" i="47" s="1"/>
  <c r="K154" i="47"/>
  <c r="AG154" i="47" s="1"/>
  <c r="J154" i="47"/>
  <c r="I154" i="47"/>
  <c r="H154" i="47"/>
  <c r="AD154" i="47" s="1"/>
  <c r="G154" i="47"/>
  <c r="F154" i="47"/>
  <c r="AF153" i="47"/>
  <c r="AE153" i="47"/>
  <c r="L153" i="47"/>
  <c r="AH153" i="47" s="1"/>
  <c r="K153" i="47"/>
  <c r="AG153" i="47" s="1"/>
  <c r="J153" i="47"/>
  <c r="I153" i="47"/>
  <c r="H153" i="47"/>
  <c r="AD153" i="47" s="1"/>
  <c r="G153" i="47"/>
  <c r="F153" i="47"/>
  <c r="AF152" i="47"/>
  <c r="AE152" i="47"/>
  <c r="L152" i="47"/>
  <c r="AH152" i="47" s="1"/>
  <c r="K152" i="47"/>
  <c r="AG152" i="47" s="1"/>
  <c r="J152" i="47"/>
  <c r="I152" i="47"/>
  <c r="H152" i="47"/>
  <c r="AD152" i="47" s="1"/>
  <c r="G152" i="47"/>
  <c r="F152" i="47"/>
  <c r="AH151" i="47"/>
  <c r="AE151" i="47"/>
  <c r="AD151" i="47"/>
  <c r="L151" i="47"/>
  <c r="K151" i="47"/>
  <c r="AG151" i="47" s="1"/>
  <c r="J151" i="47"/>
  <c r="AF151" i="47" s="1"/>
  <c r="I151" i="47"/>
  <c r="H151" i="47"/>
  <c r="G151" i="47"/>
  <c r="F151" i="47"/>
  <c r="AH150" i="47"/>
  <c r="AE150" i="47"/>
  <c r="AD150" i="47"/>
  <c r="L150" i="47"/>
  <c r="K150" i="47"/>
  <c r="AG150" i="47" s="1"/>
  <c r="J150" i="47"/>
  <c r="AF150" i="47" s="1"/>
  <c r="I150" i="47"/>
  <c r="H150" i="47"/>
  <c r="G150" i="47"/>
  <c r="F150" i="47"/>
  <c r="AH149" i="47"/>
  <c r="AE149" i="47"/>
  <c r="AD149" i="47"/>
  <c r="L149" i="47"/>
  <c r="K149" i="47"/>
  <c r="AG149" i="47" s="1"/>
  <c r="J149" i="47"/>
  <c r="AF149" i="47" s="1"/>
  <c r="I149" i="47"/>
  <c r="H149" i="47"/>
  <c r="G149" i="47"/>
  <c r="F149" i="47"/>
  <c r="AH148" i="47"/>
  <c r="AE148" i="47"/>
  <c r="AD148" i="47"/>
  <c r="L148" i="47"/>
  <c r="K148" i="47"/>
  <c r="AG148" i="47" s="1"/>
  <c r="J148" i="47"/>
  <c r="AF148" i="47" s="1"/>
  <c r="I148" i="47"/>
  <c r="H148" i="47"/>
  <c r="G148" i="47"/>
  <c r="F148" i="47"/>
  <c r="AH147" i="47"/>
  <c r="AE147" i="47"/>
  <c r="AD147" i="47"/>
  <c r="L147" i="47"/>
  <c r="K147" i="47"/>
  <c r="AG147" i="47" s="1"/>
  <c r="J147" i="47"/>
  <c r="AF147" i="47" s="1"/>
  <c r="I147" i="47"/>
  <c r="H147" i="47"/>
  <c r="G147" i="47"/>
  <c r="F147" i="47"/>
  <c r="AH146" i="47"/>
  <c r="AE146" i="47"/>
  <c r="AD146" i="47"/>
  <c r="L146" i="47"/>
  <c r="K146" i="47"/>
  <c r="AG146" i="47" s="1"/>
  <c r="J146" i="47"/>
  <c r="AF146" i="47" s="1"/>
  <c r="I146" i="47"/>
  <c r="H146" i="47"/>
  <c r="G146" i="47"/>
  <c r="F146" i="47"/>
  <c r="AH145" i="47"/>
  <c r="AE145" i="47"/>
  <c r="AD145" i="47"/>
  <c r="L145" i="47"/>
  <c r="K145" i="47"/>
  <c r="AG145" i="47" s="1"/>
  <c r="J145" i="47"/>
  <c r="AF145" i="47" s="1"/>
  <c r="I145" i="47"/>
  <c r="H145" i="47"/>
  <c r="G145" i="47"/>
  <c r="F145" i="47"/>
  <c r="AH144" i="47"/>
  <c r="AE144" i="47"/>
  <c r="AD144" i="47"/>
  <c r="L144" i="47"/>
  <c r="K144" i="47"/>
  <c r="AG144" i="47" s="1"/>
  <c r="J144" i="47"/>
  <c r="AF144" i="47" s="1"/>
  <c r="I144" i="47"/>
  <c r="H144" i="47"/>
  <c r="G144" i="47"/>
  <c r="F144" i="47"/>
  <c r="AH143" i="47"/>
  <c r="AE143" i="47"/>
  <c r="AD143" i="47"/>
  <c r="L143" i="47"/>
  <c r="K143" i="47"/>
  <c r="AG143" i="47" s="1"/>
  <c r="J143" i="47"/>
  <c r="AF143" i="47" s="1"/>
  <c r="I143" i="47"/>
  <c r="H143" i="47"/>
  <c r="G143" i="47"/>
  <c r="F143" i="47"/>
  <c r="AE142" i="47"/>
  <c r="AD142" i="47"/>
  <c r="L142" i="47"/>
  <c r="AH142" i="47" s="1"/>
  <c r="K142" i="47"/>
  <c r="AG142" i="47" s="1"/>
  <c r="J142" i="47"/>
  <c r="AF142" i="47" s="1"/>
  <c r="I142" i="47"/>
  <c r="H142" i="47"/>
  <c r="G142" i="47"/>
  <c r="F142" i="47"/>
  <c r="AE141" i="47"/>
  <c r="AD141" i="47"/>
  <c r="L141" i="47"/>
  <c r="AH141" i="47" s="1"/>
  <c r="K141" i="47"/>
  <c r="AG141" i="47" s="1"/>
  <c r="J141" i="47"/>
  <c r="AF141" i="47" s="1"/>
  <c r="I141" i="47"/>
  <c r="H141" i="47"/>
  <c r="G141" i="47"/>
  <c r="F141" i="47"/>
  <c r="AE140" i="47"/>
  <c r="AD140" i="47"/>
  <c r="L140" i="47"/>
  <c r="AH140" i="47" s="1"/>
  <c r="K140" i="47"/>
  <c r="AG140" i="47" s="1"/>
  <c r="J140" i="47"/>
  <c r="AF140" i="47" s="1"/>
  <c r="I140" i="47"/>
  <c r="H140" i="47"/>
  <c r="G140" i="47"/>
  <c r="F140" i="47"/>
  <c r="AE139" i="47"/>
  <c r="AD139" i="47"/>
  <c r="L139" i="47"/>
  <c r="AH139" i="47" s="1"/>
  <c r="K139" i="47"/>
  <c r="AG139" i="47" s="1"/>
  <c r="J139" i="47"/>
  <c r="AF139" i="47" s="1"/>
  <c r="I139" i="47"/>
  <c r="H139" i="47"/>
  <c r="G139" i="47"/>
  <c r="F139" i="47"/>
  <c r="AE138" i="47"/>
  <c r="AD138" i="47"/>
  <c r="L138" i="47"/>
  <c r="AH138" i="47" s="1"/>
  <c r="K138" i="47"/>
  <c r="AG138" i="47" s="1"/>
  <c r="J138" i="47"/>
  <c r="AF138" i="47" s="1"/>
  <c r="I138" i="47"/>
  <c r="H138" i="47"/>
  <c r="G138" i="47"/>
  <c r="F138" i="47"/>
  <c r="AE137" i="47"/>
  <c r="AD137" i="47"/>
  <c r="L137" i="47"/>
  <c r="AH137" i="47" s="1"/>
  <c r="K137" i="47"/>
  <c r="AG137" i="47" s="1"/>
  <c r="J137" i="47"/>
  <c r="AF137" i="47" s="1"/>
  <c r="I137" i="47"/>
  <c r="H137" i="47"/>
  <c r="G137" i="47"/>
  <c r="F137" i="47"/>
  <c r="AE136" i="47"/>
  <c r="AD136" i="47"/>
  <c r="L136" i="47"/>
  <c r="AH136" i="47" s="1"/>
  <c r="K136" i="47"/>
  <c r="AG136" i="47" s="1"/>
  <c r="J136" i="47"/>
  <c r="AF136" i="47" s="1"/>
  <c r="I136" i="47"/>
  <c r="H136" i="47"/>
  <c r="G136" i="47"/>
  <c r="F136" i="47"/>
  <c r="AH135" i="47"/>
  <c r="AE135" i="47"/>
  <c r="AD135" i="47"/>
  <c r="L135" i="47"/>
  <c r="K135" i="47"/>
  <c r="AG135" i="47" s="1"/>
  <c r="J135" i="47"/>
  <c r="AF135" i="47" s="1"/>
  <c r="I135" i="47"/>
  <c r="H135" i="47"/>
  <c r="G135" i="47"/>
  <c r="F135" i="47"/>
  <c r="AH134" i="47"/>
  <c r="AG134" i="47"/>
  <c r="AD134" i="47"/>
  <c r="L134" i="47"/>
  <c r="K134" i="47"/>
  <c r="J134" i="47"/>
  <c r="AF134" i="47" s="1"/>
  <c r="I134" i="47"/>
  <c r="AE134" i="47" s="1"/>
  <c r="H134" i="47"/>
  <c r="G134" i="47"/>
  <c r="F134" i="47"/>
  <c r="AF133" i="47"/>
  <c r="L133" i="47"/>
  <c r="AH133" i="47" s="1"/>
  <c r="K133" i="47"/>
  <c r="AG133" i="47" s="1"/>
  <c r="J133" i="47"/>
  <c r="I133" i="47"/>
  <c r="AE133" i="47" s="1"/>
  <c r="H133" i="47"/>
  <c r="AD133" i="47" s="1"/>
  <c r="G133" i="47"/>
  <c r="F133" i="47"/>
  <c r="AF132" i="47"/>
  <c r="L132" i="47"/>
  <c r="AH132" i="47" s="1"/>
  <c r="K132" i="47"/>
  <c r="AG132" i="47" s="1"/>
  <c r="J132" i="47"/>
  <c r="I132" i="47"/>
  <c r="AE132" i="47" s="1"/>
  <c r="H132" i="47"/>
  <c r="AD132" i="47" s="1"/>
  <c r="G132" i="47"/>
  <c r="F132" i="47"/>
  <c r="AF131" i="47"/>
  <c r="L131" i="47"/>
  <c r="AH131" i="47" s="1"/>
  <c r="K131" i="47"/>
  <c r="AG131" i="47" s="1"/>
  <c r="J131" i="47"/>
  <c r="I131" i="47"/>
  <c r="AE131" i="47" s="1"/>
  <c r="H131" i="47"/>
  <c r="AD131" i="47" s="1"/>
  <c r="G131" i="47"/>
  <c r="F131" i="47"/>
  <c r="AF130" i="47"/>
  <c r="AE130" i="47"/>
  <c r="L130" i="47"/>
  <c r="AH130" i="47" s="1"/>
  <c r="K130" i="47"/>
  <c r="AG130" i="47" s="1"/>
  <c r="J130" i="47"/>
  <c r="I130" i="47"/>
  <c r="H130" i="47"/>
  <c r="AD130" i="47" s="1"/>
  <c r="G130" i="47"/>
  <c r="F130" i="47"/>
  <c r="AF129" i="47"/>
  <c r="AE129" i="47"/>
  <c r="L129" i="47"/>
  <c r="AH129" i="47" s="1"/>
  <c r="K129" i="47"/>
  <c r="AG129" i="47" s="1"/>
  <c r="J129" i="47"/>
  <c r="I129" i="47"/>
  <c r="H129" i="47"/>
  <c r="AD129" i="47" s="1"/>
  <c r="G129" i="47"/>
  <c r="F129" i="47"/>
  <c r="AF128" i="47"/>
  <c r="AE128" i="47"/>
  <c r="L128" i="47"/>
  <c r="AH128" i="47" s="1"/>
  <c r="K128" i="47"/>
  <c r="AG128" i="47" s="1"/>
  <c r="J128" i="47"/>
  <c r="I128" i="47"/>
  <c r="H128" i="47"/>
  <c r="AD128" i="47" s="1"/>
  <c r="G128" i="47"/>
  <c r="F128" i="47"/>
  <c r="AF127" i="47"/>
  <c r="AE127" i="47"/>
  <c r="L127" i="47"/>
  <c r="AH127" i="47" s="1"/>
  <c r="K127" i="47"/>
  <c r="AG127" i="47" s="1"/>
  <c r="J127" i="47"/>
  <c r="I127" i="47"/>
  <c r="H127" i="47"/>
  <c r="AD127" i="47" s="1"/>
  <c r="G127" i="47"/>
  <c r="F127" i="47"/>
  <c r="AF126" i="47"/>
  <c r="AE126" i="47"/>
  <c r="L126" i="47"/>
  <c r="AH126" i="47" s="1"/>
  <c r="K126" i="47"/>
  <c r="AG126" i="47" s="1"/>
  <c r="J126" i="47"/>
  <c r="I126" i="47"/>
  <c r="H126" i="47"/>
  <c r="AD126" i="47" s="1"/>
  <c r="G126" i="47"/>
  <c r="F126" i="47"/>
  <c r="AF125" i="47"/>
  <c r="AE125" i="47"/>
  <c r="L125" i="47"/>
  <c r="AH125" i="47" s="1"/>
  <c r="K125" i="47"/>
  <c r="AG125" i="47" s="1"/>
  <c r="J125" i="47"/>
  <c r="I125" i="47"/>
  <c r="H125" i="47"/>
  <c r="AD125" i="47" s="1"/>
  <c r="G125" i="47"/>
  <c r="F125" i="47"/>
  <c r="AF124" i="47"/>
  <c r="AE124" i="47"/>
  <c r="L124" i="47"/>
  <c r="AH124" i="47" s="1"/>
  <c r="K124" i="47"/>
  <c r="AG124" i="47" s="1"/>
  <c r="J124" i="47"/>
  <c r="I124" i="47"/>
  <c r="H124" i="47"/>
  <c r="AD124" i="47" s="1"/>
  <c r="G124" i="47"/>
  <c r="F124" i="47"/>
  <c r="AF123" i="47"/>
  <c r="AE123" i="47"/>
  <c r="L123" i="47"/>
  <c r="AH123" i="47" s="1"/>
  <c r="K123" i="47"/>
  <c r="AG123" i="47" s="1"/>
  <c r="J123" i="47"/>
  <c r="I123" i="47"/>
  <c r="H123" i="47"/>
  <c r="AD123" i="47" s="1"/>
  <c r="G123" i="47"/>
  <c r="F123" i="47"/>
  <c r="AF122" i="47"/>
  <c r="AE122" i="47"/>
  <c r="L122" i="47"/>
  <c r="AH122" i="47" s="1"/>
  <c r="K122" i="47"/>
  <c r="AG122" i="47" s="1"/>
  <c r="J122" i="47"/>
  <c r="I122" i="47"/>
  <c r="H122" i="47"/>
  <c r="AD122" i="47" s="1"/>
  <c r="G122" i="47"/>
  <c r="F122" i="47"/>
  <c r="AF121" i="47"/>
  <c r="AE121" i="47"/>
  <c r="L121" i="47"/>
  <c r="AH121" i="47" s="1"/>
  <c r="K121" i="47"/>
  <c r="AG121" i="47" s="1"/>
  <c r="J121" i="47"/>
  <c r="I121" i="47"/>
  <c r="H121" i="47"/>
  <c r="AD121" i="47" s="1"/>
  <c r="G121" i="47"/>
  <c r="F121" i="47"/>
  <c r="AF120" i="47"/>
  <c r="AE120" i="47"/>
  <c r="L120" i="47"/>
  <c r="AH120" i="47" s="1"/>
  <c r="K120" i="47"/>
  <c r="AG120" i="47" s="1"/>
  <c r="J120" i="47"/>
  <c r="I120" i="47"/>
  <c r="H120" i="47"/>
  <c r="AD120" i="47" s="1"/>
  <c r="G120" i="47"/>
  <c r="F120" i="47"/>
  <c r="AF119" i="47"/>
  <c r="AE119" i="47"/>
  <c r="L119" i="47"/>
  <c r="AH119" i="47" s="1"/>
  <c r="K119" i="47"/>
  <c r="AG119" i="47" s="1"/>
  <c r="J119" i="47"/>
  <c r="I119" i="47"/>
  <c r="H119" i="47"/>
  <c r="AD119" i="47" s="1"/>
  <c r="G119" i="47"/>
  <c r="F119" i="47"/>
  <c r="AE118" i="47"/>
  <c r="L118" i="47"/>
  <c r="AH118" i="47" s="1"/>
  <c r="K118" i="47"/>
  <c r="AG118" i="47" s="1"/>
  <c r="J118" i="47"/>
  <c r="AF118" i="47" s="1"/>
  <c r="I118" i="47"/>
  <c r="H118" i="47"/>
  <c r="AD118" i="47" s="1"/>
  <c r="G118" i="47"/>
  <c r="F118" i="47"/>
  <c r="AE117" i="47"/>
  <c r="L117" i="47"/>
  <c r="AH117" i="47" s="1"/>
  <c r="K117" i="47"/>
  <c r="AG117" i="47" s="1"/>
  <c r="J117" i="47"/>
  <c r="AF117" i="47" s="1"/>
  <c r="I117" i="47"/>
  <c r="H117" i="47"/>
  <c r="AD117" i="47" s="1"/>
  <c r="G117" i="47"/>
  <c r="F117" i="47"/>
  <c r="AH116" i="47"/>
  <c r="AE116" i="47"/>
  <c r="AD116" i="47"/>
  <c r="L116" i="47"/>
  <c r="K116" i="47"/>
  <c r="AG116" i="47" s="1"/>
  <c r="J116" i="47"/>
  <c r="AF116" i="47" s="1"/>
  <c r="I116" i="47"/>
  <c r="H116" i="47"/>
  <c r="G116" i="47"/>
  <c r="F116" i="47"/>
  <c r="AH115" i="47"/>
  <c r="AE115" i="47"/>
  <c r="AD115" i="47"/>
  <c r="L115" i="47"/>
  <c r="K115" i="47"/>
  <c r="AG115" i="47" s="1"/>
  <c r="J115" i="47"/>
  <c r="AF115" i="47" s="1"/>
  <c r="I115" i="47"/>
  <c r="H115" i="47"/>
  <c r="G115" i="47"/>
  <c r="F115" i="47"/>
  <c r="AH114" i="47"/>
  <c r="AE114" i="47"/>
  <c r="AD114" i="47"/>
  <c r="L114" i="47"/>
  <c r="K114" i="47"/>
  <c r="AG114" i="47" s="1"/>
  <c r="J114" i="47"/>
  <c r="AF114" i="47" s="1"/>
  <c r="I114" i="47"/>
  <c r="H114" i="47"/>
  <c r="G114" i="47"/>
  <c r="F114" i="47"/>
  <c r="AH113" i="47"/>
  <c r="AE113" i="47"/>
  <c r="AD113" i="47"/>
  <c r="L113" i="47"/>
  <c r="K113" i="47"/>
  <c r="AG113" i="47" s="1"/>
  <c r="J113" i="47"/>
  <c r="AF113" i="47" s="1"/>
  <c r="I113" i="47"/>
  <c r="H113" i="47"/>
  <c r="G113" i="47"/>
  <c r="F113" i="47"/>
  <c r="AH112" i="47"/>
  <c r="AE112" i="47"/>
  <c r="AD112" i="47"/>
  <c r="L112" i="47"/>
  <c r="K112" i="47"/>
  <c r="AG112" i="47" s="1"/>
  <c r="J112" i="47"/>
  <c r="AF112" i="47" s="1"/>
  <c r="I112" i="47"/>
  <c r="H112" i="47"/>
  <c r="G112" i="47"/>
  <c r="F112" i="47"/>
  <c r="AH111" i="47"/>
  <c r="AE111" i="47"/>
  <c r="AD111" i="47"/>
  <c r="L111" i="47"/>
  <c r="K111" i="47"/>
  <c r="AG111" i="47" s="1"/>
  <c r="J111" i="47"/>
  <c r="AF111" i="47" s="1"/>
  <c r="I111" i="47"/>
  <c r="H111" i="47"/>
  <c r="G111" i="47"/>
  <c r="F111" i="47"/>
  <c r="AH110" i="47"/>
  <c r="AE110" i="47"/>
  <c r="AD110" i="47"/>
  <c r="L110" i="47"/>
  <c r="K110" i="47"/>
  <c r="AG110" i="47" s="1"/>
  <c r="J110" i="47"/>
  <c r="AF110" i="47" s="1"/>
  <c r="I110" i="47"/>
  <c r="H110" i="47"/>
  <c r="G110" i="47"/>
  <c r="F110" i="47"/>
  <c r="AH109" i="47"/>
  <c r="AE109" i="47"/>
  <c r="AD109" i="47"/>
  <c r="L109" i="47"/>
  <c r="K109" i="47"/>
  <c r="AG109" i="47" s="1"/>
  <c r="J109" i="47"/>
  <c r="AF109" i="47" s="1"/>
  <c r="I109" i="47"/>
  <c r="H109" i="47"/>
  <c r="G109" i="47"/>
  <c r="F109" i="47"/>
  <c r="AH108" i="47"/>
  <c r="AE108" i="47"/>
  <c r="AD108" i="47"/>
  <c r="L108" i="47"/>
  <c r="K108" i="47"/>
  <c r="AG108" i="47" s="1"/>
  <c r="J108" i="47"/>
  <c r="AF108" i="47" s="1"/>
  <c r="I108" i="47"/>
  <c r="H108" i="47"/>
  <c r="G108" i="47"/>
  <c r="F108" i="47"/>
  <c r="AH107" i="47"/>
  <c r="AE107" i="47"/>
  <c r="AD107" i="47"/>
  <c r="L107" i="47"/>
  <c r="K107" i="47"/>
  <c r="AG107" i="47" s="1"/>
  <c r="J107" i="47"/>
  <c r="AF107" i="47" s="1"/>
  <c r="I107" i="47"/>
  <c r="H107" i="47"/>
  <c r="G107" i="47"/>
  <c r="F107" i="47"/>
  <c r="AH106" i="47"/>
  <c r="AE106" i="47"/>
  <c r="AD106" i="47"/>
  <c r="L106" i="47"/>
  <c r="K106" i="47"/>
  <c r="AG106" i="47" s="1"/>
  <c r="J106" i="47"/>
  <c r="AF106" i="47" s="1"/>
  <c r="I106" i="47"/>
  <c r="H106" i="47"/>
  <c r="G106" i="47"/>
  <c r="F106" i="47"/>
  <c r="AH105" i="47"/>
  <c r="AE105" i="47"/>
  <c r="AD105" i="47"/>
  <c r="L105" i="47"/>
  <c r="K105" i="47"/>
  <c r="AG105" i="47" s="1"/>
  <c r="J105" i="47"/>
  <c r="AF105" i="47" s="1"/>
  <c r="I105" i="47"/>
  <c r="H105" i="47"/>
  <c r="G105" i="47"/>
  <c r="F105" i="47"/>
  <c r="AH104" i="47"/>
  <c r="AE104" i="47"/>
  <c r="AD104" i="47"/>
  <c r="L104" i="47"/>
  <c r="K104" i="47"/>
  <c r="AG104" i="47" s="1"/>
  <c r="J104" i="47"/>
  <c r="AF104" i="47" s="1"/>
  <c r="I104" i="47"/>
  <c r="H104" i="47"/>
  <c r="G104" i="47"/>
  <c r="F104" i="47"/>
  <c r="AH103" i="47"/>
  <c r="AE103" i="47"/>
  <c r="AD103" i="47"/>
  <c r="L103" i="47"/>
  <c r="K103" i="47"/>
  <c r="AG103" i="47" s="1"/>
  <c r="J103" i="47"/>
  <c r="AF103" i="47" s="1"/>
  <c r="I103" i="47"/>
  <c r="H103" i="47"/>
  <c r="G103" i="47"/>
  <c r="F103" i="47"/>
  <c r="AH102" i="47"/>
  <c r="AE102" i="47"/>
  <c r="AD102" i="47"/>
  <c r="L102" i="47"/>
  <c r="K102" i="47"/>
  <c r="AG102" i="47" s="1"/>
  <c r="J102" i="47"/>
  <c r="AF102" i="47" s="1"/>
  <c r="I102" i="47"/>
  <c r="H102" i="47"/>
  <c r="G102" i="47"/>
  <c r="F102" i="47"/>
  <c r="AH101" i="47"/>
  <c r="AE101" i="47"/>
  <c r="AD101" i="47"/>
  <c r="L101" i="47"/>
  <c r="K101" i="47"/>
  <c r="AG101" i="47" s="1"/>
  <c r="J101" i="47"/>
  <c r="AF101" i="47" s="1"/>
  <c r="I101" i="47"/>
  <c r="H101" i="47"/>
  <c r="G101" i="47"/>
  <c r="F101" i="47"/>
  <c r="AF100" i="47"/>
  <c r="AE100" i="47"/>
  <c r="L100" i="47"/>
  <c r="AH100" i="47" s="1"/>
  <c r="K100" i="47"/>
  <c r="AG100" i="47" s="1"/>
  <c r="J100" i="47"/>
  <c r="I100" i="47"/>
  <c r="H100" i="47"/>
  <c r="AD100" i="47" s="1"/>
  <c r="G100" i="47"/>
  <c r="F100" i="47"/>
  <c r="AF99" i="47"/>
  <c r="AE99" i="47"/>
  <c r="L99" i="47"/>
  <c r="AH99" i="47" s="1"/>
  <c r="K99" i="47"/>
  <c r="AG99" i="47" s="1"/>
  <c r="J99" i="47"/>
  <c r="I99" i="47"/>
  <c r="H99" i="47"/>
  <c r="AD99" i="47" s="1"/>
  <c r="G99" i="47"/>
  <c r="F99" i="47"/>
  <c r="AF98" i="47"/>
  <c r="AE98" i="47"/>
  <c r="L98" i="47"/>
  <c r="AH98" i="47" s="1"/>
  <c r="K98" i="47"/>
  <c r="AG98" i="47" s="1"/>
  <c r="J98" i="47"/>
  <c r="I98" i="47"/>
  <c r="H98" i="47"/>
  <c r="AD98" i="47" s="1"/>
  <c r="G98" i="47"/>
  <c r="F98" i="47"/>
  <c r="AF97" i="47"/>
  <c r="AE97" i="47"/>
  <c r="L97" i="47"/>
  <c r="AH97" i="47" s="1"/>
  <c r="K97" i="47"/>
  <c r="AG97" i="47" s="1"/>
  <c r="J97" i="47"/>
  <c r="I97" i="47"/>
  <c r="H97" i="47"/>
  <c r="AD97" i="47" s="1"/>
  <c r="G97" i="47"/>
  <c r="F97" i="47"/>
  <c r="AF96" i="47"/>
  <c r="AE96" i="47"/>
  <c r="L96" i="47"/>
  <c r="AH96" i="47" s="1"/>
  <c r="K96" i="47"/>
  <c r="AG96" i="47" s="1"/>
  <c r="J96" i="47"/>
  <c r="I96" i="47"/>
  <c r="H96" i="47"/>
  <c r="AD96" i="47" s="1"/>
  <c r="G96" i="47"/>
  <c r="F96" i="47"/>
  <c r="AF95" i="47"/>
  <c r="AE95" i="47"/>
  <c r="L95" i="47"/>
  <c r="AH95" i="47" s="1"/>
  <c r="K95" i="47"/>
  <c r="AG95" i="47" s="1"/>
  <c r="J95" i="47"/>
  <c r="I95" i="47"/>
  <c r="H95" i="47"/>
  <c r="AD95" i="47" s="1"/>
  <c r="G95" i="47"/>
  <c r="F95" i="47"/>
  <c r="AF94" i="47"/>
  <c r="AE94" i="47"/>
  <c r="L94" i="47"/>
  <c r="AH94" i="47" s="1"/>
  <c r="K94" i="47"/>
  <c r="AG94" i="47" s="1"/>
  <c r="J94" i="47"/>
  <c r="I94" i="47"/>
  <c r="H94" i="47"/>
  <c r="AD94" i="47" s="1"/>
  <c r="G94" i="47"/>
  <c r="F94" i="47"/>
  <c r="AF93" i="47"/>
  <c r="AE93" i="47"/>
  <c r="L93" i="47"/>
  <c r="AH93" i="47" s="1"/>
  <c r="K93" i="47"/>
  <c r="AG93" i="47" s="1"/>
  <c r="J93" i="47"/>
  <c r="I93" i="47"/>
  <c r="H93" i="47"/>
  <c r="AD93" i="47" s="1"/>
  <c r="G93" i="47"/>
  <c r="F93" i="47"/>
  <c r="AF92" i="47"/>
  <c r="AE92" i="47"/>
  <c r="L92" i="47"/>
  <c r="AH92" i="47" s="1"/>
  <c r="K92" i="47"/>
  <c r="AG92" i="47" s="1"/>
  <c r="J92" i="47"/>
  <c r="I92" i="47"/>
  <c r="H92" i="47"/>
  <c r="AD92" i="47" s="1"/>
  <c r="G92" i="47"/>
  <c r="F92" i="47"/>
  <c r="AH91" i="47"/>
  <c r="AG91" i="47"/>
  <c r="AD91" i="47"/>
  <c r="L91" i="47"/>
  <c r="K91" i="47"/>
  <c r="J91" i="47"/>
  <c r="AF91" i="47" s="1"/>
  <c r="I91" i="47"/>
  <c r="AE91" i="47" s="1"/>
  <c r="H91" i="47"/>
  <c r="G91" i="47"/>
  <c r="F91" i="47"/>
  <c r="AH90" i="47"/>
  <c r="AG90" i="47"/>
  <c r="AD90" i="47"/>
  <c r="L90" i="47"/>
  <c r="K90" i="47"/>
  <c r="J90" i="47"/>
  <c r="AF90" i="47" s="1"/>
  <c r="I90" i="47"/>
  <c r="AE90" i="47" s="1"/>
  <c r="H90" i="47"/>
  <c r="G90" i="47"/>
  <c r="F90" i="47"/>
  <c r="AH89" i="47"/>
  <c r="AG89" i="47"/>
  <c r="AD89" i="47"/>
  <c r="L89" i="47"/>
  <c r="K89" i="47"/>
  <c r="J89" i="47"/>
  <c r="AF89" i="47" s="1"/>
  <c r="I89" i="47"/>
  <c r="AE89" i="47" s="1"/>
  <c r="H89" i="47"/>
  <c r="G89" i="47"/>
  <c r="F89" i="47"/>
  <c r="AH88" i="47"/>
  <c r="AG88" i="47"/>
  <c r="AD88" i="47"/>
  <c r="R88" i="47"/>
  <c r="AN88" i="47" s="1"/>
  <c r="L88" i="47"/>
  <c r="K88" i="47"/>
  <c r="J88" i="47"/>
  <c r="AF88" i="47" s="1"/>
  <c r="I88" i="47"/>
  <c r="AE88" i="47" s="1"/>
  <c r="H88" i="47"/>
  <c r="G88" i="47"/>
  <c r="F88" i="47"/>
  <c r="AH87" i="47"/>
  <c r="AD87" i="47"/>
  <c r="L87" i="47"/>
  <c r="K87" i="47"/>
  <c r="AG87" i="47" s="1"/>
  <c r="J87" i="47"/>
  <c r="AF87" i="47" s="1"/>
  <c r="I87" i="47"/>
  <c r="AE87" i="47" s="1"/>
  <c r="H87" i="47"/>
  <c r="G87" i="47"/>
  <c r="F87" i="47"/>
  <c r="AH86" i="47"/>
  <c r="AE86" i="47"/>
  <c r="AD86" i="47"/>
  <c r="L86" i="47"/>
  <c r="K86" i="47"/>
  <c r="AG86" i="47" s="1"/>
  <c r="J86" i="47"/>
  <c r="AF86" i="47" s="1"/>
  <c r="I86" i="47"/>
  <c r="H86" i="47"/>
  <c r="G86" i="47"/>
  <c r="F86" i="47"/>
  <c r="AH85" i="47"/>
  <c r="AE85" i="47"/>
  <c r="AD85" i="47"/>
  <c r="L85" i="47"/>
  <c r="K85" i="47"/>
  <c r="AG85" i="47" s="1"/>
  <c r="J85" i="47"/>
  <c r="AF85" i="47" s="1"/>
  <c r="I85" i="47"/>
  <c r="H85" i="47"/>
  <c r="G85" i="47"/>
  <c r="F85" i="47"/>
  <c r="AH84" i="47"/>
  <c r="AE84" i="47"/>
  <c r="AD84" i="47"/>
  <c r="L84" i="47"/>
  <c r="K84" i="47"/>
  <c r="AG84" i="47" s="1"/>
  <c r="J84" i="47"/>
  <c r="AF84" i="47" s="1"/>
  <c r="I84" i="47"/>
  <c r="H84" i="47"/>
  <c r="G84" i="47"/>
  <c r="F84" i="47"/>
  <c r="AH83" i="47"/>
  <c r="AE83" i="47"/>
  <c r="AD83" i="47"/>
  <c r="L83" i="47"/>
  <c r="K83" i="47"/>
  <c r="AG83" i="47" s="1"/>
  <c r="J83" i="47"/>
  <c r="AF83" i="47" s="1"/>
  <c r="I83" i="47"/>
  <c r="H83" i="47"/>
  <c r="G83" i="47"/>
  <c r="F83" i="47"/>
  <c r="AH82" i="47"/>
  <c r="AE82" i="47"/>
  <c r="AD82" i="47"/>
  <c r="L82" i="47"/>
  <c r="K82" i="47"/>
  <c r="AG82" i="47" s="1"/>
  <c r="J82" i="47"/>
  <c r="AF82" i="47" s="1"/>
  <c r="I82" i="47"/>
  <c r="H82" i="47"/>
  <c r="G82" i="47"/>
  <c r="F82" i="47"/>
  <c r="AH81" i="47"/>
  <c r="AE81" i="47"/>
  <c r="AD81" i="47"/>
  <c r="L81" i="47"/>
  <c r="K81" i="47"/>
  <c r="AG81" i="47" s="1"/>
  <c r="J81" i="47"/>
  <c r="AF81" i="47" s="1"/>
  <c r="I81" i="47"/>
  <c r="H81" i="47"/>
  <c r="G81" i="47"/>
  <c r="F81" i="47"/>
  <c r="AH80" i="47"/>
  <c r="AE80" i="47"/>
  <c r="AD80" i="47"/>
  <c r="L80" i="47"/>
  <c r="K80" i="47"/>
  <c r="AG80" i="47" s="1"/>
  <c r="J80" i="47"/>
  <c r="AF80" i="47" s="1"/>
  <c r="I80" i="47"/>
  <c r="H80" i="47"/>
  <c r="G80" i="47"/>
  <c r="F80" i="47"/>
  <c r="AH79" i="47"/>
  <c r="AE79" i="47"/>
  <c r="AD79" i="47"/>
  <c r="L79" i="47"/>
  <c r="K79" i="47"/>
  <c r="AG79" i="47" s="1"/>
  <c r="J79" i="47"/>
  <c r="AF79" i="47" s="1"/>
  <c r="I79" i="47"/>
  <c r="H79" i="47"/>
  <c r="G79" i="47"/>
  <c r="F79" i="47"/>
  <c r="AH78" i="47"/>
  <c r="AE78" i="47"/>
  <c r="AD78" i="47"/>
  <c r="L78" i="47"/>
  <c r="K78" i="47"/>
  <c r="AG78" i="47" s="1"/>
  <c r="J78" i="47"/>
  <c r="AF78" i="47" s="1"/>
  <c r="I78" i="47"/>
  <c r="H78" i="47"/>
  <c r="G78" i="47"/>
  <c r="F78" i="47"/>
  <c r="AE77" i="47"/>
  <c r="AD77" i="47"/>
  <c r="N77" i="47"/>
  <c r="AJ77" i="47" s="1"/>
  <c r="L77" i="47"/>
  <c r="AH77" i="47" s="1"/>
  <c r="K77" i="47"/>
  <c r="AG77" i="47" s="1"/>
  <c r="J77" i="47"/>
  <c r="AF77" i="47" s="1"/>
  <c r="I77" i="47"/>
  <c r="H77" i="47"/>
  <c r="G77" i="47"/>
  <c r="F77" i="47"/>
  <c r="AF76" i="47"/>
  <c r="AE76" i="47"/>
  <c r="AD76" i="47"/>
  <c r="L76" i="47"/>
  <c r="AH76" i="47" s="1"/>
  <c r="K76" i="47"/>
  <c r="AG76" i="47" s="1"/>
  <c r="J76" i="47"/>
  <c r="I76" i="47"/>
  <c r="H76" i="47"/>
  <c r="G76" i="47"/>
  <c r="F76" i="47"/>
  <c r="AF75" i="47"/>
  <c r="AE75" i="47"/>
  <c r="AD75" i="47"/>
  <c r="L75" i="47"/>
  <c r="AH75" i="47" s="1"/>
  <c r="K75" i="47"/>
  <c r="AG75" i="47" s="1"/>
  <c r="J75" i="47"/>
  <c r="I75" i="47"/>
  <c r="H75" i="47"/>
  <c r="G75" i="47"/>
  <c r="F75" i="47"/>
  <c r="AF74" i="47"/>
  <c r="AE74" i="47"/>
  <c r="L74" i="47"/>
  <c r="AH74" i="47" s="1"/>
  <c r="K74" i="47"/>
  <c r="AG74" i="47" s="1"/>
  <c r="J74" i="47"/>
  <c r="I74" i="47"/>
  <c r="H74" i="47"/>
  <c r="AD74" i="47" s="1"/>
  <c r="G74" i="47"/>
  <c r="F74" i="47"/>
  <c r="AF73" i="47"/>
  <c r="AE73" i="47"/>
  <c r="L73" i="47"/>
  <c r="AH73" i="47" s="1"/>
  <c r="K73" i="47"/>
  <c r="AG73" i="47" s="1"/>
  <c r="J73" i="47"/>
  <c r="I73" i="47"/>
  <c r="H73" i="47"/>
  <c r="AD73" i="47" s="1"/>
  <c r="G73" i="47"/>
  <c r="F73" i="47"/>
  <c r="AF72" i="47"/>
  <c r="AE72" i="47"/>
  <c r="L72" i="47"/>
  <c r="AH72" i="47" s="1"/>
  <c r="K72" i="47"/>
  <c r="AG72" i="47" s="1"/>
  <c r="J72" i="47"/>
  <c r="I72" i="47"/>
  <c r="H72" i="47"/>
  <c r="AD72" i="47" s="1"/>
  <c r="G72" i="47"/>
  <c r="F72" i="47"/>
  <c r="AF71" i="47"/>
  <c r="AE71" i="47"/>
  <c r="L71" i="47"/>
  <c r="AH71" i="47" s="1"/>
  <c r="K71" i="47"/>
  <c r="AG71" i="47" s="1"/>
  <c r="J71" i="47"/>
  <c r="I71" i="47"/>
  <c r="H71" i="47"/>
  <c r="AD71" i="47" s="1"/>
  <c r="G71" i="47"/>
  <c r="F71" i="47"/>
  <c r="AF70" i="47"/>
  <c r="AE70" i="47"/>
  <c r="L70" i="47"/>
  <c r="AH70" i="47" s="1"/>
  <c r="K70" i="47"/>
  <c r="AG70" i="47" s="1"/>
  <c r="J70" i="47"/>
  <c r="I70" i="47"/>
  <c r="H70" i="47"/>
  <c r="AD70" i="47" s="1"/>
  <c r="G70" i="47"/>
  <c r="F70" i="47"/>
  <c r="AF69" i="47"/>
  <c r="AE69" i="47"/>
  <c r="L69" i="47"/>
  <c r="AH69" i="47" s="1"/>
  <c r="K69" i="47"/>
  <c r="AG69" i="47" s="1"/>
  <c r="J69" i="47"/>
  <c r="I69" i="47"/>
  <c r="H69" i="47"/>
  <c r="AD69" i="47" s="1"/>
  <c r="G69" i="47"/>
  <c r="F69" i="47"/>
  <c r="AF68" i="47"/>
  <c r="AE68" i="47"/>
  <c r="L68" i="47"/>
  <c r="AH68" i="47" s="1"/>
  <c r="K68" i="47"/>
  <c r="AG68" i="47" s="1"/>
  <c r="J68" i="47"/>
  <c r="I68" i="47"/>
  <c r="H68" i="47"/>
  <c r="AD68" i="47" s="1"/>
  <c r="G68" i="47"/>
  <c r="F68" i="47"/>
  <c r="AF67" i="47"/>
  <c r="AE67" i="47"/>
  <c r="L67" i="47"/>
  <c r="AH67" i="47" s="1"/>
  <c r="K67" i="47"/>
  <c r="AG67" i="47" s="1"/>
  <c r="J67" i="47"/>
  <c r="I67" i="47"/>
  <c r="H67" i="47"/>
  <c r="AD67" i="47" s="1"/>
  <c r="G67" i="47"/>
  <c r="F67" i="47"/>
  <c r="AF66" i="47"/>
  <c r="AE66" i="47"/>
  <c r="L66" i="47"/>
  <c r="AH66" i="47" s="1"/>
  <c r="K66" i="47"/>
  <c r="AG66" i="47" s="1"/>
  <c r="J66" i="47"/>
  <c r="I66" i="47"/>
  <c r="H66" i="47"/>
  <c r="AD66" i="47" s="1"/>
  <c r="G66" i="47"/>
  <c r="F66" i="47"/>
  <c r="AF65" i="47"/>
  <c r="AE65" i="47"/>
  <c r="L65" i="47"/>
  <c r="AH65" i="47" s="1"/>
  <c r="K65" i="47"/>
  <c r="AG65" i="47" s="1"/>
  <c r="J65" i="47"/>
  <c r="I65" i="47"/>
  <c r="H65" i="47"/>
  <c r="AD65" i="47" s="1"/>
  <c r="G65" i="47"/>
  <c r="F65" i="47"/>
  <c r="AF64" i="47"/>
  <c r="AE64" i="47"/>
  <c r="L64" i="47"/>
  <c r="AH64" i="47" s="1"/>
  <c r="K64" i="47"/>
  <c r="AG64" i="47" s="1"/>
  <c r="J64" i="47"/>
  <c r="I64" i="47"/>
  <c r="H64" i="47"/>
  <c r="AD64" i="47" s="1"/>
  <c r="G64" i="47"/>
  <c r="F64" i="47"/>
  <c r="AF63" i="47"/>
  <c r="AE63" i="47"/>
  <c r="L63" i="47"/>
  <c r="AH63" i="47" s="1"/>
  <c r="K63" i="47"/>
  <c r="AG63" i="47" s="1"/>
  <c r="J63" i="47"/>
  <c r="I63" i="47"/>
  <c r="H63" i="47"/>
  <c r="AD63" i="47" s="1"/>
  <c r="G63" i="47"/>
  <c r="F63" i="47"/>
  <c r="AF62" i="47"/>
  <c r="AE62" i="47"/>
  <c r="L62" i="47"/>
  <c r="AH62" i="47" s="1"/>
  <c r="K62" i="47"/>
  <c r="AG62" i="47" s="1"/>
  <c r="J62" i="47"/>
  <c r="I62" i="47"/>
  <c r="H62" i="47"/>
  <c r="AD62" i="47" s="1"/>
  <c r="G62" i="47"/>
  <c r="F62" i="47"/>
  <c r="AF61" i="47"/>
  <c r="AE61" i="47"/>
  <c r="L61" i="47"/>
  <c r="AH61" i="47" s="1"/>
  <c r="K61" i="47"/>
  <c r="AG61" i="47" s="1"/>
  <c r="J61" i="47"/>
  <c r="I61" i="47"/>
  <c r="H61" i="47"/>
  <c r="AD61" i="47" s="1"/>
  <c r="G61" i="47"/>
  <c r="F61" i="47"/>
  <c r="AF60" i="47"/>
  <c r="AE60" i="47"/>
  <c r="L60" i="47"/>
  <c r="AH60" i="47" s="1"/>
  <c r="K60" i="47"/>
  <c r="AG60" i="47" s="1"/>
  <c r="J60" i="47"/>
  <c r="I60" i="47"/>
  <c r="H60" i="47"/>
  <c r="AD60" i="47" s="1"/>
  <c r="G60" i="47"/>
  <c r="F60" i="47"/>
  <c r="AF59" i="47"/>
  <c r="AE59" i="47"/>
  <c r="L59" i="47"/>
  <c r="AH59" i="47" s="1"/>
  <c r="K59" i="47"/>
  <c r="AG59" i="47" s="1"/>
  <c r="J59" i="47"/>
  <c r="I59" i="47"/>
  <c r="H59" i="47"/>
  <c r="AD59" i="47" s="1"/>
  <c r="G59" i="47"/>
  <c r="F59" i="47"/>
  <c r="AF58" i="47"/>
  <c r="AE58" i="47"/>
  <c r="L58" i="47"/>
  <c r="AH58" i="47" s="1"/>
  <c r="K58" i="47"/>
  <c r="AG58" i="47" s="1"/>
  <c r="J58" i="47"/>
  <c r="I58" i="47"/>
  <c r="H58" i="47"/>
  <c r="AD58" i="47" s="1"/>
  <c r="G58" i="47"/>
  <c r="F58" i="47"/>
  <c r="AF57" i="47"/>
  <c r="AE57" i="47"/>
  <c r="L57" i="47"/>
  <c r="AH57" i="47" s="1"/>
  <c r="K57" i="47"/>
  <c r="AG57" i="47" s="1"/>
  <c r="J57" i="47"/>
  <c r="I57" i="47"/>
  <c r="H57" i="47"/>
  <c r="AD57" i="47" s="1"/>
  <c r="G57" i="47"/>
  <c r="F57" i="47"/>
  <c r="AF56" i="47"/>
  <c r="AE56" i="47"/>
  <c r="L56" i="47"/>
  <c r="AH56" i="47" s="1"/>
  <c r="K56" i="47"/>
  <c r="AG56" i="47" s="1"/>
  <c r="J56" i="47"/>
  <c r="I56" i="47"/>
  <c r="H56" i="47"/>
  <c r="AD56" i="47" s="1"/>
  <c r="G56" i="47"/>
  <c r="F56" i="47"/>
  <c r="AF55" i="47"/>
  <c r="AE55" i="47"/>
  <c r="L55" i="47"/>
  <c r="AH55" i="47" s="1"/>
  <c r="K55" i="47"/>
  <c r="AG55" i="47" s="1"/>
  <c r="J55" i="47"/>
  <c r="I55" i="47"/>
  <c r="H55" i="47"/>
  <c r="AD55" i="47" s="1"/>
  <c r="G55" i="47"/>
  <c r="F55" i="47"/>
  <c r="AG54" i="47"/>
  <c r="AF54" i="47"/>
  <c r="AC54" i="47"/>
  <c r="AY54" i="47" s="1"/>
  <c r="L54" i="47"/>
  <c r="AH54" i="47" s="1"/>
  <c r="K54" i="47"/>
  <c r="J54" i="47"/>
  <c r="I54" i="47"/>
  <c r="AE54" i="47" s="1"/>
  <c r="H54" i="47"/>
  <c r="AD54" i="47" s="1"/>
  <c r="G54" i="47"/>
  <c r="F54" i="47"/>
  <c r="AF53" i="47"/>
  <c r="AE53" i="47"/>
  <c r="L53" i="47"/>
  <c r="AH53" i="47" s="1"/>
  <c r="K53" i="47"/>
  <c r="AG53" i="47" s="1"/>
  <c r="J53" i="47"/>
  <c r="I53" i="47"/>
  <c r="H53" i="47"/>
  <c r="AD53" i="47" s="1"/>
  <c r="G53" i="47"/>
  <c r="F53" i="47"/>
  <c r="AF52" i="47"/>
  <c r="AE52" i="47"/>
  <c r="L52" i="47"/>
  <c r="AH52" i="47" s="1"/>
  <c r="K52" i="47"/>
  <c r="AG52" i="47" s="1"/>
  <c r="J52" i="47"/>
  <c r="I52" i="47"/>
  <c r="H52" i="47"/>
  <c r="AD52" i="47" s="1"/>
  <c r="G52" i="47"/>
  <c r="F52" i="47"/>
  <c r="AG51" i="47"/>
  <c r="AF51" i="47"/>
  <c r="L51" i="47"/>
  <c r="AH51" i="47" s="1"/>
  <c r="K51" i="47"/>
  <c r="J51" i="47"/>
  <c r="I51" i="47"/>
  <c r="AE51" i="47" s="1"/>
  <c r="H51" i="47"/>
  <c r="AD51" i="47" s="1"/>
  <c r="G51" i="47"/>
  <c r="F51" i="47"/>
  <c r="AG50" i="47"/>
  <c r="AF50" i="47"/>
  <c r="X50" i="47"/>
  <c r="AT50" i="47" s="1"/>
  <c r="L50" i="47"/>
  <c r="AH50" i="47" s="1"/>
  <c r="K50" i="47"/>
  <c r="J50" i="47"/>
  <c r="I50" i="47"/>
  <c r="AE50" i="47" s="1"/>
  <c r="H50" i="47"/>
  <c r="AD50" i="47" s="1"/>
  <c r="G50" i="47"/>
  <c r="F50" i="47"/>
  <c r="AF49" i="47"/>
  <c r="AE49" i="47"/>
  <c r="Y49" i="47"/>
  <c r="AU49" i="47" s="1"/>
  <c r="L49" i="47"/>
  <c r="AH49" i="47" s="1"/>
  <c r="K49" i="47"/>
  <c r="AG49" i="47" s="1"/>
  <c r="J49" i="47"/>
  <c r="I49" i="47"/>
  <c r="H49" i="47"/>
  <c r="AD49" i="47" s="1"/>
  <c r="G49" i="47"/>
  <c r="F49" i="47"/>
  <c r="AF48" i="47"/>
  <c r="AE48" i="47"/>
  <c r="U48" i="47"/>
  <c r="AQ48" i="47" s="1"/>
  <c r="L48" i="47"/>
  <c r="AH48" i="47" s="1"/>
  <c r="K48" i="47"/>
  <c r="AG48" i="47" s="1"/>
  <c r="J48" i="47"/>
  <c r="I48" i="47"/>
  <c r="H48" i="47"/>
  <c r="AD48" i="47" s="1"/>
  <c r="G48" i="47"/>
  <c r="F48" i="47"/>
  <c r="AG47" i="47"/>
  <c r="AF47" i="47"/>
  <c r="Q47" i="47"/>
  <c r="AM47" i="47" s="1"/>
  <c r="L47" i="47"/>
  <c r="AH47" i="47" s="1"/>
  <c r="K47" i="47"/>
  <c r="J47" i="47"/>
  <c r="I47" i="47"/>
  <c r="AE47" i="47" s="1"/>
  <c r="H47" i="47"/>
  <c r="AD47" i="47" s="1"/>
  <c r="G47" i="47"/>
  <c r="F47" i="47"/>
  <c r="AG46" i="47"/>
  <c r="AF46" i="47"/>
  <c r="L46" i="47"/>
  <c r="AH46" i="47" s="1"/>
  <c r="K46" i="47"/>
  <c r="J46" i="47"/>
  <c r="I46" i="47"/>
  <c r="AE46" i="47" s="1"/>
  <c r="H46" i="47"/>
  <c r="AD46" i="47" s="1"/>
  <c r="G46" i="47"/>
  <c r="F46" i="47"/>
  <c r="AF45" i="47"/>
  <c r="AE45" i="47"/>
  <c r="T45" i="47"/>
  <c r="AP45" i="47" s="1"/>
  <c r="L45" i="47"/>
  <c r="AH45" i="47" s="1"/>
  <c r="K45" i="47"/>
  <c r="AG45" i="47" s="1"/>
  <c r="J45" i="47"/>
  <c r="I45" i="47"/>
  <c r="H45" i="47"/>
  <c r="AD45" i="47" s="1"/>
  <c r="G45" i="47"/>
  <c r="F45" i="47"/>
  <c r="AF44" i="47"/>
  <c r="AE44" i="47"/>
  <c r="P44" i="47"/>
  <c r="AL44" i="47" s="1"/>
  <c r="L44" i="47"/>
  <c r="AH44" i="47" s="1"/>
  <c r="K44" i="47"/>
  <c r="AG44" i="47" s="1"/>
  <c r="J44" i="47"/>
  <c r="I44" i="47"/>
  <c r="H44" i="47"/>
  <c r="AD44" i="47" s="1"/>
  <c r="G44" i="47"/>
  <c r="F44" i="47"/>
  <c r="AG43" i="47"/>
  <c r="AF43" i="47"/>
  <c r="L43" i="47"/>
  <c r="AH43" i="47" s="1"/>
  <c r="K43" i="47"/>
  <c r="J43" i="47"/>
  <c r="I43" i="47"/>
  <c r="AE43" i="47" s="1"/>
  <c r="H43" i="47"/>
  <c r="AD43" i="47" s="1"/>
  <c r="G43" i="47"/>
  <c r="F43" i="47"/>
  <c r="AG42" i="47"/>
  <c r="AF42" i="47"/>
  <c r="M42" i="47"/>
  <c r="AI42" i="47" s="1"/>
  <c r="L42" i="47"/>
  <c r="AH42" i="47" s="1"/>
  <c r="K42" i="47"/>
  <c r="J42" i="47"/>
  <c r="I42" i="47"/>
  <c r="AE42" i="47" s="1"/>
  <c r="H42" i="47"/>
  <c r="AD42" i="47" s="1"/>
  <c r="G42" i="47"/>
  <c r="F42" i="47"/>
  <c r="AF41" i="47"/>
  <c r="AE41" i="47"/>
  <c r="L41" i="47"/>
  <c r="AH41" i="47" s="1"/>
  <c r="K41" i="47"/>
  <c r="AG41" i="47" s="1"/>
  <c r="J41" i="47"/>
  <c r="I41" i="47"/>
  <c r="H41" i="47"/>
  <c r="AD41" i="47" s="1"/>
  <c r="G41" i="47"/>
  <c r="F41" i="47"/>
  <c r="AF40" i="47"/>
  <c r="L40" i="47"/>
  <c r="AH40" i="47" s="1"/>
  <c r="K40" i="47"/>
  <c r="AG40" i="47" s="1"/>
  <c r="J40" i="47"/>
  <c r="I40" i="47"/>
  <c r="AE40" i="47" s="1"/>
  <c r="H40" i="47"/>
  <c r="AD40" i="47" s="1"/>
  <c r="G40" i="47"/>
  <c r="F40" i="47"/>
  <c r="AG39" i="47"/>
  <c r="AF39" i="47"/>
  <c r="L39" i="47"/>
  <c r="AH39" i="47" s="1"/>
  <c r="K39" i="47"/>
  <c r="J39" i="47"/>
  <c r="I39" i="47"/>
  <c r="AE39" i="47" s="1"/>
  <c r="H39" i="47"/>
  <c r="AD39" i="47" s="1"/>
  <c r="G39" i="47"/>
  <c r="F39" i="47"/>
  <c r="AG38" i="47"/>
  <c r="AF38" i="47"/>
  <c r="X38" i="47"/>
  <c r="AT38" i="47" s="1"/>
  <c r="L38" i="47"/>
  <c r="AH38" i="47" s="1"/>
  <c r="K38" i="47"/>
  <c r="J38" i="47"/>
  <c r="I38" i="47"/>
  <c r="AE38" i="47" s="1"/>
  <c r="H38" i="47"/>
  <c r="AD38" i="47" s="1"/>
  <c r="G38" i="47"/>
  <c r="F38" i="47"/>
  <c r="AG37" i="47"/>
  <c r="AF37" i="47"/>
  <c r="T37" i="47"/>
  <c r="AP37" i="47" s="1"/>
  <c r="L37" i="47"/>
  <c r="AH37" i="47" s="1"/>
  <c r="K37" i="47"/>
  <c r="J37" i="47"/>
  <c r="I37" i="47"/>
  <c r="AE37" i="47" s="1"/>
  <c r="H37" i="47"/>
  <c r="AD37" i="47" s="1"/>
  <c r="G37" i="47"/>
  <c r="F37" i="47"/>
  <c r="AG36" i="47"/>
  <c r="AF36" i="47"/>
  <c r="P36" i="47"/>
  <c r="AL36" i="47" s="1"/>
  <c r="L36" i="47"/>
  <c r="AH36" i="47" s="1"/>
  <c r="K36" i="47"/>
  <c r="J36" i="47"/>
  <c r="I36" i="47"/>
  <c r="AE36" i="47" s="1"/>
  <c r="H36" i="47"/>
  <c r="AD36" i="47" s="1"/>
  <c r="G36" i="47"/>
  <c r="F36" i="47"/>
  <c r="AG35" i="47"/>
  <c r="AF35" i="47"/>
  <c r="AB35" i="47"/>
  <c r="AX35" i="47" s="1"/>
  <c r="L35" i="47"/>
  <c r="AH35" i="47" s="1"/>
  <c r="K35" i="47"/>
  <c r="J35" i="47"/>
  <c r="I35" i="47"/>
  <c r="AE35" i="47" s="1"/>
  <c r="H35" i="47"/>
  <c r="AD35" i="47" s="1"/>
  <c r="G35" i="47"/>
  <c r="F35" i="47"/>
  <c r="AG34" i="47"/>
  <c r="AF34" i="47"/>
  <c r="X34" i="47"/>
  <c r="AT34" i="47" s="1"/>
  <c r="L34" i="47"/>
  <c r="AH34" i="47" s="1"/>
  <c r="K34" i="47"/>
  <c r="J34" i="47"/>
  <c r="I34" i="47"/>
  <c r="AE34" i="47" s="1"/>
  <c r="H34" i="47"/>
  <c r="AD34" i="47" s="1"/>
  <c r="G34" i="47"/>
  <c r="F34" i="47"/>
  <c r="AG33" i="47"/>
  <c r="AF33" i="47"/>
  <c r="T33" i="47"/>
  <c r="AP33" i="47" s="1"/>
  <c r="L33" i="47"/>
  <c r="AH33" i="47" s="1"/>
  <c r="K33" i="47"/>
  <c r="J33" i="47"/>
  <c r="I33" i="47"/>
  <c r="AE33" i="47" s="1"/>
  <c r="H33" i="47"/>
  <c r="AD33" i="47" s="1"/>
  <c r="G33" i="47"/>
  <c r="F33" i="47"/>
  <c r="AG32" i="47"/>
  <c r="AF32" i="47"/>
  <c r="P32" i="47"/>
  <c r="AL32" i="47" s="1"/>
  <c r="L32" i="47"/>
  <c r="AH32" i="47" s="1"/>
  <c r="K32" i="47"/>
  <c r="J32" i="47"/>
  <c r="I32" i="47"/>
  <c r="AE32" i="47" s="1"/>
  <c r="H32" i="47"/>
  <c r="AD32" i="47" s="1"/>
  <c r="G32" i="47"/>
  <c r="F32" i="47"/>
  <c r="AG31" i="47"/>
  <c r="AF31" i="47"/>
  <c r="AB31" i="47"/>
  <c r="AX31" i="47" s="1"/>
  <c r="L31" i="47"/>
  <c r="AH31" i="47" s="1"/>
  <c r="K31" i="47"/>
  <c r="J31" i="47"/>
  <c r="I31" i="47"/>
  <c r="AE31" i="47" s="1"/>
  <c r="H31" i="47"/>
  <c r="AD31" i="47" s="1"/>
  <c r="G31" i="47"/>
  <c r="F31" i="47"/>
  <c r="AG30" i="47"/>
  <c r="AF30" i="47"/>
  <c r="X30" i="47"/>
  <c r="AT30" i="47" s="1"/>
  <c r="L30" i="47"/>
  <c r="AH30" i="47" s="1"/>
  <c r="K30" i="47"/>
  <c r="J30" i="47"/>
  <c r="I30" i="47"/>
  <c r="AE30" i="47" s="1"/>
  <c r="H30" i="47"/>
  <c r="AD30" i="47" s="1"/>
  <c r="G30" i="47"/>
  <c r="F30" i="47"/>
  <c r="AG29" i="47"/>
  <c r="AF29" i="47"/>
  <c r="T29" i="47"/>
  <c r="AP29" i="47" s="1"/>
  <c r="L29" i="47"/>
  <c r="AH29" i="47" s="1"/>
  <c r="K29" i="47"/>
  <c r="J29" i="47"/>
  <c r="I29" i="47"/>
  <c r="AE29" i="47" s="1"/>
  <c r="H29" i="47"/>
  <c r="AD29" i="47" s="1"/>
  <c r="G29" i="47"/>
  <c r="F29" i="47"/>
  <c r="AG28" i="47"/>
  <c r="AF28" i="47"/>
  <c r="P28" i="47"/>
  <c r="AL28" i="47" s="1"/>
  <c r="L28" i="47"/>
  <c r="AH28" i="47" s="1"/>
  <c r="K28" i="47"/>
  <c r="J28" i="47"/>
  <c r="I28" i="47"/>
  <c r="AE28" i="47" s="1"/>
  <c r="H28" i="47"/>
  <c r="AD28" i="47" s="1"/>
  <c r="G28" i="47"/>
  <c r="F28" i="47"/>
  <c r="AG27" i="47"/>
  <c r="AF27" i="47"/>
  <c r="AB27" i="47"/>
  <c r="AX27" i="47" s="1"/>
  <c r="L27" i="47"/>
  <c r="AH27" i="47" s="1"/>
  <c r="K27" i="47"/>
  <c r="J27" i="47"/>
  <c r="I27" i="47"/>
  <c r="AE27" i="47" s="1"/>
  <c r="H27" i="47"/>
  <c r="AD27" i="47" s="1"/>
  <c r="G27" i="47"/>
  <c r="F27" i="47"/>
  <c r="AG26" i="47"/>
  <c r="AF26" i="47"/>
  <c r="X26" i="47"/>
  <c r="AT26" i="47" s="1"/>
  <c r="L26" i="47"/>
  <c r="AH26" i="47" s="1"/>
  <c r="K26" i="47"/>
  <c r="J26" i="47"/>
  <c r="I26" i="47"/>
  <c r="AE26" i="47" s="1"/>
  <c r="H26" i="47"/>
  <c r="AD26" i="47" s="1"/>
  <c r="G26" i="47"/>
  <c r="F26" i="47"/>
  <c r="AG25" i="47"/>
  <c r="AF25" i="47"/>
  <c r="T25" i="47"/>
  <c r="AP25" i="47" s="1"/>
  <c r="L25" i="47"/>
  <c r="AH25" i="47" s="1"/>
  <c r="K25" i="47"/>
  <c r="J25" i="47"/>
  <c r="I25" i="47"/>
  <c r="AE25" i="47" s="1"/>
  <c r="H25" i="47"/>
  <c r="AD25" i="47" s="1"/>
  <c r="G25" i="47"/>
  <c r="F25" i="47"/>
  <c r="AG24" i="47"/>
  <c r="AF24" i="47"/>
  <c r="P24" i="47"/>
  <c r="AL24" i="47" s="1"/>
  <c r="L24" i="47"/>
  <c r="AH24" i="47" s="1"/>
  <c r="K24" i="47"/>
  <c r="J24" i="47"/>
  <c r="I24" i="47"/>
  <c r="AE24" i="47" s="1"/>
  <c r="H24" i="47"/>
  <c r="AD24" i="47" s="1"/>
  <c r="G24" i="47"/>
  <c r="F24" i="47"/>
  <c r="AG23" i="47"/>
  <c r="AF23" i="47"/>
  <c r="AB23" i="47"/>
  <c r="AX23" i="47" s="1"/>
  <c r="L23" i="47"/>
  <c r="AH23" i="47" s="1"/>
  <c r="K23" i="47"/>
  <c r="J23" i="47"/>
  <c r="I23" i="47"/>
  <c r="AE23" i="47" s="1"/>
  <c r="H23" i="47"/>
  <c r="AD23" i="47" s="1"/>
  <c r="G23" i="47"/>
  <c r="F23" i="47"/>
  <c r="AG22" i="47"/>
  <c r="AF22" i="47"/>
  <c r="X22" i="47"/>
  <c r="AT22" i="47" s="1"/>
  <c r="L22" i="47"/>
  <c r="AH22" i="47" s="1"/>
  <c r="K22" i="47"/>
  <c r="J22" i="47"/>
  <c r="I22" i="47"/>
  <c r="AE22" i="47" s="1"/>
  <c r="H22" i="47"/>
  <c r="AD22" i="47" s="1"/>
  <c r="G22" i="47"/>
  <c r="F22" i="47"/>
  <c r="AG21" i="47"/>
  <c r="AF21" i="47"/>
  <c r="T21" i="47"/>
  <c r="AP21" i="47" s="1"/>
  <c r="L21" i="47"/>
  <c r="AH21" i="47" s="1"/>
  <c r="K21" i="47"/>
  <c r="J21" i="47"/>
  <c r="I21" i="47"/>
  <c r="AE21" i="47" s="1"/>
  <c r="H21" i="47"/>
  <c r="AD21" i="47" s="1"/>
  <c r="G21" i="47"/>
  <c r="F21" i="47"/>
  <c r="AG20" i="47"/>
  <c r="AF20" i="47"/>
  <c r="P20" i="47"/>
  <c r="AL20" i="47" s="1"/>
  <c r="L20" i="47"/>
  <c r="AH20" i="47" s="1"/>
  <c r="K20" i="47"/>
  <c r="J20" i="47"/>
  <c r="I20" i="47"/>
  <c r="AE20" i="47" s="1"/>
  <c r="H20" i="47"/>
  <c r="AD20" i="47" s="1"/>
  <c r="G20" i="47"/>
  <c r="F20" i="47"/>
  <c r="AG19" i="47"/>
  <c r="AF19" i="47"/>
  <c r="AB19" i="47"/>
  <c r="AX19" i="47" s="1"/>
  <c r="L19" i="47"/>
  <c r="AH19" i="47" s="1"/>
  <c r="K19" i="47"/>
  <c r="J19" i="47"/>
  <c r="I19" i="47"/>
  <c r="AE19" i="47" s="1"/>
  <c r="H19" i="47"/>
  <c r="AD19" i="47" s="1"/>
  <c r="G19" i="47"/>
  <c r="F19" i="47"/>
  <c r="AG18" i="47"/>
  <c r="AF18" i="47"/>
  <c r="X18" i="47"/>
  <c r="AT18" i="47" s="1"/>
  <c r="L18" i="47"/>
  <c r="AH18" i="47" s="1"/>
  <c r="K18" i="47"/>
  <c r="J18" i="47"/>
  <c r="I18" i="47"/>
  <c r="AE18" i="47" s="1"/>
  <c r="H18" i="47"/>
  <c r="AD18" i="47" s="1"/>
  <c r="G18" i="47"/>
  <c r="F18" i="47"/>
  <c r="AG17" i="47"/>
  <c r="AF17" i="47"/>
  <c r="T17" i="47"/>
  <c r="AP17" i="47" s="1"/>
  <c r="L17" i="47"/>
  <c r="AH17" i="47" s="1"/>
  <c r="K17" i="47"/>
  <c r="J17" i="47"/>
  <c r="I17" i="47"/>
  <c r="AE17" i="47" s="1"/>
  <c r="H17" i="47"/>
  <c r="AD17" i="47" s="1"/>
  <c r="G17" i="47"/>
  <c r="F17" i="47"/>
  <c r="AG16" i="47"/>
  <c r="AF16" i="47"/>
  <c r="P16" i="47"/>
  <c r="AL16" i="47" s="1"/>
  <c r="L16" i="47"/>
  <c r="AH16" i="47" s="1"/>
  <c r="K16" i="47"/>
  <c r="J16" i="47"/>
  <c r="I16" i="47"/>
  <c r="AE16" i="47" s="1"/>
  <c r="H16" i="47"/>
  <c r="AD16" i="47" s="1"/>
  <c r="G16" i="47"/>
  <c r="F16" i="47"/>
  <c r="AG15" i="47"/>
  <c r="AF15" i="47"/>
  <c r="AB15" i="47"/>
  <c r="AX15" i="47" s="1"/>
  <c r="L15" i="47"/>
  <c r="AH15" i="47" s="1"/>
  <c r="K15" i="47"/>
  <c r="J15" i="47"/>
  <c r="I15" i="47"/>
  <c r="AE15" i="47" s="1"/>
  <c r="H15" i="47"/>
  <c r="AD15" i="47" s="1"/>
  <c r="G15" i="47"/>
  <c r="F15" i="47"/>
  <c r="AG14" i="47"/>
  <c r="AF14" i="47"/>
  <c r="AC14" i="47"/>
  <c r="AY14" i="47" s="1"/>
  <c r="X14" i="47"/>
  <c r="AT14" i="47" s="1"/>
  <c r="R14" i="47"/>
  <c r="AN14" i="47" s="1"/>
  <c r="M14" i="47"/>
  <c r="AI14" i="47" s="1"/>
  <c r="L14" i="47"/>
  <c r="AH14" i="47" s="1"/>
  <c r="K14" i="47"/>
  <c r="J14" i="47"/>
  <c r="I14" i="47"/>
  <c r="AE14" i="47" s="1"/>
  <c r="H14" i="47"/>
  <c r="AD14" i="47" s="1"/>
  <c r="G14" i="47"/>
  <c r="F14" i="47"/>
  <c r="AH13" i="47"/>
  <c r="AG13" i="47"/>
  <c r="AD13" i="47"/>
  <c r="Y13" i="47"/>
  <c r="AU13" i="47" s="1"/>
  <c r="T13" i="47"/>
  <c r="AP13" i="47" s="1"/>
  <c r="N13" i="47"/>
  <c r="AJ13" i="47" s="1"/>
  <c r="L13" i="47"/>
  <c r="K13" i="47"/>
  <c r="J13" i="47"/>
  <c r="AF13" i="47" s="1"/>
  <c r="I13" i="47"/>
  <c r="AE13" i="47" s="1"/>
  <c r="H13" i="47"/>
  <c r="G13" i="47"/>
  <c r="F13" i="47"/>
  <c r="AH12" i="47"/>
  <c r="AG12" i="47"/>
  <c r="AF12" i="47"/>
  <c r="AD12" i="47"/>
  <c r="Z12" i="47"/>
  <c r="AV12" i="47" s="1"/>
  <c r="U12" i="47"/>
  <c r="AQ12" i="47" s="1"/>
  <c r="P12" i="47"/>
  <c r="AL12" i="47" s="1"/>
  <c r="L12" i="47"/>
  <c r="K12" i="47"/>
  <c r="J12" i="47"/>
  <c r="I12" i="47"/>
  <c r="AE12" i="47" s="1"/>
  <c r="H12" i="47"/>
  <c r="G12" i="47"/>
  <c r="F12" i="47"/>
  <c r="AH11" i="47"/>
  <c r="AE11" i="47"/>
  <c r="AD11" i="47"/>
  <c r="L11" i="47"/>
  <c r="K11" i="47"/>
  <c r="AG11" i="47" s="1"/>
  <c r="J11" i="47"/>
  <c r="AF11" i="47" s="1"/>
  <c r="I11" i="47"/>
  <c r="H11" i="47"/>
  <c r="G11" i="47"/>
  <c r="F11" i="47"/>
  <c r="AH10" i="47"/>
  <c r="AE10" i="47"/>
  <c r="AD10" i="47"/>
  <c r="L10" i="47"/>
  <c r="K10" i="47"/>
  <c r="AG10" i="47" s="1"/>
  <c r="J10" i="47"/>
  <c r="AF10" i="47" s="1"/>
  <c r="I10" i="47"/>
  <c r="H10" i="47"/>
  <c r="G10" i="47"/>
  <c r="F10" i="47"/>
  <c r="AH9" i="47"/>
  <c r="AE9" i="47"/>
  <c r="AD9" i="47"/>
  <c r="L9" i="47"/>
  <c r="K9" i="47"/>
  <c r="AG9" i="47" s="1"/>
  <c r="J9" i="47"/>
  <c r="AF9" i="47" s="1"/>
  <c r="I9" i="47"/>
  <c r="H9" i="47"/>
  <c r="G9" i="47"/>
  <c r="F9" i="47"/>
  <c r="AH8" i="47"/>
  <c r="AE8" i="47"/>
  <c r="AD8" i="47"/>
  <c r="L8" i="47"/>
  <c r="K8" i="47"/>
  <c r="AG8" i="47" s="1"/>
  <c r="J8" i="47"/>
  <c r="AF8" i="47" s="1"/>
  <c r="I8" i="47"/>
  <c r="H8" i="47"/>
  <c r="G8" i="47"/>
  <c r="F8" i="47"/>
  <c r="AH7" i="47"/>
  <c r="AE7" i="47"/>
  <c r="AD7" i="47"/>
  <c r="L7" i="47"/>
  <c r="K7" i="47"/>
  <c r="AG7" i="47" s="1"/>
  <c r="J7" i="47"/>
  <c r="AF7" i="47" s="1"/>
  <c r="I7" i="47"/>
  <c r="H7" i="47"/>
  <c r="G7" i="47"/>
  <c r="F7" i="47"/>
  <c r="AH6" i="47"/>
  <c r="AE6" i="47"/>
  <c r="AD6" i="47"/>
  <c r="L6" i="47"/>
  <c r="K6" i="47"/>
  <c r="AG6" i="47" s="1"/>
  <c r="J6" i="47"/>
  <c r="AF6" i="47" s="1"/>
  <c r="I6" i="47"/>
  <c r="H6" i="47"/>
  <c r="G6" i="47"/>
  <c r="F6" i="47"/>
  <c r="AC3" i="47"/>
  <c r="AC50" i="47" s="1"/>
  <c r="AY50" i="47" s="1"/>
  <c r="AB3" i="47"/>
  <c r="AA3" i="47"/>
  <c r="Z3" i="47"/>
  <c r="Z14" i="47" s="1"/>
  <c r="AV14" i="47" s="1"/>
  <c r="Y3" i="47"/>
  <c r="Y45" i="47" s="1"/>
  <c r="AU45" i="47" s="1"/>
  <c r="X3" i="47"/>
  <c r="W3" i="47"/>
  <c r="W47" i="47" s="1"/>
  <c r="AS47" i="47" s="1"/>
  <c r="V3" i="47"/>
  <c r="V79" i="47" s="1"/>
  <c r="AR79" i="47" s="1"/>
  <c r="U3" i="47"/>
  <c r="U44" i="47" s="1"/>
  <c r="AQ44" i="47" s="1"/>
  <c r="T3" i="47"/>
  <c r="S3" i="47"/>
  <c r="R3" i="47"/>
  <c r="R12" i="47" s="1"/>
  <c r="AN12" i="47" s="1"/>
  <c r="Q3" i="47"/>
  <c r="Q43" i="47" s="1"/>
  <c r="AM43" i="47" s="1"/>
  <c r="P3" i="47"/>
  <c r="O3" i="47"/>
  <c r="O53" i="47" s="1"/>
  <c r="AK53" i="47" s="1"/>
  <c r="N3" i="47"/>
  <c r="N91" i="47" s="1"/>
  <c r="AJ91" i="47" s="1"/>
  <c r="M3" i="47"/>
  <c r="M54" i="47" s="1"/>
  <c r="AI54" i="47" s="1"/>
  <c r="B3" i="47"/>
  <c r="H1" i="47"/>
  <c r="S195" i="47" l="1"/>
  <c r="AO195" i="47" s="1"/>
  <c r="S194" i="47"/>
  <c r="AO194" i="47" s="1"/>
  <c r="S193" i="47"/>
  <c r="AO193" i="47" s="1"/>
  <c r="S190" i="47"/>
  <c r="AO190" i="47" s="1"/>
  <c r="S189" i="47"/>
  <c r="AO189" i="47" s="1"/>
  <c r="S192" i="47"/>
  <c r="AO192" i="47" s="1"/>
  <c r="S191" i="47"/>
  <c r="AO191" i="47" s="1"/>
  <c r="S188" i="47"/>
  <c r="AO188" i="47" s="1"/>
  <c r="S187" i="47"/>
  <c r="AO187" i="47" s="1"/>
  <c r="S184" i="47"/>
  <c r="AO184" i="47" s="1"/>
  <c r="S182" i="47"/>
  <c r="AO182" i="47" s="1"/>
  <c r="S181" i="47"/>
  <c r="AO181" i="47" s="1"/>
  <c r="S186" i="47"/>
  <c r="AO186" i="47" s="1"/>
  <c r="S185" i="47"/>
  <c r="AO185" i="47" s="1"/>
  <c r="S183" i="47"/>
  <c r="AO183" i="47" s="1"/>
  <c r="S180" i="47"/>
  <c r="AO180" i="47" s="1"/>
  <c r="S177" i="47"/>
  <c r="AO177" i="47" s="1"/>
  <c r="S173" i="47"/>
  <c r="AO173" i="47" s="1"/>
  <c r="S178" i="47"/>
  <c r="AO178" i="47" s="1"/>
  <c r="S174" i="47"/>
  <c r="AO174" i="47" s="1"/>
  <c r="S172" i="47"/>
  <c r="AO172" i="47" s="1"/>
  <c r="S175" i="47"/>
  <c r="AO175" i="47" s="1"/>
  <c r="S171" i="47"/>
  <c r="AO171" i="47" s="1"/>
  <c r="S179" i="47"/>
  <c r="AO179" i="47" s="1"/>
  <c r="S176" i="47"/>
  <c r="AO176" i="47" s="1"/>
  <c r="S168" i="47"/>
  <c r="AO168" i="47" s="1"/>
  <c r="S164" i="47"/>
  <c r="AO164" i="47" s="1"/>
  <c r="S167" i="47"/>
  <c r="AO167" i="47" s="1"/>
  <c r="S163" i="47"/>
  <c r="AO163" i="47" s="1"/>
  <c r="S162" i="47"/>
  <c r="AO162" i="47" s="1"/>
  <c r="S161" i="47"/>
  <c r="AO161" i="47" s="1"/>
  <c r="S160" i="47"/>
  <c r="AO160" i="47" s="1"/>
  <c r="S159" i="47"/>
  <c r="AO159" i="47" s="1"/>
  <c r="S158" i="47"/>
  <c r="AO158" i="47" s="1"/>
  <c r="S157" i="47"/>
  <c r="AO157" i="47" s="1"/>
  <c r="S156" i="47"/>
  <c r="AO156" i="47" s="1"/>
  <c r="S155" i="47"/>
  <c r="AO155" i="47" s="1"/>
  <c r="S169" i="47"/>
  <c r="AO169" i="47" s="1"/>
  <c r="S165" i="47"/>
  <c r="AO165" i="47" s="1"/>
  <c r="S166" i="47"/>
  <c r="AO166" i="47" s="1"/>
  <c r="S154" i="47"/>
  <c r="AO154" i="47" s="1"/>
  <c r="S153" i="47"/>
  <c r="AO153" i="47" s="1"/>
  <c r="S152" i="47"/>
  <c r="AO152" i="47" s="1"/>
  <c r="S170" i="47"/>
  <c r="AO170" i="47" s="1"/>
  <c r="S151" i="47"/>
  <c r="AO151" i="47" s="1"/>
  <c r="S150" i="47"/>
  <c r="AO150" i="47" s="1"/>
  <c r="S149" i="47"/>
  <c r="AO149" i="47" s="1"/>
  <c r="S148" i="47"/>
  <c r="AO148" i="47" s="1"/>
  <c r="S147" i="47"/>
  <c r="AO147" i="47" s="1"/>
  <c r="S146" i="47"/>
  <c r="AO146" i="47" s="1"/>
  <c r="S145" i="47"/>
  <c r="AO145" i="47" s="1"/>
  <c r="S144" i="47"/>
  <c r="AO144" i="47" s="1"/>
  <c r="S142" i="47"/>
  <c r="AO142" i="47" s="1"/>
  <c r="S141" i="47"/>
  <c r="AO141" i="47" s="1"/>
  <c r="S140" i="47"/>
  <c r="AO140" i="47" s="1"/>
  <c r="S139" i="47"/>
  <c r="AO139" i="47" s="1"/>
  <c r="S138" i="47"/>
  <c r="AO138" i="47" s="1"/>
  <c r="S137" i="47"/>
  <c r="AO137" i="47" s="1"/>
  <c r="S136" i="47"/>
  <c r="AO136" i="47" s="1"/>
  <c r="S143" i="47"/>
  <c r="AO143" i="47" s="1"/>
  <c r="S135" i="47"/>
  <c r="AO135" i="47" s="1"/>
  <c r="S133" i="47"/>
  <c r="AO133" i="47" s="1"/>
  <c r="S132" i="47"/>
  <c r="AO132" i="47" s="1"/>
  <c r="S131" i="47"/>
  <c r="AO131" i="47" s="1"/>
  <c r="S130" i="47"/>
  <c r="AO130" i="47" s="1"/>
  <c r="S129" i="47"/>
  <c r="AO129" i="47" s="1"/>
  <c r="S128" i="47"/>
  <c r="AO128" i="47" s="1"/>
  <c r="S127" i="47"/>
  <c r="AO127" i="47" s="1"/>
  <c r="S126" i="47"/>
  <c r="AO126" i="47" s="1"/>
  <c r="S125" i="47"/>
  <c r="AO125" i="47" s="1"/>
  <c r="S124" i="47"/>
  <c r="AO124" i="47" s="1"/>
  <c r="S123" i="47"/>
  <c r="AO123" i="47" s="1"/>
  <c r="S122" i="47"/>
  <c r="AO122" i="47" s="1"/>
  <c r="S121" i="47"/>
  <c r="AO121" i="47" s="1"/>
  <c r="S134" i="47"/>
  <c r="AO134" i="47" s="1"/>
  <c r="S116" i="47"/>
  <c r="AO116" i="47" s="1"/>
  <c r="S115" i="47"/>
  <c r="AO115" i="47" s="1"/>
  <c r="S114" i="47"/>
  <c r="AO114" i="47" s="1"/>
  <c r="S113" i="47"/>
  <c r="AO113" i="47" s="1"/>
  <c r="S112" i="47"/>
  <c r="AO112" i="47" s="1"/>
  <c r="S111" i="47"/>
  <c r="AO111" i="47" s="1"/>
  <c r="S110" i="47"/>
  <c r="AO110" i="47" s="1"/>
  <c r="S109" i="47"/>
  <c r="AO109" i="47" s="1"/>
  <c r="S108" i="47"/>
  <c r="AO108" i="47" s="1"/>
  <c r="S107" i="47"/>
  <c r="AO107" i="47" s="1"/>
  <c r="S106" i="47"/>
  <c r="AO106" i="47" s="1"/>
  <c r="S119" i="47"/>
  <c r="AO119" i="47" s="1"/>
  <c r="S118" i="47"/>
  <c r="AO118" i="47" s="1"/>
  <c r="S117" i="47"/>
  <c r="AO117" i="47" s="1"/>
  <c r="S105" i="47"/>
  <c r="AO105" i="47" s="1"/>
  <c r="S101" i="47"/>
  <c r="AO101" i="47" s="1"/>
  <c r="S120" i="47"/>
  <c r="AO120" i="47" s="1"/>
  <c r="S104" i="47"/>
  <c r="AO104" i="47" s="1"/>
  <c r="S100" i="47"/>
  <c r="AO100" i="47" s="1"/>
  <c r="S99" i="47"/>
  <c r="AO99" i="47" s="1"/>
  <c r="S98" i="47"/>
  <c r="AO98" i="47" s="1"/>
  <c r="S97" i="47"/>
  <c r="AO97" i="47" s="1"/>
  <c r="S96" i="47"/>
  <c r="AO96" i="47" s="1"/>
  <c r="S95" i="47"/>
  <c r="AO95" i="47" s="1"/>
  <c r="S94" i="47"/>
  <c r="AO94" i="47" s="1"/>
  <c r="S93" i="47"/>
  <c r="AO93" i="47" s="1"/>
  <c r="S92" i="47"/>
  <c r="AO92" i="47" s="1"/>
  <c r="S103" i="47"/>
  <c r="AO103" i="47" s="1"/>
  <c r="S91" i="47"/>
  <c r="AO91" i="47" s="1"/>
  <c r="S90" i="47"/>
  <c r="AO90" i="47" s="1"/>
  <c r="S89" i="47"/>
  <c r="AO89" i="47" s="1"/>
  <c r="S88" i="47"/>
  <c r="AO88" i="47" s="1"/>
  <c r="S87" i="47"/>
  <c r="AO87" i="47" s="1"/>
  <c r="S86" i="47"/>
  <c r="AO86" i="47" s="1"/>
  <c r="S85" i="47"/>
  <c r="AO85" i="47" s="1"/>
  <c r="S84" i="47"/>
  <c r="AO84" i="47" s="1"/>
  <c r="S83" i="47"/>
  <c r="AO83" i="47" s="1"/>
  <c r="S82" i="47"/>
  <c r="AO82" i="47" s="1"/>
  <c r="S81" i="47"/>
  <c r="AO81" i="47" s="1"/>
  <c r="S78" i="47"/>
  <c r="AO78" i="47" s="1"/>
  <c r="S102" i="47"/>
  <c r="AO102" i="47" s="1"/>
  <c r="S79" i="47"/>
  <c r="AO79" i="47" s="1"/>
  <c r="S75" i="47"/>
  <c r="AO75" i="47" s="1"/>
  <c r="S72" i="47"/>
  <c r="AO72" i="47" s="1"/>
  <c r="S68" i="47"/>
  <c r="AO68" i="47" s="1"/>
  <c r="S64" i="47"/>
  <c r="AO64" i="47" s="1"/>
  <c r="S60" i="47"/>
  <c r="AO60" i="47" s="1"/>
  <c r="S56" i="47"/>
  <c r="AO56" i="47" s="1"/>
  <c r="S53" i="47"/>
  <c r="AO53" i="47" s="1"/>
  <c r="S49" i="47"/>
  <c r="AO49" i="47" s="1"/>
  <c r="S45" i="47"/>
  <c r="AO45" i="47" s="1"/>
  <c r="S41" i="47"/>
  <c r="AO41" i="47" s="1"/>
  <c r="S38" i="47"/>
  <c r="AO38" i="47" s="1"/>
  <c r="S37" i="47"/>
  <c r="AO37" i="47" s="1"/>
  <c r="S36" i="47"/>
  <c r="AO36" i="47" s="1"/>
  <c r="S35" i="47"/>
  <c r="AO35" i="47" s="1"/>
  <c r="S34" i="47"/>
  <c r="AO34" i="47" s="1"/>
  <c r="S33" i="47"/>
  <c r="AO33" i="47" s="1"/>
  <c r="S32" i="47"/>
  <c r="AO32" i="47" s="1"/>
  <c r="S31" i="47"/>
  <c r="AO31" i="47" s="1"/>
  <c r="S30" i="47"/>
  <c r="AO30" i="47" s="1"/>
  <c r="S29" i="47"/>
  <c r="AO29" i="47" s="1"/>
  <c r="S28" i="47"/>
  <c r="AO28" i="47" s="1"/>
  <c r="S27" i="47"/>
  <c r="AO27" i="47" s="1"/>
  <c r="S26" i="47"/>
  <c r="AO26" i="47" s="1"/>
  <c r="S25" i="47"/>
  <c r="AO25" i="47" s="1"/>
  <c r="S24" i="47"/>
  <c r="AO24" i="47" s="1"/>
  <c r="S23" i="47"/>
  <c r="AO23" i="47" s="1"/>
  <c r="S22" i="47"/>
  <c r="AO22" i="47" s="1"/>
  <c r="S21" i="47"/>
  <c r="AO21" i="47" s="1"/>
  <c r="S20" i="47"/>
  <c r="AO20" i="47" s="1"/>
  <c r="S19" i="47"/>
  <c r="AO19" i="47" s="1"/>
  <c r="S18" i="47"/>
  <c r="AO18" i="47" s="1"/>
  <c r="S17" i="47"/>
  <c r="AO17" i="47" s="1"/>
  <c r="S16" i="47"/>
  <c r="AO16" i="47" s="1"/>
  <c r="S15" i="47"/>
  <c r="AO15" i="47" s="1"/>
  <c r="S14" i="47"/>
  <c r="AO14" i="47" s="1"/>
  <c r="S13" i="47"/>
  <c r="AO13" i="47" s="1"/>
  <c r="S12" i="47"/>
  <c r="AO12" i="47" s="1"/>
  <c r="S73" i="47"/>
  <c r="AO73" i="47" s="1"/>
  <c r="S69" i="47"/>
  <c r="AO69" i="47" s="1"/>
  <c r="S65" i="47"/>
  <c r="AO65" i="47" s="1"/>
  <c r="S61" i="47"/>
  <c r="AO61" i="47" s="1"/>
  <c r="S57" i="47"/>
  <c r="AO57" i="47" s="1"/>
  <c r="S52" i="47"/>
  <c r="AO52" i="47" s="1"/>
  <c r="S48" i="47"/>
  <c r="AO48" i="47" s="1"/>
  <c r="S44" i="47"/>
  <c r="AO44" i="47" s="1"/>
  <c r="S40" i="47"/>
  <c r="AO40" i="47" s="1"/>
  <c r="S77" i="47"/>
  <c r="AO77" i="47" s="1"/>
  <c r="S74" i="47"/>
  <c r="AO74" i="47" s="1"/>
  <c r="S70" i="47"/>
  <c r="AO70" i="47" s="1"/>
  <c r="S66" i="47"/>
  <c r="AO66" i="47" s="1"/>
  <c r="S62" i="47"/>
  <c r="AO62" i="47" s="1"/>
  <c r="S58" i="47"/>
  <c r="AO58" i="47" s="1"/>
  <c r="S51" i="47"/>
  <c r="AO51" i="47" s="1"/>
  <c r="S47" i="47"/>
  <c r="AO47" i="47" s="1"/>
  <c r="S43" i="47"/>
  <c r="AO43" i="47" s="1"/>
  <c r="S39" i="47"/>
  <c r="AO39" i="47" s="1"/>
  <c r="AA195" i="47"/>
  <c r="AW195" i="47" s="1"/>
  <c r="AA194" i="47"/>
  <c r="AW194" i="47" s="1"/>
  <c r="AA193" i="47"/>
  <c r="AW193" i="47" s="1"/>
  <c r="AA190" i="47"/>
  <c r="AW190" i="47" s="1"/>
  <c r="AA189" i="47"/>
  <c r="AW189" i="47" s="1"/>
  <c r="AA192" i="47"/>
  <c r="AW192" i="47" s="1"/>
  <c r="AA191" i="47"/>
  <c r="AW191" i="47" s="1"/>
  <c r="AA187" i="47"/>
  <c r="AW187" i="47" s="1"/>
  <c r="AA184" i="47"/>
  <c r="AW184" i="47" s="1"/>
  <c r="AA183" i="47"/>
  <c r="AW183" i="47" s="1"/>
  <c r="AA188" i="47"/>
  <c r="AW188" i="47" s="1"/>
  <c r="AA182" i="47"/>
  <c r="AW182" i="47" s="1"/>
  <c r="AA181" i="47"/>
  <c r="AW181" i="47" s="1"/>
  <c r="AA180" i="47"/>
  <c r="AW180" i="47" s="1"/>
  <c r="AA186" i="47"/>
  <c r="AW186" i="47" s="1"/>
  <c r="AA185" i="47"/>
  <c r="AW185" i="47" s="1"/>
  <c r="AA175" i="47"/>
  <c r="AW175" i="47" s="1"/>
  <c r="AA179" i="47"/>
  <c r="AW179" i="47" s="1"/>
  <c r="AA176" i="47"/>
  <c r="AW176" i="47" s="1"/>
  <c r="AA177" i="47"/>
  <c r="AW177" i="47" s="1"/>
  <c r="AA173" i="47"/>
  <c r="AW173" i="47" s="1"/>
  <c r="AA172" i="47"/>
  <c r="AW172" i="47" s="1"/>
  <c r="AA171" i="47"/>
  <c r="AW171" i="47" s="1"/>
  <c r="AA168" i="47"/>
  <c r="AW168" i="47" s="1"/>
  <c r="AA164" i="47"/>
  <c r="AW164" i="47" s="1"/>
  <c r="AA174" i="47"/>
  <c r="AW174" i="47" s="1"/>
  <c r="AA167" i="47"/>
  <c r="AW167" i="47" s="1"/>
  <c r="AA163" i="47"/>
  <c r="AW163" i="47" s="1"/>
  <c r="AA162" i="47"/>
  <c r="AW162" i="47" s="1"/>
  <c r="AA161" i="47"/>
  <c r="AW161" i="47" s="1"/>
  <c r="AA160" i="47"/>
  <c r="AW160" i="47" s="1"/>
  <c r="AA159" i="47"/>
  <c r="AW159" i="47" s="1"/>
  <c r="AA158" i="47"/>
  <c r="AW158" i="47" s="1"/>
  <c r="AA157" i="47"/>
  <c r="AW157" i="47" s="1"/>
  <c r="AA156" i="47"/>
  <c r="AW156" i="47" s="1"/>
  <c r="AA155" i="47"/>
  <c r="AW155" i="47" s="1"/>
  <c r="AA178" i="47"/>
  <c r="AW178" i="47" s="1"/>
  <c r="AA169" i="47"/>
  <c r="AW169" i="47" s="1"/>
  <c r="AA165" i="47"/>
  <c r="AW165" i="47" s="1"/>
  <c r="AA170" i="47"/>
  <c r="AW170" i="47" s="1"/>
  <c r="AA151" i="47"/>
  <c r="AW151" i="47" s="1"/>
  <c r="AA150" i="47"/>
  <c r="AW150" i="47" s="1"/>
  <c r="AA149" i="47"/>
  <c r="AW149" i="47" s="1"/>
  <c r="AA148" i="47"/>
  <c r="AW148" i="47" s="1"/>
  <c r="AA147" i="47"/>
  <c r="AW147" i="47" s="1"/>
  <c r="AA146" i="47"/>
  <c r="AW146" i="47" s="1"/>
  <c r="AA166" i="47"/>
  <c r="AW166" i="47" s="1"/>
  <c r="AA153" i="47"/>
  <c r="AW153" i="47" s="1"/>
  <c r="AA145" i="47"/>
  <c r="AW145" i="47" s="1"/>
  <c r="AA154" i="47"/>
  <c r="AW154" i="47" s="1"/>
  <c r="AA144" i="47"/>
  <c r="AW144" i="47" s="1"/>
  <c r="AA143" i="47"/>
  <c r="AW143" i="47" s="1"/>
  <c r="AA141" i="47"/>
  <c r="AW141" i="47" s="1"/>
  <c r="AA139" i="47"/>
  <c r="AW139" i="47" s="1"/>
  <c r="AA137" i="47"/>
  <c r="AW137" i="47" s="1"/>
  <c r="AA134" i="47"/>
  <c r="AW134" i="47" s="1"/>
  <c r="AA135" i="47"/>
  <c r="AW135" i="47" s="1"/>
  <c r="AA133" i="47"/>
  <c r="AW133" i="47" s="1"/>
  <c r="AA132" i="47"/>
  <c r="AW132" i="47" s="1"/>
  <c r="AA131" i="47"/>
  <c r="AW131" i="47" s="1"/>
  <c r="AA130" i="47"/>
  <c r="AW130" i="47" s="1"/>
  <c r="AA129" i="47"/>
  <c r="AW129" i="47" s="1"/>
  <c r="AA128" i="47"/>
  <c r="AW128" i="47" s="1"/>
  <c r="AA127" i="47"/>
  <c r="AW127" i="47" s="1"/>
  <c r="AA126" i="47"/>
  <c r="AW126" i="47" s="1"/>
  <c r="AA125" i="47"/>
  <c r="AW125" i="47" s="1"/>
  <c r="AA124" i="47"/>
  <c r="AW124" i="47" s="1"/>
  <c r="AA123" i="47"/>
  <c r="AW123" i="47" s="1"/>
  <c r="AA122" i="47"/>
  <c r="AW122" i="47" s="1"/>
  <c r="AA121" i="47"/>
  <c r="AW121" i="47" s="1"/>
  <c r="AA118" i="47"/>
  <c r="AW118" i="47" s="1"/>
  <c r="AA117" i="47"/>
  <c r="AW117" i="47" s="1"/>
  <c r="AA116" i="47"/>
  <c r="AW116" i="47" s="1"/>
  <c r="AA115" i="47"/>
  <c r="AW115" i="47" s="1"/>
  <c r="AA114" i="47"/>
  <c r="AW114" i="47" s="1"/>
  <c r="AA113" i="47"/>
  <c r="AW113" i="47" s="1"/>
  <c r="AA112" i="47"/>
  <c r="AW112" i="47" s="1"/>
  <c r="AA111" i="47"/>
  <c r="AW111" i="47" s="1"/>
  <c r="AA110" i="47"/>
  <c r="AW110" i="47" s="1"/>
  <c r="AA109" i="47"/>
  <c r="AW109" i="47" s="1"/>
  <c r="AA108" i="47"/>
  <c r="AW108" i="47" s="1"/>
  <c r="AA107" i="47"/>
  <c r="AW107" i="47" s="1"/>
  <c r="AA106" i="47"/>
  <c r="AW106" i="47" s="1"/>
  <c r="AA142" i="47"/>
  <c r="AW142" i="47" s="1"/>
  <c r="AA140" i="47"/>
  <c r="AW140" i="47" s="1"/>
  <c r="AA138" i="47"/>
  <c r="AW138" i="47" s="1"/>
  <c r="AA136" i="47"/>
  <c r="AW136" i="47" s="1"/>
  <c r="AA119" i="47"/>
  <c r="AW119" i="47" s="1"/>
  <c r="AA120" i="47"/>
  <c r="AW120" i="47" s="1"/>
  <c r="AA105" i="47"/>
  <c r="AW105" i="47" s="1"/>
  <c r="AA101" i="47"/>
  <c r="AW101" i="47" s="1"/>
  <c r="AA104" i="47"/>
  <c r="AW104" i="47" s="1"/>
  <c r="AA103" i="47"/>
  <c r="AW103" i="47" s="1"/>
  <c r="AA91" i="47"/>
  <c r="AW91" i="47" s="1"/>
  <c r="AA90" i="47"/>
  <c r="AW90" i="47" s="1"/>
  <c r="AA89" i="47"/>
  <c r="AW89" i="47" s="1"/>
  <c r="AA88" i="47"/>
  <c r="AW88" i="47" s="1"/>
  <c r="AA87" i="47"/>
  <c r="AW87" i="47" s="1"/>
  <c r="AA86" i="47"/>
  <c r="AW86" i="47" s="1"/>
  <c r="AA85" i="47"/>
  <c r="AW85" i="47" s="1"/>
  <c r="AA84" i="47"/>
  <c r="AW84" i="47" s="1"/>
  <c r="AA83" i="47"/>
  <c r="AW83" i="47" s="1"/>
  <c r="AA82" i="47"/>
  <c r="AW82" i="47" s="1"/>
  <c r="AA81" i="47"/>
  <c r="AW81" i="47" s="1"/>
  <c r="AA102" i="47"/>
  <c r="AW102" i="47" s="1"/>
  <c r="AA98" i="47"/>
  <c r="AW98" i="47" s="1"/>
  <c r="AA94" i="47"/>
  <c r="AW94" i="47" s="1"/>
  <c r="AA78" i="47"/>
  <c r="AW78" i="47" s="1"/>
  <c r="AA77" i="47"/>
  <c r="AW77" i="47" s="1"/>
  <c r="AA76" i="47"/>
  <c r="AW76" i="47" s="1"/>
  <c r="AA75" i="47"/>
  <c r="AW75" i="47" s="1"/>
  <c r="AA99" i="47"/>
  <c r="AW99" i="47" s="1"/>
  <c r="AA95" i="47"/>
  <c r="AW95" i="47" s="1"/>
  <c r="AA152" i="47"/>
  <c r="AW152" i="47" s="1"/>
  <c r="AA97" i="47"/>
  <c r="AW97" i="47" s="1"/>
  <c r="AA93" i="47"/>
  <c r="AW93" i="47" s="1"/>
  <c r="AA79" i="47"/>
  <c r="AW79" i="47" s="1"/>
  <c r="AA96" i="47"/>
  <c r="AW96" i="47" s="1"/>
  <c r="AA74" i="47"/>
  <c r="AW74" i="47" s="1"/>
  <c r="AA70" i="47"/>
  <c r="AW70" i="47" s="1"/>
  <c r="AA66" i="47"/>
  <c r="AW66" i="47" s="1"/>
  <c r="AA62" i="47"/>
  <c r="AW62" i="47" s="1"/>
  <c r="AA58" i="47"/>
  <c r="AW58" i="47" s="1"/>
  <c r="AA51" i="47"/>
  <c r="AW51" i="47" s="1"/>
  <c r="AA47" i="47"/>
  <c r="AW47" i="47" s="1"/>
  <c r="AA43" i="47"/>
  <c r="AW43" i="47" s="1"/>
  <c r="AA39" i="47"/>
  <c r="AW39" i="47" s="1"/>
  <c r="AA38" i="47"/>
  <c r="AW38" i="47" s="1"/>
  <c r="AA37" i="47"/>
  <c r="AW37" i="47" s="1"/>
  <c r="AA36" i="47"/>
  <c r="AW36" i="47" s="1"/>
  <c r="AA35" i="47"/>
  <c r="AW35" i="47" s="1"/>
  <c r="AA34" i="47"/>
  <c r="AW34" i="47" s="1"/>
  <c r="AA33" i="47"/>
  <c r="AW33" i="47" s="1"/>
  <c r="AA32" i="47"/>
  <c r="AW32" i="47" s="1"/>
  <c r="AA31" i="47"/>
  <c r="AW31" i="47" s="1"/>
  <c r="AA30" i="47"/>
  <c r="AW30" i="47" s="1"/>
  <c r="AA29" i="47"/>
  <c r="AW29" i="47" s="1"/>
  <c r="AA28" i="47"/>
  <c r="AW28" i="47" s="1"/>
  <c r="AA27" i="47"/>
  <c r="AW27" i="47" s="1"/>
  <c r="AA26" i="47"/>
  <c r="AW26" i="47" s="1"/>
  <c r="AA25" i="47"/>
  <c r="AW25" i="47" s="1"/>
  <c r="AA24" i="47"/>
  <c r="AW24" i="47" s="1"/>
  <c r="AA23" i="47"/>
  <c r="AW23" i="47" s="1"/>
  <c r="AA22" i="47"/>
  <c r="AW22" i="47" s="1"/>
  <c r="AA21" i="47"/>
  <c r="AW21" i="47" s="1"/>
  <c r="AA20" i="47"/>
  <c r="AW20" i="47" s="1"/>
  <c r="AA19" i="47"/>
  <c r="AW19" i="47" s="1"/>
  <c r="AA18" i="47"/>
  <c r="AW18" i="47" s="1"/>
  <c r="AA17" i="47"/>
  <c r="AW17" i="47" s="1"/>
  <c r="AA16" i="47"/>
  <c r="AW16" i="47" s="1"/>
  <c r="AA15" i="47"/>
  <c r="AW15" i="47" s="1"/>
  <c r="AA14" i="47"/>
  <c r="AW14" i="47" s="1"/>
  <c r="AA13" i="47"/>
  <c r="AW13" i="47" s="1"/>
  <c r="AA12" i="47"/>
  <c r="AW12" i="47" s="1"/>
  <c r="AA71" i="47"/>
  <c r="AW71" i="47" s="1"/>
  <c r="AA67" i="47"/>
  <c r="AW67" i="47" s="1"/>
  <c r="AA63" i="47"/>
  <c r="AW63" i="47" s="1"/>
  <c r="AA59" i="47"/>
  <c r="AW59" i="47" s="1"/>
  <c r="AA55" i="47"/>
  <c r="AW55" i="47" s="1"/>
  <c r="AA54" i="47"/>
  <c r="AW54" i="47" s="1"/>
  <c r="AA50" i="47"/>
  <c r="AW50" i="47" s="1"/>
  <c r="AA46" i="47"/>
  <c r="AW46" i="47" s="1"/>
  <c r="AA42" i="47"/>
  <c r="AW42" i="47" s="1"/>
  <c r="AA100" i="47"/>
  <c r="AW100" i="47" s="1"/>
  <c r="AA92" i="47"/>
  <c r="AW92" i="47" s="1"/>
  <c r="AA80" i="47"/>
  <c r="AW80" i="47" s="1"/>
  <c r="AA72" i="47"/>
  <c r="AW72" i="47" s="1"/>
  <c r="AA68" i="47"/>
  <c r="AW68" i="47" s="1"/>
  <c r="AA64" i="47"/>
  <c r="AW64" i="47" s="1"/>
  <c r="AA60" i="47"/>
  <c r="AW60" i="47" s="1"/>
  <c r="AA56" i="47"/>
  <c r="AW56" i="47" s="1"/>
  <c r="AA53" i="47"/>
  <c r="AW53" i="47" s="1"/>
  <c r="AA49" i="47"/>
  <c r="AW49" i="47" s="1"/>
  <c r="AA45" i="47"/>
  <c r="AW45" i="47" s="1"/>
  <c r="AA41" i="47"/>
  <c r="AW41" i="47" s="1"/>
  <c r="O6" i="47"/>
  <c r="AK6" i="47" s="1"/>
  <c r="W7" i="47"/>
  <c r="AS7" i="47" s="1"/>
  <c r="AA7" i="47"/>
  <c r="AW7" i="47" s="1"/>
  <c r="S8" i="47"/>
  <c r="AO8" i="47" s="1"/>
  <c r="AA8" i="47"/>
  <c r="AW8" i="47" s="1"/>
  <c r="O9" i="47"/>
  <c r="AK9" i="47" s="1"/>
  <c r="O10" i="47"/>
  <c r="AK10" i="47" s="1"/>
  <c r="AA10" i="47"/>
  <c r="AW10" i="47" s="1"/>
  <c r="S11" i="47"/>
  <c r="AO11" i="47" s="1"/>
  <c r="AA11" i="47"/>
  <c r="AW11" i="47" s="1"/>
  <c r="W39" i="47"/>
  <c r="AS39" i="47" s="1"/>
  <c r="AA40" i="47"/>
  <c r="AW40" i="47" s="1"/>
  <c r="W64" i="47"/>
  <c r="AS64" i="47" s="1"/>
  <c r="O70" i="47"/>
  <c r="AK70" i="47" s="1"/>
  <c r="P192" i="47"/>
  <c r="AL192" i="47" s="1"/>
  <c r="P195" i="47"/>
  <c r="AL195" i="47" s="1"/>
  <c r="P194" i="47"/>
  <c r="AL194" i="47" s="1"/>
  <c r="P193" i="47"/>
  <c r="AL193" i="47" s="1"/>
  <c r="P191" i="47"/>
  <c r="AL191" i="47" s="1"/>
  <c r="P188" i="47"/>
  <c r="AL188" i="47" s="1"/>
  <c r="P187" i="47"/>
  <c r="AL187" i="47" s="1"/>
  <c r="P186" i="47"/>
  <c r="AL186" i="47" s="1"/>
  <c r="P185" i="47"/>
  <c r="AL185" i="47" s="1"/>
  <c r="P184" i="47"/>
  <c r="AL184" i="47" s="1"/>
  <c r="P183" i="47"/>
  <c r="AL183" i="47" s="1"/>
  <c r="P182" i="47"/>
  <c r="AL182" i="47" s="1"/>
  <c r="P181" i="47"/>
  <c r="AL181" i="47" s="1"/>
  <c r="P180" i="47"/>
  <c r="AL180" i="47" s="1"/>
  <c r="P190" i="47"/>
  <c r="AL190" i="47" s="1"/>
  <c r="P189" i="47"/>
  <c r="AL189" i="47" s="1"/>
  <c r="P179" i="47"/>
  <c r="AL179" i="47" s="1"/>
  <c r="P178" i="47"/>
  <c r="AL178" i="47" s="1"/>
  <c r="P177" i="47"/>
  <c r="AL177" i="47" s="1"/>
  <c r="P176" i="47"/>
  <c r="AL176" i="47" s="1"/>
  <c r="P175" i="47"/>
  <c r="AL175" i="47" s="1"/>
  <c r="P174" i="47"/>
  <c r="AL174" i="47" s="1"/>
  <c r="P173" i="47"/>
  <c r="AL173" i="47" s="1"/>
  <c r="P170" i="47"/>
  <c r="AL170" i="47" s="1"/>
  <c r="P169" i="47"/>
  <c r="AL169" i="47" s="1"/>
  <c r="P168" i="47"/>
  <c r="AL168" i="47" s="1"/>
  <c r="P167" i="47"/>
  <c r="AL167" i="47" s="1"/>
  <c r="P166" i="47"/>
  <c r="AL166" i="47" s="1"/>
  <c r="P165" i="47"/>
  <c r="AL165" i="47" s="1"/>
  <c r="P164" i="47"/>
  <c r="AL164" i="47" s="1"/>
  <c r="P171" i="47"/>
  <c r="AL171" i="47" s="1"/>
  <c r="P163" i="47"/>
  <c r="AL163" i="47" s="1"/>
  <c r="P162" i="47"/>
  <c r="AL162" i="47" s="1"/>
  <c r="P161" i="47"/>
  <c r="AL161" i="47" s="1"/>
  <c r="P160" i="47"/>
  <c r="AL160" i="47" s="1"/>
  <c r="P159" i="47"/>
  <c r="AL159" i="47" s="1"/>
  <c r="P158" i="47"/>
  <c r="AL158" i="47" s="1"/>
  <c r="P157" i="47"/>
  <c r="AL157" i="47" s="1"/>
  <c r="P155" i="47"/>
  <c r="AL155" i="47" s="1"/>
  <c r="P151" i="47"/>
  <c r="AL151" i="47" s="1"/>
  <c r="P150" i="47"/>
  <c r="AL150" i="47" s="1"/>
  <c r="P149" i="47"/>
  <c r="AL149" i="47" s="1"/>
  <c r="P148" i="47"/>
  <c r="AL148" i="47" s="1"/>
  <c r="P147" i="47"/>
  <c r="AL147" i="47" s="1"/>
  <c r="P146" i="47"/>
  <c r="AL146" i="47" s="1"/>
  <c r="P145" i="47"/>
  <c r="AL145" i="47" s="1"/>
  <c r="P144" i="47"/>
  <c r="AL144" i="47" s="1"/>
  <c r="P143" i="47"/>
  <c r="AL143" i="47" s="1"/>
  <c r="P172" i="47"/>
  <c r="AL172" i="47" s="1"/>
  <c r="P152" i="47"/>
  <c r="AL152" i="47" s="1"/>
  <c r="P153" i="47"/>
  <c r="AL153" i="47" s="1"/>
  <c r="P135" i="47"/>
  <c r="AL135" i="47" s="1"/>
  <c r="P134" i="47"/>
  <c r="AL134" i="47" s="1"/>
  <c r="P141" i="47"/>
  <c r="AL141" i="47" s="1"/>
  <c r="P139" i="47"/>
  <c r="AL139" i="47" s="1"/>
  <c r="P137" i="47"/>
  <c r="AL137" i="47" s="1"/>
  <c r="P154" i="47"/>
  <c r="AL154" i="47" s="1"/>
  <c r="P142" i="47"/>
  <c r="AL142" i="47" s="1"/>
  <c r="P140" i="47"/>
  <c r="AL140" i="47" s="1"/>
  <c r="P138" i="47"/>
  <c r="AL138" i="47" s="1"/>
  <c r="P136" i="47"/>
  <c r="AL136" i="47" s="1"/>
  <c r="P128" i="47"/>
  <c r="AL128" i="47" s="1"/>
  <c r="P124" i="47"/>
  <c r="AL124" i="47" s="1"/>
  <c r="P119" i="47"/>
  <c r="AL119" i="47" s="1"/>
  <c r="P116" i="47"/>
  <c r="AL116" i="47" s="1"/>
  <c r="P115" i="47"/>
  <c r="AL115" i="47" s="1"/>
  <c r="P114" i="47"/>
  <c r="AL114" i="47" s="1"/>
  <c r="P113" i="47"/>
  <c r="AL113" i="47" s="1"/>
  <c r="P112" i="47"/>
  <c r="AL112" i="47" s="1"/>
  <c r="P111" i="47"/>
  <c r="AL111" i="47" s="1"/>
  <c r="P110" i="47"/>
  <c r="AL110" i="47" s="1"/>
  <c r="P109" i="47"/>
  <c r="AL109" i="47" s="1"/>
  <c r="P108" i="47"/>
  <c r="AL108" i="47" s="1"/>
  <c r="P107" i="47"/>
  <c r="AL107" i="47" s="1"/>
  <c r="P106" i="47"/>
  <c r="AL106" i="47" s="1"/>
  <c r="P105" i="47"/>
  <c r="AL105" i="47" s="1"/>
  <c r="P104" i="47"/>
  <c r="AL104" i="47" s="1"/>
  <c r="P103" i="47"/>
  <c r="AL103" i="47" s="1"/>
  <c r="P102" i="47"/>
  <c r="AL102" i="47" s="1"/>
  <c r="P101" i="47"/>
  <c r="AL101" i="47" s="1"/>
  <c r="P132" i="47"/>
  <c r="AL132" i="47" s="1"/>
  <c r="P129" i="47"/>
  <c r="AL129" i="47" s="1"/>
  <c r="P125" i="47"/>
  <c r="AL125" i="47" s="1"/>
  <c r="P121" i="47"/>
  <c r="AL121" i="47" s="1"/>
  <c r="P118" i="47"/>
  <c r="AL118" i="47" s="1"/>
  <c r="P117" i="47"/>
  <c r="AL117" i="47" s="1"/>
  <c r="P156" i="47"/>
  <c r="AL156" i="47" s="1"/>
  <c r="P133" i="47"/>
  <c r="AL133" i="47" s="1"/>
  <c r="P131" i="47"/>
  <c r="AL131" i="47" s="1"/>
  <c r="P127" i="47"/>
  <c r="AL127" i="47" s="1"/>
  <c r="P123" i="47"/>
  <c r="AL123" i="47" s="1"/>
  <c r="P120" i="47"/>
  <c r="AL120" i="47" s="1"/>
  <c r="P130" i="47"/>
  <c r="AL130" i="47" s="1"/>
  <c r="P122" i="47"/>
  <c r="AL122" i="47" s="1"/>
  <c r="P91" i="47"/>
  <c r="AL91" i="47" s="1"/>
  <c r="P90" i="47"/>
  <c r="AL90" i="47" s="1"/>
  <c r="P89" i="47"/>
  <c r="AL89" i="47" s="1"/>
  <c r="P88" i="47"/>
  <c r="AL88" i="47" s="1"/>
  <c r="P87" i="47"/>
  <c r="AL87" i="47" s="1"/>
  <c r="P86" i="47"/>
  <c r="AL86" i="47" s="1"/>
  <c r="P85" i="47"/>
  <c r="AL85" i="47" s="1"/>
  <c r="P84" i="47"/>
  <c r="AL84" i="47" s="1"/>
  <c r="P83" i="47"/>
  <c r="AL83" i="47" s="1"/>
  <c r="P82" i="47"/>
  <c r="AL82" i="47" s="1"/>
  <c r="P81" i="47"/>
  <c r="AL81" i="47" s="1"/>
  <c r="P80" i="47"/>
  <c r="AL80" i="47" s="1"/>
  <c r="P79" i="47"/>
  <c r="AL79" i="47" s="1"/>
  <c r="P78" i="47"/>
  <c r="AL78" i="47" s="1"/>
  <c r="P126" i="47"/>
  <c r="AL126" i="47" s="1"/>
  <c r="P100" i="47"/>
  <c r="AL100" i="47" s="1"/>
  <c r="P96" i="47"/>
  <c r="AL96" i="47" s="1"/>
  <c r="P92" i="47"/>
  <c r="AL92" i="47" s="1"/>
  <c r="P77" i="47"/>
  <c r="AL77" i="47" s="1"/>
  <c r="P76" i="47"/>
  <c r="AL76" i="47" s="1"/>
  <c r="P75" i="47"/>
  <c r="AL75" i="47" s="1"/>
  <c r="P97" i="47"/>
  <c r="AL97" i="47" s="1"/>
  <c r="P93" i="47"/>
  <c r="AL93" i="47" s="1"/>
  <c r="P74" i="47"/>
  <c r="AL74" i="47" s="1"/>
  <c r="P73" i="47"/>
  <c r="AL73" i="47" s="1"/>
  <c r="P72" i="47"/>
  <c r="AL72" i="47" s="1"/>
  <c r="P71" i="47"/>
  <c r="AL71" i="47" s="1"/>
  <c r="P70" i="47"/>
  <c r="AL70" i="47" s="1"/>
  <c r="P69" i="47"/>
  <c r="AL69" i="47" s="1"/>
  <c r="P68" i="47"/>
  <c r="AL68" i="47" s="1"/>
  <c r="P67" i="47"/>
  <c r="AL67" i="47" s="1"/>
  <c r="P66" i="47"/>
  <c r="AL66" i="47" s="1"/>
  <c r="P65" i="47"/>
  <c r="AL65" i="47" s="1"/>
  <c r="P64" i="47"/>
  <c r="AL64" i="47" s="1"/>
  <c r="P63" i="47"/>
  <c r="AL63" i="47" s="1"/>
  <c r="P62" i="47"/>
  <c r="AL62" i="47" s="1"/>
  <c r="P61" i="47"/>
  <c r="AL61" i="47" s="1"/>
  <c r="P60" i="47"/>
  <c r="AL60" i="47" s="1"/>
  <c r="P59" i="47"/>
  <c r="AL59" i="47" s="1"/>
  <c r="P58" i="47"/>
  <c r="AL58" i="47" s="1"/>
  <c r="P57" i="47"/>
  <c r="AL57" i="47" s="1"/>
  <c r="P56" i="47"/>
  <c r="AL56" i="47" s="1"/>
  <c r="P55" i="47"/>
  <c r="AL55" i="47" s="1"/>
  <c r="P99" i="47"/>
  <c r="AL99" i="47" s="1"/>
  <c r="P95" i="47"/>
  <c r="AL95" i="47" s="1"/>
  <c r="P51" i="47"/>
  <c r="AL51" i="47" s="1"/>
  <c r="P47" i="47"/>
  <c r="AL47" i="47" s="1"/>
  <c r="P43" i="47"/>
  <c r="AL43" i="47" s="1"/>
  <c r="P39" i="47"/>
  <c r="AL39" i="47" s="1"/>
  <c r="P98" i="47"/>
  <c r="AL98" i="47" s="1"/>
  <c r="P54" i="47"/>
  <c r="AL54" i="47" s="1"/>
  <c r="P50" i="47"/>
  <c r="AL50" i="47" s="1"/>
  <c r="P46" i="47"/>
  <c r="AL46" i="47" s="1"/>
  <c r="P42" i="47"/>
  <c r="AL42" i="47" s="1"/>
  <c r="P53" i="47"/>
  <c r="AL53" i="47" s="1"/>
  <c r="P49" i="47"/>
  <c r="AL49" i="47" s="1"/>
  <c r="P45" i="47"/>
  <c r="AL45" i="47" s="1"/>
  <c r="P41" i="47"/>
  <c r="AL41" i="47" s="1"/>
  <c r="T194" i="47"/>
  <c r="AP194" i="47" s="1"/>
  <c r="T191" i="47"/>
  <c r="AP191" i="47" s="1"/>
  <c r="T195" i="47"/>
  <c r="AP195" i="47" s="1"/>
  <c r="T192" i="47"/>
  <c r="AP192" i="47" s="1"/>
  <c r="T193" i="47"/>
  <c r="AP193" i="47" s="1"/>
  <c r="T189" i="47"/>
  <c r="AP189" i="47" s="1"/>
  <c r="T187" i="47"/>
  <c r="AP187" i="47" s="1"/>
  <c r="T186" i="47"/>
  <c r="AP186" i="47" s="1"/>
  <c r="T185" i="47"/>
  <c r="AP185" i="47" s="1"/>
  <c r="T184" i="47"/>
  <c r="AP184" i="47" s="1"/>
  <c r="T183" i="47"/>
  <c r="AP183" i="47" s="1"/>
  <c r="T182" i="47"/>
  <c r="AP182" i="47" s="1"/>
  <c r="T181" i="47"/>
  <c r="AP181" i="47" s="1"/>
  <c r="T180" i="47"/>
  <c r="AP180" i="47" s="1"/>
  <c r="T190" i="47"/>
  <c r="AP190" i="47" s="1"/>
  <c r="T188" i="47"/>
  <c r="AP188" i="47" s="1"/>
  <c r="T179" i="47"/>
  <c r="AP179" i="47" s="1"/>
  <c r="T178" i="47"/>
  <c r="AP178" i="47" s="1"/>
  <c r="T177" i="47"/>
  <c r="AP177" i="47" s="1"/>
  <c r="T176" i="47"/>
  <c r="AP176" i="47" s="1"/>
  <c r="T175" i="47"/>
  <c r="AP175" i="47" s="1"/>
  <c r="T174" i="47"/>
  <c r="AP174" i="47" s="1"/>
  <c r="T173" i="47"/>
  <c r="AP173" i="47" s="1"/>
  <c r="T172" i="47"/>
  <c r="AP172" i="47" s="1"/>
  <c r="T171" i="47"/>
  <c r="AP171" i="47" s="1"/>
  <c r="T170" i="47"/>
  <c r="AP170" i="47" s="1"/>
  <c r="T169" i="47"/>
  <c r="AP169" i="47" s="1"/>
  <c r="T168" i="47"/>
  <c r="AP168" i="47" s="1"/>
  <c r="T167" i="47"/>
  <c r="AP167" i="47" s="1"/>
  <c r="T166" i="47"/>
  <c r="AP166" i="47" s="1"/>
  <c r="T165" i="47"/>
  <c r="AP165" i="47" s="1"/>
  <c r="T164" i="47"/>
  <c r="AP164" i="47" s="1"/>
  <c r="T163" i="47"/>
  <c r="AP163" i="47" s="1"/>
  <c r="T162" i="47"/>
  <c r="AP162" i="47" s="1"/>
  <c r="T161" i="47"/>
  <c r="AP161" i="47" s="1"/>
  <c r="T160" i="47"/>
  <c r="AP160" i="47" s="1"/>
  <c r="T159" i="47"/>
  <c r="AP159" i="47" s="1"/>
  <c r="T158" i="47"/>
  <c r="AP158" i="47" s="1"/>
  <c r="T157" i="47"/>
  <c r="AP157" i="47" s="1"/>
  <c r="T156" i="47"/>
  <c r="AP156" i="47" s="1"/>
  <c r="T151" i="47"/>
  <c r="AP151" i="47" s="1"/>
  <c r="T150" i="47"/>
  <c r="AP150" i="47" s="1"/>
  <c r="T149" i="47"/>
  <c r="AP149" i="47" s="1"/>
  <c r="T148" i="47"/>
  <c r="AP148" i="47" s="1"/>
  <c r="T147" i="47"/>
  <c r="AP147" i="47" s="1"/>
  <c r="T146" i="47"/>
  <c r="AP146" i="47" s="1"/>
  <c r="T145" i="47"/>
  <c r="AP145" i="47" s="1"/>
  <c r="T144" i="47"/>
  <c r="AP144" i="47" s="1"/>
  <c r="T143" i="47"/>
  <c r="AP143" i="47" s="1"/>
  <c r="T154" i="47"/>
  <c r="AP154" i="47" s="1"/>
  <c r="T153" i="47"/>
  <c r="AP153" i="47" s="1"/>
  <c r="T152" i="47"/>
  <c r="AP152" i="47" s="1"/>
  <c r="T155" i="47"/>
  <c r="AP155" i="47" s="1"/>
  <c r="T135" i="47"/>
  <c r="AP135" i="47" s="1"/>
  <c r="T134" i="47"/>
  <c r="AP134" i="47" s="1"/>
  <c r="T142" i="47"/>
  <c r="AP142" i="47" s="1"/>
  <c r="T140" i="47"/>
  <c r="AP140" i="47" s="1"/>
  <c r="T138" i="47"/>
  <c r="AP138" i="47" s="1"/>
  <c r="T136" i="47"/>
  <c r="AP136" i="47" s="1"/>
  <c r="T141" i="47"/>
  <c r="AP141" i="47" s="1"/>
  <c r="T139" i="47"/>
  <c r="AP139" i="47" s="1"/>
  <c r="T137" i="47"/>
  <c r="AP137" i="47" s="1"/>
  <c r="T132" i="47"/>
  <c r="AP132" i="47" s="1"/>
  <c r="T129" i="47"/>
  <c r="AP129" i="47" s="1"/>
  <c r="T125" i="47"/>
  <c r="AP125" i="47" s="1"/>
  <c r="T121" i="47"/>
  <c r="AP121" i="47" s="1"/>
  <c r="T116" i="47"/>
  <c r="AP116" i="47" s="1"/>
  <c r="T115" i="47"/>
  <c r="AP115" i="47" s="1"/>
  <c r="T114" i="47"/>
  <c r="AP114" i="47" s="1"/>
  <c r="T113" i="47"/>
  <c r="AP113" i="47" s="1"/>
  <c r="T112" i="47"/>
  <c r="AP112" i="47" s="1"/>
  <c r="T111" i="47"/>
  <c r="AP111" i="47" s="1"/>
  <c r="T110" i="47"/>
  <c r="AP110" i="47" s="1"/>
  <c r="T109" i="47"/>
  <c r="AP109" i="47" s="1"/>
  <c r="T108" i="47"/>
  <c r="AP108" i="47" s="1"/>
  <c r="T107" i="47"/>
  <c r="AP107" i="47" s="1"/>
  <c r="T106" i="47"/>
  <c r="AP106" i="47" s="1"/>
  <c r="T105" i="47"/>
  <c r="AP105" i="47" s="1"/>
  <c r="T104" i="47"/>
  <c r="AP104" i="47" s="1"/>
  <c r="T103" i="47"/>
  <c r="AP103" i="47" s="1"/>
  <c r="T102" i="47"/>
  <c r="AP102" i="47" s="1"/>
  <c r="T101" i="47"/>
  <c r="AP101" i="47" s="1"/>
  <c r="T130" i="47"/>
  <c r="AP130" i="47" s="1"/>
  <c r="T126" i="47"/>
  <c r="AP126" i="47" s="1"/>
  <c r="T122" i="47"/>
  <c r="AP122" i="47" s="1"/>
  <c r="T120" i="47"/>
  <c r="AP120" i="47" s="1"/>
  <c r="T128" i="47"/>
  <c r="AP128" i="47" s="1"/>
  <c r="T124" i="47"/>
  <c r="AP124" i="47" s="1"/>
  <c r="T131" i="47"/>
  <c r="AP131" i="47" s="1"/>
  <c r="T123" i="47"/>
  <c r="AP123" i="47" s="1"/>
  <c r="T118" i="47"/>
  <c r="AP118" i="47" s="1"/>
  <c r="T100" i="47"/>
  <c r="AP100" i="47" s="1"/>
  <c r="T99" i="47"/>
  <c r="AP99" i="47" s="1"/>
  <c r="T98" i="47"/>
  <c r="AP98" i="47" s="1"/>
  <c r="T97" i="47"/>
  <c r="AP97" i="47" s="1"/>
  <c r="T96" i="47"/>
  <c r="AP96" i="47" s="1"/>
  <c r="T95" i="47"/>
  <c r="AP95" i="47" s="1"/>
  <c r="T94" i="47"/>
  <c r="AP94" i="47" s="1"/>
  <c r="T93" i="47"/>
  <c r="AP93" i="47" s="1"/>
  <c r="T92" i="47"/>
  <c r="AP92" i="47" s="1"/>
  <c r="T133" i="47"/>
  <c r="AP133" i="47" s="1"/>
  <c r="T119" i="47"/>
  <c r="AP119" i="47" s="1"/>
  <c r="T91" i="47"/>
  <c r="AP91" i="47" s="1"/>
  <c r="T90" i="47"/>
  <c r="AP90" i="47" s="1"/>
  <c r="T89" i="47"/>
  <c r="AP89" i="47" s="1"/>
  <c r="T88" i="47"/>
  <c r="AP88" i="47" s="1"/>
  <c r="T87" i="47"/>
  <c r="AP87" i="47" s="1"/>
  <c r="T86" i="47"/>
  <c r="AP86" i="47" s="1"/>
  <c r="T85" i="47"/>
  <c r="AP85" i="47" s="1"/>
  <c r="T84" i="47"/>
  <c r="AP84" i="47" s="1"/>
  <c r="T83" i="47"/>
  <c r="AP83" i="47" s="1"/>
  <c r="T82" i="47"/>
  <c r="AP82" i="47" s="1"/>
  <c r="T81" i="47"/>
  <c r="AP81" i="47" s="1"/>
  <c r="T80" i="47"/>
  <c r="AP80" i="47" s="1"/>
  <c r="T79" i="47"/>
  <c r="AP79" i="47" s="1"/>
  <c r="T78" i="47"/>
  <c r="AP78" i="47" s="1"/>
  <c r="T127" i="47"/>
  <c r="AP127" i="47" s="1"/>
  <c r="T117" i="47"/>
  <c r="AP117" i="47" s="1"/>
  <c r="T77" i="47"/>
  <c r="AP77" i="47" s="1"/>
  <c r="T76" i="47"/>
  <c r="AP76" i="47" s="1"/>
  <c r="T75" i="47"/>
  <c r="AP75" i="47" s="1"/>
  <c r="T74" i="47"/>
  <c r="AP74" i="47" s="1"/>
  <c r="T73" i="47"/>
  <c r="AP73" i="47" s="1"/>
  <c r="T72" i="47"/>
  <c r="AP72" i="47" s="1"/>
  <c r="T71" i="47"/>
  <c r="AP71" i="47" s="1"/>
  <c r="T70" i="47"/>
  <c r="AP70" i="47" s="1"/>
  <c r="T69" i="47"/>
  <c r="AP69" i="47" s="1"/>
  <c r="T68" i="47"/>
  <c r="AP68" i="47" s="1"/>
  <c r="T67" i="47"/>
  <c r="AP67" i="47" s="1"/>
  <c r="T66" i="47"/>
  <c r="AP66" i="47" s="1"/>
  <c r="T65" i="47"/>
  <c r="AP65" i="47" s="1"/>
  <c r="T64" i="47"/>
  <c r="AP64" i="47" s="1"/>
  <c r="T63" i="47"/>
  <c r="AP63" i="47" s="1"/>
  <c r="T62" i="47"/>
  <c r="AP62" i="47" s="1"/>
  <c r="T61" i="47"/>
  <c r="AP61" i="47" s="1"/>
  <c r="T60" i="47"/>
  <c r="AP60" i="47" s="1"/>
  <c r="T59" i="47"/>
  <c r="AP59" i="47" s="1"/>
  <c r="T58" i="47"/>
  <c r="AP58" i="47" s="1"/>
  <c r="T57" i="47"/>
  <c r="AP57" i="47" s="1"/>
  <c r="T56" i="47"/>
  <c r="AP56" i="47" s="1"/>
  <c r="T55" i="47"/>
  <c r="AP55" i="47" s="1"/>
  <c r="T52" i="47"/>
  <c r="AP52" i="47" s="1"/>
  <c r="T48" i="47"/>
  <c r="AP48" i="47" s="1"/>
  <c r="T44" i="47"/>
  <c r="AP44" i="47" s="1"/>
  <c r="T40" i="47"/>
  <c r="AP40" i="47" s="1"/>
  <c r="T51" i="47"/>
  <c r="AP51" i="47" s="1"/>
  <c r="T47" i="47"/>
  <c r="AP47" i="47" s="1"/>
  <c r="T43" i="47"/>
  <c r="AP43" i="47" s="1"/>
  <c r="T39" i="47"/>
  <c r="AP39" i="47" s="1"/>
  <c r="T54" i="47"/>
  <c r="AP54" i="47" s="1"/>
  <c r="T50" i="47"/>
  <c r="AP50" i="47" s="1"/>
  <c r="T46" i="47"/>
  <c r="AP46" i="47" s="1"/>
  <c r="T42" i="47"/>
  <c r="AP42" i="47" s="1"/>
  <c r="X195" i="47"/>
  <c r="AT195" i="47" s="1"/>
  <c r="X192" i="47"/>
  <c r="AT192" i="47" s="1"/>
  <c r="X194" i="47"/>
  <c r="AT194" i="47" s="1"/>
  <c r="X193" i="47"/>
  <c r="AT193" i="47" s="1"/>
  <c r="X189" i="47"/>
  <c r="AT189" i="47" s="1"/>
  <c r="X188" i="47"/>
  <c r="AT188" i="47" s="1"/>
  <c r="X190" i="47"/>
  <c r="AT190" i="47" s="1"/>
  <c r="X186" i="47"/>
  <c r="AT186" i="47" s="1"/>
  <c r="X185" i="47"/>
  <c r="AT185" i="47" s="1"/>
  <c r="X184" i="47"/>
  <c r="AT184" i="47" s="1"/>
  <c r="X183" i="47"/>
  <c r="AT183" i="47" s="1"/>
  <c r="X191" i="47"/>
  <c r="AT191" i="47" s="1"/>
  <c r="X182" i="47"/>
  <c r="AT182" i="47" s="1"/>
  <c r="X181" i="47"/>
  <c r="AT181" i="47" s="1"/>
  <c r="X180" i="47"/>
  <c r="AT180" i="47" s="1"/>
  <c r="X179" i="47"/>
  <c r="AT179" i="47" s="1"/>
  <c r="X178" i="47"/>
  <c r="AT178" i="47" s="1"/>
  <c r="X177" i="47"/>
  <c r="AT177" i="47" s="1"/>
  <c r="X176" i="47"/>
  <c r="AT176" i="47" s="1"/>
  <c r="X175" i="47"/>
  <c r="AT175" i="47" s="1"/>
  <c r="X174" i="47"/>
  <c r="AT174" i="47" s="1"/>
  <c r="X173" i="47"/>
  <c r="AT173" i="47" s="1"/>
  <c r="X187" i="47"/>
  <c r="AT187" i="47" s="1"/>
  <c r="X172" i="47"/>
  <c r="AT172" i="47" s="1"/>
  <c r="X171" i="47"/>
  <c r="AT171" i="47" s="1"/>
  <c r="X170" i="47"/>
  <c r="AT170" i="47" s="1"/>
  <c r="X169" i="47"/>
  <c r="AT169" i="47" s="1"/>
  <c r="X168" i="47"/>
  <c r="AT168" i="47" s="1"/>
  <c r="X167" i="47"/>
  <c r="AT167" i="47" s="1"/>
  <c r="X166" i="47"/>
  <c r="AT166" i="47" s="1"/>
  <c r="X165" i="47"/>
  <c r="AT165" i="47" s="1"/>
  <c r="X164" i="47"/>
  <c r="AT164" i="47" s="1"/>
  <c r="X163" i="47"/>
  <c r="AT163" i="47" s="1"/>
  <c r="X162" i="47"/>
  <c r="AT162" i="47" s="1"/>
  <c r="X161" i="47"/>
  <c r="AT161" i="47" s="1"/>
  <c r="X160" i="47"/>
  <c r="AT160" i="47" s="1"/>
  <c r="X159" i="47"/>
  <c r="AT159" i="47" s="1"/>
  <c r="X158" i="47"/>
  <c r="AT158" i="47" s="1"/>
  <c r="X157" i="47"/>
  <c r="AT157" i="47" s="1"/>
  <c r="X155" i="47"/>
  <c r="AT155" i="47" s="1"/>
  <c r="X154" i="47"/>
  <c r="AT154" i="47" s="1"/>
  <c r="X153" i="47"/>
  <c r="AT153" i="47" s="1"/>
  <c r="X152" i="47"/>
  <c r="AT152" i="47" s="1"/>
  <c r="X151" i="47"/>
  <c r="AT151" i="47" s="1"/>
  <c r="X150" i="47"/>
  <c r="AT150" i="47" s="1"/>
  <c r="X149" i="47"/>
  <c r="AT149" i="47" s="1"/>
  <c r="X148" i="47"/>
  <c r="AT148" i="47" s="1"/>
  <c r="X147" i="47"/>
  <c r="AT147" i="47" s="1"/>
  <c r="X146" i="47"/>
  <c r="AT146" i="47" s="1"/>
  <c r="X145" i="47"/>
  <c r="AT145" i="47" s="1"/>
  <c r="X144" i="47"/>
  <c r="AT144" i="47" s="1"/>
  <c r="X143" i="47"/>
  <c r="AT143" i="47" s="1"/>
  <c r="X142" i="47"/>
  <c r="AT142" i="47" s="1"/>
  <c r="X141" i="47"/>
  <c r="AT141" i="47" s="1"/>
  <c r="X140" i="47"/>
  <c r="AT140" i="47" s="1"/>
  <c r="X139" i="47"/>
  <c r="AT139" i="47" s="1"/>
  <c r="X138" i="47"/>
  <c r="AT138" i="47" s="1"/>
  <c r="X137" i="47"/>
  <c r="AT137" i="47" s="1"/>
  <c r="X136" i="47"/>
  <c r="AT136" i="47" s="1"/>
  <c r="X156" i="47"/>
  <c r="AT156" i="47" s="1"/>
  <c r="X135" i="47"/>
  <c r="AT135" i="47" s="1"/>
  <c r="X134" i="47"/>
  <c r="AT134" i="47" s="1"/>
  <c r="X130" i="47"/>
  <c r="AT130" i="47" s="1"/>
  <c r="X126" i="47"/>
  <c r="AT126" i="47" s="1"/>
  <c r="X122" i="47"/>
  <c r="AT122" i="47" s="1"/>
  <c r="X119" i="47"/>
  <c r="AT119" i="47" s="1"/>
  <c r="X116" i="47"/>
  <c r="AT116" i="47" s="1"/>
  <c r="X115" i="47"/>
  <c r="AT115" i="47" s="1"/>
  <c r="X114" i="47"/>
  <c r="AT114" i="47" s="1"/>
  <c r="X113" i="47"/>
  <c r="AT113" i="47" s="1"/>
  <c r="X112" i="47"/>
  <c r="AT112" i="47" s="1"/>
  <c r="X111" i="47"/>
  <c r="AT111" i="47" s="1"/>
  <c r="X110" i="47"/>
  <c r="AT110" i="47" s="1"/>
  <c r="X109" i="47"/>
  <c r="AT109" i="47" s="1"/>
  <c r="X108" i="47"/>
  <c r="AT108" i="47" s="1"/>
  <c r="X107" i="47"/>
  <c r="AT107" i="47" s="1"/>
  <c r="X106" i="47"/>
  <c r="AT106" i="47" s="1"/>
  <c r="X105" i="47"/>
  <c r="AT105" i="47" s="1"/>
  <c r="X104" i="47"/>
  <c r="AT104" i="47" s="1"/>
  <c r="X103" i="47"/>
  <c r="AT103" i="47" s="1"/>
  <c r="X102" i="47"/>
  <c r="AT102" i="47" s="1"/>
  <c r="X101" i="47"/>
  <c r="AT101" i="47" s="1"/>
  <c r="X133" i="47"/>
  <c r="AT133" i="47" s="1"/>
  <c r="X131" i="47"/>
  <c r="AT131" i="47" s="1"/>
  <c r="X127" i="47"/>
  <c r="AT127" i="47" s="1"/>
  <c r="X123" i="47"/>
  <c r="AT123" i="47" s="1"/>
  <c r="X132" i="47"/>
  <c r="AT132" i="47" s="1"/>
  <c r="X129" i="47"/>
  <c r="AT129" i="47" s="1"/>
  <c r="X125" i="47"/>
  <c r="AT125" i="47" s="1"/>
  <c r="X121" i="47"/>
  <c r="AT121" i="47" s="1"/>
  <c r="X120" i="47"/>
  <c r="AT120" i="47" s="1"/>
  <c r="X118" i="47"/>
  <c r="AT118" i="47" s="1"/>
  <c r="X117" i="47"/>
  <c r="AT117" i="47" s="1"/>
  <c r="X124" i="47"/>
  <c r="AT124" i="47" s="1"/>
  <c r="X100" i="47"/>
  <c r="AT100" i="47" s="1"/>
  <c r="X99" i="47"/>
  <c r="AT99" i="47" s="1"/>
  <c r="X98" i="47"/>
  <c r="AT98" i="47" s="1"/>
  <c r="X97" i="47"/>
  <c r="AT97" i="47" s="1"/>
  <c r="X96" i="47"/>
  <c r="AT96" i="47" s="1"/>
  <c r="X95" i="47"/>
  <c r="AT95" i="47" s="1"/>
  <c r="X94" i="47"/>
  <c r="AT94" i="47" s="1"/>
  <c r="X93" i="47"/>
  <c r="AT93" i="47" s="1"/>
  <c r="X92" i="47"/>
  <c r="AT92" i="47" s="1"/>
  <c r="X91" i="47"/>
  <c r="AT91" i="47" s="1"/>
  <c r="X90" i="47"/>
  <c r="AT90" i="47" s="1"/>
  <c r="X89" i="47"/>
  <c r="AT89" i="47" s="1"/>
  <c r="X88" i="47"/>
  <c r="AT88" i="47" s="1"/>
  <c r="X87" i="47"/>
  <c r="AT87" i="47" s="1"/>
  <c r="X86" i="47"/>
  <c r="AT86" i="47" s="1"/>
  <c r="X85" i="47"/>
  <c r="AT85" i="47" s="1"/>
  <c r="X84" i="47"/>
  <c r="AT84" i="47" s="1"/>
  <c r="X83" i="47"/>
  <c r="AT83" i="47" s="1"/>
  <c r="X82" i="47"/>
  <c r="AT82" i="47" s="1"/>
  <c r="X81" i="47"/>
  <c r="AT81" i="47" s="1"/>
  <c r="X80" i="47"/>
  <c r="AT80" i="47" s="1"/>
  <c r="X79" i="47"/>
  <c r="AT79" i="47" s="1"/>
  <c r="X78" i="47"/>
  <c r="AT78" i="47" s="1"/>
  <c r="X128" i="47"/>
  <c r="AT128" i="47" s="1"/>
  <c r="X74" i="47"/>
  <c r="AT74" i="47" s="1"/>
  <c r="X73" i="47"/>
  <c r="AT73" i="47" s="1"/>
  <c r="X72" i="47"/>
  <c r="AT72" i="47" s="1"/>
  <c r="X71" i="47"/>
  <c r="AT71" i="47" s="1"/>
  <c r="X70" i="47"/>
  <c r="AT70" i="47" s="1"/>
  <c r="X69" i="47"/>
  <c r="AT69" i="47" s="1"/>
  <c r="X68" i="47"/>
  <c r="AT68" i="47" s="1"/>
  <c r="X67" i="47"/>
  <c r="AT67" i="47" s="1"/>
  <c r="X66" i="47"/>
  <c r="AT66" i="47" s="1"/>
  <c r="X65" i="47"/>
  <c r="AT65" i="47" s="1"/>
  <c r="X64" i="47"/>
  <c r="AT64" i="47" s="1"/>
  <c r="X63" i="47"/>
  <c r="AT63" i="47" s="1"/>
  <c r="X62" i="47"/>
  <c r="AT62" i="47" s="1"/>
  <c r="X61" i="47"/>
  <c r="AT61" i="47" s="1"/>
  <c r="X60" i="47"/>
  <c r="AT60" i="47" s="1"/>
  <c r="X59" i="47"/>
  <c r="AT59" i="47" s="1"/>
  <c r="X58" i="47"/>
  <c r="AT58" i="47" s="1"/>
  <c r="X57" i="47"/>
  <c r="AT57" i="47" s="1"/>
  <c r="X56" i="47"/>
  <c r="AT56" i="47" s="1"/>
  <c r="X55" i="47"/>
  <c r="AT55" i="47" s="1"/>
  <c r="X53" i="47"/>
  <c r="AT53" i="47" s="1"/>
  <c r="X49" i="47"/>
  <c r="AT49" i="47" s="1"/>
  <c r="X45" i="47"/>
  <c r="AT45" i="47" s="1"/>
  <c r="X41" i="47"/>
  <c r="AT41" i="47" s="1"/>
  <c r="X77" i="47"/>
  <c r="AT77" i="47" s="1"/>
  <c r="X52" i="47"/>
  <c r="AT52" i="47" s="1"/>
  <c r="X48" i="47"/>
  <c r="AT48" i="47" s="1"/>
  <c r="X44" i="47"/>
  <c r="AT44" i="47" s="1"/>
  <c r="X40" i="47"/>
  <c r="AT40" i="47" s="1"/>
  <c r="X76" i="47"/>
  <c r="AT76" i="47" s="1"/>
  <c r="X51" i="47"/>
  <c r="AT51" i="47" s="1"/>
  <c r="X47" i="47"/>
  <c r="AT47" i="47" s="1"/>
  <c r="X43" i="47"/>
  <c r="AT43" i="47" s="1"/>
  <c r="X39" i="47"/>
  <c r="AT39" i="47" s="1"/>
  <c r="AB194" i="47"/>
  <c r="AX194" i="47" s="1"/>
  <c r="AB192" i="47"/>
  <c r="AX192" i="47" s="1"/>
  <c r="AB191" i="47"/>
  <c r="AX191" i="47" s="1"/>
  <c r="AB195" i="47"/>
  <c r="AX195" i="47" s="1"/>
  <c r="AB190" i="47"/>
  <c r="AX190" i="47" s="1"/>
  <c r="AB186" i="47"/>
  <c r="AX186" i="47" s="1"/>
  <c r="AB185" i="47"/>
  <c r="AX185" i="47" s="1"/>
  <c r="AB184" i="47"/>
  <c r="AX184" i="47" s="1"/>
  <c r="AB183" i="47"/>
  <c r="AX183" i="47" s="1"/>
  <c r="AB193" i="47"/>
  <c r="AX193" i="47" s="1"/>
  <c r="AB188" i="47"/>
  <c r="AX188" i="47" s="1"/>
  <c r="AB182" i="47"/>
  <c r="AX182" i="47" s="1"/>
  <c r="AB181" i="47"/>
  <c r="AX181" i="47" s="1"/>
  <c r="AB180" i="47"/>
  <c r="AX180" i="47" s="1"/>
  <c r="AB189" i="47"/>
  <c r="AX189" i="47" s="1"/>
  <c r="AB187" i="47"/>
  <c r="AX187" i="47" s="1"/>
  <c r="AB179" i="47"/>
  <c r="AX179" i="47" s="1"/>
  <c r="AB178" i="47"/>
  <c r="AX178" i="47" s="1"/>
  <c r="AB177" i="47"/>
  <c r="AX177" i="47" s="1"/>
  <c r="AB176" i="47"/>
  <c r="AX176" i="47" s="1"/>
  <c r="AB175" i="47"/>
  <c r="AX175" i="47" s="1"/>
  <c r="AB174" i="47"/>
  <c r="AX174" i="47" s="1"/>
  <c r="AB173" i="47"/>
  <c r="AX173" i="47" s="1"/>
  <c r="AB172" i="47"/>
  <c r="AX172" i="47" s="1"/>
  <c r="AB170" i="47"/>
  <c r="AX170" i="47" s="1"/>
  <c r="AB169" i="47"/>
  <c r="AX169" i="47" s="1"/>
  <c r="AB168" i="47"/>
  <c r="AX168" i="47" s="1"/>
  <c r="AB167" i="47"/>
  <c r="AX167" i="47" s="1"/>
  <c r="AB166" i="47"/>
  <c r="AX166" i="47" s="1"/>
  <c r="AB165" i="47"/>
  <c r="AX165" i="47" s="1"/>
  <c r="AB164" i="47"/>
  <c r="AX164" i="47" s="1"/>
  <c r="AB163" i="47"/>
  <c r="AX163" i="47" s="1"/>
  <c r="AB162" i="47"/>
  <c r="AX162" i="47" s="1"/>
  <c r="AB161" i="47"/>
  <c r="AX161" i="47" s="1"/>
  <c r="AB160" i="47"/>
  <c r="AX160" i="47" s="1"/>
  <c r="AB159" i="47"/>
  <c r="AX159" i="47" s="1"/>
  <c r="AB158" i="47"/>
  <c r="AX158" i="47" s="1"/>
  <c r="AB157" i="47"/>
  <c r="AX157" i="47" s="1"/>
  <c r="AB171" i="47"/>
  <c r="AX171" i="47" s="1"/>
  <c r="AB156" i="47"/>
  <c r="AX156" i="47" s="1"/>
  <c r="AB151" i="47"/>
  <c r="AX151" i="47" s="1"/>
  <c r="AB150" i="47"/>
  <c r="AX150" i="47" s="1"/>
  <c r="AB149" i="47"/>
  <c r="AX149" i="47" s="1"/>
  <c r="AB148" i="47"/>
  <c r="AX148" i="47" s="1"/>
  <c r="AB147" i="47"/>
  <c r="AX147" i="47" s="1"/>
  <c r="AB146" i="47"/>
  <c r="AX146" i="47" s="1"/>
  <c r="AB145" i="47"/>
  <c r="AX145" i="47" s="1"/>
  <c r="AB144" i="47"/>
  <c r="AX144" i="47" s="1"/>
  <c r="AB143" i="47"/>
  <c r="AX143" i="47" s="1"/>
  <c r="AB154" i="47"/>
  <c r="AX154" i="47" s="1"/>
  <c r="AB153" i="47"/>
  <c r="AX153" i="47" s="1"/>
  <c r="AB152" i="47"/>
  <c r="AX152" i="47" s="1"/>
  <c r="AB155" i="47"/>
  <c r="AX155" i="47" s="1"/>
  <c r="AB142" i="47"/>
  <c r="AX142" i="47" s="1"/>
  <c r="AB141" i="47"/>
  <c r="AX141" i="47" s="1"/>
  <c r="AB140" i="47"/>
  <c r="AX140" i="47" s="1"/>
  <c r="AB139" i="47"/>
  <c r="AX139" i="47" s="1"/>
  <c r="AB138" i="47"/>
  <c r="AX138" i="47" s="1"/>
  <c r="AB137" i="47"/>
  <c r="AX137" i="47" s="1"/>
  <c r="AB136" i="47"/>
  <c r="AX136" i="47" s="1"/>
  <c r="AB135" i="47"/>
  <c r="AX135" i="47" s="1"/>
  <c r="AB134" i="47"/>
  <c r="AX134" i="47" s="1"/>
  <c r="AB133" i="47"/>
  <c r="AX133" i="47" s="1"/>
  <c r="AB131" i="47"/>
  <c r="AX131" i="47" s="1"/>
  <c r="AB127" i="47"/>
  <c r="AX127" i="47" s="1"/>
  <c r="AB123" i="47"/>
  <c r="AX123" i="47" s="1"/>
  <c r="AB118" i="47"/>
  <c r="AX118" i="47" s="1"/>
  <c r="AB117" i="47"/>
  <c r="AX117" i="47" s="1"/>
  <c r="AB116" i="47"/>
  <c r="AX116" i="47" s="1"/>
  <c r="AB115" i="47"/>
  <c r="AX115" i="47" s="1"/>
  <c r="AB114" i="47"/>
  <c r="AX114" i="47" s="1"/>
  <c r="AB113" i="47"/>
  <c r="AX113" i="47" s="1"/>
  <c r="AB112" i="47"/>
  <c r="AX112" i="47" s="1"/>
  <c r="AB111" i="47"/>
  <c r="AX111" i="47" s="1"/>
  <c r="AB110" i="47"/>
  <c r="AX110" i="47" s="1"/>
  <c r="AB109" i="47"/>
  <c r="AX109" i="47" s="1"/>
  <c r="AB108" i="47"/>
  <c r="AX108" i="47" s="1"/>
  <c r="AB107" i="47"/>
  <c r="AX107" i="47" s="1"/>
  <c r="AB106" i="47"/>
  <c r="AX106" i="47" s="1"/>
  <c r="AB105" i="47"/>
  <c r="AX105" i="47" s="1"/>
  <c r="AB104" i="47"/>
  <c r="AX104" i="47" s="1"/>
  <c r="AB103" i="47"/>
  <c r="AX103" i="47" s="1"/>
  <c r="AB102" i="47"/>
  <c r="AX102" i="47" s="1"/>
  <c r="AB101" i="47"/>
  <c r="AX101" i="47" s="1"/>
  <c r="AB128" i="47"/>
  <c r="AX128" i="47" s="1"/>
  <c r="AB124" i="47"/>
  <c r="AX124" i="47" s="1"/>
  <c r="AB120" i="47"/>
  <c r="AX120" i="47" s="1"/>
  <c r="AB130" i="47"/>
  <c r="AX130" i="47" s="1"/>
  <c r="AB126" i="47"/>
  <c r="AX126" i="47" s="1"/>
  <c r="AB122" i="47"/>
  <c r="AX122" i="47" s="1"/>
  <c r="AB132" i="47"/>
  <c r="AX132" i="47" s="1"/>
  <c r="AB119" i="47"/>
  <c r="AX119" i="47" s="1"/>
  <c r="AB129" i="47"/>
  <c r="AX129" i="47" s="1"/>
  <c r="AB121" i="47"/>
  <c r="AX121" i="47" s="1"/>
  <c r="AB91" i="47"/>
  <c r="AX91" i="47" s="1"/>
  <c r="AB90" i="47"/>
  <c r="AX90" i="47" s="1"/>
  <c r="AB89" i="47"/>
  <c r="AX89" i="47" s="1"/>
  <c r="AB88" i="47"/>
  <c r="AX88" i="47" s="1"/>
  <c r="AB87" i="47"/>
  <c r="AX87" i="47" s="1"/>
  <c r="AB86" i="47"/>
  <c r="AX86" i="47" s="1"/>
  <c r="AB85" i="47"/>
  <c r="AX85" i="47" s="1"/>
  <c r="AB84" i="47"/>
  <c r="AX84" i="47" s="1"/>
  <c r="AB83" i="47"/>
  <c r="AX83" i="47" s="1"/>
  <c r="AB82" i="47"/>
  <c r="AX82" i="47" s="1"/>
  <c r="AB81" i="47"/>
  <c r="AX81" i="47" s="1"/>
  <c r="AB80" i="47"/>
  <c r="AX80" i="47" s="1"/>
  <c r="AB79" i="47"/>
  <c r="AX79" i="47" s="1"/>
  <c r="AB78" i="47"/>
  <c r="AX78" i="47" s="1"/>
  <c r="AB100" i="47"/>
  <c r="AX100" i="47" s="1"/>
  <c r="AB99" i="47"/>
  <c r="AX99" i="47" s="1"/>
  <c r="AB98" i="47"/>
  <c r="AX98" i="47" s="1"/>
  <c r="AB97" i="47"/>
  <c r="AX97" i="47" s="1"/>
  <c r="AB96" i="47"/>
  <c r="AX96" i="47" s="1"/>
  <c r="AB95" i="47"/>
  <c r="AX95" i="47" s="1"/>
  <c r="AB94" i="47"/>
  <c r="AX94" i="47" s="1"/>
  <c r="AB93" i="47"/>
  <c r="AX93" i="47" s="1"/>
  <c r="AB92" i="47"/>
  <c r="AX92" i="47" s="1"/>
  <c r="AB74" i="47"/>
  <c r="AX74" i="47" s="1"/>
  <c r="AB73" i="47"/>
  <c r="AX73" i="47" s="1"/>
  <c r="AB72" i="47"/>
  <c r="AX72" i="47" s="1"/>
  <c r="AB71" i="47"/>
  <c r="AX71" i="47" s="1"/>
  <c r="AB70" i="47"/>
  <c r="AX70" i="47" s="1"/>
  <c r="AB69" i="47"/>
  <c r="AX69" i="47" s="1"/>
  <c r="AB68" i="47"/>
  <c r="AX68" i="47" s="1"/>
  <c r="AB67" i="47"/>
  <c r="AX67" i="47" s="1"/>
  <c r="AB66" i="47"/>
  <c r="AX66" i="47" s="1"/>
  <c r="AB65" i="47"/>
  <c r="AX65" i="47" s="1"/>
  <c r="AB64" i="47"/>
  <c r="AX64" i="47" s="1"/>
  <c r="AB63" i="47"/>
  <c r="AX63" i="47" s="1"/>
  <c r="AB62" i="47"/>
  <c r="AX62" i="47" s="1"/>
  <c r="AB61" i="47"/>
  <c r="AX61" i="47" s="1"/>
  <c r="AB60" i="47"/>
  <c r="AX60" i="47" s="1"/>
  <c r="AB59" i="47"/>
  <c r="AX59" i="47" s="1"/>
  <c r="AB58" i="47"/>
  <c r="AX58" i="47" s="1"/>
  <c r="AB57" i="47"/>
  <c r="AX57" i="47" s="1"/>
  <c r="AB56" i="47"/>
  <c r="AX56" i="47" s="1"/>
  <c r="AB55" i="47"/>
  <c r="AX55" i="47" s="1"/>
  <c r="AB125" i="47"/>
  <c r="AX125" i="47" s="1"/>
  <c r="AB77" i="47"/>
  <c r="AX77" i="47" s="1"/>
  <c r="AB76" i="47"/>
  <c r="AX76" i="47" s="1"/>
  <c r="AB75" i="47"/>
  <c r="AX75" i="47" s="1"/>
  <c r="AB54" i="47"/>
  <c r="AX54" i="47" s="1"/>
  <c r="AB50" i="47"/>
  <c r="AX50" i="47" s="1"/>
  <c r="AB46" i="47"/>
  <c r="AX46" i="47" s="1"/>
  <c r="AB42" i="47"/>
  <c r="AX42" i="47" s="1"/>
  <c r="AB53" i="47"/>
  <c r="AX53" i="47" s="1"/>
  <c r="AB49" i="47"/>
  <c r="AX49" i="47" s="1"/>
  <c r="AB45" i="47"/>
  <c r="AX45" i="47" s="1"/>
  <c r="AB41" i="47"/>
  <c r="AX41" i="47" s="1"/>
  <c r="AB52" i="47"/>
  <c r="AX52" i="47" s="1"/>
  <c r="AB48" i="47"/>
  <c r="AX48" i="47" s="1"/>
  <c r="AB44" i="47"/>
  <c r="AX44" i="47" s="1"/>
  <c r="AB40" i="47"/>
  <c r="AX40" i="47" s="1"/>
  <c r="P6" i="47"/>
  <c r="AL6" i="47" s="1"/>
  <c r="T6" i="47"/>
  <c r="AP6" i="47" s="1"/>
  <c r="X6" i="47"/>
  <c r="AT6" i="47" s="1"/>
  <c r="AB6" i="47"/>
  <c r="AX6" i="47" s="1"/>
  <c r="P7" i="47"/>
  <c r="AL7" i="47" s="1"/>
  <c r="T7" i="47"/>
  <c r="AP7" i="47" s="1"/>
  <c r="X7" i="47"/>
  <c r="AT7" i="47" s="1"/>
  <c r="AB7" i="47"/>
  <c r="AX7" i="47" s="1"/>
  <c r="P8" i="47"/>
  <c r="AL8" i="47" s="1"/>
  <c r="T8" i="47"/>
  <c r="AP8" i="47" s="1"/>
  <c r="X8" i="47"/>
  <c r="AT8" i="47" s="1"/>
  <c r="AB8" i="47"/>
  <c r="AX8" i="47" s="1"/>
  <c r="P9" i="47"/>
  <c r="AL9" i="47" s="1"/>
  <c r="T9" i="47"/>
  <c r="AP9" i="47" s="1"/>
  <c r="X9" i="47"/>
  <c r="AT9" i="47" s="1"/>
  <c r="AB9" i="47"/>
  <c r="AX9" i="47" s="1"/>
  <c r="P10" i="47"/>
  <c r="AL10" i="47" s="1"/>
  <c r="T10" i="47"/>
  <c r="AP10" i="47" s="1"/>
  <c r="X10" i="47"/>
  <c r="AT10" i="47" s="1"/>
  <c r="AB10" i="47"/>
  <c r="AX10" i="47" s="1"/>
  <c r="P11" i="47"/>
  <c r="AL11" i="47" s="1"/>
  <c r="T11" i="47"/>
  <c r="AP11" i="47" s="1"/>
  <c r="X11" i="47"/>
  <c r="AT11" i="47" s="1"/>
  <c r="AB11" i="47"/>
  <c r="AX11" i="47" s="1"/>
  <c r="Q12" i="47"/>
  <c r="AM12" i="47" s="1"/>
  <c r="V12" i="47"/>
  <c r="AR12" i="47" s="1"/>
  <c r="AB12" i="47"/>
  <c r="AX12" i="47" s="1"/>
  <c r="P13" i="47"/>
  <c r="AL13" i="47" s="1"/>
  <c r="U13" i="47"/>
  <c r="AQ13" i="47" s="1"/>
  <c r="Z13" i="47"/>
  <c r="AV13" i="47" s="1"/>
  <c r="N14" i="47"/>
  <c r="AJ14" i="47" s="1"/>
  <c r="T14" i="47"/>
  <c r="AP14" i="47" s="1"/>
  <c r="Y14" i="47"/>
  <c r="AU14" i="47" s="1"/>
  <c r="P15" i="47"/>
  <c r="AL15" i="47" s="1"/>
  <c r="T16" i="47"/>
  <c r="AP16" i="47" s="1"/>
  <c r="X17" i="47"/>
  <c r="AT17" i="47" s="1"/>
  <c r="AB18" i="47"/>
  <c r="AX18" i="47" s="1"/>
  <c r="P19" i="47"/>
  <c r="AL19" i="47" s="1"/>
  <c r="T20" i="47"/>
  <c r="AP20" i="47" s="1"/>
  <c r="X21" i="47"/>
  <c r="AT21" i="47" s="1"/>
  <c r="AB22" i="47"/>
  <c r="AX22" i="47" s="1"/>
  <c r="P23" i="47"/>
  <c r="AL23" i="47" s="1"/>
  <c r="T24" i="47"/>
  <c r="AP24" i="47" s="1"/>
  <c r="X25" i="47"/>
  <c r="AT25" i="47" s="1"/>
  <c r="AB26" i="47"/>
  <c r="AX26" i="47" s="1"/>
  <c r="P27" i="47"/>
  <c r="AL27" i="47" s="1"/>
  <c r="T28" i="47"/>
  <c r="AP28" i="47" s="1"/>
  <c r="X29" i="47"/>
  <c r="AT29" i="47" s="1"/>
  <c r="AB30" i="47"/>
  <c r="AX30" i="47" s="1"/>
  <c r="P31" i="47"/>
  <c r="AL31" i="47" s="1"/>
  <c r="T32" i="47"/>
  <c r="AP32" i="47" s="1"/>
  <c r="X33" i="47"/>
  <c r="AT33" i="47" s="1"/>
  <c r="AB34" i="47"/>
  <c r="AX34" i="47" s="1"/>
  <c r="P35" i="47"/>
  <c r="AL35" i="47" s="1"/>
  <c r="T36" i="47"/>
  <c r="AP36" i="47" s="1"/>
  <c r="X37" i="47"/>
  <c r="AT37" i="47" s="1"/>
  <c r="AB38" i="47"/>
  <c r="AX38" i="47" s="1"/>
  <c r="AB39" i="47"/>
  <c r="AX39" i="47" s="1"/>
  <c r="T41" i="47"/>
  <c r="AP41" i="47" s="1"/>
  <c r="S42" i="47"/>
  <c r="AO42" i="47" s="1"/>
  <c r="X46" i="47"/>
  <c r="AT46" i="47" s="1"/>
  <c r="AA48" i="47"/>
  <c r="AW48" i="47" s="1"/>
  <c r="AB51" i="47"/>
  <c r="AX51" i="47" s="1"/>
  <c r="AA57" i="47"/>
  <c r="AW57" i="47" s="1"/>
  <c r="AA65" i="47"/>
  <c r="AW65" i="47" s="1"/>
  <c r="AA73" i="47"/>
  <c r="AW73" i="47" s="1"/>
  <c r="Z87" i="47"/>
  <c r="AV87" i="47" s="1"/>
  <c r="P94" i="47"/>
  <c r="AL94" i="47" s="1"/>
  <c r="O195" i="47"/>
  <c r="AK195" i="47" s="1"/>
  <c r="O193" i="47"/>
  <c r="AK193" i="47" s="1"/>
  <c r="O191" i="47"/>
  <c r="AK191" i="47" s="1"/>
  <c r="O190" i="47"/>
  <c r="AK190" i="47" s="1"/>
  <c r="O189" i="47"/>
  <c r="AK189" i="47" s="1"/>
  <c r="O194" i="47"/>
  <c r="AK194" i="47" s="1"/>
  <c r="O192" i="47"/>
  <c r="AK192" i="47" s="1"/>
  <c r="O188" i="47"/>
  <c r="AK188" i="47" s="1"/>
  <c r="O187" i="47"/>
  <c r="AK187" i="47" s="1"/>
  <c r="O186" i="47"/>
  <c r="AK186" i="47" s="1"/>
  <c r="O185" i="47"/>
  <c r="AK185" i="47" s="1"/>
  <c r="O183" i="47"/>
  <c r="AK183" i="47" s="1"/>
  <c r="O182" i="47"/>
  <c r="AK182" i="47" s="1"/>
  <c r="O181" i="47"/>
  <c r="AK181" i="47" s="1"/>
  <c r="O180" i="47"/>
  <c r="AK180" i="47" s="1"/>
  <c r="O184" i="47"/>
  <c r="AK184" i="47" s="1"/>
  <c r="O179" i="47"/>
  <c r="AK179" i="47" s="1"/>
  <c r="O176" i="47"/>
  <c r="AK176" i="47" s="1"/>
  <c r="O172" i="47"/>
  <c r="AK172" i="47" s="1"/>
  <c r="O177" i="47"/>
  <c r="AK177" i="47" s="1"/>
  <c r="O173" i="47"/>
  <c r="AK173" i="47" s="1"/>
  <c r="O171" i="47"/>
  <c r="AK171" i="47" s="1"/>
  <c r="O178" i="47"/>
  <c r="AK178" i="47" s="1"/>
  <c r="O174" i="47"/>
  <c r="AK174" i="47" s="1"/>
  <c r="O175" i="47"/>
  <c r="AK175" i="47" s="1"/>
  <c r="O170" i="47"/>
  <c r="AK170" i="47" s="1"/>
  <c r="O166" i="47"/>
  <c r="AK166" i="47" s="1"/>
  <c r="O169" i="47"/>
  <c r="AK169" i="47" s="1"/>
  <c r="O165" i="47"/>
  <c r="AK165" i="47" s="1"/>
  <c r="O163" i="47"/>
  <c r="AK163" i="47" s="1"/>
  <c r="O162" i="47"/>
  <c r="AK162" i="47" s="1"/>
  <c r="O161" i="47"/>
  <c r="AK161" i="47" s="1"/>
  <c r="O160" i="47"/>
  <c r="AK160" i="47" s="1"/>
  <c r="O159" i="47"/>
  <c r="AK159" i="47" s="1"/>
  <c r="O158" i="47"/>
  <c r="AK158" i="47" s="1"/>
  <c r="O157" i="47"/>
  <c r="AK157" i="47" s="1"/>
  <c r="O156" i="47"/>
  <c r="AK156" i="47" s="1"/>
  <c r="O155" i="47"/>
  <c r="AK155" i="47" s="1"/>
  <c r="O167" i="47"/>
  <c r="AK167" i="47" s="1"/>
  <c r="O151" i="47"/>
  <c r="AK151" i="47" s="1"/>
  <c r="O150" i="47"/>
  <c r="AK150" i="47" s="1"/>
  <c r="O149" i="47"/>
  <c r="AK149" i="47" s="1"/>
  <c r="O148" i="47"/>
  <c r="AK148" i="47" s="1"/>
  <c r="O147" i="47"/>
  <c r="AK147" i="47" s="1"/>
  <c r="O168" i="47"/>
  <c r="AK168" i="47" s="1"/>
  <c r="O154" i="47"/>
  <c r="AK154" i="47" s="1"/>
  <c r="O153" i="47"/>
  <c r="AK153" i="47" s="1"/>
  <c r="O152" i="47"/>
  <c r="AK152" i="47" s="1"/>
  <c r="O164" i="47"/>
  <c r="AK164" i="47" s="1"/>
  <c r="O146" i="47"/>
  <c r="AK146" i="47" s="1"/>
  <c r="O145" i="47"/>
  <c r="AK145" i="47" s="1"/>
  <c r="O144" i="47"/>
  <c r="AK144" i="47" s="1"/>
  <c r="O143" i="47"/>
  <c r="AK143" i="47" s="1"/>
  <c r="O141" i="47"/>
  <c r="AK141" i="47" s="1"/>
  <c r="O139" i="47"/>
  <c r="AK139" i="47" s="1"/>
  <c r="O137" i="47"/>
  <c r="AK137" i="47" s="1"/>
  <c r="O134" i="47"/>
  <c r="AK134" i="47" s="1"/>
  <c r="O142" i="47"/>
  <c r="AK142" i="47" s="1"/>
  <c r="O140" i="47"/>
  <c r="AK140" i="47" s="1"/>
  <c r="O138" i="47"/>
  <c r="AK138" i="47" s="1"/>
  <c r="O136" i="47"/>
  <c r="AK136" i="47" s="1"/>
  <c r="O135" i="47"/>
  <c r="AK135" i="47" s="1"/>
  <c r="O133" i="47"/>
  <c r="AK133" i="47" s="1"/>
  <c r="O132" i="47"/>
  <c r="AK132" i="47" s="1"/>
  <c r="O131" i="47"/>
  <c r="AK131" i="47" s="1"/>
  <c r="O130" i="47"/>
  <c r="AK130" i="47" s="1"/>
  <c r="O129" i="47"/>
  <c r="AK129" i="47" s="1"/>
  <c r="O128" i="47"/>
  <c r="AK128" i="47" s="1"/>
  <c r="O127" i="47"/>
  <c r="AK127" i="47" s="1"/>
  <c r="O126" i="47"/>
  <c r="AK126" i="47" s="1"/>
  <c r="O125" i="47"/>
  <c r="AK125" i="47" s="1"/>
  <c r="O124" i="47"/>
  <c r="AK124" i="47" s="1"/>
  <c r="O123" i="47"/>
  <c r="AK123" i="47" s="1"/>
  <c r="O122" i="47"/>
  <c r="AK122" i="47" s="1"/>
  <c r="O121" i="47"/>
  <c r="AK121" i="47" s="1"/>
  <c r="O120" i="47"/>
  <c r="AK120" i="47" s="1"/>
  <c r="O119" i="47"/>
  <c r="AK119" i="47" s="1"/>
  <c r="O116" i="47"/>
  <c r="AK116" i="47" s="1"/>
  <c r="O115" i="47"/>
  <c r="AK115" i="47" s="1"/>
  <c r="O114" i="47"/>
  <c r="AK114" i="47" s="1"/>
  <c r="O113" i="47"/>
  <c r="AK113" i="47" s="1"/>
  <c r="O112" i="47"/>
  <c r="AK112" i="47" s="1"/>
  <c r="O111" i="47"/>
  <c r="AK111" i="47" s="1"/>
  <c r="O110" i="47"/>
  <c r="AK110" i="47" s="1"/>
  <c r="O109" i="47"/>
  <c r="AK109" i="47" s="1"/>
  <c r="O108" i="47"/>
  <c r="AK108" i="47" s="1"/>
  <c r="O107" i="47"/>
  <c r="AK107" i="47" s="1"/>
  <c r="O106" i="47"/>
  <c r="AK106" i="47" s="1"/>
  <c r="O103" i="47"/>
  <c r="AK103" i="47" s="1"/>
  <c r="O100" i="47"/>
  <c r="AK100" i="47" s="1"/>
  <c r="O99" i="47"/>
  <c r="AK99" i="47" s="1"/>
  <c r="O98" i="47"/>
  <c r="AK98" i="47" s="1"/>
  <c r="O97" i="47"/>
  <c r="AK97" i="47" s="1"/>
  <c r="O96" i="47"/>
  <c r="AK96" i="47" s="1"/>
  <c r="O95" i="47"/>
  <c r="AK95" i="47" s="1"/>
  <c r="O94" i="47"/>
  <c r="AK94" i="47" s="1"/>
  <c r="O93" i="47"/>
  <c r="AK93" i="47" s="1"/>
  <c r="O92" i="47"/>
  <c r="AK92" i="47" s="1"/>
  <c r="O118" i="47"/>
  <c r="AK118" i="47" s="1"/>
  <c r="O102" i="47"/>
  <c r="AK102" i="47" s="1"/>
  <c r="O105" i="47"/>
  <c r="AK105" i="47" s="1"/>
  <c r="O101" i="47"/>
  <c r="AK101" i="47" s="1"/>
  <c r="O91" i="47"/>
  <c r="AK91" i="47" s="1"/>
  <c r="O90" i="47"/>
  <c r="AK90" i="47" s="1"/>
  <c r="O89" i="47"/>
  <c r="AK89" i="47" s="1"/>
  <c r="O88" i="47"/>
  <c r="AK88" i="47" s="1"/>
  <c r="O87" i="47"/>
  <c r="AK87" i="47" s="1"/>
  <c r="O86" i="47"/>
  <c r="AK86" i="47" s="1"/>
  <c r="O85" i="47"/>
  <c r="AK85" i="47" s="1"/>
  <c r="O84" i="47"/>
  <c r="AK84" i="47" s="1"/>
  <c r="O83" i="47"/>
  <c r="AK83" i="47" s="1"/>
  <c r="O82" i="47"/>
  <c r="AK82" i="47" s="1"/>
  <c r="O104" i="47"/>
  <c r="AK104" i="47" s="1"/>
  <c r="O80" i="47"/>
  <c r="AK80" i="47" s="1"/>
  <c r="O117" i="47"/>
  <c r="AK117" i="47" s="1"/>
  <c r="O79" i="47"/>
  <c r="AK79" i="47" s="1"/>
  <c r="O77" i="47"/>
  <c r="AK77" i="47" s="1"/>
  <c r="O76" i="47"/>
  <c r="AK76" i="47" s="1"/>
  <c r="O75" i="47"/>
  <c r="AK75" i="47" s="1"/>
  <c r="O81" i="47"/>
  <c r="AK81" i="47" s="1"/>
  <c r="O71" i="47"/>
  <c r="AK71" i="47" s="1"/>
  <c r="O67" i="47"/>
  <c r="AK67" i="47" s="1"/>
  <c r="O63" i="47"/>
  <c r="AK63" i="47" s="1"/>
  <c r="O59" i="47"/>
  <c r="AK59" i="47" s="1"/>
  <c r="O55" i="47"/>
  <c r="AK55" i="47" s="1"/>
  <c r="O52" i="47"/>
  <c r="AK52" i="47" s="1"/>
  <c r="O48" i="47"/>
  <c r="AK48" i="47" s="1"/>
  <c r="O44" i="47"/>
  <c r="AK44" i="47" s="1"/>
  <c r="O40" i="47"/>
  <c r="AK40" i="47" s="1"/>
  <c r="O38" i="47"/>
  <c r="AK38" i="47" s="1"/>
  <c r="O37" i="47"/>
  <c r="AK37" i="47" s="1"/>
  <c r="O36" i="47"/>
  <c r="AK36" i="47" s="1"/>
  <c r="O35" i="47"/>
  <c r="AK35" i="47" s="1"/>
  <c r="O34" i="47"/>
  <c r="AK34" i="47" s="1"/>
  <c r="O33" i="47"/>
  <c r="AK33" i="47" s="1"/>
  <c r="O32" i="47"/>
  <c r="AK32" i="47" s="1"/>
  <c r="O31" i="47"/>
  <c r="AK31" i="47" s="1"/>
  <c r="O30" i="47"/>
  <c r="AK30" i="47" s="1"/>
  <c r="O29" i="47"/>
  <c r="AK29" i="47" s="1"/>
  <c r="O28" i="47"/>
  <c r="AK28" i="47" s="1"/>
  <c r="O27" i="47"/>
  <c r="AK27" i="47" s="1"/>
  <c r="O26" i="47"/>
  <c r="AK26" i="47" s="1"/>
  <c r="O25" i="47"/>
  <c r="AK25" i="47" s="1"/>
  <c r="O24" i="47"/>
  <c r="AK24" i="47" s="1"/>
  <c r="O23" i="47"/>
  <c r="AK23" i="47" s="1"/>
  <c r="O22" i="47"/>
  <c r="AK22" i="47" s="1"/>
  <c r="O21" i="47"/>
  <c r="AK21" i="47" s="1"/>
  <c r="O20" i="47"/>
  <c r="AK20" i="47" s="1"/>
  <c r="O19" i="47"/>
  <c r="AK19" i="47" s="1"/>
  <c r="O18" i="47"/>
  <c r="AK18" i="47" s="1"/>
  <c r="O17" i="47"/>
  <c r="AK17" i="47" s="1"/>
  <c r="O16" i="47"/>
  <c r="AK16" i="47" s="1"/>
  <c r="O15" i="47"/>
  <c r="AK15" i="47" s="1"/>
  <c r="O14" i="47"/>
  <c r="AK14" i="47" s="1"/>
  <c r="O13" i="47"/>
  <c r="AK13" i="47" s="1"/>
  <c r="O12" i="47"/>
  <c r="AK12" i="47" s="1"/>
  <c r="O78" i="47"/>
  <c r="AK78" i="47" s="1"/>
  <c r="O72" i="47"/>
  <c r="AK72" i="47" s="1"/>
  <c r="O68" i="47"/>
  <c r="AK68" i="47" s="1"/>
  <c r="O64" i="47"/>
  <c r="AK64" i="47" s="1"/>
  <c r="O60" i="47"/>
  <c r="AK60" i="47" s="1"/>
  <c r="O56" i="47"/>
  <c r="AK56" i="47" s="1"/>
  <c r="O51" i="47"/>
  <c r="AK51" i="47" s="1"/>
  <c r="O47" i="47"/>
  <c r="AK47" i="47" s="1"/>
  <c r="O43" i="47"/>
  <c r="AK43" i="47" s="1"/>
  <c r="O39" i="47"/>
  <c r="AK39" i="47" s="1"/>
  <c r="O73" i="47"/>
  <c r="AK73" i="47" s="1"/>
  <c r="O69" i="47"/>
  <c r="AK69" i="47" s="1"/>
  <c r="O65" i="47"/>
  <c r="AK65" i="47" s="1"/>
  <c r="O61" i="47"/>
  <c r="AK61" i="47" s="1"/>
  <c r="O57" i="47"/>
  <c r="AK57" i="47" s="1"/>
  <c r="O54" i="47"/>
  <c r="AK54" i="47" s="1"/>
  <c r="O50" i="47"/>
  <c r="AK50" i="47" s="1"/>
  <c r="O46" i="47"/>
  <c r="AK46" i="47" s="1"/>
  <c r="O42" i="47"/>
  <c r="AK42" i="47" s="1"/>
  <c r="W195" i="47"/>
  <c r="AS195" i="47" s="1"/>
  <c r="W193" i="47"/>
  <c r="AS193" i="47" s="1"/>
  <c r="W191" i="47"/>
  <c r="AS191" i="47" s="1"/>
  <c r="W190" i="47"/>
  <c r="AS190" i="47" s="1"/>
  <c r="W189" i="47"/>
  <c r="AS189" i="47" s="1"/>
  <c r="W194" i="47"/>
  <c r="AS194" i="47" s="1"/>
  <c r="W188" i="47"/>
  <c r="AS188" i="47" s="1"/>
  <c r="W192" i="47"/>
  <c r="AS192" i="47" s="1"/>
  <c r="W186" i="47"/>
  <c r="AS186" i="47" s="1"/>
  <c r="W185" i="47"/>
  <c r="AS185" i="47" s="1"/>
  <c r="W182" i="47"/>
  <c r="AS182" i="47" s="1"/>
  <c r="W181" i="47"/>
  <c r="AS181" i="47" s="1"/>
  <c r="W187" i="47"/>
  <c r="AS187" i="47" s="1"/>
  <c r="W184" i="47"/>
  <c r="AS184" i="47" s="1"/>
  <c r="W180" i="47"/>
  <c r="AS180" i="47" s="1"/>
  <c r="W178" i="47"/>
  <c r="AS178" i="47" s="1"/>
  <c r="W174" i="47"/>
  <c r="AS174" i="47" s="1"/>
  <c r="W175" i="47"/>
  <c r="AS175" i="47" s="1"/>
  <c r="W179" i="47"/>
  <c r="AS179" i="47" s="1"/>
  <c r="W176" i="47"/>
  <c r="AS176" i="47" s="1"/>
  <c r="W172" i="47"/>
  <c r="AS172" i="47" s="1"/>
  <c r="W177" i="47"/>
  <c r="AS177" i="47" s="1"/>
  <c r="W170" i="47"/>
  <c r="AS170" i="47" s="1"/>
  <c r="W166" i="47"/>
  <c r="AS166" i="47" s="1"/>
  <c r="W183" i="47"/>
  <c r="AS183" i="47" s="1"/>
  <c r="W171" i="47"/>
  <c r="AS171" i="47" s="1"/>
  <c r="W169" i="47"/>
  <c r="AS169" i="47" s="1"/>
  <c r="W165" i="47"/>
  <c r="AS165" i="47" s="1"/>
  <c r="W163" i="47"/>
  <c r="AS163" i="47" s="1"/>
  <c r="W162" i="47"/>
  <c r="AS162" i="47" s="1"/>
  <c r="W161" i="47"/>
  <c r="AS161" i="47" s="1"/>
  <c r="W160" i="47"/>
  <c r="AS160" i="47" s="1"/>
  <c r="W159" i="47"/>
  <c r="AS159" i="47" s="1"/>
  <c r="W158" i="47"/>
  <c r="AS158" i="47" s="1"/>
  <c r="W157" i="47"/>
  <c r="AS157" i="47" s="1"/>
  <c r="W156" i="47"/>
  <c r="AS156" i="47" s="1"/>
  <c r="W155" i="47"/>
  <c r="AS155" i="47" s="1"/>
  <c r="W167" i="47"/>
  <c r="AS167" i="47" s="1"/>
  <c r="W164" i="47"/>
  <c r="AS164" i="47" s="1"/>
  <c r="W154" i="47"/>
  <c r="AS154" i="47" s="1"/>
  <c r="W153" i="47"/>
  <c r="AS153" i="47" s="1"/>
  <c r="W152" i="47"/>
  <c r="AS152" i="47" s="1"/>
  <c r="W151" i="47"/>
  <c r="AS151" i="47" s="1"/>
  <c r="W150" i="47"/>
  <c r="AS150" i="47" s="1"/>
  <c r="W149" i="47"/>
  <c r="AS149" i="47" s="1"/>
  <c r="W148" i="47"/>
  <c r="AS148" i="47" s="1"/>
  <c r="W147" i="47"/>
  <c r="AS147" i="47" s="1"/>
  <c r="W146" i="47"/>
  <c r="AS146" i="47" s="1"/>
  <c r="W173" i="47"/>
  <c r="AS173" i="47" s="1"/>
  <c r="W168" i="47"/>
  <c r="AS168" i="47" s="1"/>
  <c r="W145" i="47"/>
  <c r="AS145" i="47" s="1"/>
  <c r="W142" i="47"/>
  <c r="AS142" i="47" s="1"/>
  <c r="W141" i="47"/>
  <c r="AS141" i="47" s="1"/>
  <c r="W140" i="47"/>
  <c r="AS140" i="47" s="1"/>
  <c r="W139" i="47"/>
  <c r="AS139" i="47" s="1"/>
  <c r="W138" i="47"/>
  <c r="AS138" i="47" s="1"/>
  <c r="W137" i="47"/>
  <c r="AS137" i="47" s="1"/>
  <c r="W136" i="47"/>
  <c r="AS136" i="47" s="1"/>
  <c r="W144" i="47"/>
  <c r="AS144" i="47" s="1"/>
  <c r="W143" i="47"/>
  <c r="AS143" i="47" s="1"/>
  <c r="W135" i="47"/>
  <c r="AS135" i="47" s="1"/>
  <c r="W134" i="47"/>
  <c r="AS134" i="47" s="1"/>
  <c r="W133" i="47"/>
  <c r="AS133" i="47" s="1"/>
  <c r="W132" i="47"/>
  <c r="AS132" i="47" s="1"/>
  <c r="W131" i="47"/>
  <c r="AS131" i="47" s="1"/>
  <c r="W130" i="47"/>
  <c r="AS130" i="47" s="1"/>
  <c r="W129" i="47"/>
  <c r="AS129" i="47" s="1"/>
  <c r="W128" i="47"/>
  <c r="AS128" i="47" s="1"/>
  <c r="W127" i="47"/>
  <c r="AS127" i="47" s="1"/>
  <c r="W126" i="47"/>
  <c r="AS126" i="47" s="1"/>
  <c r="W125" i="47"/>
  <c r="AS125" i="47" s="1"/>
  <c r="W124" i="47"/>
  <c r="AS124" i="47" s="1"/>
  <c r="W123" i="47"/>
  <c r="AS123" i="47" s="1"/>
  <c r="W122" i="47"/>
  <c r="AS122" i="47" s="1"/>
  <c r="W121" i="47"/>
  <c r="AS121" i="47" s="1"/>
  <c r="W120" i="47"/>
  <c r="AS120" i="47" s="1"/>
  <c r="W118" i="47"/>
  <c r="AS118" i="47" s="1"/>
  <c r="W117" i="47"/>
  <c r="AS117" i="47" s="1"/>
  <c r="W119" i="47"/>
  <c r="AS119" i="47" s="1"/>
  <c r="W116" i="47"/>
  <c r="AS116" i="47" s="1"/>
  <c r="W115" i="47"/>
  <c r="AS115" i="47" s="1"/>
  <c r="W114" i="47"/>
  <c r="AS114" i="47" s="1"/>
  <c r="W113" i="47"/>
  <c r="AS113" i="47" s="1"/>
  <c r="W112" i="47"/>
  <c r="AS112" i="47" s="1"/>
  <c r="W111" i="47"/>
  <c r="AS111" i="47" s="1"/>
  <c r="W110" i="47"/>
  <c r="AS110" i="47" s="1"/>
  <c r="W109" i="47"/>
  <c r="AS109" i="47" s="1"/>
  <c r="W108" i="47"/>
  <c r="AS108" i="47" s="1"/>
  <c r="W107" i="47"/>
  <c r="AS107" i="47" s="1"/>
  <c r="W106" i="47"/>
  <c r="AS106" i="47" s="1"/>
  <c r="W103" i="47"/>
  <c r="AS103" i="47" s="1"/>
  <c r="W102" i="47"/>
  <c r="AS102" i="47" s="1"/>
  <c r="W105" i="47"/>
  <c r="AS105" i="47" s="1"/>
  <c r="W101" i="47"/>
  <c r="AS101" i="47" s="1"/>
  <c r="W100" i="47"/>
  <c r="AS100" i="47" s="1"/>
  <c r="W99" i="47"/>
  <c r="AS99" i="47" s="1"/>
  <c r="W98" i="47"/>
  <c r="AS98" i="47" s="1"/>
  <c r="W97" i="47"/>
  <c r="AS97" i="47" s="1"/>
  <c r="W96" i="47"/>
  <c r="AS96" i="47" s="1"/>
  <c r="W95" i="47"/>
  <c r="AS95" i="47" s="1"/>
  <c r="W94" i="47"/>
  <c r="AS94" i="47" s="1"/>
  <c r="W93" i="47"/>
  <c r="AS93" i="47" s="1"/>
  <c r="W92" i="47"/>
  <c r="AS92" i="47" s="1"/>
  <c r="W91" i="47"/>
  <c r="AS91" i="47" s="1"/>
  <c r="W90" i="47"/>
  <c r="AS90" i="47" s="1"/>
  <c r="W89" i="47"/>
  <c r="AS89" i="47" s="1"/>
  <c r="W88" i="47"/>
  <c r="AS88" i="47" s="1"/>
  <c r="W87" i="47"/>
  <c r="AS87" i="47" s="1"/>
  <c r="W86" i="47"/>
  <c r="AS86" i="47" s="1"/>
  <c r="W85" i="47"/>
  <c r="AS85" i="47" s="1"/>
  <c r="W84" i="47"/>
  <c r="AS84" i="47" s="1"/>
  <c r="W83" i="47"/>
  <c r="AS83" i="47" s="1"/>
  <c r="W82" i="47"/>
  <c r="AS82" i="47" s="1"/>
  <c r="W81" i="47"/>
  <c r="AS81" i="47" s="1"/>
  <c r="W80" i="47"/>
  <c r="AS80" i="47" s="1"/>
  <c r="W79" i="47"/>
  <c r="AS79" i="47" s="1"/>
  <c r="W104" i="47"/>
  <c r="AS104" i="47" s="1"/>
  <c r="W77" i="47"/>
  <c r="AS77" i="47" s="1"/>
  <c r="W76" i="47"/>
  <c r="AS76" i="47" s="1"/>
  <c r="W75" i="47"/>
  <c r="AS75" i="47" s="1"/>
  <c r="W78" i="47"/>
  <c r="AS78" i="47" s="1"/>
  <c r="W73" i="47"/>
  <c r="AS73" i="47" s="1"/>
  <c r="W69" i="47"/>
  <c r="AS69" i="47" s="1"/>
  <c r="W65" i="47"/>
  <c r="AS65" i="47" s="1"/>
  <c r="W61" i="47"/>
  <c r="AS61" i="47" s="1"/>
  <c r="W57" i="47"/>
  <c r="AS57" i="47" s="1"/>
  <c r="W54" i="47"/>
  <c r="AS54" i="47" s="1"/>
  <c r="W50" i="47"/>
  <c r="AS50" i="47" s="1"/>
  <c r="W46" i="47"/>
  <c r="AS46" i="47" s="1"/>
  <c r="W42" i="47"/>
  <c r="AS42" i="47" s="1"/>
  <c r="W38" i="47"/>
  <c r="AS38" i="47" s="1"/>
  <c r="W37" i="47"/>
  <c r="AS37" i="47" s="1"/>
  <c r="W36" i="47"/>
  <c r="AS36" i="47" s="1"/>
  <c r="W35" i="47"/>
  <c r="AS35" i="47" s="1"/>
  <c r="W34" i="47"/>
  <c r="AS34" i="47" s="1"/>
  <c r="W33" i="47"/>
  <c r="AS33" i="47" s="1"/>
  <c r="W32" i="47"/>
  <c r="AS32" i="47" s="1"/>
  <c r="W31" i="47"/>
  <c r="AS31" i="47" s="1"/>
  <c r="W30" i="47"/>
  <c r="AS30" i="47" s="1"/>
  <c r="W29" i="47"/>
  <c r="AS29" i="47" s="1"/>
  <c r="W28" i="47"/>
  <c r="AS28" i="47" s="1"/>
  <c r="W27" i="47"/>
  <c r="AS27" i="47" s="1"/>
  <c r="W26" i="47"/>
  <c r="AS26" i="47" s="1"/>
  <c r="W25" i="47"/>
  <c r="AS25" i="47" s="1"/>
  <c r="W24" i="47"/>
  <c r="AS24" i="47" s="1"/>
  <c r="W23" i="47"/>
  <c r="AS23" i="47" s="1"/>
  <c r="W22" i="47"/>
  <c r="AS22" i="47" s="1"/>
  <c r="W21" i="47"/>
  <c r="AS21" i="47" s="1"/>
  <c r="W20" i="47"/>
  <c r="AS20" i="47" s="1"/>
  <c r="W19" i="47"/>
  <c r="AS19" i="47" s="1"/>
  <c r="W18" i="47"/>
  <c r="AS18" i="47" s="1"/>
  <c r="W17" i="47"/>
  <c r="AS17" i="47" s="1"/>
  <c r="W16" i="47"/>
  <c r="AS16" i="47" s="1"/>
  <c r="W15" i="47"/>
  <c r="AS15" i="47" s="1"/>
  <c r="W14" i="47"/>
  <c r="AS14" i="47" s="1"/>
  <c r="W13" i="47"/>
  <c r="AS13" i="47" s="1"/>
  <c r="W12" i="47"/>
  <c r="AS12" i="47" s="1"/>
  <c r="W74" i="47"/>
  <c r="AS74" i="47" s="1"/>
  <c r="W70" i="47"/>
  <c r="AS70" i="47" s="1"/>
  <c r="W66" i="47"/>
  <c r="AS66" i="47" s="1"/>
  <c r="W62" i="47"/>
  <c r="AS62" i="47" s="1"/>
  <c r="W58" i="47"/>
  <c r="AS58" i="47" s="1"/>
  <c r="W53" i="47"/>
  <c r="AS53" i="47" s="1"/>
  <c r="W49" i="47"/>
  <c r="AS49" i="47" s="1"/>
  <c r="W45" i="47"/>
  <c r="AS45" i="47" s="1"/>
  <c r="W41" i="47"/>
  <c r="AS41" i="47" s="1"/>
  <c r="W71" i="47"/>
  <c r="AS71" i="47" s="1"/>
  <c r="W67" i="47"/>
  <c r="AS67" i="47" s="1"/>
  <c r="W63" i="47"/>
  <c r="AS63" i="47" s="1"/>
  <c r="W59" i="47"/>
  <c r="AS59" i="47" s="1"/>
  <c r="W55" i="47"/>
  <c r="AS55" i="47" s="1"/>
  <c r="W52" i="47"/>
  <c r="AS52" i="47" s="1"/>
  <c r="W48" i="47"/>
  <c r="AS48" i="47" s="1"/>
  <c r="W44" i="47"/>
  <c r="AS44" i="47" s="1"/>
  <c r="W40" i="47"/>
  <c r="AS40" i="47" s="1"/>
  <c r="S6" i="47"/>
  <c r="AO6" i="47" s="1"/>
  <c r="W6" i="47"/>
  <c r="AS6" i="47" s="1"/>
  <c r="AA6" i="47"/>
  <c r="AW6" i="47" s="1"/>
  <c r="S7" i="47"/>
  <c r="AO7" i="47" s="1"/>
  <c r="W8" i="47"/>
  <c r="AS8" i="47" s="1"/>
  <c r="W9" i="47"/>
  <c r="AS9" i="47" s="1"/>
  <c r="AA9" i="47"/>
  <c r="AW9" i="47" s="1"/>
  <c r="S10" i="47"/>
  <c r="AO10" i="47" s="1"/>
  <c r="W11" i="47"/>
  <c r="AS11" i="47" s="1"/>
  <c r="W56" i="47"/>
  <c r="AS56" i="47" s="1"/>
  <c r="M195" i="47"/>
  <c r="AI195" i="47" s="1"/>
  <c r="M194" i="47"/>
  <c r="AI194" i="47" s="1"/>
  <c r="M193" i="47"/>
  <c r="AI193" i="47" s="1"/>
  <c r="M192" i="47"/>
  <c r="AI192" i="47" s="1"/>
  <c r="M191" i="47"/>
  <c r="AI191" i="47" s="1"/>
  <c r="M190" i="47"/>
  <c r="AI190" i="47" s="1"/>
  <c r="M189" i="47"/>
  <c r="AI189" i="47" s="1"/>
  <c r="M188" i="47"/>
  <c r="AI188" i="47" s="1"/>
  <c r="M187" i="47"/>
  <c r="AI187" i="47" s="1"/>
  <c r="M186" i="47"/>
  <c r="AI186" i="47" s="1"/>
  <c r="M185" i="47"/>
  <c r="AI185" i="47" s="1"/>
  <c r="M184" i="47"/>
  <c r="AI184" i="47" s="1"/>
  <c r="M182" i="47"/>
  <c r="AI182" i="47" s="1"/>
  <c r="M179" i="47"/>
  <c r="AI179" i="47" s="1"/>
  <c r="M178" i="47"/>
  <c r="AI178" i="47" s="1"/>
  <c r="M177" i="47"/>
  <c r="AI177" i="47" s="1"/>
  <c r="M176" i="47"/>
  <c r="AI176" i="47" s="1"/>
  <c r="M175" i="47"/>
  <c r="AI175" i="47" s="1"/>
  <c r="M174" i="47"/>
  <c r="AI174" i="47" s="1"/>
  <c r="M173" i="47"/>
  <c r="AI173" i="47" s="1"/>
  <c r="M180" i="47"/>
  <c r="AI180" i="47" s="1"/>
  <c r="M183" i="47"/>
  <c r="AI183" i="47" s="1"/>
  <c r="M172" i="47"/>
  <c r="AI172" i="47" s="1"/>
  <c r="M170" i="47"/>
  <c r="AI170" i="47" s="1"/>
  <c r="M169" i="47"/>
  <c r="AI169" i="47" s="1"/>
  <c r="M168" i="47"/>
  <c r="AI168" i="47" s="1"/>
  <c r="M167" i="47"/>
  <c r="AI167" i="47" s="1"/>
  <c r="M166" i="47"/>
  <c r="AI166" i="47" s="1"/>
  <c r="M165" i="47"/>
  <c r="AI165" i="47" s="1"/>
  <c r="M164" i="47"/>
  <c r="AI164" i="47" s="1"/>
  <c r="M171" i="47"/>
  <c r="AI171" i="47" s="1"/>
  <c r="M181" i="47"/>
  <c r="AI181" i="47" s="1"/>
  <c r="M163" i="47"/>
  <c r="AI163" i="47" s="1"/>
  <c r="M162" i="47"/>
  <c r="AI162" i="47" s="1"/>
  <c r="M161" i="47"/>
  <c r="AI161" i="47" s="1"/>
  <c r="M160" i="47"/>
  <c r="AI160" i="47" s="1"/>
  <c r="M159" i="47"/>
  <c r="AI159" i="47" s="1"/>
  <c r="M158" i="47"/>
  <c r="AI158" i="47" s="1"/>
  <c r="M157" i="47"/>
  <c r="AI157" i="47" s="1"/>
  <c r="M156" i="47"/>
  <c r="AI156" i="47" s="1"/>
  <c r="M155" i="47"/>
  <c r="AI155" i="47" s="1"/>
  <c r="M154" i="47"/>
  <c r="AI154" i="47" s="1"/>
  <c r="M153" i="47"/>
  <c r="AI153" i="47" s="1"/>
  <c r="M152" i="47"/>
  <c r="AI152" i="47" s="1"/>
  <c r="M151" i="47"/>
  <c r="AI151" i="47" s="1"/>
  <c r="M150" i="47"/>
  <c r="AI150" i="47" s="1"/>
  <c r="M149" i="47"/>
  <c r="AI149" i="47" s="1"/>
  <c r="M148" i="47"/>
  <c r="AI148" i="47" s="1"/>
  <c r="M147" i="47"/>
  <c r="AI147" i="47" s="1"/>
  <c r="M146" i="47"/>
  <c r="AI146" i="47" s="1"/>
  <c r="M145" i="47"/>
  <c r="AI145" i="47" s="1"/>
  <c r="M144" i="47"/>
  <c r="AI144" i="47" s="1"/>
  <c r="M143" i="47"/>
  <c r="AI143" i="47" s="1"/>
  <c r="M142" i="47"/>
  <c r="AI142" i="47" s="1"/>
  <c r="M141" i="47"/>
  <c r="AI141" i="47" s="1"/>
  <c r="M140" i="47"/>
  <c r="AI140" i="47" s="1"/>
  <c r="M139" i="47"/>
  <c r="AI139" i="47" s="1"/>
  <c r="M138" i="47"/>
  <c r="AI138" i="47" s="1"/>
  <c r="M137" i="47"/>
  <c r="AI137" i="47" s="1"/>
  <c r="M136" i="47"/>
  <c r="AI136" i="47" s="1"/>
  <c r="M135" i="47"/>
  <c r="AI135" i="47" s="1"/>
  <c r="M133" i="47"/>
  <c r="AI133" i="47" s="1"/>
  <c r="M132" i="47"/>
  <c r="AI132" i="47" s="1"/>
  <c r="M131" i="47"/>
  <c r="AI131" i="47" s="1"/>
  <c r="M130" i="47"/>
  <c r="AI130" i="47" s="1"/>
  <c r="M129" i="47"/>
  <c r="AI129" i="47" s="1"/>
  <c r="M128" i="47"/>
  <c r="AI128" i="47" s="1"/>
  <c r="M127" i="47"/>
  <c r="AI127" i="47" s="1"/>
  <c r="M126" i="47"/>
  <c r="AI126" i="47" s="1"/>
  <c r="M125" i="47"/>
  <c r="AI125" i="47" s="1"/>
  <c r="M124" i="47"/>
  <c r="AI124" i="47" s="1"/>
  <c r="M123" i="47"/>
  <c r="AI123" i="47" s="1"/>
  <c r="M122" i="47"/>
  <c r="AI122" i="47" s="1"/>
  <c r="M121" i="47"/>
  <c r="AI121" i="47" s="1"/>
  <c r="M120" i="47"/>
  <c r="AI120" i="47" s="1"/>
  <c r="M119" i="47"/>
  <c r="AI119" i="47" s="1"/>
  <c r="M118" i="47"/>
  <c r="AI118" i="47" s="1"/>
  <c r="M117" i="47"/>
  <c r="AI117" i="47" s="1"/>
  <c r="M134" i="47"/>
  <c r="AI134" i="47" s="1"/>
  <c r="M116" i="47"/>
  <c r="AI116" i="47" s="1"/>
  <c r="M115" i="47"/>
  <c r="AI115" i="47" s="1"/>
  <c r="M114" i="47"/>
  <c r="AI114" i="47" s="1"/>
  <c r="M113" i="47"/>
  <c r="AI113" i="47" s="1"/>
  <c r="M112" i="47"/>
  <c r="AI112" i="47" s="1"/>
  <c r="M111" i="47"/>
  <c r="AI111" i="47" s="1"/>
  <c r="M110" i="47"/>
  <c r="AI110" i="47" s="1"/>
  <c r="M109" i="47"/>
  <c r="AI109" i="47" s="1"/>
  <c r="M108" i="47"/>
  <c r="AI108" i="47" s="1"/>
  <c r="M107" i="47"/>
  <c r="AI107" i="47" s="1"/>
  <c r="M106" i="47"/>
  <c r="AI106" i="47" s="1"/>
  <c r="M105" i="47"/>
  <c r="AI105" i="47" s="1"/>
  <c r="M104" i="47"/>
  <c r="AI104" i="47" s="1"/>
  <c r="M103" i="47"/>
  <c r="AI103" i="47" s="1"/>
  <c r="M102" i="47"/>
  <c r="AI102" i="47" s="1"/>
  <c r="M101" i="47"/>
  <c r="AI101" i="47" s="1"/>
  <c r="M100" i="47"/>
  <c r="AI100" i="47" s="1"/>
  <c r="M99" i="47"/>
  <c r="AI99" i="47" s="1"/>
  <c r="M98" i="47"/>
  <c r="AI98" i="47" s="1"/>
  <c r="M97" i="47"/>
  <c r="AI97" i="47" s="1"/>
  <c r="M96" i="47"/>
  <c r="AI96" i="47" s="1"/>
  <c r="M95" i="47"/>
  <c r="AI95" i="47" s="1"/>
  <c r="M94" i="47"/>
  <c r="AI94" i="47" s="1"/>
  <c r="M93" i="47"/>
  <c r="AI93" i="47" s="1"/>
  <c r="M92" i="47"/>
  <c r="AI92" i="47" s="1"/>
  <c r="M91" i="47"/>
  <c r="AI91" i="47" s="1"/>
  <c r="M90" i="47"/>
  <c r="AI90" i="47" s="1"/>
  <c r="M89" i="47"/>
  <c r="AI89" i="47" s="1"/>
  <c r="M88" i="47"/>
  <c r="AI88" i="47" s="1"/>
  <c r="M87" i="47"/>
  <c r="AI87" i="47" s="1"/>
  <c r="M86" i="47"/>
  <c r="AI86" i="47" s="1"/>
  <c r="M85" i="47"/>
  <c r="AI85" i="47" s="1"/>
  <c r="M84" i="47"/>
  <c r="AI84" i="47" s="1"/>
  <c r="M83" i="47"/>
  <c r="AI83" i="47" s="1"/>
  <c r="M82" i="47"/>
  <c r="AI82" i="47" s="1"/>
  <c r="M81" i="47"/>
  <c r="AI81" i="47" s="1"/>
  <c r="M80" i="47"/>
  <c r="AI80" i="47" s="1"/>
  <c r="M79" i="47"/>
  <c r="AI79" i="47" s="1"/>
  <c r="M78" i="47"/>
  <c r="AI78" i="47" s="1"/>
  <c r="M77" i="47"/>
  <c r="AI77" i="47" s="1"/>
  <c r="M76" i="47"/>
  <c r="AI76" i="47" s="1"/>
  <c r="M75" i="47"/>
  <c r="AI75" i="47" s="1"/>
  <c r="M74" i="47"/>
  <c r="AI74" i="47" s="1"/>
  <c r="M73" i="47"/>
  <c r="AI73" i="47" s="1"/>
  <c r="M72" i="47"/>
  <c r="AI72" i="47" s="1"/>
  <c r="M71" i="47"/>
  <c r="AI71" i="47" s="1"/>
  <c r="M70" i="47"/>
  <c r="AI70" i="47" s="1"/>
  <c r="M69" i="47"/>
  <c r="AI69" i="47" s="1"/>
  <c r="M68" i="47"/>
  <c r="AI68" i="47" s="1"/>
  <c r="M67" i="47"/>
  <c r="AI67" i="47" s="1"/>
  <c r="M66" i="47"/>
  <c r="AI66" i="47" s="1"/>
  <c r="M65" i="47"/>
  <c r="AI65" i="47" s="1"/>
  <c r="M64" i="47"/>
  <c r="AI64" i="47" s="1"/>
  <c r="M63" i="47"/>
  <c r="AI63" i="47" s="1"/>
  <c r="M62" i="47"/>
  <c r="AI62" i="47" s="1"/>
  <c r="M61" i="47"/>
  <c r="AI61" i="47" s="1"/>
  <c r="M60" i="47"/>
  <c r="AI60" i="47" s="1"/>
  <c r="M59" i="47"/>
  <c r="AI59" i="47" s="1"/>
  <c r="M58" i="47"/>
  <c r="AI58" i="47" s="1"/>
  <c r="M57" i="47"/>
  <c r="AI57" i="47" s="1"/>
  <c r="M56" i="47"/>
  <c r="AI56" i="47" s="1"/>
  <c r="M55" i="47"/>
  <c r="AI55" i="47" s="1"/>
  <c r="M53" i="47"/>
  <c r="AI53" i="47" s="1"/>
  <c r="M49" i="47"/>
  <c r="AI49" i="47" s="1"/>
  <c r="M45" i="47"/>
  <c r="AI45" i="47" s="1"/>
  <c r="M41" i="47"/>
  <c r="AI41" i="47" s="1"/>
  <c r="M52" i="47"/>
  <c r="AI52" i="47" s="1"/>
  <c r="M48" i="47"/>
  <c r="AI48" i="47" s="1"/>
  <c r="M44" i="47"/>
  <c r="AI44" i="47" s="1"/>
  <c r="M40" i="47"/>
  <c r="AI40" i="47" s="1"/>
  <c r="M51" i="47"/>
  <c r="AI51" i="47" s="1"/>
  <c r="M47" i="47"/>
  <c r="AI47" i="47" s="1"/>
  <c r="M43" i="47"/>
  <c r="AI43" i="47" s="1"/>
  <c r="M39" i="47"/>
  <c r="AI39" i="47" s="1"/>
  <c r="M38" i="47"/>
  <c r="AI38" i="47" s="1"/>
  <c r="M37" i="47"/>
  <c r="AI37" i="47" s="1"/>
  <c r="M36" i="47"/>
  <c r="AI36" i="47" s="1"/>
  <c r="M35" i="47"/>
  <c r="AI35" i="47" s="1"/>
  <c r="M34" i="47"/>
  <c r="AI34" i="47" s="1"/>
  <c r="M33" i="47"/>
  <c r="AI33" i="47" s="1"/>
  <c r="M32" i="47"/>
  <c r="AI32" i="47" s="1"/>
  <c r="M31" i="47"/>
  <c r="AI31" i="47" s="1"/>
  <c r="M30" i="47"/>
  <c r="AI30" i="47" s="1"/>
  <c r="M29" i="47"/>
  <c r="AI29" i="47" s="1"/>
  <c r="M28" i="47"/>
  <c r="AI28" i="47" s="1"/>
  <c r="M27" i="47"/>
  <c r="AI27" i="47" s="1"/>
  <c r="M26" i="47"/>
  <c r="AI26" i="47" s="1"/>
  <c r="M25" i="47"/>
  <c r="AI25" i="47" s="1"/>
  <c r="M24" i="47"/>
  <c r="AI24" i="47" s="1"/>
  <c r="M23" i="47"/>
  <c r="AI23" i="47" s="1"/>
  <c r="M22" i="47"/>
  <c r="AI22" i="47" s="1"/>
  <c r="M21" i="47"/>
  <c r="AI21" i="47" s="1"/>
  <c r="M20" i="47"/>
  <c r="AI20" i="47" s="1"/>
  <c r="M19" i="47"/>
  <c r="AI19" i="47" s="1"/>
  <c r="M18" i="47"/>
  <c r="AI18" i="47" s="1"/>
  <c r="M17" i="47"/>
  <c r="AI17" i="47" s="1"/>
  <c r="M16" i="47"/>
  <c r="AI16" i="47" s="1"/>
  <c r="M15" i="47"/>
  <c r="AI15" i="47" s="1"/>
  <c r="Q195" i="47"/>
  <c r="AM195" i="47" s="1"/>
  <c r="Q194" i="47"/>
  <c r="AM194" i="47" s="1"/>
  <c r="Q193" i="47"/>
  <c r="AM193" i="47" s="1"/>
  <c r="Q192" i="47"/>
  <c r="AM192" i="47" s="1"/>
  <c r="Q191" i="47"/>
  <c r="AM191" i="47" s="1"/>
  <c r="Q190" i="47"/>
  <c r="AM190" i="47" s="1"/>
  <c r="Q189" i="47"/>
  <c r="AM189" i="47" s="1"/>
  <c r="Q188" i="47"/>
  <c r="AM188" i="47" s="1"/>
  <c r="Q187" i="47"/>
  <c r="AM187" i="47" s="1"/>
  <c r="Q186" i="47"/>
  <c r="AM186" i="47" s="1"/>
  <c r="Q185" i="47"/>
  <c r="AM185" i="47" s="1"/>
  <c r="Q184" i="47"/>
  <c r="AM184" i="47" s="1"/>
  <c r="Q183" i="47"/>
  <c r="AM183" i="47" s="1"/>
  <c r="Q181" i="47"/>
  <c r="AM181" i="47" s="1"/>
  <c r="Q180" i="47"/>
  <c r="AM180" i="47" s="1"/>
  <c r="Q179" i="47"/>
  <c r="AM179" i="47" s="1"/>
  <c r="Q178" i="47"/>
  <c r="AM178" i="47" s="1"/>
  <c r="Q177" i="47"/>
  <c r="AM177" i="47" s="1"/>
  <c r="Q176" i="47"/>
  <c r="AM176" i="47" s="1"/>
  <c r="Q175" i="47"/>
  <c r="AM175" i="47" s="1"/>
  <c r="Q174" i="47"/>
  <c r="AM174" i="47" s="1"/>
  <c r="Q173" i="47"/>
  <c r="AM173" i="47" s="1"/>
  <c r="Q182" i="47"/>
  <c r="AM182" i="47" s="1"/>
  <c r="Q170" i="47"/>
  <c r="AM170" i="47" s="1"/>
  <c r="Q169" i="47"/>
  <c r="AM169" i="47" s="1"/>
  <c r="Q168" i="47"/>
  <c r="AM168" i="47" s="1"/>
  <c r="Q167" i="47"/>
  <c r="AM167" i="47" s="1"/>
  <c r="Q166" i="47"/>
  <c r="AM166" i="47" s="1"/>
  <c r="Q165" i="47"/>
  <c r="AM165" i="47" s="1"/>
  <c r="Q164" i="47"/>
  <c r="AM164" i="47" s="1"/>
  <c r="Q172" i="47"/>
  <c r="AM172" i="47" s="1"/>
  <c r="Q171" i="47"/>
  <c r="AM171" i="47" s="1"/>
  <c r="Q163" i="47"/>
  <c r="AM163" i="47" s="1"/>
  <c r="Q162" i="47"/>
  <c r="AM162" i="47" s="1"/>
  <c r="Q161" i="47"/>
  <c r="AM161" i="47" s="1"/>
  <c r="Q160" i="47"/>
  <c r="AM160" i="47" s="1"/>
  <c r="Q159" i="47"/>
  <c r="AM159" i="47" s="1"/>
  <c r="Q158" i="47"/>
  <c r="AM158" i="47" s="1"/>
  <c r="Q157" i="47"/>
  <c r="AM157" i="47" s="1"/>
  <c r="Q156" i="47"/>
  <c r="AM156" i="47" s="1"/>
  <c r="Q155" i="47"/>
  <c r="AM155" i="47" s="1"/>
  <c r="Q154" i="47"/>
  <c r="AM154" i="47" s="1"/>
  <c r="Q153" i="47"/>
  <c r="AM153" i="47" s="1"/>
  <c r="Q152" i="47"/>
  <c r="AM152" i="47" s="1"/>
  <c r="Q151" i="47"/>
  <c r="AM151" i="47" s="1"/>
  <c r="Q150" i="47"/>
  <c r="AM150" i="47" s="1"/>
  <c r="Q149" i="47"/>
  <c r="AM149" i="47" s="1"/>
  <c r="Q148" i="47"/>
  <c r="AM148" i="47" s="1"/>
  <c r="Q147" i="47"/>
  <c r="AM147" i="47" s="1"/>
  <c r="Q146" i="47"/>
  <c r="AM146" i="47" s="1"/>
  <c r="Q145" i="47"/>
  <c r="AM145" i="47" s="1"/>
  <c r="Q144" i="47"/>
  <c r="AM144" i="47" s="1"/>
  <c r="Q143" i="47"/>
  <c r="AM143" i="47" s="1"/>
  <c r="Q142" i="47"/>
  <c r="AM142" i="47" s="1"/>
  <c r="Q141" i="47"/>
  <c r="AM141" i="47" s="1"/>
  <c r="Q140" i="47"/>
  <c r="AM140" i="47" s="1"/>
  <c r="Q139" i="47"/>
  <c r="AM139" i="47" s="1"/>
  <c r="Q138" i="47"/>
  <c r="AM138" i="47" s="1"/>
  <c r="Q137" i="47"/>
  <c r="AM137" i="47" s="1"/>
  <c r="Q136" i="47"/>
  <c r="AM136" i="47" s="1"/>
  <c r="Q135" i="47"/>
  <c r="AM135" i="47" s="1"/>
  <c r="Q134" i="47"/>
  <c r="AM134" i="47" s="1"/>
  <c r="Q133" i="47"/>
  <c r="AM133" i="47" s="1"/>
  <c r="Q132" i="47"/>
  <c r="AM132" i="47" s="1"/>
  <c r="Q131" i="47"/>
  <c r="AM131" i="47" s="1"/>
  <c r="Q130" i="47"/>
  <c r="AM130" i="47" s="1"/>
  <c r="Q129" i="47"/>
  <c r="AM129" i="47" s="1"/>
  <c r="Q128" i="47"/>
  <c r="AM128" i="47" s="1"/>
  <c r="Q127" i="47"/>
  <c r="AM127" i="47" s="1"/>
  <c r="Q126" i="47"/>
  <c r="AM126" i="47" s="1"/>
  <c r="Q125" i="47"/>
  <c r="AM125" i="47" s="1"/>
  <c r="Q124" i="47"/>
  <c r="AM124" i="47" s="1"/>
  <c r="Q123" i="47"/>
  <c r="AM123" i="47" s="1"/>
  <c r="Q122" i="47"/>
  <c r="AM122" i="47" s="1"/>
  <c r="Q121" i="47"/>
  <c r="AM121" i="47" s="1"/>
  <c r="Q120" i="47"/>
  <c r="AM120" i="47" s="1"/>
  <c r="Q119" i="47"/>
  <c r="AM119" i="47" s="1"/>
  <c r="Q118" i="47"/>
  <c r="AM118" i="47" s="1"/>
  <c r="Q117" i="47"/>
  <c r="AM117" i="47" s="1"/>
  <c r="Q116" i="47"/>
  <c r="AM116" i="47" s="1"/>
  <c r="Q115" i="47"/>
  <c r="AM115" i="47" s="1"/>
  <c r="Q114" i="47"/>
  <c r="AM114" i="47" s="1"/>
  <c r="Q113" i="47"/>
  <c r="AM113" i="47" s="1"/>
  <c r="Q112" i="47"/>
  <c r="AM112" i="47" s="1"/>
  <c r="Q111" i="47"/>
  <c r="AM111" i="47" s="1"/>
  <c r="Q110" i="47"/>
  <c r="AM110" i="47" s="1"/>
  <c r="Q109" i="47"/>
  <c r="AM109" i="47" s="1"/>
  <c r="Q108" i="47"/>
  <c r="AM108" i="47" s="1"/>
  <c r="Q107" i="47"/>
  <c r="AM107" i="47" s="1"/>
  <c r="Q106" i="47"/>
  <c r="AM106" i="47" s="1"/>
  <c r="Q105" i="47"/>
  <c r="AM105" i="47" s="1"/>
  <c r="Q104" i="47"/>
  <c r="AM104" i="47" s="1"/>
  <c r="Q103" i="47"/>
  <c r="AM103" i="47" s="1"/>
  <c r="Q102" i="47"/>
  <c r="AM102" i="47" s="1"/>
  <c r="Q101" i="47"/>
  <c r="AM101" i="47" s="1"/>
  <c r="Q100" i="47"/>
  <c r="AM100" i="47" s="1"/>
  <c r="Q99" i="47"/>
  <c r="AM99" i="47" s="1"/>
  <c r="Q98" i="47"/>
  <c r="AM98" i="47" s="1"/>
  <c r="Q97" i="47"/>
  <c r="AM97" i="47" s="1"/>
  <c r="Q96" i="47"/>
  <c r="AM96" i="47" s="1"/>
  <c r="Q95" i="47"/>
  <c r="AM95" i="47" s="1"/>
  <c r="Q94" i="47"/>
  <c r="AM94" i="47" s="1"/>
  <c r="Q93" i="47"/>
  <c r="AM93" i="47" s="1"/>
  <c r="Q92" i="47"/>
  <c r="AM92" i="47" s="1"/>
  <c r="Q91" i="47"/>
  <c r="AM91" i="47" s="1"/>
  <c r="Q90" i="47"/>
  <c r="AM90" i="47" s="1"/>
  <c r="Q89" i="47"/>
  <c r="AM89" i="47" s="1"/>
  <c r="Q88" i="47"/>
  <c r="AM88" i="47" s="1"/>
  <c r="Q87" i="47"/>
  <c r="AM87" i="47" s="1"/>
  <c r="Q86" i="47"/>
  <c r="AM86" i="47" s="1"/>
  <c r="Q85" i="47"/>
  <c r="AM85" i="47" s="1"/>
  <c r="Q84" i="47"/>
  <c r="AM84" i="47" s="1"/>
  <c r="Q83" i="47"/>
  <c r="AM83" i="47" s="1"/>
  <c r="Q82" i="47"/>
  <c r="AM82" i="47" s="1"/>
  <c r="Q81" i="47"/>
  <c r="AM81" i="47" s="1"/>
  <c r="Q80" i="47"/>
  <c r="AM80" i="47" s="1"/>
  <c r="Q79" i="47"/>
  <c r="AM79" i="47" s="1"/>
  <c r="Q78" i="47"/>
  <c r="AM78" i="47" s="1"/>
  <c r="Q77" i="47"/>
  <c r="AM77" i="47" s="1"/>
  <c r="Q76" i="47"/>
  <c r="AM76" i="47" s="1"/>
  <c r="Q75" i="47"/>
  <c r="AM75" i="47" s="1"/>
  <c r="Q74" i="47"/>
  <c r="AM74" i="47" s="1"/>
  <c r="Q73" i="47"/>
  <c r="AM73" i="47" s="1"/>
  <c r="Q72" i="47"/>
  <c r="AM72" i="47" s="1"/>
  <c r="Q71" i="47"/>
  <c r="AM71" i="47" s="1"/>
  <c r="Q70" i="47"/>
  <c r="AM70" i="47" s="1"/>
  <c r="Q69" i="47"/>
  <c r="AM69" i="47" s="1"/>
  <c r="Q68" i="47"/>
  <c r="AM68" i="47" s="1"/>
  <c r="Q67" i="47"/>
  <c r="AM67" i="47" s="1"/>
  <c r="Q66" i="47"/>
  <c r="AM66" i="47" s="1"/>
  <c r="Q65" i="47"/>
  <c r="AM65" i="47" s="1"/>
  <c r="Q64" i="47"/>
  <c r="AM64" i="47" s="1"/>
  <c r="Q63" i="47"/>
  <c r="AM63" i="47" s="1"/>
  <c r="Q62" i="47"/>
  <c r="AM62" i="47" s="1"/>
  <c r="Q61" i="47"/>
  <c r="AM61" i="47" s="1"/>
  <c r="Q60" i="47"/>
  <c r="AM60" i="47" s="1"/>
  <c r="Q59" i="47"/>
  <c r="AM59" i="47" s="1"/>
  <c r="Q58" i="47"/>
  <c r="AM58" i="47" s="1"/>
  <c r="Q57" i="47"/>
  <c r="AM57" i="47" s="1"/>
  <c r="Q56" i="47"/>
  <c r="AM56" i="47" s="1"/>
  <c r="Q55" i="47"/>
  <c r="AM55" i="47" s="1"/>
  <c r="Q54" i="47"/>
  <c r="AM54" i="47" s="1"/>
  <c r="Q50" i="47"/>
  <c r="AM50" i="47" s="1"/>
  <c r="Q46" i="47"/>
  <c r="AM46" i="47" s="1"/>
  <c r="Q42" i="47"/>
  <c r="AM42" i="47" s="1"/>
  <c r="Q53" i="47"/>
  <c r="AM53" i="47" s="1"/>
  <c r="Q49" i="47"/>
  <c r="AM49" i="47" s="1"/>
  <c r="Q45" i="47"/>
  <c r="AM45" i="47" s="1"/>
  <c r="Q41" i="47"/>
  <c r="AM41" i="47" s="1"/>
  <c r="Q52" i="47"/>
  <c r="AM52" i="47" s="1"/>
  <c r="Q48" i="47"/>
  <c r="AM48" i="47" s="1"/>
  <c r="Q44" i="47"/>
  <c r="AM44" i="47" s="1"/>
  <c r="Q40" i="47"/>
  <c r="AM40" i="47" s="1"/>
  <c r="Q38" i="47"/>
  <c r="AM38" i="47" s="1"/>
  <c r="Q37" i="47"/>
  <c r="AM37" i="47" s="1"/>
  <c r="Q36" i="47"/>
  <c r="AM36" i="47" s="1"/>
  <c r="Q35" i="47"/>
  <c r="AM35" i="47" s="1"/>
  <c r="Q34" i="47"/>
  <c r="AM34" i="47" s="1"/>
  <c r="Q33" i="47"/>
  <c r="AM33" i="47" s="1"/>
  <c r="Q32" i="47"/>
  <c r="AM32" i="47" s="1"/>
  <c r="Q31" i="47"/>
  <c r="AM31" i="47" s="1"/>
  <c r="Q30" i="47"/>
  <c r="AM30" i="47" s="1"/>
  <c r="Q29" i="47"/>
  <c r="AM29" i="47" s="1"/>
  <c r="Q28" i="47"/>
  <c r="AM28" i="47" s="1"/>
  <c r="Q27" i="47"/>
  <c r="AM27" i="47" s="1"/>
  <c r="Q26" i="47"/>
  <c r="AM26" i="47" s="1"/>
  <c r="Q25" i="47"/>
  <c r="AM25" i="47" s="1"/>
  <c r="Q24" i="47"/>
  <c r="AM24" i="47" s="1"/>
  <c r="Q23" i="47"/>
  <c r="AM23" i="47" s="1"/>
  <c r="Q22" i="47"/>
  <c r="AM22" i="47" s="1"/>
  <c r="Q21" i="47"/>
  <c r="AM21" i="47" s="1"/>
  <c r="Q20" i="47"/>
  <c r="AM20" i="47" s="1"/>
  <c r="Q19" i="47"/>
  <c r="AM19" i="47" s="1"/>
  <c r="Q18" i="47"/>
  <c r="AM18" i="47" s="1"/>
  <c r="Q17" i="47"/>
  <c r="AM17" i="47" s="1"/>
  <c r="Q16" i="47"/>
  <c r="AM16" i="47" s="1"/>
  <c r="Q15" i="47"/>
  <c r="AM15" i="47" s="1"/>
  <c r="U195" i="47"/>
  <c r="AQ195" i="47" s="1"/>
  <c r="U194" i="47"/>
  <c r="AQ194" i="47" s="1"/>
  <c r="U193" i="47"/>
  <c r="AQ193" i="47" s="1"/>
  <c r="U192" i="47"/>
  <c r="AQ192" i="47" s="1"/>
  <c r="U191" i="47"/>
  <c r="AQ191" i="47" s="1"/>
  <c r="U190" i="47"/>
  <c r="AQ190" i="47" s="1"/>
  <c r="U189" i="47"/>
  <c r="AQ189" i="47" s="1"/>
  <c r="U188" i="47"/>
  <c r="AQ188" i="47" s="1"/>
  <c r="U187" i="47"/>
  <c r="AQ187" i="47" s="1"/>
  <c r="U186" i="47"/>
  <c r="AQ186" i="47" s="1"/>
  <c r="U185" i="47"/>
  <c r="AQ185" i="47" s="1"/>
  <c r="U184" i="47"/>
  <c r="AQ184" i="47" s="1"/>
  <c r="U183" i="47"/>
  <c r="AQ183" i="47" s="1"/>
  <c r="U182" i="47"/>
  <c r="AQ182" i="47" s="1"/>
  <c r="U179" i="47"/>
  <c r="AQ179" i="47" s="1"/>
  <c r="U178" i="47"/>
  <c r="AQ178" i="47" s="1"/>
  <c r="U177" i="47"/>
  <c r="AQ177" i="47" s="1"/>
  <c r="U176" i="47"/>
  <c r="AQ176" i="47" s="1"/>
  <c r="U175" i="47"/>
  <c r="AQ175" i="47" s="1"/>
  <c r="U174" i="47"/>
  <c r="AQ174" i="47" s="1"/>
  <c r="U173" i="47"/>
  <c r="AQ173" i="47" s="1"/>
  <c r="U180" i="47"/>
  <c r="AQ180" i="47" s="1"/>
  <c r="U170" i="47"/>
  <c r="AQ170" i="47" s="1"/>
  <c r="U169" i="47"/>
  <c r="AQ169" i="47" s="1"/>
  <c r="U168" i="47"/>
  <c r="AQ168" i="47" s="1"/>
  <c r="U167" i="47"/>
  <c r="AQ167" i="47" s="1"/>
  <c r="U166" i="47"/>
  <c r="AQ166" i="47" s="1"/>
  <c r="U165" i="47"/>
  <c r="AQ165" i="47" s="1"/>
  <c r="U164" i="47"/>
  <c r="AQ164" i="47" s="1"/>
  <c r="U181" i="47"/>
  <c r="AQ181" i="47" s="1"/>
  <c r="U172" i="47"/>
  <c r="AQ172" i="47" s="1"/>
  <c r="U163" i="47"/>
  <c r="AQ163" i="47" s="1"/>
  <c r="U162" i="47"/>
  <c r="AQ162" i="47" s="1"/>
  <c r="U161" i="47"/>
  <c r="AQ161" i="47" s="1"/>
  <c r="U160" i="47"/>
  <c r="AQ160" i="47" s="1"/>
  <c r="U159" i="47"/>
  <c r="AQ159" i="47" s="1"/>
  <c r="U158" i="47"/>
  <c r="AQ158" i="47" s="1"/>
  <c r="U157" i="47"/>
  <c r="AQ157" i="47" s="1"/>
  <c r="U156" i="47"/>
  <c r="AQ156" i="47" s="1"/>
  <c r="U155" i="47"/>
  <c r="AQ155" i="47" s="1"/>
  <c r="U154" i="47"/>
  <c r="AQ154" i="47" s="1"/>
  <c r="U153" i="47"/>
  <c r="AQ153" i="47" s="1"/>
  <c r="U152" i="47"/>
  <c r="AQ152" i="47" s="1"/>
  <c r="U171" i="47"/>
  <c r="AQ171" i="47" s="1"/>
  <c r="U151" i="47"/>
  <c r="AQ151" i="47" s="1"/>
  <c r="U150" i="47"/>
  <c r="AQ150" i="47" s="1"/>
  <c r="U149" i="47"/>
  <c r="AQ149" i="47" s="1"/>
  <c r="U148" i="47"/>
  <c r="AQ148" i="47" s="1"/>
  <c r="U147" i="47"/>
  <c r="AQ147" i="47" s="1"/>
  <c r="U146" i="47"/>
  <c r="AQ146" i="47" s="1"/>
  <c r="U145" i="47"/>
  <c r="AQ145" i="47" s="1"/>
  <c r="U144" i="47"/>
  <c r="AQ144" i="47" s="1"/>
  <c r="U143" i="47"/>
  <c r="AQ143" i="47" s="1"/>
  <c r="U142" i="47"/>
  <c r="AQ142" i="47" s="1"/>
  <c r="U141" i="47"/>
  <c r="AQ141" i="47" s="1"/>
  <c r="U140" i="47"/>
  <c r="AQ140" i="47" s="1"/>
  <c r="U139" i="47"/>
  <c r="AQ139" i="47" s="1"/>
  <c r="U138" i="47"/>
  <c r="AQ138" i="47" s="1"/>
  <c r="U137" i="47"/>
  <c r="AQ137" i="47" s="1"/>
  <c r="U136" i="47"/>
  <c r="AQ136" i="47" s="1"/>
  <c r="U135" i="47"/>
  <c r="AQ135" i="47" s="1"/>
  <c r="U134" i="47"/>
  <c r="AQ134" i="47" s="1"/>
  <c r="U133" i="47"/>
  <c r="AQ133" i="47" s="1"/>
  <c r="U132" i="47"/>
  <c r="AQ132" i="47" s="1"/>
  <c r="U131" i="47"/>
  <c r="AQ131" i="47" s="1"/>
  <c r="U130" i="47"/>
  <c r="AQ130" i="47" s="1"/>
  <c r="U129" i="47"/>
  <c r="AQ129" i="47" s="1"/>
  <c r="U128" i="47"/>
  <c r="AQ128" i="47" s="1"/>
  <c r="U127" i="47"/>
  <c r="AQ127" i="47" s="1"/>
  <c r="U126" i="47"/>
  <c r="AQ126" i="47" s="1"/>
  <c r="U125" i="47"/>
  <c r="AQ125" i="47" s="1"/>
  <c r="U124" i="47"/>
  <c r="AQ124" i="47" s="1"/>
  <c r="U123" i="47"/>
  <c r="AQ123" i="47" s="1"/>
  <c r="U122" i="47"/>
  <c r="AQ122" i="47" s="1"/>
  <c r="U121" i="47"/>
  <c r="AQ121" i="47" s="1"/>
  <c r="U120" i="47"/>
  <c r="AQ120" i="47" s="1"/>
  <c r="U119" i="47"/>
  <c r="AQ119" i="47" s="1"/>
  <c r="U118" i="47"/>
  <c r="AQ118" i="47" s="1"/>
  <c r="U117" i="47"/>
  <c r="AQ117" i="47" s="1"/>
  <c r="U116" i="47"/>
  <c r="AQ116" i="47" s="1"/>
  <c r="U115" i="47"/>
  <c r="AQ115" i="47" s="1"/>
  <c r="U114" i="47"/>
  <c r="AQ114" i="47" s="1"/>
  <c r="U113" i="47"/>
  <c r="AQ113" i="47" s="1"/>
  <c r="U112" i="47"/>
  <c r="AQ112" i="47" s="1"/>
  <c r="U111" i="47"/>
  <c r="AQ111" i="47" s="1"/>
  <c r="U110" i="47"/>
  <c r="AQ110" i="47" s="1"/>
  <c r="U109" i="47"/>
  <c r="AQ109" i="47" s="1"/>
  <c r="U108" i="47"/>
  <c r="AQ108" i="47" s="1"/>
  <c r="U107" i="47"/>
  <c r="AQ107" i="47" s="1"/>
  <c r="U106" i="47"/>
  <c r="AQ106" i="47" s="1"/>
  <c r="U105" i="47"/>
  <c r="AQ105" i="47" s="1"/>
  <c r="U104" i="47"/>
  <c r="AQ104" i="47" s="1"/>
  <c r="U103" i="47"/>
  <c r="AQ103" i="47" s="1"/>
  <c r="U102" i="47"/>
  <c r="AQ102" i="47" s="1"/>
  <c r="U101" i="47"/>
  <c r="AQ101" i="47" s="1"/>
  <c r="U100" i="47"/>
  <c r="AQ100" i="47" s="1"/>
  <c r="U99" i="47"/>
  <c r="AQ99" i="47" s="1"/>
  <c r="U98" i="47"/>
  <c r="AQ98" i="47" s="1"/>
  <c r="U97" i="47"/>
  <c r="AQ97" i="47" s="1"/>
  <c r="U96" i="47"/>
  <c r="AQ96" i="47" s="1"/>
  <c r="U95" i="47"/>
  <c r="AQ95" i="47" s="1"/>
  <c r="U94" i="47"/>
  <c r="AQ94" i="47" s="1"/>
  <c r="U93" i="47"/>
  <c r="AQ93" i="47" s="1"/>
  <c r="U92" i="47"/>
  <c r="AQ92" i="47" s="1"/>
  <c r="U91" i="47"/>
  <c r="AQ91" i="47" s="1"/>
  <c r="U90" i="47"/>
  <c r="AQ90" i="47" s="1"/>
  <c r="U89" i="47"/>
  <c r="AQ89" i="47" s="1"/>
  <c r="U88" i="47"/>
  <c r="AQ88" i="47" s="1"/>
  <c r="U87" i="47"/>
  <c r="AQ87" i="47" s="1"/>
  <c r="U86" i="47"/>
  <c r="AQ86" i="47" s="1"/>
  <c r="U85" i="47"/>
  <c r="AQ85" i="47" s="1"/>
  <c r="U84" i="47"/>
  <c r="AQ84" i="47" s="1"/>
  <c r="U83" i="47"/>
  <c r="AQ83" i="47" s="1"/>
  <c r="U82" i="47"/>
  <c r="AQ82" i="47" s="1"/>
  <c r="U81" i="47"/>
  <c r="AQ81" i="47" s="1"/>
  <c r="U80" i="47"/>
  <c r="AQ80" i="47" s="1"/>
  <c r="U79" i="47"/>
  <c r="AQ79" i="47" s="1"/>
  <c r="U78" i="47"/>
  <c r="AQ78" i="47" s="1"/>
  <c r="U77" i="47"/>
  <c r="AQ77" i="47" s="1"/>
  <c r="U76" i="47"/>
  <c r="AQ76" i="47" s="1"/>
  <c r="U75" i="47"/>
  <c r="AQ75" i="47" s="1"/>
  <c r="U74" i="47"/>
  <c r="AQ74" i="47" s="1"/>
  <c r="U73" i="47"/>
  <c r="AQ73" i="47" s="1"/>
  <c r="U72" i="47"/>
  <c r="AQ72" i="47" s="1"/>
  <c r="U71" i="47"/>
  <c r="AQ71" i="47" s="1"/>
  <c r="U70" i="47"/>
  <c r="AQ70" i="47" s="1"/>
  <c r="U69" i="47"/>
  <c r="AQ69" i="47" s="1"/>
  <c r="U68" i="47"/>
  <c r="AQ68" i="47" s="1"/>
  <c r="U67" i="47"/>
  <c r="AQ67" i="47" s="1"/>
  <c r="U66" i="47"/>
  <c r="AQ66" i="47" s="1"/>
  <c r="U65" i="47"/>
  <c r="AQ65" i="47" s="1"/>
  <c r="U64" i="47"/>
  <c r="AQ64" i="47" s="1"/>
  <c r="U63" i="47"/>
  <c r="AQ63" i="47" s="1"/>
  <c r="U62" i="47"/>
  <c r="AQ62" i="47" s="1"/>
  <c r="U61" i="47"/>
  <c r="AQ61" i="47" s="1"/>
  <c r="U60" i="47"/>
  <c r="AQ60" i="47" s="1"/>
  <c r="U59" i="47"/>
  <c r="AQ59" i="47" s="1"/>
  <c r="U58" i="47"/>
  <c r="AQ58" i="47" s="1"/>
  <c r="U57" i="47"/>
  <c r="AQ57" i="47" s="1"/>
  <c r="U56" i="47"/>
  <c r="AQ56" i="47" s="1"/>
  <c r="U55" i="47"/>
  <c r="AQ55" i="47" s="1"/>
  <c r="U51" i="47"/>
  <c r="AQ51" i="47" s="1"/>
  <c r="U47" i="47"/>
  <c r="AQ47" i="47" s="1"/>
  <c r="U43" i="47"/>
  <c r="AQ43" i="47" s="1"/>
  <c r="U39" i="47"/>
  <c r="AQ39" i="47" s="1"/>
  <c r="U54" i="47"/>
  <c r="AQ54" i="47" s="1"/>
  <c r="U50" i="47"/>
  <c r="AQ50" i="47" s="1"/>
  <c r="U46" i="47"/>
  <c r="AQ46" i="47" s="1"/>
  <c r="U42" i="47"/>
  <c r="AQ42" i="47" s="1"/>
  <c r="U53" i="47"/>
  <c r="AQ53" i="47" s="1"/>
  <c r="U49" i="47"/>
  <c r="AQ49" i="47" s="1"/>
  <c r="U45" i="47"/>
  <c r="AQ45" i="47" s="1"/>
  <c r="U41" i="47"/>
  <c r="AQ41" i="47" s="1"/>
  <c r="U38" i="47"/>
  <c r="AQ38" i="47" s="1"/>
  <c r="U37" i="47"/>
  <c r="AQ37" i="47" s="1"/>
  <c r="U36" i="47"/>
  <c r="AQ36" i="47" s="1"/>
  <c r="U35" i="47"/>
  <c r="AQ35" i="47" s="1"/>
  <c r="U34" i="47"/>
  <c r="AQ34" i="47" s="1"/>
  <c r="U33" i="47"/>
  <c r="AQ33" i="47" s="1"/>
  <c r="U32" i="47"/>
  <c r="AQ32" i="47" s="1"/>
  <c r="U31" i="47"/>
  <c r="AQ31" i="47" s="1"/>
  <c r="U30" i="47"/>
  <c r="AQ30" i="47" s="1"/>
  <c r="U29" i="47"/>
  <c r="AQ29" i="47" s="1"/>
  <c r="U28" i="47"/>
  <c r="AQ28" i="47" s="1"/>
  <c r="U27" i="47"/>
  <c r="AQ27" i="47" s="1"/>
  <c r="U26" i="47"/>
  <c r="AQ26" i="47" s="1"/>
  <c r="U25" i="47"/>
  <c r="AQ25" i="47" s="1"/>
  <c r="U24" i="47"/>
  <c r="AQ24" i="47" s="1"/>
  <c r="U23" i="47"/>
  <c r="AQ23" i="47" s="1"/>
  <c r="U22" i="47"/>
  <c r="AQ22" i="47" s="1"/>
  <c r="U21" i="47"/>
  <c r="AQ21" i="47" s="1"/>
  <c r="U20" i="47"/>
  <c r="AQ20" i="47" s="1"/>
  <c r="U19" i="47"/>
  <c r="AQ19" i="47" s="1"/>
  <c r="U18" i="47"/>
  <c r="AQ18" i="47" s="1"/>
  <c r="U17" i="47"/>
  <c r="AQ17" i="47" s="1"/>
  <c r="U16" i="47"/>
  <c r="AQ16" i="47" s="1"/>
  <c r="U15" i="47"/>
  <c r="AQ15" i="47" s="1"/>
  <c r="Y195" i="47"/>
  <c r="AU195" i="47" s="1"/>
  <c r="Y194" i="47"/>
  <c r="AU194" i="47" s="1"/>
  <c r="Y193" i="47"/>
  <c r="AU193" i="47" s="1"/>
  <c r="Y192" i="47"/>
  <c r="AU192" i="47" s="1"/>
  <c r="Y191" i="47"/>
  <c r="AU191" i="47" s="1"/>
  <c r="Y190" i="47"/>
  <c r="AU190" i="47" s="1"/>
  <c r="Y189" i="47"/>
  <c r="AU189" i="47" s="1"/>
  <c r="Y188" i="47"/>
  <c r="AU188" i="47" s="1"/>
  <c r="Y187" i="47"/>
  <c r="AU187" i="47" s="1"/>
  <c r="Y186" i="47"/>
  <c r="AU186" i="47" s="1"/>
  <c r="Y185" i="47"/>
  <c r="AU185" i="47" s="1"/>
  <c r="Y184" i="47"/>
  <c r="AU184" i="47" s="1"/>
  <c r="Y181" i="47"/>
  <c r="AU181" i="47" s="1"/>
  <c r="Y179" i="47"/>
  <c r="AU179" i="47" s="1"/>
  <c r="Y178" i="47"/>
  <c r="AU178" i="47" s="1"/>
  <c r="Y177" i="47"/>
  <c r="AU177" i="47" s="1"/>
  <c r="Y176" i="47"/>
  <c r="AU176" i="47" s="1"/>
  <c r="Y175" i="47"/>
  <c r="AU175" i="47" s="1"/>
  <c r="Y174" i="47"/>
  <c r="AU174" i="47" s="1"/>
  <c r="Y173" i="47"/>
  <c r="AU173" i="47" s="1"/>
  <c r="Y183" i="47"/>
  <c r="AU183" i="47" s="1"/>
  <c r="Y182" i="47"/>
  <c r="AU182" i="47" s="1"/>
  <c r="Y172" i="47"/>
  <c r="AU172" i="47" s="1"/>
  <c r="Y171" i="47"/>
  <c r="AU171" i="47" s="1"/>
  <c r="Y170" i="47"/>
  <c r="AU170" i="47" s="1"/>
  <c r="Y169" i="47"/>
  <c r="AU169" i="47" s="1"/>
  <c r="Y168" i="47"/>
  <c r="AU168" i="47" s="1"/>
  <c r="Y167" i="47"/>
  <c r="AU167" i="47" s="1"/>
  <c r="Y166" i="47"/>
  <c r="AU166" i="47" s="1"/>
  <c r="Y165" i="47"/>
  <c r="AU165" i="47" s="1"/>
  <c r="Y164" i="47"/>
  <c r="AU164" i="47" s="1"/>
  <c r="Y180" i="47"/>
  <c r="AU180" i="47" s="1"/>
  <c r="Y163" i="47"/>
  <c r="AU163" i="47" s="1"/>
  <c r="Y162" i="47"/>
  <c r="AU162" i="47" s="1"/>
  <c r="Y161" i="47"/>
  <c r="AU161" i="47" s="1"/>
  <c r="Y160" i="47"/>
  <c r="AU160" i="47" s="1"/>
  <c r="Y159" i="47"/>
  <c r="AU159" i="47" s="1"/>
  <c r="Y158" i="47"/>
  <c r="AU158" i="47" s="1"/>
  <c r="Y157" i="47"/>
  <c r="AU157" i="47" s="1"/>
  <c r="Y156" i="47"/>
  <c r="AU156" i="47" s="1"/>
  <c r="Y155" i="47"/>
  <c r="AU155" i="47" s="1"/>
  <c r="Y154" i="47"/>
  <c r="AU154" i="47" s="1"/>
  <c r="Y153" i="47"/>
  <c r="AU153" i="47" s="1"/>
  <c r="Y152" i="47"/>
  <c r="AU152" i="47" s="1"/>
  <c r="Y151" i="47"/>
  <c r="AU151" i="47" s="1"/>
  <c r="Y150" i="47"/>
  <c r="AU150" i="47" s="1"/>
  <c r="Y149" i="47"/>
  <c r="AU149" i="47" s="1"/>
  <c r="Y148" i="47"/>
  <c r="AU148" i="47" s="1"/>
  <c r="Y147" i="47"/>
  <c r="AU147" i="47" s="1"/>
  <c r="Y146" i="47"/>
  <c r="AU146" i="47" s="1"/>
  <c r="Y145" i="47"/>
  <c r="AU145" i="47" s="1"/>
  <c r="Y144" i="47"/>
  <c r="AU144" i="47" s="1"/>
  <c r="Y143" i="47"/>
  <c r="AU143" i="47" s="1"/>
  <c r="Y142" i="47"/>
  <c r="AU142" i="47" s="1"/>
  <c r="Y141" i="47"/>
  <c r="AU141" i="47" s="1"/>
  <c r="Y140" i="47"/>
  <c r="AU140" i="47" s="1"/>
  <c r="Y139" i="47"/>
  <c r="AU139" i="47" s="1"/>
  <c r="Y138" i="47"/>
  <c r="AU138" i="47" s="1"/>
  <c r="Y137" i="47"/>
  <c r="AU137" i="47" s="1"/>
  <c r="Y136" i="47"/>
  <c r="AU136" i="47" s="1"/>
  <c r="Y135" i="47"/>
  <c r="AU135" i="47" s="1"/>
  <c r="Y133" i="47"/>
  <c r="AU133" i="47" s="1"/>
  <c r="Y132" i="47"/>
  <c r="AU132" i="47" s="1"/>
  <c r="Y131" i="47"/>
  <c r="AU131" i="47" s="1"/>
  <c r="Y130" i="47"/>
  <c r="AU130" i="47" s="1"/>
  <c r="Y129" i="47"/>
  <c r="AU129" i="47" s="1"/>
  <c r="Y128" i="47"/>
  <c r="AU128" i="47" s="1"/>
  <c r="Y127" i="47"/>
  <c r="AU127" i="47" s="1"/>
  <c r="Y126" i="47"/>
  <c r="AU126" i="47" s="1"/>
  <c r="Y125" i="47"/>
  <c r="AU125" i="47" s="1"/>
  <c r="Y124" i="47"/>
  <c r="AU124" i="47" s="1"/>
  <c r="Y123" i="47"/>
  <c r="AU123" i="47" s="1"/>
  <c r="Y122" i="47"/>
  <c r="AU122" i="47" s="1"/>
  <c r="Y121" i="47"/>
  <c r="AU121" i="47" s="1"/>
  <c r="Y120" i="47"/>
  <c r="AU120" i="47" s="1"/>
  <c r="Y119" i="47"/>
  <c r="AU119" i="47" s="1"/>
  <c r="Y118" i="47"/>
  <c r="AU118" i="47" s="1"/>
  <c r="Y117" i="47"/>
  <c r="AU117" i="47" s="1"/>
  <c r="Y134" i="47"/>
  <c r="AU134" i="47" s="1"/>
  <c r="Y116" i="47"/>
  <c r="AU116" i="47" s="1"/>
  <c r="Y115" i="47"/>
  <c r="AU115" i="47" s="1"/>
  <c r="Y114" i="47"/>
  <c r="AU114" i="47" s="1"/>
  <c r="Y113" i="47"/>
  <c r="AU113" i="47" s="1"/>
  <c r="Y112" i="47"/>
  <c r="AU112" i="47" s="1"/>
  <c r="Y111" i="47"/>
  <c r="AU111" i="47" s="1"/>
  <c r="Y110" i="47"/>
  <c r="AU110" i="47" s="1"/>
  <c r="Y109" i="47"/>
  <c r="AU109" i="47" s="1"/>
  <c r="Y108" i="47"/>
  <c r="AU108" i="47" s="1"/>
  <c r="Y107" i="47"/>
  <c r="AU107" i="47" s="1"/>
  <c r="Y106" i="47"/>
  <c r="AU106" i="47" s="1"/>
  <c r="Y105" i="47"/>
  <c r="AU105" i="47" s="1"/>
  <c r="Y104" i="47"/>
  <c r="AU104" i="47" s="1"/>
  <c r="Y103" i="47"/>
  <c r="AU103" i="47" s="1"/>
  <c r="Y102" i="47"/>
  <c r="AU102" i="47" s="1"/>
  <c r="Y101" i="47"/>
  <c r="AU101" i="47" s="1"/>
  <c r="Y100" i="47"/>
  <c r="AU100" i="47" s="1"/>
  <c r="Y99" i="47"/>
  <c r="AU99" i="47" s="1"/>
  <c r="Y98" i="47"/>
  <c r="AU98" i="47" s="1"/>
  <c r="Y97" i="47"/>
  <c r="AU97" i="47" s="1"/>
  <c r="Y96" i="47"/>
  <c r="AU96" i="47" s="1"/>
  <c r="Y95" i="47"/>
  <c r="AU95" i="47" s="1"/>
  <c r="Y94" i="47"/>
  <c r="AU94" i="47" s="1"/>
  <c r="Y93" i="47"/>
  <c r="AU93" i="47" s="1"/>
  <c r="Y92" i="47"/>
  <c r="AU92" i="47" s="1"/>
  <c r="Y91" i="47"/>
  <c r="AU91" i="47" s="1"/>
  <c r="Y90" i="47"/>
  <c r="AU90" i="47" s="1"/>
  <c r="Y89" i="47"/>
  <c r="AU89" i="47" s="1"/>
  <c r="Y88" i="47"/>
  <c r="AU88" i="47" s="1"/>
  <c r="Y87" i="47"/>
  <c r="AU87" i="47" s="1"/>
  <c r="Y86" i="47"/>
  <c r="AU86" i="47" s="1"/>
  <c r="Y85" i="47"/>
  <c r="AU85" i="47" s="1"/>
  <c r="Y84" i="47"/>
  <c r="AU84" i="47" s="1"/>
  <c r="Y83" i="47"/>
  <c r="AU83" i="47" s="1"/>
  <c r="Y82" i="47"/>
  <c r="AU82" i="47" s="1"/>
  <c r="Y81" i="47"/>
  <c r="AU81" i="47" s="1"/>
  <c r="Y80" i="47"/>
  <c r="AU80" i="47" s="1"/>
  <c r="Y79" i="47"/>
  <c r="AU79" i="47" s="1"/>
  <c r="Y78" i="47"/>
  <c r="AU78" i="47" s="1"/>
  <c r="Y77" i="47"/>
  <c r="AU77" i="47" s="1"/>
  <c r="Y76" i="47"/>
  <c r="AU76" i="47" s="1"/>
  <c r="Y75" i="47"/>
  <c r="AU75" i="47" s="1"/>
  <c r="Y74" i="47"/>
  <c r="AU74" i="47" s="1"/>
  <c r="Y73" i="47"/>
  <c r="AU73" i="47" s="1"/>
  <c r="Y72" i="47"/>
  <c r="AU72" i="47" s="1"/>
  <c r="Y71" i="47"/>
  <c r="AU71" i="47" s="1"/>
  <c r="Y70" i="47"/>
  <c r="AU70" i="47" s="1"/>
  <c r="Y69" i="47"/>
  <c r="AU69" i="47" s="1"/>
  <c r="Y68" i="47"/>
  <c r="AU68" i="47" s="1"/>
  <c r="Y67" i="47"/>
  <c r="AU67" i="47" s="1"/>
  <c r="Y66" i="47"/>
  <c r="AU66" i="47" s="1"/>
  <c r="Y65" i="47"/>
  <c r="AU65" i="47" s="1"/>
  <c r="Y64" i="47"/>
  <c r="AU64" i="47" s="1"/>
  <c r="Y63" i="47"/>
  <c r="AU63" i="47" s="1"/>
  <c r="Y62" i="47"/>
  <c r="AU62" i="47" s="1"/>
  <c r="Y61" i="47"/>
  <c r="AU61" i="47" s="1"/>
  <c r="Y60" i="47"/>
  <c r="AU60" i="47" s="1"/>
  <c r="Y59" i="47"/>
  <c r="AU59" i="47" s="1"/>
  <c r="Y58" i="47"/>
  <c r="AU58" i="47" s="1"/>
  <c r="Y57" i="47"/>
  <c r="AU57" i="47" s="1"/>
  <c r="Y56" i="47"/>
  <c r="AU56" i="47" s="1"/>
  <c r="Y55" i="47"/>
  <c r="AU55" i="47" s="1"/>
  <c r="Y52" i="47"/>
  <c r="AU52" i="47" s="1"/>
  <c r="Y48" i="47"/>
  <c r="AU48" i="47" s="1"/>
  <c r="Y44" i="47"/>
  <c r="AU44" i="47" s="1"/>
  <c r="Y40" i="47"/>
  <c r="AU40" i="47" s="1"/>
  <c r="Y51" i="47"/>
  <c r="AU51" i="47" s="1"/>
  <c r="Y47" i="47"/>
  <c r="AU47" i="47" s="1"/>
  <c r="Y43" i="47"/>
  <c r="AU43" i="47" s="1"/>
  <c r="Y39" i="47"/>
  <c r="AU39" i="47" s="1"/>
  <c r="Y54" i="47"/>
  <c r="AU54" i="47" s="1"/>
  <c r="Y50" i="47"/>
  <c r="AU50" i="47" s="1"/>
  <c r="Y46" i="47"/>
  <c r="AU46" i="47" s="1"/>
  <c r="Y42" i="47"/>
  <c r="AU42" i="47" s="1"/>
  <c r="Y38" i="47"/>
  <c r="AU38" i="47" s="1"/>
  <c r="Y37" i="47"/>
  <c r="AU37" i="47" s="1"/>
  <c r="Y36" i="47"/>
  <c r="AU36" i="47" s="1"/>
  <c r="Y35" i="47"/>
  <c r="AU35" i="47" s="1"/>
  <c r="Y34" i="47"/>
  <c r="AU34" i="47" s="1"/>
  <c r="Y33" i="47"/>
  <c r="AU33" i="47" s="1"/>
  <c r="Y32" i="47"/>
  <c r="AU32" i="47" s="1"/>
  <c r="Y31" i="47"/>
  <c r="AU31" i="47" s="1"/>
  <c r="Y30" i="47"/>
  <c r="AU30" i="47" s="1"/>
  <c r="Y29" i="47"/>
  <c r="AU29" i="47" s="1"/>
  <c r="Y28" i="47"/>
  <c r="AU28" i="47" s="1"/>
  <c r="Y27" i="47"/>
  <c r="AU27" i="47" s="1"/>
  <c r="Y26" i="47"/>
  <c r="AU26" i="47" s="1"/>
  <c r="Y25" i="47"/>
  <c r="AU25" i="47" s="1"/>
  <c r="Y24" i="47"/>
  <c r="AU24" i="47" s="1"/>
  <c r="Y23" i="47"/>
  <c r="AU23" i="47" s="1"/>
  <c r="Y22" i="47"/>
  <c r="AU22" i="47" s="1"/>
  <c r="Y21" i="47"/>
  <c r="AU21" i="47" s="1"/>
  <c r="Y20" i="47"/>
  <c r="AU20" i="47" s="1"/>
  <c r="Y19" i="47"/>
  <c r="AU19" i="47" s="1"/>
  <c r="Y18" i="47"/>
  <c r="AU18" i="47" s="1"/>
  <c r="Y17" i="47"/>
  <c r="AU17" i="47" s="1"/>
  <c r="Y16" i="47"/>
  <c r="AU16" i="47" s="1"/>
  <c r="Y15" i="47"/>
  <c r="AU15" i="47" s="1"/>
  <c r="AC195" i="47"/>
  <c r="AY195" i="47" s="1"/>
  <c r="AC194" i="47"/>
  <c r="AY194" i="47" s="1"/>
  <c r="AC193" i="47"/>
  <c r="AY193" i="47" s="1"/>
  <c r="AC192" i="47"/>
  <c r="AY192" i="47" s="1"/>
  <c r="AC191" i="47"/>
  <c r="AY191" i="47" s="1"/>
  <c r="AC190" i="47"/>
  <c r="AY190" i="47" s="1"/>
  <c r="AC189" i="47"/>
  <c r="AY189" i="47" s="1"/>
  <c r="AC188" i="47"/>
  <c r="AY188" i="47" s="1"/>
  <c r="AC187" i="47"/>
  <c r="AY187" i="47" s="1"/>
  <c r="AC186" i="47"/>
  <c r="AY186" i="47" s="1"/>
  <c r="AC185" i="47"/>
  <c r="AY185" i="47" s="1"/>
  <c r="AC184" i="47"/>
  <c r="AY184" i="47" s="1"/>
  <c r="AC183" i="47"/>
  <c r="AY183" i="47" s="1"/>
  <c r="AC182" i="47"/>
  <c r="AY182" i="47" s="1"/>
  <c r="AC180" i="47"/>
  <c r="AY180" i="47" s="1"/>
  <c r="AC179" i="47"/>
  <c r="AY179" i="47" s="1"/>
  <c r="AC178" i="47"/>
  <c r="AY178" i="47" s="1"/>
  <c r="AC177" i="47"/>
  <c r="AY177" i="47" s="1"/>
  <c r="AC176" i="47"/>
  <c r="AY176" i="47" s="1"/>
  <c r="AC175" i="47"/>
  <c r="AY175" i="47" s="1"/>
  <c r="AC174" i="47"/>
  <c r="AY174" i="47" s="1"/>
  <c r="AC173" i="47"/>
  <c r="AY173" i="47" s="1"/>
  <c r="AC172" i="47"/>
  <c r="AY172" i="47" s="1"/>
  <c r="AC181" i="47"/>
  <c r="AY181" i="47" s="1"/>
  <c r="AC170" i="47"/>
  <c r="AY170" i="47" s="1"/>
  <c r="AC169" i="47"/>
  <c r="AY169" i="47" s="1"/>
  <c r="AC168" i="47"/>
  <c r="AY168" i="47" s="1"/>
  <c r="AC167" i="47"/>
  <c r="AY167" i="47" s="1"/>
  <c r="AC166" i="47"/>
  <c r="AY166" i="47" s="1"/>
  <c r="AC165" i="47"/>
  <c r="AY165" i="47" s="1"/>
  <c r="AC164" i="47"/>
  <c r="AY164" i="47" s="1"/>
  <c r="AC171" i="47"/>
  <c r="AY171" i="47" s="1"/>
  <c r="AC163" i="47"/>
  <c r="AY163" i="47" s="1"/>
  <c r="AC162" i="47"/>
  <c r="AY162" i="47" s="1"/>
  <c r="AC161" i="47"/>
  <c r="AY161" i="47" s="1"/>
  <c r="AC160" i="47"/>
  <c r="AY160" i="47" s="1"/>
  <c r="AC159" i="47"/>
  <c r="AY159" i="47" s="1"/>
  <c r="AC158" i="47"/>
  <c r="AY158" i="47" s="1"/>
  <c r="AC157" i="47"/>
  <c r="AY157" i="47" s="1"/>
  <c r="AC156" i="47"/>
  <c r="AY156" i="47" s="1"/>
  <c r="AC155" i="47"/>
  <c r="AY155" i="47" s="1"/>
  <c r="AC154" i="47"/>
  <c r="AY154" i="47" s="1"/>
  <c r="AC153" i="47"/>
  <c r="AY153" i="47" s="1"/>
  <c r="AC152" i="47"/>
  <c r="AY152" i="47" s="1"/>
  <c r="AC151" i="47"/>
  <c r="AY151" i="47" s="1"/>
  <c r="AC150" i="47"/>
  <c r="AY150" i="47" s="1"/>
  <c r="AC149" i="47"/>
  <c r="AY149" i="47" s="1"/>
  <c r="AC148" i="47"/>
  <c r="AY148" i="47" s="1"/>
  <c r="AC147" i="47"/>
  <c r="AY147" i="47" s="1"/>
  <c r="AC146" i="47"/>
  <c r="AY146" i="47" s="1"/>
  <c r="AC145" i="47"/>
  <c r="AY145" i="47" s="1"/>
  <c r="AC144" i="47"/>
  <c r="AY144" i="47" s="1"/>
  <c r="AC143" i="47"/>
  <c r="AY143" i="47" s="1"/>
  <c r="AC142" i="47"/>
  <c r="AY142" i="47" s="1"/>
  <c r="AC141" i="47"/>
  <c r="AY141" i="47" s="1"/>
  <c r="AC140" i="47"/>
  <c r="AY140" i="47" s="1"/>
  <c r="AC139" i="47"/>
  <c r="AY139" i="47" s="1"/>
  <c r="AC138" i="47"/>
  <c r="AY138" i="47" s="1"/>
  <c r="AC137" i="47"/>
  <c r="AY137" i="47" s="1"/>
  <c r="AC136" i="47"/>
  <c r="AY136" i="47" s="1"/>
  <c r="AC135" i="47"/>
  <c r="AY135" i="47" s="1"/>
  <c r="AC133" i="47"/>
  <c r="AY133" i="47" s="1"/>
  <c r="AC132" i="47"/>
  <c r="AY132" i="47" s="1"/>
  <c r="AC131" i="47"/>
  <c r="AY131" i="47" s="1"/>
  <c r="AC130" i="47"/>
  <c r="AY130" i="47" s="1"/>
  <c r="AC129" i="47"/>
  <c r="AY129" i="47" s="1"/>
  <c r="AC128" i="47"/>
  <c r="AY128" i="47" s="1"/>
  <c r="AC127" i="47"/>
  <c r="AY127" i="47" s="1"/>
  <c r="AC126" i="47"/>
  <c r="AY126" i="47" s="1"/>
  <c r="AC125" i="47"/>
  <c r="AY125" i="47" s="1"/>
  <c r="AC124" i="47"/>
  <c r="AY124" i="47" s="1"/>
  <c r="AC123" i="47"/>
  <c r="AY123" i="47" s="1"/>
  <c r="AC122" i="47"/>
  <c r="AY122" i="47" s="1"/>
  <c r="AC121" i="47"/>
  <c r="AY121" i="47" s="1"/>
  <c r="AC120" i="47"/>
  <c r="AY120" i="47" s="1"/>
  <c r="AC119" i="47"/>
  <c r="AY119" i="47" s="1"/>
  <c r="AC118" i="47"/>
  <c r="AY118" i="47" s="1"/>
  <c r="AC117" i="47"/>
  <c r="AY117" i="47" s="1"/>
  <c r="AC134" i="47"/>
  <c r="AY134" i="47" s="1"/>
  <c r="AC116" i="47"/>
  <c r="AY116" i="47" s="1"/>
  <c r="AC115" i="47"/>
  <c r="AY115" i="47" s="1"/>
  <c r="AC114" i="47"/>
  <c r="AY114" i="47" s="1"/>
  <c r="AC113" i="47"/>
  <c r="AY113" i="47" s="1"/>
  <c r="AC112" i="47"/>
  <c r="AY112" i="47" s="1"/>
  <c r="AC111" i="47"/>
  <c r="AY111" i="47" s="1"/>
  <c r="AC110" i="47"/>
  <c r="AY110" i="47" s="1"/>
  <c r="AC109" i="47"/>
  <c r="AY109" i="47" s="1"/>
  <c r="AC108" i="47"/>
  <c r="AY108" i="47" s="1"/>
  <c r="AC107" i="47"/>
  <c r="AY107" i="47" s="1"/>
  <c r="AC106" i="47"/>
  <c r="AY106" i="47" s="1"/>
  <c r="AC105" i="47"/>
  <c r="AY105" i="47" s="1"/>
  <c r="AC104" i="47"/>
  <c r="AY104" i="47" s="1"/>
  <c r="AC103" i="47"/>
  <c r="AY103" i="47" s="1"/>
  <c r="AC102" i="47"/>
  <c r="AY102" i="47" s="1"/>
  <c r="AC101" i="47"/>
  <c r="AY101" i="47" s="1"/>
  <c r="AC100" i="47"/>
  <c r="AY100" i="47" s="1"/>
  <c r="AC99" i="47"/>
  <c r="AY99" i="47" s="1"/>
  <c r="AC98" i="47"/>
  <c r="AY98" i="47" s="1"/>
  <c r="AC97" i="47"/>
  <c r="AY97" i="47" s="1"/>
  <c r="AC96" i="47"/>
  <c r="AY96" i="47" s="1"/>
  <c r="AC95" i="47"/>
  <c r="AY95" i="47" s="1"/>
  <c r="AC94" i="47"/>
  <c r="AY94" i="47" s="1"/>
  <c r="AC93" i="47"/>
  <c r="AY93" i="47" s="1"/>
  <c r="AC92" i="47"/>
  <c r="AY92" i="47" s="1"/>
  <c r="AC91" i="47"/>
  <c r="AY91" i="47" s="1"/>
  <c r="AC90" i="47"/>
  <c r="AY90" i="47" s="1"/>
  <c r="AC89" i="47"/>
  <c r="AY89" i="47" s="1"/>
  <c r="AC88" i="47"/>
  <c r="AY88" i="47" s="1"/>
  <c r="AC87" i="47"/>
  <c r="AY87" i="47" s="1"/>
  <c r="AC86" i="47"/>
  <c r="AY86" i="47" s="1"/>
  <c r="AC85" i="47"/>
  <c r="AY85" i="47" s="1"/>
  <c r="AC84" i="47"/>
  <c r="AY84" i="47" s="1"/>
  <c r="AC83" i="47"/>
  <c r="AY83" i="47" s="1"/>
  <c r="AC82" i="47"/>
  <c r="AY82" i="47" s="1"/>
  <c r="AC81" i="47"/>
  <c r="AY81" i="47" s="1"/>
  <c r="AC80" i="47"/>
  <c r="AY80" i="47" s="1"/>
  <c r="AC79" i="47"/>
  <c r="AY79" i="47" s="1"/>
  <c r="AC78" i="47"/>
  <c r="AY78" i="47" s="1"/>
  <c r="AC77" i="47"/>
  <c r="AY77" i="47" s="1"/>
  <c r="AC76" i="47"/>
  <c r="AY76" i="47" s="1"/>
  <c r="AC75" i="47"/>
  <c r="AY75" i="47" s="1"/>
  <c r="AC74" i="47"/>
  <c r="AY74" i="47" s="1"/>
  <c r="AC73" i="47"/>
  <c r="AY73" i="47" s="1"/>
  <c r="AC72" i="47"/>
  <c r="AY72" i="47" s="1"/>
  <c r="AC71" i="47"/>
  <c r="AY71" i="47" s="1"/>
  <c r="AC70" i="47"/>
  <c r="AY70" i="47" s="1"/>
  <c r="AC69" i="47"/>
  <c r="AY69" i="47" s="1"/>
  <c r="AC68" i="47"/>
  <c r="AY68" i="47" s="1"/>
  <c r="AC67" i="47"/>
  <c r="AY67" i="47" s="1"/>
  <c r="AC66" i="47"/>
  <c r="AY66" i="47" s="1"/>
  <c r="AC65" i="47"/>
  <c r="AY65" i="47" s="1"/>
  <c r="AC64" i="47"/>
  <c r="AY64" i="47" s="1"/>
  <c r="AC63" i="47"/>
  <c r="AY63" i="47" s="1"/>
  <c r="AC62" i="47"/>
  <c r="AY62" i="47" s="1"/>
  <c r="AC61" i="47"/>
  <c r="AY61" i="47" s="1"/>
  <c r="AC60" i="47"/>
  <c r="AY60" i="47" s="1"/>
  <c r="AC59" i="47"/>
  <c r="AY59" i="47" s="1"/>
  <c r="AC58" i="47"/>
  <c r="AY58" i="47" s="1"/>
  <c r="AC57" i="47"/>
  <c r="AY57" i="47" s="1"/>
  <c r="AC56" i="47"/>
  <c r="AY56" i="47" s="1"/>
  <c r="AC55" i="47"/>
  <c r="AY55" i="47" s="1"/>
  <c r="AC53" i="47"/>
  <c r="AY53" i="47" s="1"/>
  <c r="AC49" i="47"/>
  <c r="AY49" i="47" s="1"/>
  <c r="AC45" i="47"/>
  <c r="AY45" i="47" s="1"/>
  <c r="AC41" i="47"/>
  <c r="AY41" i="47" s="1"/>
  <c r="AC52" i="47"/>
  <c r="AY52" i="47" s="1"/>
  <c r="AC48" i="47"/>
  <c r="AY48" i="47" s="1"/>
  <c r="AC44" i="47"/>
  <c r="AY44" i="47" s="1"/>
  <c r="AC40" i="47"/>
  <c r="AY40" i="47" s="1"/>
  <c r="AC51" i="47"/>
  <c r="AY51" i="47" s="1"/>
  <c r="AC47" i="47"/>
  <c r="AY47" i="47" s="1"/>
  <c r="AC43" i="47"/>
  <c r="AY43" i="47" s="1"/>
  <c r="AC39" i="47"/>
  <c r="AY39" i="47" s="1"/>
  <c r="AC38" i="47"/>
  <c r="AY38" i="47" s="1"/>
  <c r="AC37" i="47"/>
  <c r="AY37" i="47" s="1"/>
  <c r="AC36" i="47"/>
  <c r="AY36" i="47" s="1"/>
  <c r="AC35" i="47"/>
  <c r="AY35" i="47" s="1"/>
  <c r="AC34" i="47"/>
  <c r="AY34" i="47" s="1"/>
  <c r="AC33" i="47"/>
  <c r="AY33" i="47" s="1"/>
  <c r="AC32" i="47"/>
  <c r="AY32" i="47" s="1"/>
  <c r="AC31" i="47"/>
  <c r="AY31" i="47" s="1"/>
  <c r="AC30" i="47"/>
  <c r="AY30" i="47" s="1"/>
  <c r="AC29" i="47"/>
  <c r="AY29" i="47" s="1"/>
  <c r="AC28" i="47"/>
  <c r="AY28" i="47" s="1"/>
  <c r="AC27" i="47"/>
  <c r="AY27" i="47" s="1"/>
  <c r="AC26" i="47"/>
  <c r="AY26" i="47" s="1"/>
  <c r="AC25" i="47"/>
  <c r="AY25" i="47" s="1"/>
  <c r="AC24" i="47"/>
  <c r="AY24" i="47" s="1"/>
  <c r="AC23" i="47"/>
  <c r="AY23" i="47" s="1"/>
  <c r="AC22" i="47"/>
  <c r="AY22" i="47" s="1"/>
  <c r="AC21" i="47"/>
  <c r="AY21" i="47" s="1"/>
  <c r="AC20" i="47"/>
  <c r="AY20" i="47" s="1"/>
  <c r="AC19" i="47"/>
  <c r="AY19" i="47" s="1"/>
  <c r="AC18" i="47"/>
  <c r="AY18" i="47" s="1"/>
  <c r="AC17" i="47"/>
  <c r="AY17" i="47" s="1"/>
  <c r="AC16" i="47"/>
  <c r="AY16" i="47" s="1"/>
  <c r="AC15" i="47"/>
  <c r="AY15" i="47" s="1"/>
  <c r="M6" i="47"/>
  <c r="AI6" i="47" s="1"/>
  <c r="Q6" i="47"/>
  <c r="AM6" i="47" s="1"/>
  <c r="U6" i="47"/>
  <c r="AQ6" i="47" s="1"/>
  <c r="Y6" i="47"/>
  <c r="AU6" i="47" s="1"/>
  <c r="AC6" i="47"/>
  <c r="AY6" i="47" s="1"/>
  <c r="M7" i="47"/>
  <c r="AI7" i="47" s="1"/>
  <c r="Q7" i="47"/>
  <c r="AM7" i="47" s="1"/>
  <c r="U7" i="47"/>
  <c r="AQ7" i="47" s="1"/>
  <c r="Y7" i="47"/>
  <c r="AU7" i="47" s="1"/>
  <c r="AC7" i="47"/>
  <c r="AY7" i="47" s="1"/>
  <c r="M8" i="47"/>
  <c r="AI8" i="47" s="1"/>
  <c r="Q8" i="47"/>
  <c r="AM8" i="47" s="1"/>
  <c r="U8" i="47"/>
  <c r="AQ8" i="47" s="1"/>
  <c r="Y8" i="47"/>
  <c r="AU8" i="47" s="1"/>
  <c r="AC8" i="47"/>
  <c r="AY8" i="47" s="1"/>
  <c r="M9" i="47"/>
  <c r="AI9" i="47" s="1"/>
  <c r="Q9" i="47"/>
  <c r="AM9" i="47" s="1"/>
  <c r="U9" i="47"/>
  <c r="AQ9" i="47" s="1"/>
  <c r="Y9" i="47"/>
  <c r="AU9" i="47" s="1"/>
  <c r="AC9" i="47"/>
  <c r="AY9" i="47" s="1"/>
  <c r="M10" i="47"/>
  <c r="AI10" i="47" s="1"/>
  <c r="Q10" i="47"/>
  <c r="AM10" i="47" s="1"/>
  <c r="U10" i="47"/>
  <c r="AQ10" i="47" s="1"/>
  <c r="Y10" i="47"/>
  <c r="AU10" i="47" s="1"/>
  <c r="AC10" i="47"/>
  <c r="AY10" i="47" s="1"/>
  <c r="M11" i="47"/>
  <c r="AI11" i="47" s="1"/>
  <c r="Q11" i="47"/>
  <c r="AM11" i="47" s="1"/>
  <c r="U11" i="47"/>
  <c r="AQ11" i="47" s="1"/>
  <c r="Y11" i="47"/>
  <c r="AU11" i="47" s="1"/>
  <c r="AC11" i="47"/>
  <c r="AY11" i="47" s="1"/>
  <c r="M12" i="47"/>
  <c r="AI12" i="47" s="1"/>
  <c r="X12" i="47"/>
  <c r="AT12" i="47" s="1"/>
  <c r="AC12" i="47"/>
  <c r="AY12" i="47" s="1"/>
  <c r="Q13" i="47"/>
  <c r="AM13" i="47" s="1"/>
  <c r="V13" i="47"/>
  <c r="AR13" i="47" s="1"/>
  <c r="AB13" i="47"/>
  <c r="AX13" i="47" s="1"/>
  <c r="P14" i="47"/>
  <c r="AL14" i="47" s="1"/>
  <c r="U14" i="47"/>
  <c r="AQ14" i="47" s="1"/>
  <c r="T15" i="47"/>
  <c r="AP15" i="47" s="1"/>
  <c r="X16" i="47"/>
  <c r="AT16" i="47" s="1"/>
  <c r="AB17" i="47"/>
  <c r="AX17" i="47" s="1"/>
  <c r="P18" i="47"/>
  <c r="AL18" i="47" s="1"/>
  <c r="T19" i="47"/>
  <c r="AP19" i="47" s="1"/>
  <c r="X20" i="47"/>
  <c r="AT20" i="47" s="1"/>
  <c r="AB21" i="47"/>
  <c r="AX21" i="47" s="1"/>
  <c r="P22" i="47"/>
  <c r="AL22" i="47" s="1"/>
  <c r="T23" i="47"/>
  <c r="AP23" i="47" s="1"/>
  <c r="X24" i="47"/>
  <c r="AT24" i="47" s="1"/>
  <c r="AB25" i="47"/>
  <c r="AX25" i="47" s="1"/>
  <c r="P26" i="47"/>
  <c r="AL26" i="47" s="1"/>
  <c r="T27" i="47"/>
  <c r="AP27" i="47" s="1"/>
  <c r="X28" i="47"/>
  <c r="AT28" i="47" s="1"/>
  <c r="AB29" i="47"/>
  <c r="AX29" i="47" s="1"/>
  <c r="P30" i="47"/>
  <c r="AL30" i="47" s="1"/>
  <c r="T31" i="47"/>
  <c r="AP31" i="47" s="1"/>
  <c r="X32" i="47"/>
  <c r="AT32" i="47" s="1"/>
  <c r="AB33" i="47"/>
  <c r="AX33" i="47" s="1"/>
  <c r="P34" i="47"/>
  <c r="AL34" i="47" s="1"/>
  <c r="T35" i="47"/>
  <c r="AP35" i="47" s="1"/>
  <c r="X36" i="47"/>
  <c r="AT36" i="47" s="1"/>
  <c r="AB37" i="47"/>
  <c r="AX37" i="47" s="1"/>
  <c r="P38" i="47"/>
  <c r="AL38" i="47" s="1"/>
  <c r="P40" i="47"/>
  <c r="AL40" i="47" s="1"/>
  <c r="Y41" i="47"/>
  <c r="AU41" i="47" s="1"/>
  <c r="X42" i="47"/>
  <c r="AT42" i="47" s="1"/>
  <c r="W43" i="47"/>
  <c r="AS43" i="47" s="1"/>
  <c r="AA44" i="47"/>
  <c r="AW44" i="47" s="1"/>
  <c r="AC46" i="47"/>
  <c r="AY46" i="47" s="1"/>
  <c r="AB47" i="47"/>
  <c r="AX47" i="47" s="1"/>
  <c r="O49" i="47"/>
  <c r="AK49" i="47" s="1"/>
  <c r="M50" i="47"/>
  <c r="AI50" i="47" s="1"/>
  <c r="P52" i="47"/>
  <c r="AL52" i="47" s="1"/>
  <c r="T53" i="47"/>
  <c r="AP53" i="47" s="1"/>
  <c r="S54" i="47"/>
  <c r="AO54" i="47" s="1"/>
  <c r="O58" i="47"/>
  <c r="AK58" i="47" s="1"/>
  <c r="S59" i="47"/>
  <c r="AO59" i="47" s="1"/>
  <c r="W60" i="47"/>
  <c r="AS60" i="47" s="1"/>
  <c r="O66" i="47"/>
  <c r="AK66" i="47" s="1"/>
  <c r="S67" i="47"/>
  <c r="AO67" i="47" s="1"/>
  <c r="W68" i="47"/>
  <c r="AS68" i="47" s="1"/>
  <c r="O74" i="47"/>
  <c r="AK74" i="47" s="1"/>
  <c r="X75" i="47"/>
  <c r="AT75" i="47" s="1"/>
  <c r="O7" i="47"/>
  <c r="AK7" i="47" s="1"/>
  <c r="O8" i="47"/>
  <c r="AK8" i="47" s="1"/>
  <c r="S9" i="47"/>
  <c r="AO9" i="47" s="1"/>
  <c r="W10" i="47"/>
  <c r="AS10" i="47" s="1"/>
  <c r="O11" i="47"/>
  <c r="AK11" i="47" s="1"/>
  <c r="O41" i="47"/>
  <c r="AK41" i="47" s="1"/>
  <c r="S46" i="47"/>
  <c r="AO46" i="47" s="1"/>
  <c r="W51" i="47"/>
  <c r="AS51" i="47" s="1"/>
  <c r="AA52" i="47"/>
  <c r="AW52" i="47" s="1"/>
  <c r="S55" i="47"/>
  <c r="AO55" i="47" s="1"/>
  <c r="O62" i="47"/>
  <c r="AK62" i="47" s="1"/>
  <c r="S63" i="47"/>
  <c r="AO63" i="47" s="1"/>
  <c r="S71" i="47"/>
  <c r="AO71" i="47" s="1"/>
  <c r="W72" i="47"/>
  <c r="AS72" i="47" s="1"/>
  <c r="N195" i="47"/>
  <c r="AJ195" i="47" s="1"/>
  <c r="N194" i="47"/>
  <c r="AJ194" i="47" s="1"/>
  <c r="N193" i="47"/>
  <c r="AJ193" i="47" s="1"/>
  <c r="N192" i="47"/>
  <c r="AJ192" i="47" s="1"/>
  <c r="N190" i="47"/>
  <c r="AJ190" i="47" s="1"/>
  <c r="N189" i="47"/>
  <c r="AJ189" i="47" s="1"/>
  <c r="N188" i="47"/>
  <c r="AJ188" i="47" s="1"/>
  <c r="N191" i="47"/>
  <c r="AJ191" i="47" s="1"/>
  <c r="N186" i="47"/>
  <c r="AJ186" i="47" s="1"/>
  <c r="N185" i="47"/>
  <c r="AJ185" i="47" s="1"/>
  <c r="N184" i="47"/>
  <c r="AJ184" i="47" s="1"/>
  <c r="N187" i="47"/>
  <c r="AJ187" i="47" s="1"/>
  <c r="N183" i="47"/>
  <c r="AJ183" i="47" s="1"/>
  <c r="N181" i="47"/>
  <c r="AJ181" i="47" s="1"/>
  <c r="N182" i="47"/>
  <c r="AJ182" i="47" s="1"/>
  <c r="N179" i="47"/>
  <c r="AJ179" i="47" s="1"/>
  <c r="N178" i="47"/>
  <c r="AJ178" i="47" s="1"/>
  <c r="N177" i="47"/>
  <c r="AJ177" i="47" s="1"/>
  <c r="N176" i="47"/>
  <c r="AJ176" i="47" s="1"/>
  <c r="N175" i="47"/>
  <c r="AJ175" i="47" s="1"/>
  <c r="N174" i="47"/>
  <c r="AJ174" i="47" s="1"/>
  <c r="N173" i="47"/>
  <c r="AJ173" i="47" s="1"/>
  <c r="N172" i="47"/>
  <c r="AJ172" i="47" s="1"/>
  <c r="N171" i="47"/>
  <c r="AJ171" i="47" s="1"/>
  <c r="N180" i="47"/>
  <c r="AJ180" i="47" s="1"/>
  <c r="N167" i="47"/>
  <c r="AJ167" i="47" s="1"/>
  <c r="N170" i="47"/>
  <c r="AJ170" i="47" s="1"/>
  <c r="N166" i="47"/>
  <c r="AJ166" i="47" s="1"/>
  <c r="N168" i="47"/>
  <c r="AJ168" i="47" s="1"/>
  <c r="N164" i="47"/>
  <c r="AJ164" i="47" s="1"/>
  <c r="N163" i="47"/>
  <c r="AJ163" i="47" s="1"/>
  <c r="N159" i="47"/>
  <c r="AJ159" i="47" s="1"/>
  <c r="N154" i="47"/>
  <c r="AJ154" i="47" s="1"/>
  <c r="N153" i="47"/>
  <c r="AJ153" i="47" s="1"/>
  <c r="N152" i="47"/>
  <c r="AJ152" i="47" s="1"/>
  <c r="N165" i="47"/>
  <c r="AJ165" i="47" s="1"/>
  <c r="N160" i="47"/>
  <c r="AJ160" i="47" s="1"/>
  <c r="N155" i="47"/>
  <c r="AJ155" i="47" s="1"/>
  <c r="N162" i="47"/>
  <c r="AJ162" i="47" s="1"/>
  <c r="N158" i="47"/>
  <c r="AJ158" i="47" s="1"/>
  <c r="N156" i="47"/>
  <c r="AJ156" i="47" s="1"/>
  <c r="N157" i="47"/>
  <c r="AJ157" i="47" s="1"/>
  <c r="N149" i="47"/>
  <c r="AJ149" i="47" s="1"/>
  <c r="N169" i="47"/>
  <c r="AJ169" i="47" s="1"/>
  <c r="N150" i="47"/>
  <c r="AJ150" i="47" s="1"/>
  <c r="N143" i="47"/>
  <c r="AJ143" i="47" s="1"/>
  <c r="N142" i="47"/>
  <c r="AJ142" i="47" s="1"/>
  <c r="N141" i="47"/>
  <c r="AJ141" i="47" s="1"/>
  <c r="N140" i="47"/>
  <c r="AJ140" i="47" s="1"/>
  <c r="N139" i="47"/>
  <c r="AJ139" i="47" s="1"/>
  <c r="N138" i="47"/>
  <c r="AJ138" i="47" s="1"/>
  <c r="N137" i="47"/>
  <c r="AJ137" i="47" s="1"/>
  <c r="N136" i="47"/>
  <c r="AJ136" i="47" s="1"/>
  <c r="N151" i="47"/>
  <c r="AJ151" i="47" s="1"/>
  <c r="N147" i="47"/>
  <c r="AJ147" i="47" s="1"/>
  <c r="N146" i="47"/>
  <c r="AJ146" i="47" s="1"/>
  <c r="N161" i="47"/>
  <c r="AJ161" i="47" s="1"/>
  <c r="N135" i="47"/>
  <c r="AJ135" i="47" s="1"/>
  <c r="N133" i="47"/>
  <c r="AJ133" i="47" s="1"/>
  <c r="N132" i="47"/>
  <c r="AJ132" i="47" s="1"/>
  <c r="N131" i="47"/>
  <c r="AJ131" i="47" s="1"/>
  <c r="N130" i="47"/>
  <c r="AJ130" i="47" s="1"/>
  <c r="N129" i="47"/>
  <c r="AJ129" i="47" s="1"/>
  <c r="N128" i="47"/>
  <c r="AJ128" i="47" s="1"/>
  <c r="N127" i="47"/>
  <c r="AJ127" i="47" s="1"/>
  <c r="N126" i="47"/>
  <c r="AJ126" i="47" s="1"/>
  <c r="N125" i="47"/>
  <c r="AJ125" i="47" s="1"/>
  <c r="N124" i="47"/>
  <c r="AJ124" i="47" s="1"/>
  <c r="N123" i="47"/>
  <c r="AJ123" i="47" s="1"/>
  <c r="N122" i="47"/>
  <c r="AJ122" i="47" s="1"/>
  <c r="N121" i="47"/>
  <c r="AJ121" i="47" s="1"/>
  <c r="N120" i="47"/>
  <c r="AJ120" i="47" s="1"/>
  <c r="N119" i="47"/>
  <c r="AJ119" i="47" s="1"/>
  <c r="N144" i="47"/>
  <c r="AJ144" i="47" s="1"/>
  <c r="N148" i="47"/>
  <c r="AJ148" i="47" s="1"/>
  <c r="N118" i="47"/>
  <c r="AJ118" i="47" s="1"/>
  <c r="N117" i="47"/>
  <c r="AJ117" i="47" s="1"/>
  <c r="N145" i="47"/>
  <c r="AJ145" i="47" s="1"/>
  <c r="N114" i="47"/>
  <c r="AJ114" i="47" s="1"/>
  <c r="N110" i="47"/>
  <c r="AJ110" i="47" s="1"/>
  <c r="N106" i="47"/>
  <c r="AJ106" i="47" s="1"/>
  <c r="N104" i="47"/>
  <c r="AJ104" i="47" s="1"/>
  <c r="N134" i="47"/>
  <c r="AJ134" i="47" s="1"/>
  <c r="N115" i="47"/>
  <c r="AJ115" i="47" s="1"/>
  <c r="N111" i="47"/>
  <c r="AJ111" i="47" s="1"/>
  <c r="N107" i="47"/>
  <c r="AJ107" i="47" s="1"/>
  <c r="N103" i="47"/>
  <c r="AJ103" i="47" s="1"/>
  <c r="N100" i="47"/>
  <c r="AJ100" i="47" s="1"/>
  <c r="N99" i="47"/>
  <c r="AJ99" i="47" s="1"/>
  <c r="N98" i="47"/>
  <c r="AJ98" i="47" s="1"/>
  <c r="N97" i="47"/>
  <c r="AJ97" i="47" s="1"/>
  <c r="N96" i="47"/>
  <c r="AJ96" i="47" s="1"/>
  <c r="N95" i="47"/>
  <c r="AJ95" i="47" s="1"/>
  <c r="N94" i="47"/>
  <c r="AJ94" i="47" s="1"/>
  <c r="N93" i="47"/>
  <c r="AJ93" i="47" s="1"/>
  <c r="N92" i="47"/>
  <c r="AJ92" i="47" s="1"/>
  <c r="N116" i="47"/>
  <c r="AJ116" i="47" s="1"/>
  <c r="N112" i="47"/>
  <c r="AJ112" i="47" s="1"/>
  <c r="N108" i="47"/>
  <c r="AJ108" i="47" s="1"/>
  <c r="N102" i="47"/>
  <c r="AJ102" i="47" s="1"/>
  <c r="N89" i="47"/>
  <c r="AJ89" i="47" s="1"/>
  <c r="N86" i="47"/>
  <c r="AJ86" i="47" s="1"/>
  <c r="N82" i="47"/>
  <c r="AJ82" i="47" s="1"/>
  <c r="N81" i="47"/>
  <c r="AJ81" i="47" s="1"/>
  <c r="N90" i="47"/>
  <c r="AJ90" i="47" s="1"/>
  <c r="N87" i="47"/>
  <c r="AJ87" i="47" s="1"/>
  <c r="N83" i="47"/>
  <c r="AJ83" i="47" s="1"/>
  <c r="N80" i="47"/>
  <c r="AJ80" i="47" s="1"/>
  <c r="N109" i="47"/>
  <c r="AJ109" i="47" s="1"/>
  <c r="N105" i="47"/>
  <c r="AJ105" i="47" s="1"/>
  <c r="N88" i="47"/>
  <c r="AJ88" i="47" s="1"/>
  <c r="N85" i="47"/>
  <c r="AJ85" i="47" s="1"/>
  <c r="N78" i="47"/>
  <c r="AJ78" i="47" s="1"/>
  <c r="N74" i="47"/>
  <c r="AJ74" i="47" s="1"/>
  <c r="N73" i="47"/>
  <c r="AJ73" i="47" s="1"/>
  <c r="N72" i="47"/>
  <c r="AJ72" i="47" s="1"/>
  <c r="N71" i="47"/>
  <c r="AJ71" i="47" s="1"/>
  <c r="N70" i="47"/>
  <c r="AJ70" i="47" s="1"/>
  <c r="N69" i="47"/>
  <c r="AJ69" i="47" s="1"/>
  <c r="N68" i="47"/>
  <c r="AJ68" i="47" s="1"/>
  <c r="N67" i="47"/>
  <c r="AJ67" i="47" s="1"/>
  <c r="N66" i="47"/>
  <c r="AJ66" i="47" s="1"/>
  <c r="N65" i="47"/>
  <c r="AJ65" i="47" s="1"/>
  <c r="N64" i="47"/>
  <c r="AJ64" i="47" s="1"/>
  <c r="N63" i="47"/>
  <c r="AJ63" i="47" s="1"/>
  <c r="N62" i="47"/>
  <c r="AJ62" i="47" s="1"/>
  <c r="N61" i="47"/>
  <c r="AJ61" i="47" s="1"/>
  <c r="N60" i="47"/>
  <c r="AJ60" i="47" s="1"/>
  <c r="N59" i="47"/>
  <c r="AJ59" i="47" s="1"/>
  <c r="N58" i="47"/>
  <c r="AJ58" i="47" s="1"/>
  <c r="N57" i="47"/>
  <c r="AJ57" i="47" s="1"/>
  <c r="N56" i="47"/>
  <c r="AJ56" i="47" s="1"/>
  <c r="N55" i="47"/>
  <c r="AJ55" i="47" s="1"/>
  <c r="N54" i="47"/>
  <c r="AJ54" i="47" s="1"/>
  <c r="N53" i="47"/>
  <c r="AJ53" i="47" s="1"/>
  <c r="N52" i="47"/>
  <c r="AJ52" i="47" s="1"/>
  <c r="N51" i="47"/>
  <c r="AJ51" i="47" s="1"/>
  <c r="N50" i="47"/>
  <c r="AJ50" i="47" s="1"/>
  <c r="N49" i="47"/>
  <c r="AJ49" i="47" s="1"/>
  <c r="N48" i="47"/>
  <c r="AJ48" i="47" s="1"/>
  <c r="N47" i="47"/>
  <c r="AJ47" i="47" s="1"/>
  <c r="N46" i="47"/>
  <c r="AJ46" i="47" s="1"/>
  <c r="N45" i="47"/>
  <c r="AJ45" i="47" s="1"/>
  <c r="N44" i="47"/>
  <c r="AJ44" i="47" s="1"/>
  <c r="N43" i="47"/>
  <c r="AJ43" i="47" s="1"/>
  <c r="N42" i="47"/>
  <c r="AJ42" i="47" s="1"/>
  <c r="N41" i="47"/>
  <c r="AJ41" i="47" s="1"/>
  <c r="N40" i="47"/>
  <c r="AJ40" i="47" s="1"/>
  <c r="N39" i="47"/>
  <c r="AJ39" i="47" s="1"/>
  <c r="N113" i="47"/>
  <c r="AJ113" i="47" s="1"/>
  <c r="N79" i="47"/>
  <c r="AJ79" i="47" s="1"/>
  <c r="N76" i="47"/>
  <c r="AJ76" i="47" s="1"/>
  <c r="N75" i="47"/>
  <c r="AJ75" i="47" s="1"/>
  <c r="N38" i="47"/>
  <c r="AJ38" i="47" s="1"/>
  <c r="N37" i="47"/>
  <c r="AJ37" i="47" s="1"/>
  <c r="N36" i="47"/>
  <c r="AJ36" i="47" s="1"/>
  <c r="N35" i="47"/>
  <c r="AJ35" i="47" s="1"/>
  <c r="N34" i="47"/>
  <c r="AJ34" i="47" s="1"/>
  <c r="N33" i="47"/>
  <c r="AJ33" i="47" s="1"/>
  <c r="N32" i="47"/>
  <c r="AJ32" i="47" s="1"/>
  <c r="N31" i="47"/>
  <c r="AJ31" i="47" s="1"/>
  <c r="N30" i="47"/>
  <c r="AJ30" i="47" s="1"/>
  <c r="N29" i="47"/>
  <c r="AJ29" i="47" s="1"/>
  <c r="N28" i="47"/>
  <c r="AJ28" i="47" s="1"/>
  <c r="N27" i="47"/>
  <c r="AJ27" i="47" s="1"/>
  <c r="N26" i="47"/>
  <c r="AJ26" i="47" s="1"/>
  <c r="N25" i="47"/>
  <c r="AJ25" i="47" s="1"/>
  <c r="N24" i="47"/>
  <c r="AJ24" i="47" s="1"/>
  <c r="N23" i="47"/>
  <c r="AJ23" i="47" s="1"/>
  <c r="N22" i="47"/>
  <c r="AJ22" i="47" s="1"/>
  <c r="N21" i="47"/>
  <c r="AJ21" i="47" s="1"/>
  <c r="N20" i="47"/>
  <c r="AJ20" i="47" s="1"/>
  <c r="N19" i="47"/>
  <c r="AJ19" i="47" s="1"/>
  <c r="N18" i="47"/>
  <c r="AJ18" i="47" s="1"/>
  <c r="N17" i="47"/>
  <c r="AJ17" i="47" s="1"/>
  <c r="N16" i="47"/>
  <c r="AJ16" i="47" s="1"/>
  <c r="N15" i="47"/>
  <c r="AJ15" i="47" s="1"/>
  <c r="N101" i="47"/>
  <c r="AJ101" i="47" s="1"/>
  <c r="N84" i="47"/>
  <c r="AJ84" i="47" s="1"/>
  <c r="R195" i="47"/>
  <c r="AN195" i="47" s="1"/>
  <c r="R194" i="47"/>
  <c r="AN194" i="47" s="1"/>
  <c r="R193" i="47"/>
  <c r="AN193" i="47" s="1"/>
  <c r="R192" i="47"/>
  <c r="AN192" i="47" s="1"/>
  <c r="R191" i="47"/>
  <c r="AN191" i="47" s="1"/>
  <c r="R190" i="47"/>
  <c r="AN190" i="47" s="1"/>
  <c r="R189" i="47"/>
  <c r="AN189" i="47" s="1"/>
  <c r="R188" i="47"/>
  <c r="AN188" i="47" s="1"/>
  <c r="R185" i="47"/>
  <c r="AN185" i="47" s="1"/>
  <c r="R187" i="47"/>
  <c r="AN187" i="47" s="1"/>
  <c r="R184" i="47"/>
  <c r="AN184" i="47" s="1"/>
  <c r="R186" i="47"/>
  <c r="AN186" i="47" s="1"/>
  <c r="R183" i="47"/>
  <c r="AN183" i="47" s="1"/>
  <c r="R182" i="47"/>
  <c r="AN182" i="47" s="1"/>
  <c r="R181" i="47"/>
  <c r="AN181" i="47" s="1"/>
  <c r="R180" i="47"/>
  <c r="AN180" i="47" s="1"/>
  <c r="R179" i="47"/>
  <c r="AN179" i="47" s="1"/>
  <c r="R178" i="47"/>
  <c r="AN178" i="47" s="1"/>
  <c r="R177" i="47"/>
  <c r="AN177" i="47" s="1"/>
  <c r="R176" i="47"/>
  <c r="AN176" i="47" s="1"/>
  <c r="R175" i="47"/>
  <c r="AN175" i="47" s="1"/>
  <c r="R174" i="47"/>
  <c r="AN174" i="47" s="1"/>
  <c r="R173" i="47"/>
  <c r="AN173" i="47" s="1"/>
  <c r="R172" i="47"/>
  <c r="AN172" i="47" s="1"/>
  <c r="R171" i="47"/>
  <c r="AN171" i="47" s="1"/>
  <c r="R169" i="47"/>
  <c r="AN169" i="47" s="1"/>
  <c r="R165" i="47"/>
  <c r="AN165" i="47" s="1"/>
  <c r="R168" i="47"/>
  <c r="AN168" i="47" s="1"/>
  <c r="R164" i="47"/>
  <c r="AN164" i="47" s="1"/>
  <c r="R170" i="47"/>
  <c r="AN170" i="47" s="1"/>
  <c r="R166" i="47"/>
  <c r="AN166" i="47" s="1"/>
  <c r="R160" i="47"/>
  <c r="AN160" i="47" s="1"/>
  <c r="R161" i="47"/>
  <c r="AN161" i="47" s="1"/>
  <c r="R157" i="47"/>
  <c r="AN157" i="47" s="1"/>
  <c r="R156" i="47"/>
  <c r="AN156" i="47" s="1"/>
  <c r="R154" i="47"/>
  <c r="AN154" i="47" s="1"/>
  <c r="R153" i="47"/>
  <c r="AN153" i="47" s="1"/>
  <c r="R152" i="47"/>
  <c r="AN152" i="47" s="1"/>
  <c r="R167" i="47"/>
  <c r="AN167" i="47" s="1"/>
  <c r="R163" i="47"/>
  <c r="AN163" i="47" s="1"/>
  <c r="R159" i="47"/>
  <c r="AN159" i="47" s="1"/>
  <c r="R155" i="47"/>
  <c r="AN155" i="47" s="1"/>
  <c r="R150" i="47"/>
  <c r="AN150" i="47" s="1"/>
  <c r="R146" i="47"/>
  <c r="AN146" i="47" s="1"/>
  <c r="R151" i="47"/>
  <c r="AN151" i="47" s="1"/>
  <c r="R147" i="47"/>
  <c r="AN147" i="47" s="1"/>
  <c r="R145" i="47"/>
  <c r="AN145" i="47" s="1"/>
  <c r="R162" i="47"/>
  <c r="AN162" i="47" s="1"/>
  <c r="R148" i="47"/>
  <c r="AN148" i="47" s="1"/>
  <c r="R144" i="47"/>
  <c r="AN144" i="47" s="1"/>
  <c r="R142" i="47"/>
  <c r="AN142" i="47" s="1"/>
  <c r="R141" i="47"/>
  <c r="AN141" i="47" s="1"/>
  <c r="R140" i="47"/>
  <c r="AN140" i="47" s="1"/>
  <c r="R139" i="47"/>
  <c r="AN139" i="47" s="1"/>
  <c r="R138" i="47"/>
  <c r="AN138" i="47" s="1"/>
  <c r="R137" i="47"/>
  <c r="AN137" i="47" s="1"/>
  <c r="R136" i="47"/>
  <c r="AN136" i="47" s="1"/>
  <c r="R143" i="47"/>
  <c r="AN143" i="47" s="1"/>
  <c r="R133" i="47"/>
  <c r="AN133" i="47" s="1"/>
  <c r="R132" i="47"/>
  <c r="AN132" i="47" s="1"/>
  <c r="R131" i="47"/>
  <c r="AN131" i="47" s="1"/>
  <c r="R130" i="47"/>
  <c r="AN130" i="47" s="1"/>
  <c r="R129" i="47"/>
  <c r="AN129" i="47" s="1"/>
  <c r="R128" i="47"/>
  <c r="AN128" i="47" s="1"/>
  <c r="R127" i="47"/>
  <c r="AN127" i="47" s="1"/>
  <c r="R126" i="47"/>
  <c r="AN126" i="47" s="1"/>
  <c r="R125" i="47"/>
  <c r="AN125" i="47" s="1"/>
  <c r="R124" i="47"/>
  <c r="AN124" i="47" s="1"/>
  <c r="R123" i="47"/>
  <c r="AN123" i="47" s="1"/>
  <c r="R122" i="47"/>
  <c r="AN122" i="47" s="1"/>
  <c r="R121" i="47"/>
  <c r="AN121" i="47" s="1"/>
  <c r="R120" i="47"/>
  <c r="AN120" i="47" s="1"/>
  <c r="R119" i="47"/>
  <c r="AN119" i="47" s="1"/>
  <c r="R158" i="47"/>
  <c r="AN158" i="47" s="1"/>
  <c r="R149" i="47"/>
  <c r="AN149" i="47" s="1"/>
  <c r="R134" i="47"/>
  <c r="AN134" i="47" s="1"/>
  <c r="R118" i="47"/>
  <c r="AN118" i="47" s="1"/>
  <c r="R117" i="47"/>
  <c r="AN117" i="47" s="1"/>
  <c r="R135" i="47"/>
  <c r="AN135" i="47" s="1"/>
  <c r="R115" i="47"/>
  <c r="AN115" i="47" s="1"/>
  <c r="R111" i="47"/>
  <c r="AN111" i="47" s="1"/>
  <c r="R107" i="47"/>
  <c r="AN107" i="47" s="1"/>
  <c r="R102" i="47"/>
  <c r="AN102" i="47" s="1"/>
  <c r="R116" i="47"/>
  <c r="AN116" i="47" s="1"/>
  <c r="R112" i="47"/>
  <c r="AN112" i="47" s="1"/>
  <c r="R108" i="47"/>
  <c r="AN108" i="47" s="1"/>
  <c r="R105" i="47"/>
  <c r="AN105" i="47" s="1"/>
  <c r="R101" i="47"/>
  <c r="AN101" i="47" s="1"/>
  <c r="R113" i="47"/>
  <c r="AN113" i="47" s="1"/>
  <c r="R109" i="47"/>
  <c r="AN109" i="47" s="1"/>
  <c r="R104" i="47"/>
  <c r="AN104" i="47" s="1"/>
  <c r="R100" i="47"/>
  <c r="AN100" i="47" s="1"/>
  <c r="R99" i="47"/>
  <c r="AN99" i="47" s="1"/>
  <c r="R98" i="47"/>
  <c r="AN98" i="47" s="1"/>
  <c r="R97" i="47"/>
  <c r="AN97" i="47" s="1"/>
  <c r="R96" i="47"/>
  <c r="AN96" i="47" s="1"/>
  <c r="R95" i="47"/>
  <c r="AN95" i="47" s="1"/>
  <c r="R94" i="47"/>
  <c r="AN94" i="47" s="1"/>
  <c r="R93" i="47"/>
  <c r="AN93" i="47" s="1"/>
  <c r="R92" i="47"/>
  <c r="AN92" i="47" s="1"/>
  <c r="R103" i="47"/>
  <c r="AN103" i="47" s="1"/>
  <c r="R90" i="47"/>
  <c r="AN90" i="47" s="1"/>
  <c r="R87" i="47"/>
  <c r="AN87" i="47" s="1"/>
  <c r="R83" i="47"/>
  <c r="AN83" i="47" s="1"/>
  <c r="R79" i="47"/>
  <c r="AN79" i="47" s="1"/>
  <c r="R114" i="47"/>
  <c r="AN114" i="47" s="1"/>
  <c r="R91" i="47"/>
  <c r="AN91" i="47" s="1"/>
  <c r="R84" i="47"/>
  <c r="AN84" i="47" s="1"/>
  <c r="R78" i="47"/>
  <c r="AN78" i="47" s="1"/>
  <c r="R106" i="47"/>
  <c r="AN106" i="47" s="1"/>
  <c r="R89" i="47"/>
  <c r="AN89" i="47" s="1"/>
  <c r="R86" i="47"/>
  <c r="AN86" i="47" s="1"/>
  <c r="R82" i="47"/>
  <c r="AN82" i="47" s="1"/>
  <c r="R80" i="47"/>
  <c r="AN80" i="47" s="1"/>
  <c r="R77" i="47"/>
  <c r="AN77" i="47" s="1"/>
  <c r="R76" i="47"/>
  <c r="AN76" i="47" s="1"/>
  <c r="R75" i="47"/>
  <c r="AN75" i="47" s="1"/>
  <c r="R74" i="47"/>
  <c r="AN74" i="47" s="1"/>
  <c r="R73" i="47"/>
  <c r="AN73" i="47" s="1"/>
  <c r="R72" i="47"/>
  <c r="AN72" i="47" s="1"/>
  <c r="R71" i="47"/>
  <c r="AN71" i="47" s="1"/>
  <c r="R70" i="47"/>
  <c r="AN70" i="47" s="1"/>
  <c r="R69" i="47"/>
  <c r="AN69" i="47" s="1"/>
  <c r="R68" i="47"/>
  <c r="AN68" i="47" s="1"/>
  <c r="R67" i="47"/>
  <c r="AN67" i="47" s="1"/>
  <c r="R66" i="47"/>
  <c r="AN66" i="47" s="1"/>
  <c r="R65" i="47"/>
  <c r="AN65" i="47" s="1"/>
  <c r="R64" i="47"/>
  <c r="AN64" i="47" s="1"/>
  <c r="R63" i="47"/>
  <c r="AN63" i="47" s="1"/>
  <c r="R62" i="47"/>
  <c r="AN62" i="47" s="1"/>
  <c r="R61" i="47"/>
  <c r="AN61" i="47" s="1"/>
  <c r="R60" i="47"/>
  <c r="AN60" i="47" s="1"/>
  <c r="R59" i="47"/>
  <c r="AN59" i="47" s="1"/>
  <c r="R58" i="47"/>
  <c r="AN58" i="47" s="1"/>
  <c r="R57" i="47"/>
  <c r="AN57" i="47" s="1"/>
  <c r="R56" i="47"/>
  <c r="AN56" i="47" s="1"/>
  <c r="R55" i="47"/>
  <c r="AN55" i="47" s="1"/>
  <c r="R54" i="47"/>
  <c r="AN54" i="47" s="1"/>
  <c r="R53" i="47"/>
  <c r="AN53" i="47" s="1"/>
  <c r="R52" i="47"/>
  <c r="AN52" i="47" s="1"/>
  <c r="R51" i="47"/>
  <c r="AN51" i="47" s="1"/>
  <c r="R50" i="47"/>
  <c r="AN50" i="47" s="1"/>
  <c r="R49" i="47"/>
  <c r="AN49" i="47" s="1"/>
  <c r="R48" i="47"/>
  <c r="AN48" i="47" s="1"/>
  <c r="R47" i="47"/>
  <c r="AN47" i="47" s="1"/>
  <c r="R46" i="47"/>
  <c r="AN46" i="47" s="1"/>
  <c r="R45" i="47"/>
  <c r="AN45" i="47" s="1"/>
  <c r="R44" i="47"/>
  <c r="AN44" i="47" s="1"/>
  <c r="R43" i="47"/>
  <c r="AN43" i="47" s="1"/>
  <c r="R42" i="47"/>
  <c r="AN42" i="47" s="1"/>
  <c r="R41" i="47"/>
  <c r="AN41" i="47" s="1"/>
  <c r="R40" i="47"/>
  <c r="AN40" i="47" s="1"/>
  <c r="R39" i="47"/>
  <c r="AN39" i="47" s="1"/>
  <c r="R110" i="47"/>
  <c r="AN110" i="47" s="1"/>
  <c r="R85" i="47"/>
  <c r="AN85" i="47" s="1"/>
  <c r="R38" i="47"/>
  <c r="AN38" i="47" s="1"/>
  <c r="R37" i="47"/>
  <c r="AN37" i="47" s="1"/>
  <c r="R36" i="47"/>
  <c r="AN36" i="47" s="1"/>
  <c r="R35" i="47"/>
  <c r="AN35" i="47" s="1"/>
  <c r="R34" i="47"/>
  <c r="AN34" i="47" s="1"/>
  <c r="R33" i="47"/>
  <c r="AN33" i="47" s="1"/>
  <c r="R32" i="47"/>
  <c r="AN32" i="47" s="1"/>
  <c r="R31" i="47"/>
  <c r="AN31" i="47" s="1"/>
  <c r="R30" i="47"/>
  <c r="AN30" i="47" s="1"/>
  <c r="R29" i="47"/>
  <c r="AN29" i="47" s="1"/>
  <c r="R28" i="47"/>
  <c r="AN28" i="47" s="1"/>
  <c r="R27" i="47"/>
  <c r="AN27" i="47" s="1"/>
  <c r="R26" i="47"/>
  <c r="AN26" i="47" s="1"/>
  <c r="R25" i="47"/>
  <c r="AN25" i="47" s="1"/>
  <c r="R24" i="47"/>
  <c r="AN24" i="47" s="1"/>
  <c r="R23" i="47"/>
  <c r="AN23" i="47" s="1"/>
  <c r="R22" i="47"/>
  <c r="AN22" i="47" s="1"/>
  <c r="R21" i="47"/>
  <c r="AN21" i="47" s="1"/>
  <c r="R20" i="47"/>
  <c r="AN20" i="47" s="1"/>
  <c r="R19" i="47"/>
  <c r="AN19" i="47" s="1"/>
  <c r="R18" i="47"/>
  <c r="AN18" i="47" s="1"/>
  <c r="R17" i="47"/>
  <c r="AN17" i="47" s="1"/>
  <c r="R16" i="47"/>
  <c r="AN16" i="47" s="1"/>
  <c r="R15" i="47"/>
  <c r="AN15" i="47" s="1"/>
  <c r="R81" i="47"/>
  <c r="AN81" i="47" s="1"/>
  <c r="V195" i="47"/>
  <c r="AR195" i="47" s="1"/>
  <c r="V194" i="47"/>
  <c r="AR194" i="47" s="1"/>
  <c r="V193" i="47"/>
  <c r="AR193" i="47" s="1"/>
  <c r="V192" i="47"/>
  <c r="AR192" i="47" s="1"/>
  <c r="V191" i="47"/>
  <c r="AR191" i="47" s="1"/>
  <c r="V190" i="47"/>
  <c r="AR190" i="47" s="1"/>
  <c r="V189" i="47"/>
  <c r="AR189" i="47" s="1"/>
  <c r="V188" i="47"/>
  <c r="AR188" i="47" s="1"/>
  <c r="V187" i="47"/>
  <c r="AR187" i="47" s="1"/>
  <c r="V183" i="47"/>
  <c r="AR183" i="47" s="1"/>
  <c r="V186" i="47"/>
  <c r="AR186" i="47" s="1"/>
  <c r="V180" i="47"/>
  <c r="AR180" i="47" s="1"/>
  <c r="V181" i="47"/>
  <c r="AR181" i="47" s="1"/>
  <c r="V182" i="47"/>
  <c r="AR182" i="47" s="1"/>
  <c r="V179" i="47"/>
  <c r="AR179" i="47" s="1"/>
  <c r="V178" i="47"/>
  <c r="AR178" i="47" s="1"/>
  <c r="V177" i="47"/>
  <c r="AR177" i="47" s="1"/>
  <c r="V176" i="47"/>
  <c r="AR176" i="47" s="1"/>
  <c r="V175" i="47"/>
  <c r="AR175" i="47" s="1"/>
  <c r="V174" i="47"/>
  <c r="AR174" i="47" s="1"/>
  <c r="V173" i="47"/>
  <c r="AR173" i="47" s="1"/>
  <c r="V172" i="47"/>
  <c r="AR172" i="47" s="1"/>
  <c r="V171" i="47"/>
  <c r="AR171" i="47" s="1"/>
  <c r="V185" i="47"/>
  <c r="AR185" i="47" s="1"/>
  <c r="V167" i="47"/>
  <c r="AR167" i="47" s="1"/>
  <c r="V170" i="47"/>
  <c r="AR170" i="47" s="1"/>
  <c r="V166" i="47"/>
  <c r="AR166" i="47" s="1"/>
  <c r="V168" i="47"/>
  <c r="AR168" i="47" s="1"/>
  <c r="V164" i="47"/>
  <c r="AR164" i="47" s="1"/>
  <c r="V165" i="47"/>
  <c r="AR165" i="47" s="1"/>
  <c r="V161" i="47"/>
  <c r="AR161" i="47" s="1"/>
  <c r="V157" i="47"/>
  <c r="AR157" i="47" s="1"/>
  <c r="V184" i="47"/>
  <c r="AR184" i="47" s="1"/>
  <c r="V169" i="47"/>
  <c r="AR169" i="47" s="1"/>
  <c r="V162" i="47"/>
  <c r="AR162" i="47" s="1"/>
  <c r="V158" i="47"/>
  <c r="AR158" i="47" s="1"/>
  <c r="V155" i="47"/>
  <c r="AR155" i="47" s="1"/>
  <c r="V160" i="47"/>
  <c r="AR160" i="47" s="1"/>
  <c r="V156" i="47"/>
  <c r="AR156" i="47" s="1"/>
  <c r="V152" i="47"/>
  <c r="AR152" i="47" s="1"/>
  <c r="V151" i="47"/>
  <c r="AR151" i="47" s="1"/>
  <c r="V147" i="47"/>
  <c r="AR147" i="47" s="1"/>
  <c r="V163" i="47"/>
  <c r="AR163" i="47" s="1"/>
  <c r="V153" i="47"/>
  <c r="AR153" i="47" s="1"/>
  <c r="V148" i="47"/>
  <c r="AR148" i="47" s="1"/>
  <c r="V143" i="47"/>
  <c r="AR143" i="47" s="1"/>
  <c r="V159" i="47"/>
  <c r="AR159" i="47" s="1"/>
  <c r="V154" i="47"/>
  <c r="AR154" i="47" s="1"/>
  <c r="V149" i="47"/>
  <c r="AR149" i="47" s="1"/>
  <c r="V150" i="47"/>
  <c r="AR150" i="47" s="1"/>
  <c r="V144" i="47"/>
  <c r="AR144" i="47" s="1"/>
  <c r="V142" i="47"/>
  <c r="AR142" i="47" s="1"/>
  <c r="V140" i="47"/>
  <c r="AR140" i="47" s="1"/>
  <c r="V138" i="47"/>
  <c r="AR138" i="47" s="1"/>
  <c r="V136" i="47"/>
  <c r="AR136" i="47" s="1"/>
  <c r="V135" i="47"/>
  <c r="AR135" i="47" s="1"/>
  <c r="V134" i="47"/>
  <c r="AR134" i="47" s="1"/>
  <c r="V133" i="47"/>
  <c r="AR133" i="47" s="1"/>
  <c r="V132" i="47"/>
  <c r="AR132" i="47" s="1"/>
  <c r="V131" i="47"/>
  <c r="AR131" i="47" s="1"/>
  <c r="V130" i="47"/>
  <c r="AR130" i="47" s="1"/>
  <c r="V129" i="47"/>
  <c r="AR129" i="47" s="1"/>
  <c r="V128" i="47"/>
  <c r="AR128" i="47" s="1"/>
  <c r="V127" i="47"/>
  <c r="AR127" i="47" s="1"/>
  <c r="V126" i="47"/>
  <c r="AR126" i="47" s="1"/>
  <c r="V125" i="47"/>
  <c r="AR125" i="47" s="1"/>
  <c r="V124" i="47"/>
  <c r="AR124" i="47" s="1"/>
  <c r="V123" i="47"/>
  <c r="AR123" i="47" s="1"/>
  <c r="V122" i="47"/>
  <c r="AR122" i="47" s="1"/>
  <c r="V121" i="47"/>
  <c r="AR121" i="47" s="1"/>
  <c r="V120" i="47"/>
  <c r="AR120" i="47" s="1"/>
  <c r="V119" i="47"/>
  <c r="AR119" i="47" s="1"/>
  <c r="V146" i="47"/>
  <c r="AR146" i="47" s="1"/>
  <c r="V145" i="47"/>
  <c r="AR145" i="47" s="1"/>
  <c r="V141" i="47"/>
  <c r="AR141" i="47" s="1"/>
  <c r="V139" i="47"/>
  <c r="AR139" i="47" s="1"/>
  <c r="V137" i="47"/>
  <c r="AR137" i="47" s="1"/>
  <c r="V118" i="47"/>
  <c r="AR118" i="47" s="1"/>
  <c r="V117" i="47"/>
  <c r="AR117" i="47" s="1"/>
  <c r="V116" i="47"/>
  <c r="AR116" i="47" s="1"/>
  <c r="V112" i="47"/>
  <c r="AR112" i="47" s="1"/>
  <c r="V108" i="47"/>
  <c r="AR108" i="47" s="1"/>
  <c r="V104" i="47"/>
  <c r="AR104" i="47" s="1"/>
  <c r="V113" i="47"/>
  <c r="AR113" i="47" s="1"/>
  <c r="V109" i="47"/>
  <c r="AR109" i="47" s="1"/>
  <c r="V103" i="47"/>
  <c r="AR103" i="47" s="1"/>
  <c r="V114" i="47"/>
  <c r="AR114" i="47" s="1"/>
  <c r="V110" i="47"/>
  <c r="AR110" i="47" s="1"/>
  <c r="V106" i="47"/>
  <c r="AR106" i="47" s="1"/>
  <c r="V102" i="47"/>
  <c r="AR102" i="47" s="1"/>
  <c r="V115" i="47"/>
  <c r="AR115" i="47" s="1"/>
  <c r="V97" i="47"/>
  <c r="AR97" i="47" s="1"/>
  <c r="V93" i="47"/>
  <c r="AR93" i="47" s="1"/>
  <c r="V91" i="47"/>
  <c r="AR91" i="47" s="1"/>
  <c r="V84" i="47"/>
  <c r="AR84" i="47" s="1"/>
  <c r="V77" i="47"/>
  <c r="AR77" i="47" s="1"/>
  <c r="V76" i="47"/>
  <c r="AR76" i="47" s="1"/>
  <c r="V75" i="47"/>
  <c r="AR75" i="47" s="1"/>
  <c r="V111" i="47"/>
  <c r="AR111" i="47" s="1"/>
  <c r="V101" i="47"/>
  <c r="AR101" i="47" s="1"/>
  <c r="V98" i="47"/>
  <c r="AR98" i="47" s="1"/>
  <c r="V94" i="47"/>
  <c r="AR94" i="47" s="1"/>
  <c r="V88" i="47"/>
  <c r="AR88" i="47" s="1"/>
  <c r="V85" i="47"/>
  <c r="AR85" i="47" s="1"/>
  <c r="V81" i="47"/>
  <c r="AR81" i="47" s="1"/>
  <c r="V80" i="47"/>
  <c r="AR80" i="47" s="1"/>
  <c r="V100" i="47"/>
  <c r="AR100" i="47" s="1"/>
  <c r="V96" i="47"/>
  <c r="AR96" i="47" s="1"/>
  <c r="V92" i="47"/>
  <c r="AR92" i="47" s="1"/>
  <c r="V90" i="47"/>
  <c r="AR90" i="47" s="1"/>
  <c r="V87" i="47"/>
  <c r="AR87" i="47" s="1"/>
  <c r="V83" i="47"/>
  <c r="AR83" i="47" s="1"/>
  <c r="V78" i="47"/>
  <c r="AR78" i="47" s="1"/>
  <c r="V74" i="47"/>
  <c r="AR74" i="47" s="1"/>
  <c r="V73" i="47"/>
  <c r="AR73" i="47" s="1"/>
  <c r="V72" i="47"/>
  <c r="AR72" i="47" s="1"/>
  <c r="V71" i="47"/>
  <c r="AR71" i="47" s="1"/>
  <c r="V70" i="47"/>
  <c r="AR70" i="47" s="1"/>
  <c r="V69" i="47"/>
  <c r="AR69" i="47" s="1"/>
  <c r="V68" i="47"/>
  <c r="AR68" i="47" s="1"/>
  <c r="V67" i="47"/>
  <c r="AR67" i="47" s="1"/>
  <c r="V66" i="47"/>
  <c r="AR66" i="47" s="1"/>
  <c r="V65" i="47"/>
  <c r="AR65" i="47" s="1"/>
  <c r="V64" i="47"/>
  <c r="AR64" i="47" s="1"/>
  <c r="V63" i="47"/>
  <c r="AR63" i="47" s="1"/>
  <c r="V62" i="47"/>
  <c r="AR62" i="47" s="1"/>
  <c r="V61" i="47"/>
  <c r="AR61" i="47" s="1"/>
  <c r="V60" i="47"/>
  <c r="AR60" i="47" s="1"/>
  <c r="V59" i="47"/>
  <c r="AR59" i="47" s="1"/>
  <c r="V58" i="47"/>
  <c r="AR58" i="47" s="1"/>
  <c r="V57" i="47"/>
  <c r="AR57" i="47" s="1"/>
  <c r="V56" i="47"/>
  <c r="AR56" i="47" s="1"/>
  <c r="V55" i="47"/>
  <c r="AR55" i="47" s="1"/>
  <c r="V54" i="47"/>
  <c r="AR54" i="47" s="1"/>
  <c r="V53" i="47"/>
  <c r="AR53" i="47" s="1"/>
  <c r="V52" i="47"/>
  <c r="AR52" i="47" s="1"/>
  <c r="V51" i="47"/>
  <c r="AR51" i="47" s="1"/>
  <c r="V50" i="47"/>
  <c r="AR50" i="47" s="1"/>
  <c r="V49" i="47"/>
  <c r="AR49" i="47" s="1"/>
  <c r="V48" i="47"/>
  <c r="AR48" i="47" s="1"/>
  <c r="V47" i="47"/>
  <c r="AR47" i="47" s="1"/>
  <c r="V46" i="47"/>
  <c r="AR46" i="47" s="1"/>
  <c r="V45" i="47"/>
  <c r="AR45" i="47" s="1"/>
  <c r="V44" i="47"/>
  <c r="AR44" i="47" s="1"/>
  <c r="V43" i="47"/>
  <c r="AR43" i="47" s="1"/>
  <c r="V42" i="47"/>
  <c r="AR42" i="47" s="1"/>
  <c r="V41" i="47"/>
  <c r="AR41" i="47" s="1"/>
  <c r="V40" i="47"/>
  <c r="AR40" i="47" s="1"/>
  <c r="V39" i="47"/>
  <c r="AR39" i="47" s="1"/>
  <c r="V95" i="47"/>
  <c r="AR95" i="47" s="1"/>
  <c r="V86" i="47"/>
  <c r="AR86" i="47" s="1"/>
  <c r="V105" i="47"/>
  <c r="AR105" i="47" s="1"/>
  <c r="V82" i="47"/>
  <c r="AR82" i="47" s="1"/>
  <c r="V38" i="47"/>
  <c r="AR38" i="47" s="1"/>
  <c r="V37" i="47"/>
  <c r="AR37" i="47" s="1"/>
  <c r="V36" i="47"/>
  <c r="AR36" i="47" s="1"/>
  <c r="V35" i="47"/>
  <c r="AR35" i="47" s="1"/>
  <c r="V34" i="47"/>
  <c r="AR34" i="47" s="1"/>
  <c r="V33" i="47"/>
  <c r="AR33" i="47" s="1"/>
  <c r="V32" i="47"/>
  <c r="AR32" i="47" s="1"/>
  <c r="V31" i="47"/>
  <c r="AR31" i="47" s="1"/>
  <c r="V30" i="47"/>
  <c r="AR30" i="47" s="1"/>
  <c r="V29" i="47"/>
  <c r="AR29" i="47" s="1"/>
  <c r="V28" i="47"/>
  <c r="AR28" i="47" s="1"/>
  <c r="V27" i="47"/>
  <c r="AR27" i="47" s="1"/>
  <c r="V26" i="47"/>
  <c r="AR26" i="47" s="1"/>
  <c r="V25" i="47"/>
  <c r="AR25" i="47" s="1"/>
  <c r="V24" i="47"/>
  <c r="AR24" i="47" s="1"/>
  <c r="V23" i="47"/>
  <c r="AR23" i="47" s="1"/>
  <c r="V22" i="47"/>
  <c r="AR22" i="47" s="1"/>
  <c r="V21" i="47"/>
  <c r="AR21" i="47" s="1"/>
  <c r="V20" i="47"/>
  <c r="AR20" i="47" s="1"/>
  <c r="V19" i="47"/>
  <c r="AR19" i="47" s="1"/>
  <c r="V18" i="47"/>
  <c r="AR18" i="47" s="1"/>
  <c r="V17" i="47"/>
  <c r="AR17" i="47" s="1"/>
  <c r="V16" i="47"/>
  <c r="AR16" i="47" s="1"/>
  <c r="V15" i="47"/>
  <c r="AR15" i="47" s="1"/>
  <c r="V107" i="47"/>
  <c r="AR107" i="47" s="1"/>
  <c r="V99" i="47"/>
  <c r="AR99" i="47" s="1"/>
  <c r="V89" i="47"/>
  <c r="AR89" i="47" s="1"/>
  <c r="Z195" i="47"/>
  <c r="AV195" i="47" s="1"/>
  <c r="Z194" i="47"/>
  <c r="AV194" i="47" s="1"/>
  <c r="Z193" i="47"/>
  <c r="AV193" i="47" s="1"/>
  <c r="Z192" i="47"/>
  <c r="AV192" i="47" s="1"/>
  <c r="Z191" i="47"/>
  <c r="AV191" i="47" s="1"/>
  <c r="Z190" i="47"/>
  <c r="AV190" i="47" s="1"/>
  <c r="Z189" i="47"/>
  <c r="AV189" i="47" s="1"/>
  <c r="Z188" i="47"/>
  <c r="AV188" i="47" s="1"/>
  <c r="Z187" i="47"/>
  <c r="AV187" i="47" s="1"/>
  <c r="Z185" i="47"/>
  <c r="AV185" i="47" s="1"/>
  <c r="Z184" i="47"/>
  <c r="AV184" i="47" s="1"/>
  <c r="Z183" i="47"/>
  <c r="AV183" i="47" s="1"/>
  <c r="Z182" i="47"/>
  <c r="AV182" i="47" s="1"/>
  <c r="Z180" i="47"/>
  <c r="AV180" i="47" s="1"/>
  <c r="Z181" i="47"/>
  <c r="AV181" i="47" s="1"/>
  <c r="Z179" i="47"/>
  <c r="AV179" i="47" s="1"/>
  <c r="Z178" i="47"/>
  <c r="AV178" i="47" s="1"/>
  <c r="Z177" i="47"/>
  <c r="AV177" i="47" s="1"/>
  <c r="Z176" i="47"/>
  <c r="AV176" i="47" s="1"/>
  <c r="Z175" i="47"/>
  <c r="AV175" i="47" s="1"/>
  <c r="Z174" i="47"/>
  <c r="AV174" i="47" s="1"/>
  <c r="Z173" i="47"/>
  <c r="AV173" i="47" s="1"/>
  <c r="Z172" i="47"/>
  <c r="AV172" i="47" s="1"/>
  <c r="Z171" i="47"/>
  <c r="AV171" i="47" s="1"/>
  <c r="Z186" i="47"/>
  <c r="AV186" i="47" s="1"/>
  <c r="Z169" i="47"/>
  <c r="AV169" i="47" s="1"/>
  <c r="Z165" i="47"/>
  <c r="AV165" i="47" s="1"/>
  <c r="Z168" i="47"/>
  <c r="AV168" i="47" s="1"/>
  <c r="Z164" i="47"/>
  <c r="AV164" i="47" s="1"/>
  <c r="Z170" i="47"/>
  <c r="AV170" i="47" s="1"/>
  <c r="Z166" i="47"/>
  <c r="AV166" i="47" s="1"/>
  <c r="Z162" i="47"/>
  <c r="AV162" i="47" s="1"/>
  <c r="Z158" i="47"/>
  <c r="AV158" i="47" s="1"/>
  <c r="Z163" i="47"/>
  <c r="AV163" i="47" s="1"/>
  <c r="Z159" i="47"/>
  <c r="AV159" i="47" s="1"/>
  <c r="Z156" i="47"/>
  <c r="AV156" i="47" s="1"/>
  <c r="Z161" i="47"/>
  <c r="AV161" i="47" s="1"/>
  <c r="Z157" i="47"/>
  <c r="AV157" i="47" s="1"/>
  <c r="Z155" i="47"/>
  <c r="AV155" i="47" s="1"/>
  <c r="Z154" i="47"/>
  <c r="AV154" i="47" s="1"/>
  <c r="Z153" i="47"/>
  <c r="AV153" i="47" s="1"/>
  <c r="Z152" i="47"/>
  <c r="AV152" i="47" s="1"/>
  <c r="Z148" i="47"/>
  <c r="AV148" i="47" s="1"/>
  <c r="Z160" i="47"/>
  <c r="AV160" i="47" s="1"/>
  <c r="Z149" i="47"/>
  <c r="AV149" i="47" s="1"/>
  <c r="Z145" i="47"/>
  <c r="AV145" i="47" s="1"/>
  <c r="Z167" i="47"/>
  <c r="AV167" i="47" s="1"/>
  <c r="Z150" i="47"/>
  <c r="AV150" i="47" s="1"/>
  <c r="Z146" i="47"/>
  <c r="AV146" i="47" s="1"/>
  <c r="Z144" i="47"/>
  <c r="AV144" i="47" s="1"/>
  <c r="Z147" i="47"/>
  <c r="AV147" i="47" s="1"/>
  <c r="Z133" i="47"/>
  <c r="AV133" i="47" s="1"/>
  <c r="Z132" i="47"/>
  <c r="AV132" i="47" s="1"/>
  <c r="Z131" i="47"/>
  <c r="AV131" i="47" s="1"/>
  <c r="Z130" i="47"/>
  <c r="AV130" i="47" s="1"/>
  <c r="Z129" i="47"/>
  <c r="AV129" i="47" s="1"/>
  <c r="Z128" i="47"/>
  <c r="AV128" i="47" s="1"/>
  <c r="Z127" i="47"/>
  <c r="AV127" i="47" s="1"/>
  <c r="Z126" i="47"/>
  <c r="AV126" i="47" s="1"/>
  <c r="Z125" i="47"/>
  <c r="AV125" i="47" s="1"/>
  <c r="Z124" i="47"/>
  <c r="AV124" i="47" s="1"/>
  <c r="Z123" i="47"/>
  <c r="AV123" i="47" s="1"/>
  <c r="Z122" i="47"/>
  <c r="AV122" i="47" s="1"/>
  <c r="Z121" i="47"/>
  <c r="AV121" i="47" s="1"/>
  <c r="Z120" i="47"/>
  <c r="AV120" i="47" s="1"/>
  <c r="Z119" i="47"/>
  <c r="AV119" i="47" s="1"/>
  <c r="Z141" i="47"/>
  <c r="AV141" i="47" s="1"/>
  <c r="Z139" i="47"/>
  <c r="AV139" i="47" s="1"/>
  <c r="Z137" i="47"/>
  <c r="AV137" i="47" s="1"/>
  <c r="Z134" i="47"/>
  <c r="AV134" i="47" s="1"/>
  <c r="Z151" i="47"/>
  <c r="AV151" i="47" s="1"/>
  <c r="Z142" i="47"/>
  <c r="AV142" i="47" s="1"/>
  <c r="Z140" i="47"/>
  <c r="AV140" i="47" s="1"/>
  <c r="Z138" i="47"/>
  <c r="AV138" i="47" s="1"/>
  <c r="Z136" i="47"/>
  <c r="AV136" i="47" s="1"/>
  <c r="Z113" i="47"/>
  <c r="AV113" i="47" s="1"/>
  <c r="Z109" i="47"/>
  <c r="AV109" i="47" s="1"/>
  <c r="Z102" i="47"/>
  <c r="AV102" i="47" s="1"/>
  <c r="Z100" i="47"/>
  <c r="AV100" i="47" s="1"/>
  <c r="Z99" i="47"/>
  <c r="AV99" i="47" s="1"/>
  <c r="Z98" i="47"/>
  <c r="AV98" i="47" s="1"/>
  <c r="Z97" i="47"/>
  <c r="AV97" i="47" s="1"/>
  <c r="Z96" i="47"/>
  <c r="AV96" i="47" s="1"/>
  <c r="Z95" i="47"/>
  <c r="AV95" i="47" s="1"/>
  <c r="Z94" i="47"/>
  <c r="AV94" i="47" s="1"/>
  <c r="Z93" i="47"/>
  <c r="AV93" i="47" s="1"/>
  <c r="Z92" i="47"/>
  <c r="AV92" i="47" s="1"/>
  <c r="Z135" i="47"/>
  <c r="AV135" i="47" s="1"/>
  <c r="Z117" i="47"/>
  <c r="AV117" i="47" s="1"/>
  <c r="Z114" i="47"/>
  <c r="AV114" i="47" s="1"/>
  <c r="Z110" i="47"/>
  <c r="AV110" i="47" s="1"/>
  <c r="Z106" i="47"/>
  <c r="AV106" i="47" s="1"/>
  <c r="Z105" i="47"/>
  <c r="AV105" i="47" s="1"/>
  <c r="Z101" i="47"/>
  <c r="AV101" i="47" s="1"/>
  <c r="Z115" i="47"/>
  <c r="AV115" i="47" s="1"/>
  <c r="Z111" i="47"/>
  <c r="AV111" i="47" s="1"/>
  <c r="Z107" i="47"/>
  <c r="AV107" i="47" s="1"/>
  <c r="Z104" i="47"/>
  <c r="AV104" i="47" s="1"/>
  <c r="Z143" i="47"/>
  <c r="AV143" i="47" s="1"/>
  <c r="Z112" i="47"/>
  <c r="AV112" i="47" s="1"/>
  <c r="Z88" i="47"/>
  <c r="AV88" i="47" s="1"/>
  <c r="Z85" i="47"/>
  <c r="AV85" i="47" s="1"/>
  <c r="Z81" i="47"/>
  <c r="AV81" i="47" s="1"/>
  <c r="Z79" i="47"/>
  <c r="AV79" i="47" s="1"/>
  <c r="Z108" i="47"/>
  <c r="AV108" i="47" s="1"/>
  <c r="Z89" i="47"/>
  <c r="AV89" i="47" s="1"/>
  <c r="Z86" i="47"/>
  <c r="AV86" i="47" s="1"/>
  <c r="Z82" i="47"/>
  <c r="AV82" i="47" s="1"/>
  <c r="Z78" i="47"/>
  <c r="AV78" i="47" s="1"/>
  <c r="Z77" i="47"/>
  <c r="AV77" i="47" s="1"/>
  <c r="Z76" i="47"/>
  <c r="AV76" i="47" s="1"/>
  <c r="Z75" i="47"/>
  <c r="AV75" i="47" s="1"/>
  <c r="Z116" i="47"/>
  <c r="AV116" i="47" s="1"/>
  <c r="Z103" i="47"/>
  <c r="AV103" i="47" s="1"/>
  <c r="Z91" i="47"/>
  <c r="AV91" i="47" s="1"/>
  <c r="Z84" i="47"/>
  <c r="AV84" i="47" s="1"/>
  <c r="Z80" i="47"/>
  <c r="AV80" i="47" s="1"/>
  <c r="Z74" i="47"/>
  <c r="AV74" i="47" s="1"/>
  <c r="Z73" i="47"/>
  <c r="AV73" i="47" s="1"/>
  <c r="Z72" i="47"/>
  <c r="AV72" i="47" s="1"/>
  <c r="Z71" i="47"/>
  <c r="AV71" i="47" s="1"/>
  <c r="Z70" i="47"/>
  <c r="AV70" i="47" s="1"/>
  <c r="Z69" i="47"/>
  <c r="AV69" i="47" s="1"/>
  <c r="Z68" i="47"/>
  <c r="AV68" i="47" s="1"/>
  <c r="Z67" i="47"/>
  <c r="AV67" i="47" s="1"/>
  <c r="Z66" i="47"/>
  <c r="AV66" i="47" s="1"/>
  <c r="Z65" i="47"/>
  <c r="AV65" i="47" s="1"/>
  <c r="Z64" i="47"/>
  <c r="AV64" i="47" s="1"/>
  <c r="Z63" i="47"/>
  <c r="AV63" i="47" s="1"/>
  <c r="Z62" i="47"/>
  <c r="AV62" i="47" s="1"/>
  <c r="Z61" i="47"/>
  <c r="AV61" i="47" s="1"/>
  <c r="Z60" i="47"/>
  <c r="AV60" i="47" s="1"/>
  <c r="Z59" i="47"/>
  <c r="AV59" i="47" s="1"/>
  <c r="Z58" i="47"/>
  <c r="AV58" i="47" s="1"/>
  <c r="Z57" i="47"/>
  <c r="AV57" i="47" s="1"/>
  <c r="Z56" i="47"/>
  <c r="AV56" i="47" s="1"/>
  <c r="Z55" i="47"/>
  <c r="AV55" i="47" s="1"/>
  <c r="Z54" i="47"/>
  <c r="AV54" i="47" s="1"/>
  <c r="Z53" i="47"/>
  <c r="AV53" i="47" s="1"/>
  <c r="Z52" i="47"/>
  <c r="AV52" i="47" s="1"/>
  <c r="Z51" i="47"/>
  <c r="AV51" i="47" s="1"/>
  <c r="Z50" i="47"/>
  <c r="AV50" i="47" s="1"/>
  <c r="Z49" i="47"/>
  <c r="AV49" i="47" s="1"/>
  <c r="Z48" i="47"/>
  <c r="AV48" i="47" s="1"/>
  <c r="Z47" i="47"/>
  <c r="AV47" i="47" s="1"/>
  <c r="Z46" i="47"/>
  <c r="AV46" i="47" s="1"/>
  <c r="Z45" i="47"/>
  <c r="AV45" i="47" s="1"/>
  <c r="Z44" i="47"/>
  <c r="AV44" i="47" s="1"/>
  <c r="Z43" i="47"/>
  <c r="AV43" i="47" s="1"/>
  <c r="Z42" i="47"/>
  <c r="AV42" i="47" s="1"/>
  <c r="Z41" i="47"/>
  <c r="AV41" i="47" s="1"/>
  <c r="Z40" i="47"/>
  <c r="AV40" i="47" s="1"/>
  <c r="Z39" i="47"/>
  <c r="AV39" i="47" s="1"/>
  <c r="Z118" i="47"/>
  <c r="AV118" i="47" s="1"/>
  <c r="Z83" i="47"/>
  <c r="AV83" i="47" s="1"/>
  <c r="Z90" i="47"/>
  <c r="AV90" i="47" s="1"/>
  <c r="Z38" i="47"/>
  <c r="AV38" i="47" s="1"/>
  <c r="Z37" i="47"/>
  <c r="AV37" i="47" s="1"/>
  <c r="Z36" i="47"/>
  <c r="AV36" i="47" s="1"/>
  <c r="Z35" i="47"/>
  <c r="AV35" i="47" s="1"/>
  <c r="Z34" i="47"/>
  <c r="AV34" i="47" s="1"/>
  <c r="Z33" i="47"/>
  <c r="AV33" i="47" s="1"/>
  <c r="Z32" i="47"/>
  <c r="AV32" i="47" s="1"/>
  <c r="Z31" i="47"/>
  <c r="AV31" i="47" s="1"/>
  <c r="Z30" i="47"/>
  <c r="AV30" i="47" s="1"/>
  <c r="Z29" i="47"/>
  <c r="AV29" i="47" s="1"/>
  <c r="Z28" i="47"/>
  <c r="AV28" i="47" s="1"/>
  <c r="Z27" i="47"/>
  <c r="AV27" i="47" s="1"/>
  <c r="Z26" i="47"/>
  <c r="AV26" i="47" s="1"/>
  <c r="Z25" i="47"/>
  <c r="AV25" i="47" s="1"/>
  <c r="Z24" i="47"/>
  <c r="AV24" i="47" s="1"/>
  <c r="Z23" i="47"/>
  <c r="AV23" i="47" s="1"/>
  <c r="Z22" i="47"/>
  <c r="AV22" i="47" s="1"/>
  <c r="Z21" i="47"/>
  <c r="AV21" i="47" s="1"/>
  <c r="Z20" i="47"/>
  <c r="AV20" i="47" s="1"/>
  <c r="Z19" i="47"/>
  <c r="AV19" i="47" s="1"/>
  <c r="Z18" i="47"/>
  <c r="AV18" i="47" s="1"/>
  <c r="Z17" i="47"/>
  <c r="AV17" i="47" s="1"/>
  <c r="Z16" i="47"/>
  <c r="AV16" i="47" s="1"/>
  <c r="Z15" i="47"/>
  <c r="AV15" i="47" s="1"/>
  <c r="N6" i="47"/>
  <c r="AJ6" i="47" s="1"/>
  <c r="R6" i="47"/>
  <c r="AN6" i="47" s="1"/>
  <c r="V6" i="47"/>
  <c r="AR6" i="47" s="1"/>
  <c r="Z6" i="47"/>
  <c r="AV6" i="47" s="1"/>
  <c r="N7" i="47"/>
  <c r="AJ7" i="47" s="1"/>
  <c r="R7" i="47"/>
  <c r="AN7" i="47" s="1"/>
  <c r="V7" i="47"/>
  <c r="AR7" i="47" s="1"/>
  <c r="Z7" i="47"/>
  <c r="AV7" i="47" s="1"/>
  <c r="N8" i="47"/>
  <c r="AJ8" i="47" s="1"/>
  <c r="R8" i="47"/>
  <c r="AN8" i="47" s="1"/>
  <c r="V8" i="47"/>
  <c r="AR8" i="47" s="1"/>
  <c r="Z8" i="47"/>
  <c r="AV8" i="47" s="1"/>
  <c r="N9" i="47"/>
  <c r="AJ9" i="47" s="1"/>
  <c r="R9" i="47"/>
  <c r="AN9" i="47" s="1"/>
  <c r="V9" i="47"/>
  <c r="AR9" i="47" s="1"/>
  <c r="Z9" i="47"/>
  <c r="AV9" i="47" s="1"/>
  <c r="N10" i="47"/>
  <c r="AJ10" i="47" s="1"/>
  <c r="R10" i="47"/>
  <c r="AN10" i="47" s="1"/>
  <c r="V10" i="47"/>
  <c r="AR10" i="47" s="1"/>
  <c r="Z10" i="47"/>
  <c r="AV10" i="47" s="1"/>
  <c r="N11" i="47"/>
  <c r="AJ11" i="47" s="1"/>
  <c r="R11" i="47"/>
  <c r="AN11" i="47" s="1"/>
  <c r="V11" i="47"/>
  <c r="AR11" i="47" s="1"/>
  <c r="Z11" i="47"/>
  <c r="AV11" i="47" s="1"/>
  <c r="N12" i="47"/>
  <c r="AJ12" i="47" s="1"/>
  <c r="T12" i="47"/>
  <c r="AP12" i="47" s="1"/>
  <c r="Y12" i="47"/>
  <c r="AU12" i="47" s="1"/>
  <c r="M13" i="47"/>
  <c r="AI13" i="47" s="1"/>
  <c r="R13" i="47"/>
  <c r="AN13" i="47" s="1"/>
  <c r="X13" i="47"/>
  <c r="AT13" i="47" s="1"/>
  <c r="AC13" i="47"/>
  <c r="AY13" i="47" s="1"/>
  <c r="Q14" i="47"/>
  <c r="AM14" i="47" s="1"/>
  <c r="V14" i="47"/>
  <c r="AR14" i="47" s="1"/>
  <c r="AB14" i="47"/>
  <c r="AX14" i="47" s="1"/>
  <c r="X15" i="47"/>
  <c r="AT15" i="47" s="1"/>
  <c r="AB16" i="47"/>
  <c r="AX16" i="47" s="1"/>
  <c r="P17" i="47"/>
  <c r="AL17" i="47" s="1"/>
  <c r="T18" i="47"/>
  <c r="AP18" i="47" s="1"/>
  <c r="X19" i="47"/>
  <c r="AT19" i="47" s="1"/>
  <c r="AB20" i="47"/>
  <c r="AX20" i="47" s="1"/>
  <c r="P21" i="47"/>
  <c r="AL21" i="47" s="1"/>
  <c r="T22" i="47"/>
  <c r="AP22" i="47" s="1"/>
  <c r="X23" i="47"/>
  <c r="AT23" i="47" s="1"/>
  <c r="AB24" i="47"/>
  <c r="AX24" i="47" s="1"/>
  <c r="P25" i="47"/>
  <c r="AL25" i="47" s="1"/>
  <c r="T26" i="47"/>
  <c r="AP26" i="47" s="1"/>
  <c r="X27" i="47"/>
  <c r="AT27" i="47" s="1"/>
  <c r="AB28" i="47"/>
  <c r="AX28" i="47" s="1"/>
  <c r="P29" i="47"/>
  <c r="AL29" i="47" s="1"/>
  <c r="T30" i="47"/>
  <c r="AP30" i="47" s="1"/>
  <c r="X31" i="47"/>
  <c r="AT31" i="47" s="1"/>
  <c r="AB32" i="47"/>
  <c r="AX32" i="47" s="1"/>
  <c r="P33" i="47"/>
  <c r="AL33" i="47" s="1"/>
  <c r="T34" i="47"/>
  <c r="AP34" i="47" s="1"/>
  <c r="X35" i="47"/>
  <c r="AT35" i="47" s="1"/>
  <c r="AB36" i="47"/>
  <c r="AX36" i="47" s="1"/>
  <c r="P37" i="47"/>
  <c r="AL37" i="47" s="1"/>
  <c r="T38" i="47"/>
  <c r="AP38" i="47" s="1"/>
  <c r="Q39" i="47"/>
  <c r="AM39" i="47" s="1"/>
  <c r="U40" i="47"/>
  <c r="AQ40" i="47" s="1"/>
  <c r="AC42" i="47"/>
  <c r="AY42" i="47" s="1"/>
  <c r="AB43" i="47"/>
  <c r="AX43" i="47" s="1"/>
  <c r="O45" i="47"/>
  <c r="AK45" i="47" s="1"/>
  <c r="M46" i="47"/>
  <c r="AI46" i="47" s="1"/>
  <c r="P48" i="47"/>
  <c r="AL48" i="47" s="1"/>
  <c r="T49" i="47"/>
  <c r="AP49" i="47" s="1"/>
  <c r="S50" i="47"/>
  <c r="AO50" i="47" s="1"/>
  <c r="Q51" i="47"/>
  <c r="AM51" i="47" s="1"/>
  <c r="U52" i="47"/>
  <c r="AQ52" i="47" s="1"/>
  <c r="Y53" i="47"/>
  <c r="AU53" i="47" s="1"/>
  <c r="X54" i="47"/>
  <c r="AT54" i="47" s="1"/>
  <c r="AA61" i="47"/>
  <c r="AW61" i="47" s="1"/>
  <c r="AA69" i="47"/>
  <c r="AW69" i="47" s="1"/>
  <c r="S76" i="47"/>
  <c r="AO76" i="47" s="1"/>
  <c r="S80" i="47"/>
  <c r="AO80" i="47" s="1"/>
  <c r="C14" i="7" l="1"/>
  <c r="L195" i="5" l="1"/>
  <c r="K195" i="5"/>
  <c r="J195" i="5"/>
  <c r="I195" i="5"/>
  <c r="H195" i="5"/>
  <c r="F195" i="5"/>
  <c r="L194" i="5"/>
  <c r="K194" i="5"/>
  <c r="J194" i="5"/>
  <c r="I194" i="5"/>
  <c r="H194" i="5"/>
  <c r="F194" i="5"/>
  <c r="L193" i="5"/>
  <c r="K193" i="5"/>
  <c r="J193" i="5"/>
  <c r="I193" i="5"/>
  <c r="H193" i="5"/>
  <c r="F193" i="5"/>
  <c r="L192" i="5"/>
  <c r="K192" i="5"/>
  <c r="J192" i="5"/>
  <c r="I192" i="5"/>
  <c r="H192" i="5"/>
  <c r="F192" i="5"/>
  <c r="L191" i="5"/>
  <c r="K191" i="5"/>
  <c r="J191" i="5"/>
  <c r="I191" i="5"/>
  <c r="H191" i="5"/>
  <c r="F191" i="5"/>
  <c r="L190" i="5"/>
  <c r="K190" i="5"/>
  <c r="J190" i="5"/>
  <c r="I190" i="5"/>
  <c r="H190" i="5"/>
  <c r="F190" i="5"/>
  <c r="L189" i="5"/>
  <c r="K189" i="5"/>
  <c r="J189" i="5"/>
  <c r="I189" i="5"/>
  <c r="H189" i="5"/>
  <c r="F189" i="5"/>
  <c r="L188" i="5"/>
  <c r="K188" i="5"/>
  <c r="J188" i="5"/>
  <c r="I188" i="5"/>
  <c r="H188" i="5"/>
  <c r="F188" i="5"/>
  <c r="L187" i="5"/>
  <c r="K187" i="5"/>
  <c r="J187" i="5"/>
  <c r="I187" i="5"/>
  <c r="H187" i="5"/>
  <c r="F187" i="5"/>
  <c r="L186" i="5"/>
  <c r="K186" i="5"/>
  <c r="J186" i="5"/>
  <c r="I186" i="5"/>
  <c r="H186" i="5"/>
  <c r="F186" i="5"/>
  <c r="L185" i="5"/>
  <c r="K185" i="5"/>
  <c r="J185" i="5"/>
  <c r="I185" i="5"/>
  <c r="H185" i="5"/>
  <c r="F185" i="5"/>
  <c r="L184" i="5"/>
  <c r="K184" i="5"/>
  <c r="J184" i="5"/>
  <c r="I184" i="5"/>
  <c r="H184" i="5"/>
  <c r="F184" i="5"/>
  <c r="L183" i="5"/>
  <c r="K183" i="5"/>
  <c r="J183" i="5"/>
  <c r="I183" i="5"/>
  <c r="H183" i="5"/>
  <c r="F183" i="5"/>
  <c r="L182" i="5"/>
  <c r="K182" i="5"/>
  <c r="J182" i="5"/>
  <c r="I182" i="5"/>
  <c r="H182" i="5"/>
  <c r="F182" i="5"/>
  <c r="L181" i="5"/>
  <c r="K181" i="5"/>
  <c r="J181" i="5"/>
  <c r="I181" i="5"/>
  <c r="H181" i="5"/>
  <c r="F181" i="5"/>
  <c r="L180" i="5"/>
  <c r="K180" i="5"/>
  <c r="J180" i="5"/>
  <c r="I180" i="5"/>
  <c r="H180" i="5"/>
  <c r="F180" i="5"/>
  <c r="L179" i="5"/>
  <c r="K179" i="5"/>
  <c r="J179" i="5"/>
  <c r="I179" i="5"/>
  <c r="H179" i="5"/>
  <c r="F179" i="5"/>
  <c r="L178" i="5"/>
  <c r="K178" i="5"/>
  <c r="J178" i="5"/>
  <c r="I178" i="5"/>
  <c r="H178" i="5"/>
  <c r="F178" i="5"/>
  <c r="L177" i="5"/>
  <c r="K177" i="5"/>
  <c r="J177" i="5"/>
  <c r="I177" i="5"/>
  <c r="H177" i="5"/>
  <c r="F177" i="5"/>
  <c r="L176" i="5"/>
  <c r="K176" i="5"/>
  <c r="J176" i="5"/>
  <c r="I176" i="5"/>
  <c r="H176" i="5"/>
  <c r="F176" i="5"/>
  <c r="L175" i="5"/>
  <c r="K175" i="5"/>
  <c r="J175" i="5"/>
  <c r="I175" i="5"/>
  <c r="H175" i="5"/>
  <c r="F175" i="5"/>
  <c r="L174" i="5"/>
  <c r="K174" i="5"/>
  <c r="J174" i="5"/>
  <c r="I174" i="5"/>
  <c r="H174" i="5"/>
  <c r="F174" i="5"/>
  <c r="L173" i="5"/>
  <c r="K173" i="5"/>
  <c r="J173" i="5"/>
  <c r="I173" i="5"/>
  <c r="H173" i="5"/>
  <c r="F173" i="5"/>
  <c r="L172" i="5"/>
  <c r="K172" i="5"/>
  <c r="J172" i="5"/>
  <c r="I172" i="5"/>
  <c r="H172" i="5"/>
  <c r="F172" i="5"/>
  <c r="L171" i="5"/>
  <c r="K171" i="5"/>
  <c r="J171" i="5"/>
  <c r="I171" i="5"/>
  <c r="H171" i="5"/>
  <c r="F171" i="5"/>
  <c r="L170" i="5"/>
  <c r="K170" i="5"/>
  <c r="J170" i="5"/>
  <c r="I170" i="5"/>
  <c r="H170" i="5"/>
  <c r="F170" i="5"/>
  <c r="L169" i="5"/>
  <c r="K169" i="5"/>
  <c r="J169" i="5"/>
  <c r="I169" i="5"/>
  <c r="H169" i="5"/>
  <c r="F169" i="5"/>
  <c r="L168" i="5"/>
  <c r="K168" i="5"/>
  <c r="J168" i="5"/>
  <c r="I168" i="5"/>
  <c r="H168" i="5"/>
  <c r="F168" i="5"/>
  <c r="L167" i="5"/>
  <c r="K167" i="5"/>
  <c r="J167" i="5"/>
  <c r="I167" i="5"/>
  <c r="H167" i="5"/>
  <c r="F167" i="5"/>
  <c r="L166" i="5"/>
  <c r="K166" i="5"/>
  <c r="J166" i="5"/>
  <c r="I166" i="5"/>
  <c r="H166" i="5"/>
  <c r="F166" i="5"/>
  <c r="L165" i="5"/>
  <c r="K165" i="5"/>
  <c r="J165" i="5"/>
  <c r="I165" i="5"/>
  <c r="H165" i="5"/>
  <c r="F165" i="5"/>
  <c r="L164" i="5"/>
  <c r="K164" i="5"/>
  <c r="J164" i="5"/>
  <c r="I164" i="5"/>
  <c r="H164" i="5"/>
  <c r="F164" i="5"/>
  <c r="L163" i="5"/>
  <c r="K163" i="5"/>
  <c r="J163" i="5"/>
  <c r="I163" i="5"/>
  <c r="H163" i="5"/>
  <c r="F163" i="5"/>
  <c r="L162" i="5"/>
  <c r="K162" i="5"/>
  <c r="J162" i="5"/>
  <c r="I162" i="5"/>
  <c r="H162" i="5"/>
  <c r="F162" i="5"/>
  <c r="L161" i="5"/>
  <c r="K161" i="5"/>
  <c r="J161" i="5"/>
  <c r="I161" i="5"/>
  <c r="H161" i="5"/>
  <c r="F161" i="5"/>
  <c r="L160" i="5"/>
  <c r="K160" i="5"/>
  <c r="J160" i="5"/>
  <c r="I160" i="5"/>
  <c r="H160" i="5"/>
  <c r="F160" i="5"/>
  <c r="L159" i="5"/>
  <c r="K159" i="5"/>
  <c r="J159" i="5"/>
  <c r="I159" i="5"/>
  <c r="H159" i="5"/>
  <c r="F159" i="5"/>
  <c r="L158" i="5"/>
  <c r="K158" i="5"/>
  <c r="J158" i="5"/>
  <c r="I158" i="5"/>
  <c r="H158" i="5"/>
  <c r="F158" i="5"/>
  <c r="L157" i="5"/>
  <c r="K157" i="5"/>
  <c r="J157" i="5"/>
  <c r="I157" i="5"/>
  <c r="H157" i="5"/>
  <c r="F157" i="5"/>
  <c r="L156" i="5"/>
  <c r="K156" i="5"/>
  <c r="J156" i="5"/>
  <c r="I156" i="5"/>
  <c r="H156" i="5"/>
  <c r="F156" i="5"/>
  <c r="L155" i="5"/>
  <c r="K155" i="5"/>
  <c r="J155" i="5"/>
  <c r="I155" i="5"/>
  <c r="H155" i="5"/>
  <c r="F155" i="5"/>
  <c r="L154" i="5"/>
  <c r="K154" i="5"/>
  <c r="J154" i="5"/>
  <c r="I154" i="5"/>
  <c r="H154" i="5"/>
  <c r="F154" i="5"/>
  <c r="L153" i="5"/>
  <c r="K153" i="5"/>
  <c r="J153" i="5"/>
  <c r="I153" i="5"/>
  <c r="H153" i="5"/>
  <c r="F153" i="5"/>
  <c r="L152" i="5"/>
  <c r="K152" i="5"/>
  <c r="J152" i="5"/>
  <c r="I152" i="5"/>
  <c r="H152" i="5"/>
  <c r="F152" i="5"/>
  <c r="L151" i="5"/>
  <c r="K151" i="5"/>
  <c r="J151" i="5"/>
  <c r="I151" i="5"/>
  <c r="H151" i="5"/>
  <c r="F151" i="5"/>
  <c r="L150" i="5"/>
  <c r="K150" i="5"/>
  <c r="J150" i="5"/>
  <c r="I150" i="5"/>
  <c r="H150" i="5"/>
  <c r="F150" i="5"/>
  <c r="L149" i="5"/>
  <c r="K149" i="5"/>
  <c r="J149" i="5"/>
  <c r="I149" i="5"/>
  <c r="H149" i="5"/>
  <c r="F149" i="5"/>
  <c r="L148" i="5"/>
  <c r="K148" i="5"/>
  <c r="J148" i="5"/>
  <c r="I148" i="5"/>
  <c r="H148" i="5"/>
  <c r="F148" i="5"/>
  <c r="L147" i="5"/>
  <c r="K147" i="5"/>
  <c r="J147" i="5"/>
  <c r="I147" i="5"/>
  <c r="H147" i="5"/>
  <c r="F147" i="5"/>
  <c r="L146" i="5"/>
  <c r="K146" i="5"/>
  <c r="J146" i="5"/>
  <c r="I146" i="5"/>
  <c r="H146" i="5"/>
  <c r="F146" i="5"/>
  <c r="L145" i="5"/>
  <c r="K145" i="5"/>
  <c r="J145" i="5"/>
  <c r="I145" i="5"/>
  <c r="H145" i="5"/>
  <c r="F145" i="5"/>
  <c r="L144" i="5"/>
  <c r="K144" i="5"/>
  <c r="J144" i="5"/>
  <c r="I144" i="5"/>
  <c r="H144" i="5"/>
  <c r="F144" i="5"/>
  <c r="L143" i="5"/>
  <c r="K143" i="5"/>
  <c r="J143" i="5"/>
  <c r="I143" i="5"/>
  <c r="H143" i="5"/>
  <c r="F143" i="5"/>
  <c r="L142" i="5"/>
  <c r="K142" i="5"/>
  <c r="J142" i="5"/>
  <c r="I142" i="5"/>
  <c r="H142" i="5"/>
  <c r="F142" i="5"/>
  <c r="L141" i="5"/>
  <c r="K141" i="5"/>
  <c r="J141" i="5"/>
  <c r="I141" i="5"/>
  <c r="H141" i="5"/>
  <c r="F141" i="5"/>
  <c r="L140" i="5"/>
  <c r="K140" i="5"/>
  <c r="J140" i="5"/>
  <c r="I140" i="5"/>
  <c r="H140" i="5"/>
  <c r="F140" i="5"/>
  <c r="L139" i="5"/>
  <c r="K139" i="5"/>
  <c r="J139" i="5"/>
  <c r="I139" i="5"/>
  <c r="H139" i="5"/>
  <c r="F139" i="5"/>
  <c r="L138" i="5"/>
  <c r="K138" i="5"/>
  <c r="J138" i="5"/>
  <c r="I138" i="5"/>
  <c r="H138" i="5"/>
  <c r="F138" i="5"/>
  <c r="L137" i="5"/>
  <c r="K137" i="5"/>
  <c r="J137" i="5"/>
  <c r="I137" i="5"/>
  <c r="H137" i="5"/>
  <c r="F137" i="5"/>
  <c r="L136" i="5"/>
  <c r="K136" i="5"/>
  <c r="J136" i="5"/>
  <c r="I136" i="5"/>
  <c r="H136" i="5"/>
  <c r="F136" i="5"/>
  <c r="L135" i="5"/>
  <c r="K135" i="5"/>
  <c r="J135" i="5"/>
  <c r="I135" i="5"/>
  <c r="H135" i="5"/>
  <c r="F135" i="5"/>
  <c r="L134" i="5"/>
  <c r="K134" i="5"/>
  <c r="J134" i="5"/>
  <c r="I134" i="5"/>
  <c r="H134" i="5"/>
  <c r="F134" i="5"/>
  <c r="L133" i="5"/>
  <c r="K133" i="5"/>
  <c r="J133" i="5"/>
  <c r="I133" i="5"/>
  <c r="H133" i="5"/>
  <c r="F133" i="5"/>
  <c r="L132" i="5"/>
  <c r="K132" i="5"/>
  <c r="J132" i="5"/>
  <c r="I132" i="5"/>
  <c r="H132" i="5"/>
  <c r="F132" i="5"/>
  <c r="L131" i="5"/>
  <c r="K131" i="5"/>
  <c r="J131" i="5"/>
  <c r="I131" i="5"/>
  <c r="H131" i="5"/>
  <c r="F131" i="5"/>
  <c r="L130" i="5"/>
  <c r="K130" i="5"/>
  <c r="J130" i="5"/>
  <c r="I130" i="5"/>
  <c r="H130" i="5"/>
  <c r="F130" i="5"/>
  <c r="L129" i="5"/>
  <c r="K129" i="5"/>
  <c r="J129" i="5"/>
  <c r="I129" i="5"/>
  <c r="H129" i="5"/>
  <c r="F129" i="5"/>
  <c r="L128" i="5"/>
  <c r="K128" i="5"/>
  <c r="J128" i="5"/>
  <c r="I128" i="5"/>
  <c r="H128" i="5"/>
  <c r="F128" i="5"/>
  <c r="L127" i="5"/>
  <c r="K127" i="5"/>
  <c r="J127" i="5"/>
  <c r="I127" i="5"/>
  <c r="H127" i="5"/>
  <c r="F127" i="5"/>
  <c r="L126" i="5"/>
  <c r="K126" i="5"/>
  <c r="J126" i="5"/>
  <c r="I126" i="5"/>
  <c r="H126" i="5"/>
  <c r="F126" i="5"/>
  <c r="L125" i="5"/>
  <c r="K125" i="5"/>
  <c r="J125" i="5"/>
  <c r="I125" i="5"/>
  <c r="H125" i="5"/>
  <c r="F125" i="5"/>
  <c r="L124" i="5"/>
  <c r="K124" i="5"/>
  <c r="J124" i="5"/>
  <c r="I124" i="5"/>
  <c r="H124" i="5"/>
  <c r="F124" i="5"/>
  <c r="L123" i="5"/>
  <c r="K123" i="5"/>
  <c r="J123" i="5"/>
  <c r="I123" i="5"/>
  <c r="H123" i="5"/>
  <c r="F123" i="5"/>
  <c r="L122" i="5"/>
  <c r="K122" i="5"/>
  <c r="J122" i="5"/>
  <c r="I122" i="5"/>
  <c r="H122" i="5"/>
  <c r="F122" i="5"/>
  <c r="L121" i="5"/>
  <c r="K121" i="5"/>
  <c r="J121" i="5"/>
  <c r="I121" i="5"/>
  <c r="H121" i="5"/>
  <c r="F121" i="5"/>
  <c r="L120" i="5"/>
  <c r="K120" i="5"/>
  <c r="J120" i="5"/>
  <c r="I120" i="5"/>
  <c r="H120" i="5"/>
  <c r="F120" i="5"/>
  <c r="L119" i="5"/>
  <c r="K119" i="5"/>
  <c r="J119" i="5"/>
  <c r="I119" i="5"/>
  <c r="H119" i="5"/>
  <c r="F119" i="5"/>
  <c r="L118" i="5"/>
  <c r="K118" i="5"/>
  <c r="J118" i="5"/>
  <c r="I118" i="5"/>
  <c r="H118" i="5"/>
  <c r="F118" i="5"/>
  <c r="L117" i="5"/>
  <c r="K117" i="5"/>
  <c r="J117" i="5"/>
  <c r="I117" i="5"/>
  <c r="H117" i="5"/>
  <c r="F117" i="5"/>
  <c r="L116" i="5"/>
  <c r="K116" i="5"/>
  <c r="J116" i="5"/>
  <c r="I116" i="5"/>
  <c r="H116" i="5"/>
  <c r="F116" i="5"/>
  <c r="L115" i="5"/>
  <c r="K115" i="5"/>
  <c r="J115" i="5"/>
  <c r="I115" i="5"/>
  <c r="H115" i="5"/>
  <c r="F115" i="5"/>
  <c r="L114" i="5"/>
  <c r="K114" i="5"/>
  <c r="J114" i="5"/>
  <c r="I114" i="5"/>
  <c r="H114" i="5"/>
  <c r="F114" i="5"/>
  <c r="L113" i="5"/>
  <c r="K113" i="5"/>
  <c r="J113" i="5"/>
  <c r="I113" i="5"/>
  <c r="H113" i="5"/>
  <c r="F113" i="5"/>
  <c r="L112" i="5"/>
  <c r="K112" i="5"/>
  <c r="J112" i="5"/>
  <c r="I112" i="5"/>
  <c r="H112" i="5"/>
  <c r="F112" i="5"/>
  <c r="L111" i="5"/>
  <c r="K111" i="5"/>
  <c r="J111" i="5"/>
  <c r="I111" i="5"/>
  <c r="H111" i="5"/>
  <c r="F111" i="5"/>
  <c r="L110" i="5"/>
  <c r="K110" i="5"/>
  <c r="J110" i="5"/>
  <c r="I110" i="5"/>
  <c r="H110" i="5"/>
  <c r="F110" i="5"/>
  <c r="L109" i="5"/>
  <c r="K109" i="5"/>
  <c r="J109" i="5"/>
  <c r="I109" i="5"/>
  <c r="H109" i="5"/>
  <c r="F109" i="5"/>
  <c r="L108" i="5"/>
  <c r="K108" i="5"/>
  <c r="J108" i="5"/>
  <c r="I108" i="5"/>
  <c r="H108" i="5"/>
  <c r="F108" i="5"/>
  <c r="L107" i="5"/>
  <c r="K107" i="5"/>
  <c r="J107" i="5"/>
  <c r="I107" i="5"/>
  <c r="H107" i="5"/>
  <c r="F107" i="5"/>
  <c r="L106" i="5"/>
  <c r="K106" i="5"/>
  <c r="J106" i="5"/>
  <c r="I106" i="5"/>
  <c r="H106" i="5"/>
  <c r="F106" i="5"/>
  <c r="L105" i="5"/>
  <c r="K105" i="5"/>
  <c r="J105" i="5"/>
  <c r="I105" i="5"/>
  <c r="H105" i="5"/>
  <c r="F105" i="5"/>
  <c r="L104" i="5"/>
  <c r="K104" i="5"/>
  <c r="J104" i="5"/>
  <c r="I104" i="5"/>
  <c r="H104" i="5"/>
  <c r="F104" i="5"/>
  <c r="L103" i="5"/>
  <c r="K103" i="5"/>
  <c r="J103" i="5"/>
  <c r="I103" i="5"/>
  <c r="H103" i="5"/>
  <c r="F103" i="5"/>
  <c r="L102" i="5"/>
  <c r="K102" i="5"/>
  <c r="J102" i="5"/>
  <c r="I102" i="5"/>
  <c r="H102" i="5"/>
  <c r="F102" i="5"/>
  <c r="L101" i="5"/>
  <c r="K101" i="5"/>
  <c r="J101" i="5"/>
  <c r="I101" i="5"/>
  <c r="H101" i="5"/>
  <c r="F101" i="5"/>
  <c r="L100" i="5"/>
  <c r="K100" i="5"/>
  <c r="J100" i="5"/>
  <c r="I100" i="5"/>
  <c r="H100" i="5"/>
  <c r="F100" i="5"/>
  <c r="L99" i="5"/>
  <c r="K99" i="5"/>
  <c r="J99" i="5"/>
  <c r="I99" i="5"/>
  <c r="H99" i="5"/>
  <c r="F99" i="5"/>
  <c r="L98" i="5"/>
  <c r="K98" i="5"/>
  <c r="J98" i="5"/>
  <c r="I98" i="5"/>
  <c r="H98" i="5"/>
  <c r="F98" i="5"/>
  <c r="L97" i="5"/>
  <c r="K97" i="5"/>
  <c r="J97" i="5"/>
  <c r="I97" i="5"/>
  <c r="H97" i="5"/>
  <c r="F97" i="5"/>
  <c r="L96" i="5"/>
  <c r="K96" i="5"/>
  <c r="J96" i="5"/>
  <c r="I96" i="5"/>
  <c r="H96" i="5"/>
  <c r="F96" i="5"/>
  <c r="L95" i="5"/>
  <c r="K95" i="5"/>
  <c r="J95" i="5"/>
  <c r="I95" i="5"/>
  <c r="H95" i="5"/>
  <c r="F95" i="5"/>
  <c r="L94" i="5"/>
  <c r="K94" i="5"/>
  <c r="J94" i="5"/>
  <c r="I94" i="5"/>
  <c r="H94" i="5"/>
  <c r="F94" i="5"/>
  <c r="L93" i="5"/>
  <c r="K93" i="5"/>
  <c r="J93" i="5"/>
  <c r="I93" i="5"/>
  <c r="H93" i="5"/>
  <c r="F93" i="5"/>
  <c r="L92" i="5"/>
  <c r="K92" i="5"/>
  <c r="J92" i="5"/>
  <c r="I92" i="5"/>
  <c r="H92" i="5"/>
  <c r="F92" i="5"/>
  <c r="L91" i="5"/>
  <c r="K91" i="5"/>
  <c r="J91" i="5"/>
  <c r="I91" i="5"/>
  <c r="H91" i="5"/>
  <c r="F91" i="5"/>
  <c r="L90" i="5"/>
  <c r="K90" i="5"/>
  <c r="J90" i="5"/>
  <c r="I90" i="5"/>
  <c r="H90" i="5"/>
  <c r="F90" i="5"/>
  <c r="L89" i="5"/>
  <c r="K89" i="5"/>
  <c r="J89" i="5"/>
  <c r="I89" i="5"/>
  <c r="H89" i="5"/>
  <c r="F89" i="5"/>
  <c r="L88" i="5"/>
  <c r="K88" i="5"/>
  <c r="J88" i="5"/>
  <c r="I88" i="5"/>
  <c r="H88" i="5"/>
  <c r="F88" i="5"/>
  <c r="L87" i="5"/>
  <c r="K87" i="5"/>
  <c r="J87" i="5"/>
  <c r="I87" i="5"/>
  <c r="H87" i="5"/>
  <c r="F87" i="5"/>
  <c r="L86" i="5"/>
  <c r="K86" i="5"/>
  <c r="J86" i="5"/>
  <c r="I86" i="5"/>
  <c r="H86" i="5"/>
  <c r="F86" i="5"/>
  <c r="L85" i="5"/>
  <c r="K85" i="5"/>
  <c r="J85" i="5"/>
  <c r="I85" i="5"/>
  <c r="H85" i="5"/>
  <c r="F85" i="5"/>
  <c r="L84" i="5"/>
  <c r="K84" i="5"/>
  <c r="J84" i="5"/>
  <c r="I84" i="5"/>
  <c r="H84" i="5"/>
  <c r="F84" i="5"/>
  <c r="L83" i="5"/>
  <c r="K83" i="5"/>
  <c r="J83" i="5"/>
  <c r="I83" i="5"/>
  <c r="H83" i="5"/>
  <c r="F83" i="5"/>
  <c r="L82" i="5"/>
  <c r="K82" i="5"/>
  <c r="J82" i="5"/>
  <c r="I82" i="5"/>
  <c r="H82" i="5"/>
  <c r="F82" i="5"/>
  <c r="L81" i="5"/>
  <c r="K81" i="5"/>
  <c r="J81" i="5"/>
  <c r="I81" i="5"/>
  <c r="H81" i="5"/>
  <c r="F81" i="5"/>
  <c r="L80" i="5"/>
  <c r="K80" i="5"/>
  <c r="J80" i="5"/>
  <c r="I80" i="5"/>
  <c r="H80" i="5"/>
  <c r="F80" i="5"/>
  <c r="L79" i="5"/>
  <c r="K79" i="5"/>
  <c r="J79" i="5"/>
  <c r="I79" i="5"/>
  <c r="H79" i="5"/>
  <c r="F79" i="5"/>
  <c r="L78" i="5"/>
  <c r="K78" i="5"/>
  <c r="J78" i="5"/>
  <c r="I78" i="5"/>
  <c r="H78" i="5"/>
  <c r="F78" i="5"/>
  <c r="L77" i="5"/>
  <c r="K77" i="5"/>
  <c r="J77" i="5"/>
  <c r="I77" i="5"/>
  <c r="H77" i="5"/>
  <c r="F77" i="5"/>
  <c r="L76" i="5"/>
  <c r="K76" i="5"/>
  <c r="J76" i="5"/>
  <c r="I76" i="5"/>
  <c r="H76" i="5"/>
  <c r="F76" i="5"/>
  <c r="L75" i="5"/>
  <c r="K75" i="5"/>
  <c r="J75" i="5"/>
  <c r="I75" i="5"/>
  <c r="H75" i="5"/>
  <c r="F75" i="5"/>
  <c r="L74" i="5"/>
  <c r="K74" i="5"/>
  <c r="J74" i="5"/>
  <c r="I74" i="5"/>
  <c r="H74" i="5"/>
  <c r="F74" i="5"/>
  <c r="L73" i="5"/>
  <c r="K73" i="5"/>
  <c r="J73" i="5"/>
  <c r="I73" i="5"/>
  <c r="H73" i="5"/>
  <c r="F73" i="5"/>
  <c r="L72" i="5"/>
  <c r="K72" i="5"/>
  <c r="J72" i="5"/>
  <c r="I72" i="5"/>
  <c r="H72" i="5"/>
  <c r="F72" i="5"/>
  <c r="L71" i="5"/>
  <c r="K71" i="5"/>
  <c r="J71" i="5"/>
  <c r="I71" i="5"/>
  <c r="H71" i="5"/>
  <c r="F71" i="5"/>
  <c r="L70" i="5"/>
  <c r="K70" i="5"/>
  <c r="J70" i="5"/>
  <c r="I70" i="5"/>
  <c r="H70" i="5"/>
  <c r="F70" i="5"/>
  <c r="L69" i="5"/>
  <c r="K69" i="5"/>
  <c r="J69" i="5"/>
  <c r="I69" i="5"/>
  <c r="H69" i="5"/>
  <c r="F69" i="5"/>
  <c r="L68" i="5"/>
  <c r="K68" i="5"/>
  <c r="J68" i="5"/>
  <c r="I68" i="5"/>
  <c r="H68" i="5"/>
  <c r="F68" i="5"/>
  <c r="L67" i="5"/>
  <c r="K67" i="5"/>
  <c r="J67" i="5"/>
  <c r="I67" i="5"/>
  <c r="H67" i="5"/>
  <c r="F67" i="5"/>
  <c r="L66" i="5"/>
  <c r="K66" i="5"/>
  <c r="J66" i="5"/>
  <c r="I66" i="5"/>
  <c r="H66" i="5"/>
  <c r="F66" i="5"/>
  <c r="L65" i="5"/>
  <c r="K65" i="5"/>
  <c r="J65" i="5"/>
  <c r="I65" i="5"/>
  <c r="H65" i="5"/>
  <c r="F65" i="5"/>
  <c r="L64" i="5"/>
  <c r="K64" i="5"/>
  <c r="J64" i="5"/>
  <c r="I64" i="5"/>
  <c r="H64" i="5"/>
  <c r="F64" i="5"/>
  <c r="L63" i="5"/>
  <c r="K63" i="5"/>
  <c r="J63" i="5"/>
  <c r="I63" i="5"/>
  <c r="H63" i="5"/>
  <c r="F63" i="5"/>
  <c r="L62" i="5"/>
  <c r="K62" i="5"/>
  <c r="J62" i="5"/>
  <c r="I62" i="5"/>
  <c r="H62" i="5"/>
  <c r="F62" i="5"/>
  <c r="L61" i="5"/>
  <c r="K61" i="5"/>
  <c r="J61" i="5"/>
  <c r="I61" i="5"/>
  <c r="H61" i="5"/>
  <c r="F61" i="5"/>
  <c r="L60" i="5"/>
  <c r="K60" i="5"/>
  <c r="J60" i="5"/>
  <c r="I60" i="5"/>
  <c r="H60" i="5"/>
  <c r="F60" i="5"/>
  <c r="L59" i="5"/>
  <c r="K59" i="5"/>
  <c r="J59" i="5"/>
  <c r="I59" i="5"/>
  <c r="H59" i="5"/>
  <c r="F59" i="5"/>
  <c r="L58" i="5"/>
  <c r="K58" i="5"/>
  <c r="J58" i="5"/>
  <c r="I58" i="5"/>
  <c r="H58" i="5"/>
  <c r="F58" i="5"/>
  <c r="L57" i="5"/>
  <c r="K57" i="5"/>
  <c r="J57" i="5"/>
  <c r="I57" i="5"/>
  <c r="H57" i="5"/>
  <c r="F57" i="5"/>
  <c r="L56" i="5"/>
  <c r="K56" i="5"/>
  <c r="J56" i="5"/>
  <c r="I56" i="5"/>
  <c r="H56" i="5"/>
  <c r="F56" i="5"/>
  <c r="L55" i="5"/>
  <c r="K55" i="5"/>
  <c r="J55" i="5"/>
  <c r="I55" i="5"/>
  <c r="H55" i="5"/>
  <c r="F55" i="5"/>
  <c r="L54" i="5"/>
  <c r="K54" i="5"/>
  <c r="J54" i="5"/>
  <c r="I54" i="5"/>
  <c r="H54" i="5"/>
  <c r="F54" i="5"/>
  <c r="L53" i="5"/>
  <c r="K53" i="5"/>
  <c r="J53" i="5"/>
  <c r="I53" i="5"/>
  <c r="H53" i="5"/>
  <c r="F53" i="5"/>
  <c r="L52" i="5"/>
  <c r="K52" i="5"/>
  <c r="J52" i="5"/>
  <c r="I52" i="5"/>
  <c r="H52" i="5"/>
  <c r="F52" i="5"/>
  <c r="L51" i="5"/>
  <c r="K51" i="5"/>
  <c r="J51" i="5"/>
  <c r="I51" i="5"/>
  <c r="H51" i="5"/>
  <c r="F51" i="5"/>
  <c r="L50" i="5"/>
  <c r="K50" i="5"/>
  <c r="J50" i="5"/>
  <c r="I50" i="5"/>
  <c r="H50" i="5"/>
  <c r="F50" i="5"/>
  <c r="L49" i="5"/>
  <c r="K49" i="5"/>
  <c r="J49" i="5"/>
  <c r="I49" i="5"/>
  <c r="H49" i="5"/>
  <c r="F49" i="5"/>
  <c r="L48" i="5"/>
  <c r="K48" i="5"/>
  <c r="J48" i="5"/>
  <c r="I48" i="5"/>
  <c r="H48" i="5"/>
  <c r="F48" i="5"/>
  <c r="L47" i="5"/>
  <c r="K47" i="5"/>
  <c r="J47" i="5"/>
  <c r="I47" i="5"/>
  <c r="H47" i="5"/>
  <c r="F47" i="5"/>
  <c r="L46" i="5"/>
  <c r="K46" i="5"/>
  <c r="J46" i="5"/>
  <c r="I46" i="5"/>
  <c r="H46" i="5"/>
  <c r="F46" i="5"/>
  <c r="L45" i="5"/>
  <c r="K45" i="5"/>
  <c r="J45" i="5"/>
  <c r="I45" i="5"/>
  <c r="H45" i="5"/>
  <c r="F45" i="5"/>
  <c r="L44" i="5"/>
  <c r="K44" i="5"/>
  <c r="J44" i="5"/>
  <c r="I44" i="5"/>
  <c r="H44" i="5"/>
  <c r="F44" i="5"/>
  <c r="L43" i="5"/>
  <c r="K43" i="5"/>
  <c r="J43" i="5"/>
  <c r="I43" i="5"/>
  <c r="H43" i="5"/>
  <c r="F43" i="5"/>
  <c r="S42" i="5"/>
  <c r="L42" i="5"/>
  <c r="K42" i="5"/>
  <c r="J42" i="5"/>
  <c r="I42" i="5"/>
  <c r="H42" i="5"/>
  <c r="F42" i="5"/>
  <c r="L41" i="5"/>
  <c r="K41" i="5"/>
  <c r="J41" i="5"/>
  <c r="I41" i="5"/>
  <c r="H41" i="5"/>
  <c r="F41" i="5"/>
  <c r="L40" i="5"/>
  <c r="K40" i="5"/>
  <c r="J40" i="5"/>
  <c r="I40" i="5"/>
  <c r="H40" i="5"/>
  <c r="F40" i="5"/>
  <c r="L39" i="5"/>
  <c r="K39" i="5"/>
  <c r="J39" i="5"/>
  <c r="I39" i="5"/>
  <c r="H39" i="5"/>
  <c r="F39" i="5"/>
  <c r="L38" i="5"/>
  <c r="K38" i="5"/>
  <c r="J38" i="5"/>
  <c r="I38" i="5"/>
  <c r="H38" i="5"/>
  <c r="F38" i="5"/>
  <c r="L37" i="5"/>
  <c r="K37" i="5"/>
  <c r="J37" i="5"/>
  <c r="I37" i="5"/>
  <c r="H37" i="5"/>
  <c r="F37" i="5"/>
  <c r="L36" i="5"/>
  <c r="K36" i="5"/>
  <c r="J36" i="5"/>
  <c r="I36" i="5"/>
  <c r="H36" i="5"/>
  <c r="F36" i="5"/>
  <c r="L35" i="5"/>
  <c r="K35" i="5"/>
  <c r="J35" i="5"/>
  <c r="I35" i="5"/>
  <c r="H35" i="5"/>
  <c r="F35" i="5"/>
  <c r="L34" i="5"/>
  <c r="K34" i="5"/>
  <c r="J34" i="5"/>
  <c r="I34" i="5"/>
  <c r="H34" i="5"/>
  <c r="F34" i="5"/>
  <c r="L33" i="5"/>
  <c r="K33" i="5"/>
  <c r="J33" i="5"/>
  <c r="I33" i="5"/>
  <c r="H33" i="5"/>
  <c r="F33" i="5"/>
  <c r="L32" i="5"/>
  <c r="K32" i="5"/>
  <c r="J32" i="5"/>
  <c r="I32" i="5"/>
  <c r="H32" i="5"/>
  <c r="F32" i="5"/>
  <c r="L31" i="5"/>
  <c r="K31" i="5"/>
  <c r="J31" i="5"/>
  <c r="I31" i="5"/>
  <c r="H31" i="5"/>
  <c r="F31" i="5"/>
  <c r="L30" i="5"/>
  <c r="K30" i="5"/>
  <c r="J30" i="5"/>
  <c r="I30" i="5"/>
  <c r="H30" i="5"/>
  <c r="F30" i="5"/>
  <c r="L29" i="5"/>
  <c r="K29" i="5"/>
  <c r="J29" i="5"/>
  <c r="I29" i="5"/>
  <c r="H29" i="5"/>
  <c r="F29" i="5"/>
  <c r="L28" i="5"/>
  <c r="K28" i="5"/>
  <c r="J28" i="5"/>
  <c r="I28" i="5"/>
  <c r="H28" i="5"/>
  <c r="F28" i="5"/>
  <c r="AA27" i="5"/>
  <c r="L27" i="5"/>
  <c r="K27" i="5"/>
  <c r="J27" i="5"/>
  <c r="I27" i="5"/>
  <c r="H27" i="5"/>
  <c r="F27" i="5"/>
  <c r="S26" i="5"/>
  <c r="L26" i="5"/>
  <c r="K26" i="5"/>
  <c r="J26" i="5"/>
  <c r="I26" i="5"/>
  <c r="H26" i="5"/>
  <c r="F26" i="5"/>
  <c r="L25" i="5"/>
  <c r="K25" i="5"/>
  <c r="J25" i="5"/>
  <c r="I25" i="5"/>
  <c r="H25" i="5"/>
  <c r="F25" i="5"/>
  <c r="L24" i="5"/>
  <c r="K24" i="5"/>
  <c r="J24" i="5"/>
  <c r="I24" i="5"/>
  <c r="H24" i="5"/>
  <c r="F24" i="5"/>
  <c r="AC23" i="5"/>
  <c r="M23" i="5"/>
  <c r="L23" i="5"/>
  <c r="K23" i="5"/>
  <c r="J23" i="5"/>
  <c r="I23" i="5"/>
  <c r="H23" i="5"/>
  <c r="F23" i="5"/>
  <c r="L22" i="5"/>
  <c r="K22" i="5"/>
  <c r="J22" i="5"/>
  <c r="I22" i="5"/>
  <c r="H22" i="5"/>
  <c r="F22" i="5"/>
  <c r="U21" i="5"/>
  <c r="L21" i="5"/>
  <c r="K21" i="5"/>
  <c r="J21" i="5"/>
  <c r="I21" i="5"/>
  <c r="H21" i="5"/>
  <c r="F21" i="5"/>
  <c r="L20" i="5"/>
  <c r="K20" i="5"/>
  <c r="J20" i="5"/>
  <c r="I20" i="5"/>
  <c r="H20" i="5"/>
  <c r="F20" i="5"/>
  <c r="L19" i="5"/>
  <c r="K19" i="5"/>
  <c r="J19" i="5"/>
  <c r="I19" i="5"/>
  <c r="H19" i="5"/>
  <c r="F19" i="5"/>
  <c r="L18" i="5"/>
  <c r="K18" i="5"/>
  <c r="J18" i="5"/>
  <c r="I18" i="5"/>
  <c r="H18" i="5"/>
  <c r="F18" i="5"/>
  <c r="N17" i="5"/>
  <c r="L17" i="5"/>
  <c r="K17" i="5"/>
  <c r="J17" i="5"/>
  <c r="I17" i="5"/>
  <c r="H17" i="5"/>
  <c r="F17" i="5"/>
  <c r="L16" i="5"/>
  <c r="K16" i="5"/>
  <c r="J16" i="5"/>
  <c r="I16" i="5"/>
  <c r="H16" i="5"/>
  <c r="F16" i="5"/>
  <c r="U15" i="5"/>
  <c r="L15" i="5"/>
  <c r="K15" i="5"/>
  <c r="J15" i="5"/>
  <c r="I15" i="5"/>
  <c r="H15" i="5"/>
  <c r="F15" i="5"/>
  <c r="L14" i="5"/>
  <c r="K14" i="5"/>
  <c r="J14" i="5"/>
  <c r="I14" i="5"/>
  <c r="H14" i="5"/>
  <c r="F14" i="5"/>
  <c r="AC13" i="5"/>
  <c r="M13" i="5"/>
  <c r="L13" i="5"/>
  <c r="K13" i="5"/>
  <c r="J13" i="5"/>
  <c r="I13" i="5"/>
  <c r="H13" i="5"/>
  <c r="F13" i="5"/>
  <c r="L12" i="5"/>
  <c r="K12" i="5"/>
  <c r="J12" i="5"/>
  <c r="I12" i="5"/>
  <c r="H12" i="5"/>
  <c r="F12" i="5"/>
  <c r="L11" i="5"/>
  <c r="K11" i="5"/>
  <c r="J11" i="5"/>
  <c r="I11" i="5"/>
  <c r="H11" i="5"/>
  <c r="F11" i="5"/>
  <c r="L10" i="5"/>
  <c r="K10" i="5"/>
  <c r="J10" i="5"/>
  <c r="I10" i="5"/>
  <c r="H10" i="5"/>
  <c r="F10" i="5"/>
  <c r="N9" i="5"/>
  <c r="L9" i="5"/>
  <c r="K9" i="5"/>
  <c r="J9" i="5"/>
  <c r="I9" i="5"/>
  <c r="H9" i="5"/>
  <c r="F9" i="5"/>
  <c r="L8" i="5"/>
  <c r="K8" i="5"/>
  <c r="J8" i="5"/>
  <c r="I8" i="5"/>
  <c r="H8" i="5"/>
  <c r="F8" i="5"/>
  <c r="L7" i="5"/>
  <c r="K7" i="5"/>
  <c r="J7" i="5"/>
  <c r="I7" i="5"/>
  <c r="H7" i="5"/>
  <c r="F7" i="5"/>
  <c r="L6" i="5"/>
  <c r="K6" i="5"/>
  <c r="J6" i="5"/>
  <c r="I6" i="5"/>
  <c r="H6" i="5"/>
  <c r="F6" i="5"/>
  <c r="AC3" i="5"/>
  <c r="AC59" i="5" s="1"/>
  <c r="AB3" i="5"/>
  <c r="AB7" i="5" s="1"/>
  <c r="AA3" i="5"/>
  <c r="AA24" i="5" s="1"/>
  <c r="Z3" i="5"/>
  <c r="Z27" i="5" s="1"/>
  <c r="Y3" i="5"/>
  <c r="Y12" i="5" s="1"/>
  <c r="X3" i="5"/>
  <c r="X23" i="5" s="1"/>
  <c r="W3" i="5"/>
  <c r="V3" i="5"/>
  <c r="U3" i="5"/>
  <c r="U70" i="5" s="1"/>
  <c r="T3" i="5"/>
  <c r="T7" i="5" s="1"/>
  <c r="S3" i="5"/>
  <c r="S39" i="5" s="1"/>
  <c r="R3" i="5"/>
  <c r="Q3" i="5"/>
  <c r="Q41" i="5" s="1"/>
  <c r="P3" i="5"/>
  <c r="P23" i="5" s="1"/>
  <c r="O3" i="5"/>
  <c r="O41" i="5" s="1"/>
  <c r="N3" i="5"/>
  <c r="M3" i="5"/>
  <c r="M58" i="5" s="1"/>
  <c r="B3" i="5"/>
  <c r="H1" i="5"/>
  <c r="L227" i="46"/>
  <c r="K227" i="46"/>
  <c r="J227" i="46"/>
  <c r="I227" i="46"/>
  <c r="H227" i="46"/>
  <c r="F227" i="46"/>
  <c r="L226" i="46"/>
  <c r="K226" i="46"/>
  <c r="J226" i="46"/>
  <c r="I226" i="46"/>
  <c r="H226" i="46"/>
  <c r="F226" i="46"/>
  <c r="L225" i="46"/>
  <c r="K225" i="46"/>
  <c r="J225" i="46"/>
  <c r="I225" i="46"/>
  <c r="H225" i="46"/>
  <c r="F225" i="46"/>
  <c r="L224" i="46"/>
  <c r="K224" i="46"/>
  <c r="J224" i="46"/>
  <c r="I224" i="46"/>
  <c r="H224" i="46"/>
  <c r="F224" i="46"/>
  <c r="L223" i="46"/>
  <c r="K223" i="46"/>
  <c r="J223" i="46"/>
  <c r="I223" i="46"/>
  <c r="H223" i="46"/>
  <c r="F223" i="46"/>
  <c r="L222" i="46"/>
  <c r="K222" i="46"/>
  <c r="J222" i="46"/>
  <c r="I222" i="46"/>
  <c r="H222" i="46"/>
  <c r="F222" i="46"/>
  <c r="L221" i="46"/>
  <c r="K221" i="46"/>
  <c r="J221" i="46"/>
  <c r="I221" i="46"/>
  <c r="H221" i="46"/>
  <c r="F221" i="46"/>
  <c r="L220" i="46"/>
  <c r="K220" i="46"/>
  <c r="J220" i="46"/>
  <c r="I220" i="46"/>
  <c r="H220" i="46"/>
  <c r="F220" i="46"/>
  <c r="L219" i="46"/>
  <c r="K219" i="46"/>
  <c r="J219" i="46"/>
  <c r="I219" i="46"/>
  <c r="H219" i="46"/>
  <c r="F219" i="46"/>
  <c r="L218" i="46"/>
  <c r="K218" i="46"/>
  <c r="J218" i="46"/>
  <c r="I218" i="46"/>
  <c r="H218" i="46"/>
  <c r="F218" i="46"/>
  <c r="L217" i="46"/>
  <c r="K217" i="46"/>
  <c r="J217" i="46"/>
  <c r="I217" i="46"/>
  <c r="H217" i="46"/>
  <c r="F217" i="46"/>
  <c r="L216" i="46"/>
  <c r="K216" i="46"/>
  <c r="J216" i="46"/>
  <c r="I216" i="46"/>
  <c r="H216" i="46"/>
  <c r="F216" i="46"/>
  <c r="L215" i="46"/>
  <c r="K215" i="46"/>
  <c r="J215" i="46"/>
  <c r="I215" i="46"/>
  <c r="H215" i="46"/>
  <c r="F215" i="46"/>
  <c r="L214" i="46"/>
  <c r="K214" i="46"/>
  <c r="J214" i="46"/>
  <c r="I214" i="46"/>
  <c r="H214" i="46"/>
  <c r="F214" i="46"/>
  <c r="L213" i="46"/>
  <c r="K213" i="46"/>
  <c r="J213" i="46"/>
  <c r="I213" i="46"/>
  <c r="H213" i="46"/>
  <c r="F213" i="46"/>
  <c r="L212" i="46"/>
  <c r="K212" i="46"/>
  <c r="J212" i="46"/>
  <c r="I212" i="46"/>
  <c r="H212" i="46"/>
  <c r="F212" i="46"/>
  <c r="L211" i="46"/>
  <c r="K211" i="46"/>
  <c r="J211" i="46"/>
  <c r="I211" i="46"/>
  <c r="H211" i="46"/>
  <c r="F211" i="46"/>
  <c r="L210" i="46"/>
  <c r="K210" i="46"/>
  <c r="J210" i="46"/>
  <c r="I210" i="46"/>
  <c r="H210" i="46"/>
  <c r="F210" i="46"/>
  <c r="L209" i="46"/>
  <c r="K209" i="46"/>
  <c r="J209" i="46"/>
  <c r="I209" i="46"/>
  <c r="H209" i="46"/>
  <c r="F209" i="46"/>
  <c r="L208" i="46"/>
  <c r="K208" i="46"/>
  <c r="J208" i="46"/>
  <c r="I208" i="46"/>
  <c r="H208" i="46"/>
  <c r="F208" i="46"/>
  <c r="L207" i="46"/>
  <c r="K207" i="46"/>
  <c r="J207" i="46"/>
  <c r="I207" i="46"/>
  <c r="H207" i="46"/>
  <c r="F207" i="46"/>
  <c r="L206" i="46"/>
  <c r="K206" i="46"/>
  <c r="J206" i="46"/>
  <c r="I206" i="46"/>
  <c r="H206" i="46"/>
  <c r="F206" i="46"/>
  <c r="L205" i="46"/>
  <c r="K205" i="46"/>
  <c r="J205" i="46"/>
  <c r="I205" i="46"/>
  <c r="H205" i="46"/>
  <c r="F205" i="46"/>
  <c r="L204" i="46"/>
  <c r="K204" i="46"/>
  <c r="J204" i="46"/>
  <c r="I204" i="46"/>
  <c r="H204" i="46"/>
  <c r="F204" i="46"/>
  <c r="L203" i="46"/>
  <c r="K203" i="46"/>
  <c r="J203" i="46"/>
  <c r="I203" i="46"/>
  <c r="H203" i="46"/>
  <c r="F203" i="46"/>
  <c r="L202" i="46"/>
  <c r="K202" i="46"/>
  <c r="J202" i="46"/>
  <c r="I202" i="46"/>
  <c r="H202" i="46"/>
  <c r="F202" i="46"/>
  <c r="L201" i="46"/>
  <c r="K201" i="46"/>
  <c r="J201" i="46"/>
  <c r="I201" i="46"/>
  <c r="H201" i="46"/>
  <c r="F201" i="46"/>
  <c r="L200" i="46"/>
  <c r="K200" i="46"/>
  <c r="J200" i="46"/>
  <c r="I200" i="46"/>
  <c r="H200" i="46"/>
  <c r="F200" i="46"/>
  <c r="L199" i="46"/>
  <c r="K199" i="46"/>
  <c r="J199" i="46"/>
  <c r="I199" i="46"/>
  <c r="H199" i="46"/>
  <c r="F199" i="46"/>
  <c r="L198" i="46"/>
  <c r="K198" i="46"/>
  <c r="J198" i="46"/>
  <c r="I198" i="46"/>
  <c r="H198" i="46"/>
  <c r="F198" i="46"/>
  <c r="L197" i="46"/>
  <c r="K197" i="46"/>
  <c r="J197" i="46"/>
  <c r="I197" i="46"/>
  <c r="H197" i="46"/>
  <c r="F197" i="46"/>
  <c r="L196" i="46"/>
  <c r="K196" i="46"/>
  <c r="J196" i="46"/>
  <c r="I196" i="46"/>
  <c r="H196" i="46"/>
  <c r="F196" i="46"/>
  <c r="L195" i="46"/>
  <c r="K195" i="46"/>
  <c r="J195" i="46"/>
  <c r="I195" i="46"/>
  <c r="H195" i="46"/>
  <c r="F195" i="46"/>
  <c r="L194" i="46"/>
  <c r="K194" i="46"/>
  <c r="J194" i="46"/>
  <c r="I194" i="46"/>
  <c r="H194" i="46"/>
  <c r="F194" i="46"/>
  <c r="L193" i="46"/>
  <c r="K193" i="46"/>
  <c r="J193" i="46"/>
  <c r="I193" i="46"/>
  <c r="H193" i="46"/>
  <c r="F193" i="46"/>
  <c r="L192" i="46"/>
  <c r="K192" i="46"/>
  <c r="J192" i="46"/>
  <c r="I192" i="46"/>
  <c r="H192" i="46"/>
  <c r="F192" i="46"/>
  <c r="L191" i="46"/>
  <c r="K191" i="46"/>
  <c r="J191" i="46"/>
  <c r="I191" i="46"/>
  <c r="H191" i="46"/>
  <c r="F191" i="46"/>
  <c r="L190" i="46"/>
  <c r="K190" i="46"/>
  <c r="J190" i="46"/>
  <c r="I190" i="46"/>
  <c r="H190" i="46"/>
  <c r="F190" i="46"/>
  <c r="L189" i="46"/>
  <c r="K189" i="46"/>
  <c r="J189" i="46"/>
  <c r="I189" i="46"/>
  <c r="H189" i="46"/>
  <c r="F189" i="46"/>
  <c r="L188" i="46"/>
  <c r="K188" i="46"/>
  <c r="J188" i="46"/>
  <c r="I188" i="46"/>
  <c r="H188" i="46"/>
  <c r="F188" i="46"/>
  <c r="L187" i="46"/>
  <c r="K187" i="46"/>
  <c r="J187" i="46"/>
  <c r="I187" i="46"/>
  <c r="H187" i="46"/>
  <c r="F187" i="46"/>
  <c r="L186" i="46"/>
  <c r="K186" i="46"/>
  <c r="J186" i="46"/>
  <c r="I186" i="46"/>
  <c r="H186" i="46"/>
  <c r="F186" i="46"/>
  <c r="L185" i="46"/>
  <c r="K185" i="46"/>
  <c r="J185" i="46"/>
  <c r="I185" i="46"/>
  <c r="H185" i="46"/>
  <c r="F185" i="46"/>
  <c r="L184" i="46"/>
  <c r="K184" i="46"/>
  <c r="J184" i="46"/>
  <c r="I184" i="46"/>
  <c r="H184" i="46"/>
  <c r="F184" i="46"/>
  <c r="L183" i="46"/>
  <c r="K183" i="46"/>
  <c r="J183" i="46"/>
  <c r="I183" i="46"/>
  <c r="H183" i="46"/>
  <c r="F183" i="46"/>
  <c r="L182" i="46"/>
  <c r="K182" i="46"/>
  <c r="J182" i="46"/>
  <c r="I182" i="46"/>
  <c r="H182" i="46"/>
  <c r="F182" i="46"/>
  <c r="L181" i="46"/>
  <c r="K181" i="46"/>
  <c r="J181" i="46"/>
  <c r="I181" i="46"/>
  <c r="H181" i="46"/>
  <c r="F181" i="46"/>
  <c r="L180" i="46"/>
  <c r="K180" i="46"/>
  <c r="J180" i="46"/>
  <c r="I180" i="46"/>
  <c r="H180" i="46"/>
  <c r="F180" i="46"/>
  <c r="L179" i="46"/>
  <c r="K179" i="46"/>
  <c r="J179" i="46"/>
  <c r="I179" i="46"/>
  <c r="H179" i="46"/>
  <c r="F179" i="46"/>
  <c r="L178" i="46"/>
  <c r="K178" i="46"/>
  <c r="J178" i="46"/>
  <c r="I178" i="46"/>
  <c r="H178" i="46"/>
  <c r="F178" i="46"/>
  <c r="L177" i="46"/>
  <c r="K177" i="46"/>
  <c r="J177" i="46"/>
  <c r="I177" i="46"/>
  <c r="H177" i="46"/>
  <c r="F177" i="46"/>
  <c r="L176" i="46"/>
  <c r="K176" i="46"/>
  <c r="J176" i="46"/>
  <c r="I176" i="46"/>
  <c r="H176" i="46"/>
  <c r="F176" i="46"/>
  <c r="L175" i="46"/>
  <c r="K175" i="46"/>
  <c r="J175" i="46"/>
  <c r="I175" i="46"/>
  <c r="H175" i="46"/>
  <c r="F175" i="46"/>
  <c r="L174" i="46"/>
  <c r="K174" i="46"/>
  <c r="J174" i="46"/>
  <c r="I174" i="46"/>
  <c r="H174" i="46"/>
  <c r="F174" i="46"/>
  <c r="L173" i="46"/>
  <c r="K173" i="46"/>
  <c r="J173" i="46"/>
  <c r="I173" i="46"/>
  <c r="H173" i="46"/>
  <c r="F173" i="46"/>
  <c r="L172" i="46"/>
  <c r="K172" i="46"/>
  <c r="J172" i="46"/>
  <c r="I172" i="46"/>
  <c r="H172" i="46"/>
  <c r="F172" i="46"/>
  <c r="L171" i="46"/>
  <c r="K171" i="46"/>
  <c r="J171" i="46"/>
  <c r="I171" i="46"/>
  <c r="H171" i="46"/>
  <c r="F171" i="46"/>
  <c r="L170" i="46"/>
  <c r="K170" i="46"/>
  <c r="J170" i="46"/>
  <c r="I170" i="46"/>
  <c r="H170" i="46"/>
  <c r="F170" i="46"/>
  <c r="L169" i="46"/>
  <c r="K169" i="46"/>
  <c r="J169" i="46"/>
  <c r="I169" i="46"/>
  <c r="H169" i="46"/>
  <c r="F169" i="46"/>
  <c r="L168" i="46"/>
  <c r="K168" i="46"/>
  <c r="J168" i="46"/>
  <c r="I168" i="46"/>
  <c r="H168" i="46"/>
  <c r="F168" i="46"/>
  <c r="L167" i="46"/>
  <c r="K167" i="46"/>
  <c r="J167" i="46"/>
  <c r="I167" i="46"/>
  <c r="H167" i="46"/>
  <c r="F167" i="46"/>
  <c r="L166" i="46"/>
  <c r="K166" i="46"/>
  <c r="J166" i="46"/>
  <c r="I166" i="46"/>
  <c r="H166" i="46"/>
  <c r="F166" i="46"/>
  <c r="L165" i="46"/>
  <c r="K165" i="46"/>
  <c r="J165" i="46"/>
  <c r="I165" i="46"/>
  <c r="H165" i="46"/>
  <c r="F165" i="46"/>
  <c r="L164" i="46"/>
  <c r="K164" i="46"/>
  <c r="J164" i="46"/>
  <c r="I164" i="46"/>
  <c r="H164" i="46"/>
  <c r="F164" i="46"/>
  <c r="L163" i="46"/>
  <c r="K163" i="46"/>
  <c r="J163" i="46"/>
  <c r="I163" i="46"/>
  <c r="H163" i="46"/>
  <c r="F163" i="46"/>
  <c r="L162" i="46"/>
  <c r="K162" i="46"/>
  <c r="J162" i="46"/>
  <c r="I162" i="46"/>
  <c r="H162" i="46"/>
  <c r="F162" i="46"/>
  <c r="L161" i="46"/>
  <c r="K161" i="46"/>
  <c r="J161" i="46"/>
  <c r="I161" i="46"/>
  <c r="H161" i="46"/>
  <c r="F161" i="46"/>
  <c r="L160" i="46"/>
  <c r="K160" i="46"/>
  <c r="J160" i="46"/>
  <c r="I160" i="46"/>
  <c r="H160" i="46"/>
  <c r="F160" i="46"/>
  <c r="L159" i="46"/>
  <c r="K159" i="46"/>
  <c r="J159" i="46"/>
  <c r="I159" i="46"/>
  <c r="H159" i="46"/>
  <c r="F159" i="46"/>
  <c r="L158" i="46"/>
  <c r="K158" i="46"/>
  <c r="J158" i="46"/>
  <c r="I158" i="46"/>
  <c r="H158" i="46"/>
  <c r="F158" i="46"/>
  <c r="L157" i="46"/>
  <c r="K157" i="46"/>
  <c r="J157" i="46"/>
  <c r="I157" i="46"/>
  <c r="H157" i="46"/>
  <c r="F157" i="46"/>
  <c r="L156" i="46"/>
  <c r="K156" i="46"/>
  <c r="J156" i="46"/>
  <c r="I156" i="46"/>
  <c r="H156" i="46"/>
  <c r="F156" i="46"/>
  <c r="L155" i="46"/>
  <c r="K155" i="46"/>
  <c r="J155" i="46"/>
  <c r="I155" i="46"/>
  <c r="H155" i="46"/>
  <c r="F155" i="46"/>
  <c r="L154" i="46"/>
  <c r="K154" i="46"/>
  <c r="J154" i="46"/>
  <c r="I154" i="46"/>
  <c r="H154" i="46"/>
  <c r="F154" i="46"/>
  <c r="L153" i="46"/>
  <c r="K153" i="46"/>
  <c r="J153" i="46"/>
  <c r="I153" i="46"/>
  <c r="H153" i="46"/>
  <c r="F153" i="46"/>
  <c r="L152" i="46"/>
  <c r="K152" i="46"/>
  <c r="J152" i="46"/>
  <c r="I152" i="46"/>
  <c r="H152" i="46"/>
  <c r="F152" i="46"/>
  <c r="L151" i="46"/>
  <c r="K151" i="46"/>
  <c r="J151" i="46"/>
  <c r="I151" i="46"/>
  <c r="H151" i="46"/>
  <c r="F151" i="46"/>
  <c r="L150" i="46"/>
  <c r="K150" i="46"/>
  <c r="J150" i="46"/>
  <c r="I150" i="46"/>
  <c r="H150" i="46"/>
  <c r="F150" i="46"/>
  <c r="L149" i="46"/>
  <c r="K149" i="46"/>
  <c r="J149" i="46"/>
  <c r="I149" i="46"/>
  <c r="H149" i="46"/>
  <c r="F149" i="46"/>
  <c r="L148" i="46"/>
  <c r="K148" i="46"/>
  <c r="J148" i="46"/>
  <c r="I148" i="46"/>
  <c r="H148" i="46"/>
  <c r="F148" i="46"/>
  <c r="L147" i="46"/>
  <c r="K147" i="46"/>
  <c r="J147" i="46"/>
  <c r="I147" i="46"/>
  <c r="H147" i="46"/>
  <c r="F147" i="46"/>
  <c r="L146" i="46"/>
  <c r="K146" i="46"/>
  <c r="J146" i="46"/>
  <c r="I146" i="46"/>
  <c r="H146" i="46"/>
  <c r="F146" i="46"/>
  <c r="L145" i="46"/>
  <c r="K145" i="46"/>
  <c r="J145" i="46"/>
  <c r="I145" i="46"/>
  <c r="H145" i="46"/>
  <c r="F145" i="46"/>
  <c r="L144" i="46"/>
  <c r="K144" i="46"/>
  <c r="J144" i="46"/>
  <c r="I144" i="46"/>
  <c r="H144" i="46"/>
  <c r="F144" i="46"/>
  <c r="L143" i="46"/>
  <c r="K143" i="46"/>
  <c r="J143" i="46"/>
  <c r="I143" i="46"/>
  <c r="H143" i="46"/>
  <c r="F143" i="46"/>
  <c r="L142" i="46"/>
  <c r="K142" i="46"/>
  <c r="J142" i="46"/>
  <c r="I142" i="46"/>
  <c r="H142" i="46"/>
  <c r="F142" i="46"/>
  <c r="L141" i="46"/>
  <c r="K141" i="46"/>
  <c r="J141" i="46"/>
  <c r="I141" i="46"/>
  <c r="H141" i="46"/>
  <c r="F141" i="46"/>
  <c r="L140" i="46"/>
  <c r="K140" i="46"/>
  <c r="J140" i="46"/>
  <c r="I140" i="46"/>
  <c r="H140" i="46"/>
  <c r="F140" i="46"/>
  <c r="L139" i="46"/>
  <c r="K139" i="46"/>
  <c r="J139" i="46"/>
  <c r="I139" i="46"/>
  <c r="H139" i="46"/>
  <c r="F139" i="46"/>
  <c r="L138" i="46"/>
  <c r="K138" i="46"/>
  <c r="J138" i="46"/>
  <c r="I138" i="46"/>
  <c r="H138" i="46"/>
  <c r="F138" i="46"/>
  <c r="L137" i="46"/>
  <c r="K137" i="46"/>
  <c r="J137" i="46"/>
  <c r="I137" i="46"/>
  <c r="H137" i="46"/>
  <c r="F137" i="46"/>
  <c r="L136" i="46"/>
  <c r="K136" i="46"/>
  <c r="J136" i="46"/>
  <c r="I136" i="46"/>
  <c r="H136" i="46"/>
  <c r="F136" i="46"/>
  <c r="L135" i="46"/>
  <c r="K135" i="46"/>
  <c r="J135" i="46"/>
  <c r="I135" i="46"/>
  <c r="H135" i="46"/>
  <c r="F135" i="46"/>
  <c r="L134" i="46"/>
  <c r="K134" i="46"/>
  <c r="J134" i="46"/>
  <c r="I134" i="46"/>
  <c r="H134" i="46"/>
  <c r="F134" i="46"/>
  <c r="L133" i="46"/>
  <c r="K133" i="46"/>
  <c r="J133" i="46"/>
  <c r="I133" i="46"/>
  <c r="H133" i="46"/>
  <c r="F133" i="46"/>
  <c r="L132" i="46"/>
  <c r="K132" i="46"/>
  <c r="J132" i="46"/>
  <c r="I132" i="46"/>
  <c r="H132" i="46"/>
  <c r="F132" i="46"/>
  <c r="L131" i="46"/>
  <c r="K131" i="46"/>
  <c r="J131" i="46"/>
  <c r="I131" i="46"/>
  <c r="H131" i="46"/>
  <c r="F131" i="46"/>
  <c r="L130" i="46"/>
  <c r="K130" i="46"/>
  <c r="J130" i="46"/>
  <c r="I130" i="46"/>
  <c r="H130" i="46"/>
  <c r="F130" i="46"/>
  <c r="L129" i="46"/>
  <c r="K129" i="46"/>
  <c r="J129" i="46"/>
  <c r="I129" i="46"/>
  <c r="H129" i="46"/>
  <c r="F129" i="46"/>
  <c r="L128" i="46"/>
  <c r="K128" i="46"/>
  <c r="J128" i="46"/>
  <c r="I128" i="46"/>
  <c r="H128" i="46"/>
  <c r="F128" i="46"/>
  <c r="L127" i="46"/>
  <c r="K127" i="46"/>
  <c r="J127" i="46"/>
  <c r="I127" i="46"/>
  <c r="H127" i="46"/>
  <c r="F127" i="46"/>
  <c r="L126" i="46"/>
  <c r="K126" i="46"/>
  <c r="J126" i="46"/>
  <c r="I126" i="46"/>
  <c r="H126" i="46"/>
  <c r="F126" i="46"/>
  <c r="L125" i="46"/>
  <c r="K125" i="46"/>
  <c r="J125" i="46"/>
  <c r="I125" i="46"/>
  <c r="H125" i="46"/>
  <c r="F125" i="46"/>
  <c r="L124" i="46"/>
  <c r="K124" i="46"/>
  <c r="J124" i="46"/>
  <c r="I124" i="46"/>
  <c r="H124" i="46"/>
  <c r="F124" i="46"/>
  <c r="L123" i="46"/>
  <c r="K123" i="46"/>
  <c r="J123" i="46"/>
  <c r="I123" i="46"/>
  <c r="H123" i="46"/>
  <c r="F123" i="46"/>
  <c r="L122" i="46"/>
  <c r="K122" i="46"/>
  <c r="J122" i="46"/>
  <c r="I122" i="46"/>
  <c r="H122" i="46"/>
  <c r="F122" i="46"/>
  <c r="L121" i="46"/>
  <c r="K121" i="46"/>
  <c r="J121" i="46"/>
  <c r="I121" i="46"/>
  <c r="H121" i="46"/>
  <c r="F121" i="46"/>
  <c r="L120" i="46"/>
  <c r="K120" i="46"/>
  <c r="J120" i="46"/>
  <c r="I120" i="46"/>
  <c r="H120" i="46"/>
  <c r="F120" i="46"/>
  <c r="L119" i="46"/>
  <c r="K119" i="46"/>
  <c r="J119" i="46"/>
  <c r="I119" i="46"/>
  <c r="H119" i="46"/>
  <c r="F119" i="46"/>
  <c r="L118" i="46"/>
  <c r="K118" i="46"/>
  <c r="J118" i="46"/>
  <c r="I118" i="46"/>
  <c r="H118" i="46"/>
  <c r="F118" i="46"/>
  <c r="L117" i="46"/>
  <c r="K117" i="46"/>
  <c r="J117" i="46"/>
  <c r="I117" i="46"/>
  <c r="H117" i="46"/>
  <c r="F117" i="46"/>
  <c r="L116" i="46"/>
  <c r="K116" i="46"/>
  <c r="J116" i="46"/>
  <c r="I116" i="46"/>
  <c r="H116" i="46"/>
  <c r="F116" i="46"/>
  <c r="L115" i="46"/>
  <c r="K115" i="46"/>
  <c r="J115" i="46"/>
  <c r="I115" i="46"/>
  <c r="H115" i="46"/>
  <c r="F115" i="46"/>
  <c r="L114" i="46"/>
  <c r="K114" i="46"/>
  <c r="J114" i="46"/>
  <c r="I114" i="46"/>
  <c r="H114" i="46"/>
  <c r="F114" i="46"/>
  <c r="L113" i="46"/>
  <c r="K113" i="46"/>
  <c r="J113" i="46"/>
  <c r="I113" i="46"/>
  <c r="H113" i="46"/>
  <c r="F113" i="46"/>
  <c r="L112" i="46"/>
  <c r="K112" i="46"/>
  <c r="J112" i="46"/>
  <c r="I112" i="46"/>
  <c r="H112" i="46"/>
  <c r="F112" i="46"/>
  <c r="L111" i="46"/>
  <c r="K111" i="46"/>
  <c r="J111" i="46"/>
  <c r="I111" i="46"/>
  <c r="H111" i="46"/>
  <c r="F111" i="46"/>
  <c r="L110" i="46"/>
  <c r="K110" i="46"/>
  <c r="J110" i="46"/>
  <c r="I110" i="46"/>
  <c r="H110" i="46"/>
  <c r="F110" i="46"/>
  <c r="L109" i="46"/>
  <c r="K109" i="46"/>
  <c r="J109" i="46"/>
  <c r="I109" i="46"/>
  <c r="H109" i="46"/>
  <c r="F109" i="46"/>
  <c r="L108" i="46"/>
  <c r="K108" i="46"/>
  <c r="J108" i="46"/>
  <c r="I108" i="46"/>
  <c r="H108" i="46"/>
  <c r="F108" i="46"/>
  <c r="L107" i="46"/>
  <c r="K107" i="46"/>
  <c r="J107" i="46"/>
  <c r="I107" i="46"/>
  <c r="H107" i="46"/>
  <c r="F107" i="46"/>
  <c r="L106" i="46"/>
  <c r="K106" i="46"/>
  <c r="J106" i="46"/>
  <c r="I106" i="46"/>
  <c r="H106" i="46"/>
  <c r="F106" i="46"/>
  <c r="L105" i="46"/>
  <c r="K105" i="46"/>
  <c r="J105" i="46"/>
  <c r="I105" i="46"/>
  <c r="H105" i="46"/>
  <c r="F105" i="46"/>
  <c r="L104" i="46"/>
  <c r="K104" i="46"/>
  <c r="J104" i="46"/>
  <c r="I104" i="46"/>
  <c r="H104" i="46"/>
  <c r="F104" i="46"/>
  <c r="L103" i="46"/>
  <c r="K103" i="46"/>
  <c r="J103" i="46"/>
  <c r="I103" i="46"/>
  <c r="H103" i="46"/>
  <c r="F103" i="46"/>
  <c r="L102" i="46"/>
  <c r="K102" i="46"/>
  <c r="J102" i="46"/>
  <c r="I102" i="46"/>
  <c r="H102" i="46"/>
  <c r="F102" i="46"/>
  <c r="L101" i="46"/>
  <c r="K101" i="46"/>
  <c r="J101" i="46"/>
  <c r="I101" i="46"/>
  <c r="H101" i="46"/>
  <c r="F101" i="46"/>
  <c r="L100" i="46"/>
  <c r="K100" i="46"/>
  <c r="J100" i="46"/>
  <c r="I100" i="46"/>
  <c r="H100" i="46"/>
  <c r="F100" i="46"/>
  <c r="L99" i="46"/>
  <c r="K99" i="46"/>
  <c r="J99" i="46"/>
  <c r="I99" i="46"/>
  <c r="H99" i="46"/>
  <c r="F99" i="46"/>
  <c r="L98" i="46"/>
  <c r="K98" i="46"/>
  <c r="J98" i="46"/>
  <c r="I98" i="46"/>
  <c r="H98" i="46"/>
  <c r="F98" i="46"/>
  <c r="L97" i="46"/>
  <c r="K97" i="46"/>
  <c r="J97" i="46"/>
  <c r="I97" i="46"/>
  <c r="H97" i="46"/>
  <c r="F97" i="46"/>
  <c r="L96" i="46"/>
  <c r="K96" i="46"/>
  <c r="J96" i="46"/>
  <c r="I96" i="46"/>
  <c r="H96" i="46"/>
  <c r="F96" i="46"/>
  <c r="L95" i="46"/>
  <c r="K95" i="46"/>
  <c r="J95" i="46"/>
  <c r="I95" i="46"/>
  <c r="H95" i="46"/>
  <c r="F95" i="46"/>
  <c r="L94" i="46"/>
  <c r="K94" i="46"/>
  <c r="J94" i="46"/>
  <c r="I94" i="46"/>
  <c r="H94" i="46"/>
  <c r="F94" i="46"/>
  <c r="L93" i="46"/>
  <c r="K93" i="46"/>
  <c r="J93" i="46"/>
  <c r="I93" i="46"/>
  <c r="H93" i="46"/>
  <c r="F93" i="46"/>
  <c r="L92" i="46"/>
  <c r="K92" i="46"/>
  <c r="J92" i="46"/>
  <c r="I92" i="46"/>
  <c r="H92" i="46"/>
  <c r="F92" i="46"/>
  <c r="L91" i="46"/>
  <c r="K91" i="46"/>
  <c r="J91" i="46"/>
  <c r="I91" i="46"/>
  <c r="H91" i="46"/>
  <c r="F91" i="46"/>
  <c r="L90" i="46"/>
  <c r="K90" i="46"/>
  <c r="J90" i="46"/>
  <c r="I90" i="46"/>
  <c r="H90" i="46"/>
  <c r="F90" i="46"/>
  <c r="L89" i="46"/>
  <c r="K89" i="46"/>
  <c r="J89" i="46"/>
  <c r="I89" i="46"/>
  <c r="H89" i="46"/>
  <c r="F89" i="46"/>
  <c r="L88" i="46"/>
  <c r="K88" i="46"/>
  <c r="J88" i="46"/>
  <c r="I88" i="46"/>
  <c r="H88" i="46"/>
  <c r="F88" i="46"/>
  <c r="L87" i="46"/>
  <c r="K87" i="46"/>
  <c r="J87" i="46"/>
  <c r="I87" i="46"/>
  <c r="H87" i="46"/>
  <c r="F87" i="46"/>
  <c r="L86" i="46"/>
  <c r="K86" i="46"/>
  <c r="J86" i="46"/>
  <c r="I86" i="46"/>
  <c r="H86" i="46"/>
  <c r="F86" i="46"/>
  <c r="L85" i="46"/>
  <c r="K85" i="46"/>
  <c r="J85" i="46"/>
  <c r="I85" i="46"/>
  <c r="H85" i="46"/>
  <c r="F85" i="46"/>
  <c r="L84" i="46"/>
  <c r="K84" i="46"/>
  <c r="J84" i="46"/>
  <c r="I84" i="46"/>
  <c r="H84" i="46"/>
  <c r="F84" i="46"/>
  <c r="L83" i="46"/>
  <c r="K83" i="46"/>
  <c r="J83" i="46"/>
  <c r="I83" i="46"/>
  <c r="H83" i="46"/>
  <c r="F83" i="46"/>
  <c r="L82" i="46"/>
  <c r="K82" i="46"/>
  <c r="J82" i="46"/>
  <c r="I82" i="46"/>
  <c r="H82" i="46"/>
  <c r="F82" i="46"/>
  <c r="L81" i="46"/>
  <c r="K81" i="46"/>
  <c r="J81" i="46"/>
  <c r="I81" i="46"/>
  <c r="H81" i="46"/>
  <c r="F81" i="46"/>
  <c r="L80" i="46"/>
  <c r="K80" i="46"/>
  <c r="J80" i="46"/>
  <c r="I80" i="46"/>
  <c r="H80" i="46"/>
  <c r="F80" i="46"/>
  <c r="L79" i="46"/>
  <c r="K79" i="46"/>
  <c r="J79" i="46"/>
  <c r="I79" i="46"/>
  <c r="H79" i="46"/>
  <c r="F79" i="46"/>
  <c r="L78" i="46"/>
  <c r="K78" i="46"/>
  <c r="J78" i="46"/>
  <c r="I78" i="46"/>
  <c r="H78" i="46"/>
  <c r="F78" i="46"/>
  <c r="L77" i="46"/>
  <c r="K77" i="46"/>
  <c r="J77" i="46"/>
  <c r="I77" i="46"/>
  <c r="H77" i="46"/>
  <c r="F77" i="46"/>
  <c r="L76" i="46"/>
  <c r="K76" i="46"/>
  <c r="J76" i="46"/>
  <c r="I76" i="46"/>
  <c r="H76" i="46"/>
  <c r="F76" i="46"/>
  <c r="L75" i="46"/>
  <c r="K75" i="46"/>
  <c r="J75" i="46"/>
  <c r="I75" i="46"/>
  <c r="H75" i="46"/>
  <c r="F75" i="46"/>
  <c r="L74" i="46"/>
  <c r="K74" i="46"/>
  <c r="J74" i="46"/>
  <c r="I74" i="46"/>
  <c r="H74" i="46"/>
  <c r="F74" i="46"/>
  <c r="L73" i="46"/>
  <c r="K73" i="46"/>
  <c r="J73" i="46"/>
  <c r="I73" i="46"/>
  <c r="H73" i="46"/>
  <c r="F73" i="46"/>
  <c r="L72" i="46"/>
  <c r="K72" i="46"/>
  <c r="J72" i="46"/>
  <c r="I72" i="46"/>
  <c r="H72" i="46"/>
  <c r="F72" i="46"/>
  <c r="L71" i="46"/>
  <c r="K71" i="46"/>
  <c r="J71" i="46"/>
  <c r="I71" i="46"/>
  <c r="H71" i="46"/>
  <c r="F71" i="46"/>
  <c r="L70" i="46"/>
  <c r="K70" i="46"/>
  <c r="J70" i="46"/>
  <c r="I70" i="46"/>
  <c r="H70" i="46"/>
  <c r="F70" i="46"/>
  <c r="L69" i="46"/>
  <c r="K69" i="46"/>
  <c r="J69" i="46"/>
  <c r="I69" i="46"/>
  <c r="H69" i="46"/>
  <c r="F69" i="46"/>
  <c r="L68" i="46"/>
  <c r="K68" i="46"/>
  <c r="J68" i="46"/>
  <c r="I68" i="46"/>
  <c r="H68" i="46"/>
  <c r="F68" i="46"/>
  <c r="L67" i="46"/>
  <c r="K67" i="46"/>
  <c r="J67" i="46"/>
  <c r="I67" i="46"/>
  <c r="H67" i="46"/>
  <c r="F67" i="46"/>
  <c r="L66" i="46"/>
  <c r="K66" i="46"/>
  <c r="J66" i="46"/>
  <c r="I66" i="46"/>
  <c r="H66" i="46"/>
  <c r="F66" i="46"/>
  <c r="L65" i="46"/>
  <c r="K65" i="46"/>
  <c r="J65" i="46"/>
  <c r="I65" i="46"/>
  <c r="H65" i="46"/>
  <c r="F65" i="46"/>
  <c r="L64" i="46"/>
  <c r="K64" i="46"/>
  <c r="J64" i="46"/>
  <c r="I64" i="46"/>
  <c r="H64" i="46"/>
  <c r="F64" i="46"/>
  <c r="L63" i="46"/>
  <c r="K63" i="46"/>
  <c r="J63" i="46"/>
  <c r="I63" i="46"/>
  <c r="H63" i="46"/>
  <c r="F63" i="46"/>
  <c r="L62" i="46"/>
  <c r="K62" i="46"/>
  <c r="J62" i="46"/>
  <c r="I62" i="46"/>
  <c r="H62" i="46"/>
  <c r="F62" i="46"/>
  <c r="L61" i="46"/>
  <c r="K61" i="46"/>
  <c r="J61" i="46"/>
  <c r="I61" i="46"/>
  <c r="H61" i="46"/>
  <c r="F61" i="46"/>
  <c r="L60" i="46"/>
  <c r="K60" i="46"/>
  <c r="J60" i="46"/>
  <c r="I60" i="46"/>
  <c r="H60" i="46"/>
  <c r="F60" i="46"/>
  <c r="L59" i="46"/>
  <c r="K59" i="46"/>
  <c r="J59" i="46"/>
  <c r="I59" i="46"/>
  <c r="H59" i="46"/>
  <c r="F59" i="46"/>
  <c r="L58" i="46"/>
  <c r="K58" i="46"/>
  <c r="J58" i="46"/>
  <c r="I58" i="46"/>
  <c r="H58" i="46"/>
  <c r="F58" i="46"/>
  <c r="L57" i="46"/>
  <c r="K57" i="46"/>
  <c r="J57" i="46"/>
  <c r="I57" i="46"/>
  <c r="H57" i="46"/>
  <c r="F57" i="46"/>
  <c r="L56" i="46"/>
  <c r="K56" i="46"/>
  <c r="J56" i="46"/>
  <c r="I56" i="46"/>
  <c r="H56" i="46"/>
  <c r="F56" i="46"/>
  <c r="L55" i="46"/>
  <c r="K55" i="46"/>
  <c r="J55" i="46"/>
  <c r="I55" i="46"/>
  <c r="H55" i="46"/>
  <c r="F55" i="46"/>
  <c r="L54" i="46"/>
  <c r="K54" i="46"/>
  <c r="J54" i="46"/>
  <c r="I54" i="46"/>
  <c r="H54" i="46"/>
  <c r="F54" i="46"/>
  <c r="L53" i="46"/>
  <c r="K53" i="46"/>
  <c r="J53" i="46"/>
  <c r="I53" i="46"/>
  <c r="H53" i="46"/>
  <c r="F53" i="46"/>
  <c r="L52" i="46"/>
  <c r="K52" i="46"/>
  <c r="J52" i="46"/>
  <c r="I52" i="46"/>
  <c r="H52" i="46"/>
  <c r="F52" i="46"/>
  <c r="L51" i="46"/>
  <c r="K51" i="46"/>
  <c r="J51" i="46"/>
  <c r="I51" i="46"/>
  <c r="H51" i="46"/>
  <c r="F51" i="46"/>
  <c r="L50" i="46"/>
  <c r="K50" i="46"/>
  <c r="J50" i="46"/>
  <c r="I50" i="46"/>
  <c r="H50" i="46"/>
  <c r="F50" i="46"/>
  <c r="L49" i="46"/>
  <c r="K49" i="46"/>
  <c r="J49" i="46"/>
  <c r="I49" i="46"/>
  <c r="H49" i="46"/>
  <c r="F49" i="46"/>
  <c r="L48" i="46"/>
  <c r="K48" i="46"/>
  <c r="J48" i="46"/>
  <c r="I48" i="46"/>
  <c r="H48" i="46"/>
  <c r="F48" i="46"/>
  <c r="L47" i="46"/>
  <c r="K47" i="46"/>
  <c r="J47" i="46"/>
  <c r="I47" i="46"/>
  <c r="H47" i="46"/>
  <c r="F47" i="46"/>
  <c r="L46" i="46"/>
  <c r="K46" i="46"/>
  <c r="J46" i="46"/>
  <c r="I46" i="46"/>
  <c r="H46" i="46"/>
  <c r="F46" i="46"/>
  <c r="L45" i="46"/>
  <c r="K45" i="46"/>
  <c r="J45" i="46"/>
  <c r="I45" i="46"/>
  <c r="H45" i="46"/>
  <c r="F45" i="46"/>
  <c r="L44" i="46"/>
  <c r="K44" i="46"/>
  <c r="J44" i="46"/>
  <c r="I44" i="46"/>
  <c r="H44" i="46"/>
  <c r="F44" i="46"/>
  <c r="L43" i="46"/>
  <c r="K43" i="46"/>
  <c r="J43" i="46"/>
  <c r="I43" i="46"/>
  <c r="H43" i="46"/>
  <c r="F43" i="46"/>
  <c r="L42" i="46"/>
  <c r="K42" i="46"/>
  <c r="J42" i="46"/>
  <c r="I42" i="46"/>
  <c r="H42" i="46"/>
  <c r="F42" i="46"/>
  <c r="L41" i="46"/>
  <c r="K41" i="46"/>
  <c r="J41" i="46"/>
  <c r="I41" i="46"/>
  <c r="H41" i="46"/>
  <c r="F41" i="46"/>
  <c r="X40" i="46"/>
  <c r="L40" i="46"/>
  <c r="K40" i="46"/>
  <c r="J40" i="46"/>
  <c r="I40" i="46"/>
  <c r="H40" i="46"/>
  <c r="F40" i="46"/>
  <c r="L39" i="46"/>
  <c r="K39" i="46"/>
  <c r="J39" i="46"/>
  <c r="I39" i="46"/>
  <c r="H39" i="46"/>
  <c r="F39" i="46"/>
  <c r="L38" i="46"/>
  <c r="K38" i="46"/>
  <c r="J38" i="46"/>
  <c r="I38" i="46"/>
  <c r="H38" i="46"/>
  <c r="F38" i="46"/>
  <c r="L37" i="46"/>
  <c r="K37" i="46"/>
  <c r="J37" i="46"/>
  <c r="I37" i="46"/>
  <c r="H37" i="46"/>
  <c r="F37" i="46"/>
  <c r="L36" i="46"/>
  <c r="K36" i="46"/>
  <c r="J36" i="46"/>
  <c r="I36" i="46"/>
  <c r="H36" i="46"/>
  <c r="F36" i="46"/>
  <c r="L35" i="46"/>
  <c r="K35" i="46"/>
  <c r="J35" i="46"/>
  <c r="I35" i="46"/>
  <c r="H35" i="46"/>
  <c r="F35" i="46"/>
  <c r="L34" i="46"/>
  <c r="K34" i="46"/>
  <c r="J34" i="46"/>
  <c r="I34" i="46"/>
  <c r="H34" i="46"/>
  <c r="F34" i="46"/>
  <c r="L33" i="46"/>
  <c r="K33" i="46"/>
  <c r="J33" i="46"/>
  <c r="I33" i="46"/>
  <c r="H33" i="46"/>
  <c r="F33" i="46"/>
  <c r="L32" i="46"/>
  <c r="K32" i="46"/>
  <c r="J32" i="46"/>
  <c r="I32" i="46"/>
  <c r="H32" i="46"/>
  <c r="F32" i="46"/>
  <c r="L31" i="46"/>
  <c r="K31" i="46"/>
  <c r="J31" i="46"/>
  <c r="I31" i="46"/>
  <c r="H31" i="46"/>
  <c r="F31" i="46"/>
  <c r="L30" i="46"/>
  <c r="K30" i="46"/>
  <c r="J30" i="46"/>
  <c r="I30" i="46"/>
  <c r="H30" i="46"/>
  <c r="F30" i="46"/>
  <c r="L29" i="46"/>
  <c r="K29" i="46"/>
  <c r="J29" i="46"/>
  <c r="I29" i="46"/>
  <c r="H29" i="46"/>
  <c r="F29" i="46"/>
  <c r="L28" i="46"/>
  <c r="K28" i="46"/>
  <c r="J28" i="46"/>
  <c r="I28" i="46"/>
  <c r="H28" i="46"/>
  <c r="F28" i="46"/>
  <c r="L27" i="46"/>
  <c r="K27" i="46"/>
  <c r="J27" i="46"/>
  <c r="I27" i="46"/>
  <c r="H27" i="46"/>
  <c r="F27" i="46"/>
  <c r="L26" i="46"/>
  <c r="K26" i="46"/>
  <c r="J26" i="46"/>
  <c r="I26" i="46"/>
  <c r="H26" i="46"/>
  <c r="F26" i="46"/>
  <c r="L25" i="46"/>
  <c r="K25" i="46"/>
  <c r="J25" i="46"/>
  <c r="I25" i="46"/>
  <c r="H25" i="46"/>
  <c r="F25" i="46"/>
  <c r="L24" i="46"/>
  <c r="K24" i="46"/>
  <c r="J24" i="46"/>
  <c r="I24" i="46"/>
  <c r="H24" i="46"/>
  <c r="F24" i="46"/>
  <c r="L23" i="46"/>
  <c r="K23" i="46"/>
  <c r="J23" i="46"/>
  <c r="I23" i="46"/>
  <c r="H23" i="46"/>
  <c r="F23" i="46"/>
  <c r="L22" i="46"/>
  <c r="K22" i="46"/>
  <c r="J22" i="46"/>
  <c r="I22" i="46"/>
  <c r="H22" i="46"/>
  <c r="F22" i="46"/>
  <c r="Z21" i="46"/>
  <c r="L21" i="46"/>
  <c r="K21" i="46"/>
  <c r="J21" i="46"/>
  <c r="I21" i="46"/>
  <c r="H21" i="46"/>
  <c r="F21" i="46"/>
  <c r="L20" i="46"/>
  <c r="K20" i="46"/>
  <c r="J20" i="46"/>
  <c r="I20" i="46"/>
  <c r="H20" i="46"/>
  <c r="F20" i="46"/>
  <c r="L19" i="46"/>
  <c r="K19" i="46"/>
  <c r="J19" i="46"/>
  <c r="I19" i="46"/>
  <c r="H19" i="46"/>
  <c r="F19" i="46"/>
  <c r="L18" i="46"/>
  <c r="K18" i="46"/>
  <c r="J18" i="46"/>
  <c r="I18" i="46"/>
  <c r="H18" i="46"/>
  <c r="F18" i="46"/>
  <c r="R17" i="46"/>
  <c r="L17" i="46"/>
  <c r="K17" i="46"/>
  <c r="J17" i="46"/>
  <c r="I17" i="46"/>
  <c r="H17" i="46"/>
  <c r="F17" i="46"/>
  <c r="L16" i="46"/>
  <c r="K16" i="46"/>
  <c r="J16" i="46"/>
  <c r="I16" i="46"/>
  <c r="H16" i="46"/>
  <c r="F16" i="46"/>
  <c r="L15" i="46"/>
  <c r="K15" i="46"/>
  <c r="J15" i="46"/>
  <c r="I15" i="46"/>
  <c r="H15" i="46"/>
  <c r="F15" i="46"/>
  <c r="L14" i="46"/>
  <c r="K14" i="46"/>
  <c r="J14" i="46"/>
  <c r="I14" i="46"/>
  <c r="H14" i="46"/>
  <c r="F14" i="46"/>
  <c r="R13" i="46"/>
  <c r="L13" i="46"/>
  <c r="K13" i="46"/>
  <c r="J13" i="46"/>
  <c r="I13" i="46"/>
  <c r="H13" i="46"/>
  <c r="F13" i="46"/>
  <c r="L12" i="46"/>
  <c r="K12" i="46"/>
  <c r="J12" i="46"/>
  <c r="I12" i="46"/>
  <c r="H12" i="46"/>
  <c r="F12" i="46"/>
  <c r="R11" i="46"/>
  <c r="L11" i="46"/>
  <c r="K11" i="46"/>
  <c r="J11" i="46"/>
  <c r="I11" i="46"/>
  <c r="H11" i="46"/>
  <c r="F11" i="46"/>
  <c r="L10" i="46"/>
  <c r="K10" i="46"/>
  <c r="J10" i="46"/>
  <c r="I10" i="46"/>
  <c r="H10" i="46"/>
  <c r="F10" i="46"/>
  <c r="R9" i="46"/>
  <c r="L9" i="46"/>
  <c r="K9" i="46"/>
  <c r="J9" i="46"/>
  <c r="I9" i="46"/>
  <c r="H9" i="46"/>
  <c r="F9" i="46"/>
  <c r="L8" i="46"/>
  <c r="K8" i="46"/>
  <c r="J8" i="46"/>
  <c r="I8" i="46"/>
  <c r="H8" i="46"/>
  <c r="F8" i="46"/>
  <c r="R7" i="46"/>
  <c r="L7" i="46"/>
  <c r="K7" i="46"/>
  <c r="J7" i="46"/>
  <c r="I7" i="46"/>
  <c r="H7" i="46"/>
  <c r="F7" i="46"/>
  <c r="L6" i="46"/>
  <c r="K6" i="46"/>
  <c r="J6" i="46"/>
  <c r="I6" i="46"/>
  <c r="H6" i="46"/>
  <c r="F6" i="46"/>
  <c r="AC3" i="46"/>
  <c r="AB3" i="46"/>
  <c r="AA3" i="46"/>
  <c r="AA23" i="46" s="1"/>
  <c r="Z3" i="46"/>
  <c r="Z19" i="46" s="1"/>
  <c r="Y3" i="46"/>
  <c r="X3" i="46"/>
  <c r="W3" i="46"/>
  <c r="W27" i="46" s="1"/>
  <c r="V3" i="46"/>
  <c r="U3" i="46"/>
  <c r="T3" i="46"/>
  <c r="S3" i="46"/>
  <c r="R3" i="46"/>
  <c r="R24" i="46" s="1"/>
  <c r="Q3" i="46"/>
  <c r="P3" i="46"/>
  <c r="O3" i="46"/>
  <c r="N3" i="46"/>
  <c r="N23" i="46" s="1"/>
  <c r="M3" i="46"/>
  <c r="M23" i="46" s="1"/>
  <c r="B3" i="46"/>
  <c r="E2" i="46"/>
  <c r="H1" i="46"/>
  <c r="S59" i="46" l="1"/>
  <c r="S24" i="46"/>
  <c r="AA19" i="46"/>
  <c r="P23" i="46"/>
  <c r="P42" i="46"/>
  <c r="P34" i="46"/>
  <c r="P26" i="46"/>
  <c r="T53" i="46"/>
  <c r="T49" i="46"/>
  <c r="T37" i="46"/>
  <c r="T29" i="46"/>
  <c r="T35" i="46"/>
  <c r="X41" i="46"/>
  <c r="X38" i="46"/>
  <c r="AB41" i="46"/>
  <c r="AB33" i="46"/>
  <c r="AB39" i="46"/>
  <c r="S7" i="46"/>
  <c r="S9" i="46"/>
  <c r="S11" i="46"/>
  <c r="S13" i="46"/>
  <c r="Z15" i="46"/>
  <c r="S17" i="46"/>
  <c r="R19" i="46"/>
  <c r="AA21" i="46"/>
  <c r="X32" i="46"/>
  <c r="O21" i="46"/>
  <c r="O64" i="46"/>
  <c r="S15" i="46"/>
  <c r="M39" i="46"/>
  <c r="M33" i="46"/>
  <c r="M25" i="46"/>
  <c r="Q34" i="46"/>
  <c r="Q38" i="46"/>
  <c r="Q26" i="46"/>
  <c r="Q36" i="46"/>
  <c r="U29" i="46"/>
  <c r="U25" i="46"/>
  <c r="U31" i="46"/>
  <c r="U39" i="46"/>
  <c r="U27" i="46"/>
  <c r="Y38" i="46"/>
  <c r="Y26" i="46"/>
  <c r="Y24" i="46"/>
  <c r="Y34" i="46"/>
  <c r="Y40" i="46"/>
  <c r="AC31" i="46"/>
  <c r="AC35" i="46"/>
  <c r="AC27" i="46"/>
  <c r="Z7" i="46"/>
  <c r="Z9" i="46"/>
  <c r="Z11" i="46"/>
  <c r="Z13" i="46"/>
  <c r="AA15" i="46"/>
  <c r="Z17" i="46"/>
  <c r="S19" i="46"/>
  <c r="R21" i="46"/>
  <c r="AB23" i="46"/>
  <c r="Q30" i="46"/>
  <c r="U37" i="46"/>
  <c r="P54" i="46"/>
  <c r="AA7" i="46"/>
  <c r="AA9" i="46"/>
  <c r="AA11" i="46"/>
  <c r="AA13" i="46"/>
  <c r="R15" i="46"/>
  <c r="AA17" i="46"/>
  <c r="S21" i="46"/>
  <c r="T27" i="46"/>
  <c r="P28" i="46"/>
  <c r="M35" i="46"/>
  <c r="P36" i="46"/>
  <c r="T47" i="46"/>
  <c r="N43" i="5"/>
  <c r="N54" i="5"/>
  <c r="N46" i="5"/>
  <c r="N21" i="5"/>
  <c r="N15" i="5"/>
  <c r="N19" i="5"/>
  <c r="N38" i="5"/>
  <c r="N23" i="5"/>
  <c r="N13" i="5"/>
  <c r="R35" i="5"/>
  <c r="R29" i="5"/>
  <c r="V36" i="5"/>
  <c r="V30" i="5"/>
  <c r="V23" i="5"/>
  <c r="V13" i="5"/>
  <c r="V17" i="5"/>
  <c r="V11" i="5"/>
  <c r="V9" i="5"/>
  <c r="V40" i="5"/>
  <c r="V26" i="5"/>
  <c r="V21" i="5"/>
  <c r="V15" i="5"/>
  <c r="N7" i="5"/>
  <c r="N11" i="5"/>
  <c r="Z31" i="5"/>
  <c r="V39" i="5"/>
  <c r="V7" i="5"/>
  <c r="N36" i="5"/>
  <c r="V19" i="5"/>
  <c r="W36" i="5"/>
  <c r="W26" i="5"/>
  <c r="W27" i="5"/>
  <c r="S7" i="5"/>
  <c r="AA7" i="5"/>
  <c r="U9" i="5"/>
  <c r="U11" i="5"/>
  <c r="U17" i="5"/>
  <c r="M19" i="5"/>
  <c r="AC19" i="5"/>
  <c r="AA31" i="5"/>
  <c r="W32" i="5"/>
  <c r="U42" i="5"/>
  <c r="AC55" i="5"/>
  <c r="U13" i="5"/>
  <c r="M15" i="5"/>
  <c r="AC15" i="5"/>
  <c r="M21" i="5"/>
  <c r="AC21" i="5"/>
  <c r="U23" i="5"/>
  <c r="S29" i="5"/>
  <c r="O30" i="5"/>
  <c r="O38" i="5"/>
  <c r="M7" i="5"/>
  <c r="U7" i="5"/>
  <c r="AC7" i="5"/>
  <c r="M9" i="5"/>
  <c r="AC9" i="5"/>
  <c r="M11" i="5"/>
  <c r="AC11" i="5"/>
  <c r="M17" i="5"/>
  <c r="AC17" i="5"/>
  <c r="U19" i="5"/>
  <c r="O25" i="5"/>
  <c r="Y20" i="5"/>
  <c r="Q22" i="5"/>
  <c r="Z194" i="5"/>
  <c r="Z192" i="5"/>
  <c r="Z190" i="5"/>
  <c r="Z188" i="5"/>
  <c r="Z186" i="5"/>
  <c r="Z189" i="5"/>
  <c r="Z185" i="5"/>
  <c r="Z183" i="5"/>
  <c r="Z181" i="5"/>
  <c r="Z179" i="5"/>
  <c r="Z187" i="5"/>
  <c r="Z193" i="5"/>
  <c r="Z184" i="5"/>
  <c r="Z182" i="5"/>
  <c r="Z180" i="5"/>
  <c r="Z178" i="5"/>
  <c r="Z195" i="5"/>
  <c r="Z191" i="5"/>
  <c r="Z176" i="5"/>
  <c r="Z174" i="5"/>
  <c r="Z172" i="5"/>
  <c r="Z170" i="5"/>
  <c r="Z177" i="5"/>
  <c r="Z169" i="5"/>
  <c r="Z175" i="5"/>
  <c r="Z171" i="5"/>
  <c r="Z168" i="5"/>
  <c r="Z166" i="5"/>
  <c r="Z173" i="5"/>
  <c r="Z167" i="5"/>
  <c r="Z165" i="5"/>
  <c r="Z164" i="5"/>
  <c r="Z163" i="5"/>
  <c r="Z161" i="5"/>
  <c r="Z159" i="5"/>
  <c r="Z157" i="5"/>
  <c r="Z155" i="5"/>
  <c r="Z162" i="5"/>
  <c r="Z160" i="5"/>
  <c r="Z158" i="5"/>
  <c r="Z156" i="5"/>
  <c r="Z154" i="5"/>
  <c r="Z153" i="5"/>
  <c r="Z151" i="5"/>
  <c r="Z149" i="5"/>
  <c r="Z146" i="5"/>
  <c r="Z144" i="5"/>
  <c r="Z142" i="5"/>
  <c r="Z140" i="5"/>
  <c r="Z150" i="5"/>
  <c r="Z148" i="5"/>
  <c r="Z152" i="5"/>
  <c r="Z147" i="5"/>
  <c r="Z145" i="5"/>
  <c r="Z143" i="5"/>
  <c r="Z141" i="5"/>
  <c r="Z139" i="5"/>
  <c r="Z138" i="5"/>
  <c r="Z136" i="5"/>
  <c r="Z134" i="5"/>
  <c r="Z132" i="5"/>
  <c r="Z130" i="5"/>
  <c r="Z128" i="5"/>
  <c r="Z126" i="5"/>
  <c r="Z124" i="5"/>
  <c r="Z122" i="5"/>
  <c r="Z120" i="5"/>
  <c r="Z137" i="5"/>
  <c r="Z135" i="5"/>
  <c r="Z133" i="5"/>
  <c r="Z131" i="5"/>
  <c r="Z129" i="5"/>
  <c r="Z127" i="5"/>
  <c r="Z125" i="5"/>
  <c r="Z123" i="5"/>
  <c r="Z121" i="5"/>
  <c r="Z117" i="5"/>
  <c r="Z115" i="5"/>
  <c r="Z113" i="5"/>
  <c r="Z111" i="5"/>
  <c r="Z109" i="5"/>
  <c r="Z107" i="5"/>
  <c r="Z105" i="5"/>
  <c r="Z103" i="5"/>
  <c r="Z119" i="5"/>
  <c r="Z108" i="5"/>
  <c r="Z118" i="5"/>
  <c r="Z116" i="5"/>
  <c r="Z114" i="5"/>
  <c r="Z110" i="5"/>
  <c r="Z101" i="5"/>
  <c r="Z99" i="5"/>
  <c r="Z97" i="5"/>
  <c r="Z95" i="5"/>
  <c r="Z93" i="5"/>
  <c r="Z91" i="5"/>
  <c r="Z106" i="5"/>
  <c r="Z112" i="5"/>
  <c r="Z104" i="5"/>
  <c r="Z100" i="5"/>
  <c r="Z90" i="5"/>
  <c r="Z98" i="5"/>
  <c r="Z92" i="5"/>
  <c r="Z86" i="5"/>
  <c r="Z84" i="5"/>
  <c r="Z82" i="5"/>
  <c r="Z80" i="5"/>
  <c r="Z78" i="5"/>
  <c r="Z76" i="5"/>
  <c r="Z74" i="5"/>
  <c r="Z88" i="5"/>
  <c r="Z96" i="5"/>
  <c r="Z77" i="5"/>
  <c r="Z79" i="5"/>
  <c r="Z71" i="5"/>
  <c r="Z70" i="5"/>
  <c r="Z68" i="5"/>
  <c r="Z66" i="5"/>
  <c r="Z64" i="5"/>
  <c r="Z62" i="5"/>
  <c r="Z60" i="5"/>
  <c r="Z58" i="5"/>
  <c r="Z56" i="5"/>
  <c r="Z54" i="5"/>
  <c r="Z94" i="5"/>
  <c r="Z87" i="5"/>
  <c r="Z85" i="5"/>
  <c r="Z81" i="5"/>
  <c r="Z89" i="5"/>
  <c r="Z83" i="5"/>
  <c r="Z102" i="5"/>
  <c r="Z75" i="5"/>
  <c r="Z72" i="5"/>
  <c r="Z61" i="5"/>
  <c r="Z59" i="5"/>
  <c r="Z57" i="5"/>
  <c r="Z73" i="5"/>
  <c r="Z55" i="5"/>
  <c r="Z53" i="5"/>
  <c r="Z52" i="5"/>
  <c r="Z50" i="5"/>
  <c r="Z48" i="5"/>
  <c r="Z46" i="5"/>
  <c r="Z69" i="5"/>
  <c r="Z67" i="5"/>
  <c r="Z51" i="5"/>
  <c r="Z43" i="5"/>
  <c r="Z41" i="5"/>
  <c r="Z65" i="5"/>
  <c r="Z49" i="5"/>
  <c r="Z47" i="5"/>
  <c r="Z44" i="5"/>
  <c r="Z39" i="5"/>
  <c r="Z42" i="5"/>
  <c r="Z38" i="5"/>
  <c r="Z36" i="5"/>
  <c r="Z34" i="5"/>
  <c r="Z32" i="5"/>
  <c r="Z30" i="5"/>
  <c r="Z28" i="5"/>
  <c r="Z26" i="5"/>
  <c r="Z24" i="5"/>
  <c r="Z63" i="5"/>
  <c r="Z45" i="5"/>
  <c r="Z40" i="5"/>
  <c r="Z12" i="5"/>
  <c r="R14" i="5"/>
  <c r="R16" i="5"/>
  <c r="Z20" i="5"/>
  <c r="S194" i="5"/>
  <c r="S192" i="5"/>
  <c r="S195" i="5"/>
  <c r="S193" i="5"/>
  <c r="S191" i="5"/>
  <c r="S188" i="5"/>
  <c r="S189" i="5"/>
  <c r="S187" i="5"/>
  <c r="S176" i="5"/>
  <c r="S174" i="5"/>
  <c r="S172" i="5"/>
  <c r="S183" i="5"/>
  <c r="S179" i="5"/>
  <c r="S184" i="5"/>
  <c r="S186" i="5"/>
  <c r="S177" i="5"/>
  <c r="S175" i="5"/>
  <c r="S173" i="5"/>
  <c r="S171" i="5"/>
  <c r="S185" i="5"/>
  <c r="S180" i="5"/>
  <c r="S168" i="5"/>
  <c r="S166" i="5"/>
  <c r="S190" i="5"/>
  <c r="S170" i="5"/>
  <c r="S178" i="5"/>
  <c r="S169" i="5"/>
  <c r="S167" i="5"/>
  <c r="S181" i="5"/>
  <c r="S165" i="5"/>
  <c r="S162" i="5"/>
  <c r="S160" i="5"/>
  <c r="S158" i="5"/>
  <c r="S156" i="5"/>
  <c r="S161" i="5"/>
  <c r="S157" i="5"/>
  <c r="S182" i="5"/>
  <c r="S164" i="5"/>
  <c r="S163" i="5"/>
  <c r="S159" i="5"/>
  <c r="S155" i="5"/>
  <c r="S152" i="5"/>
  <c r="S148" i="5"/>
  <c r="S153" i="5"/>
  <c r="S146" i="5"/>
  <c r="S144" i="5"/>
  <c r="S142" i="5"/>
  <c r="S140" i="5"/>
  <c r="S154" i="5"/>
  <c r="S149" i="5"/>
  <c r="S147" i="5"/>
  <c r="S145" i="5"/>
  <c r="S143" i="5"/>
  <c r="S141" i="5"/>
  <c r="S150" i="5"/>
  <c r="S137" i="5"/>
  <c r="S139" i="5"/>
  <c r="S151" i="5"/>
  <c r="S138" i="5"/>
  <c r="S132" i="5"/>
  <c r="S125" i="5"/>
  <c r="S124" i="5"/>
  <c r="S131" i="5"/>
  <c r="S117" i="5"/>
  <c r="S115" i="5"/>
  <c r="S113" i="5"/>
  <c r="S111" i="5"/>
  <c r="S109" i="5"/>
  <c r="S107" i="5"/>
  <c r="S105" i="5"/>
  <c r="S130" i="5"/>
  <c r="S119" i="5"/>
  <c r="S135" i="5"/>
  <c r="S129" i="5"/>
  <c r="S134" i="5"/>
  <c r="S128" i="5"/>
  <c r="S121" i="5"/>
  <c r="S136" i="5"/>
  <c r="S127" i="5"/>
  <c r="S120" i="5"/>
  <c r="S118" i="5"/>
  <c r="S116" i="5"/>
  <c r="S114" i="5"/>
  <c r="S112" i="5"/>
  <c r="S110" i="5"/>
  <c r="S108" i="5"/>
  <c r="S106" i="5"/>
  <c r="S104" i="5"/>
  <c r="S133" i="5"/>
  <c r="S123" i="5"/>
  <c r="S103" i="5"/>
  <c r="S101" i="5"/>
  <c r="S99" i="5"/>
  <c r="S97" i="5"/>
  <c r="S95" i="5"/>
  <c r="S122" i="5"/>
  <c r="S126" i="5"/>
  <c r="S102" i="5"/>
  <c r="S100" i="5"/>
  <c r="S98" i="5"/>
  <c r="S96" i="5"/>
  <c r="S94" i="5"/>
  <c r="S92" i="5"/>
  <c r="S90" i="5"/>
  <c r="S89" i="5"/>
  <c r="S88" i="5"/>
  <c r="S86" i="5"/>
  <c r="S84" i="5"/>
  <c r="S82" i="5"/>
  <c r="S80" i="5"/>
  <c r="S78" i="5"/>
  <c r="S91" i="5"/>
  <c r="S87" i="5"/>
  <c r="S85" i="5"/>
  <c r="S83" i="5"/>
  <c r="S81" i="5"/>
  <c r="S79" i="5"/>
  <c r="S77" i="5"/>
  <c r="S75" i="5"/>
  <c r="S76" i="5"/>
  <c r="S73" i="5"/>
  <c r="S72" i="5"/>
  <c r="S70" i="5"/>
  <c r="S68" i="5"/>
  <c r="S66" i="5"/>
  <c r="S64" i="5"/>
  <c r="S62" i="5"/>
  <c r="S60" i="5"/>
  <c r="S58" i="5"/>
  <c r="S56" i="5"/>
  <c r="S93" i="5"/>
  <c r="S69" i="5"/>
  <c r="S67" i="5"/>
  <c r="S65" i="5"/>
  <c r="S63" i="5"/>
  <c r="S61" i="5"/>
  <c r="S59" i="5"/>
  <c r="S57" i="5"/>
  <c r="S74" i="5"/>
  <c r="S54" i="5"/>
  <c r="S52" i="5"/>
  <c r="S50" i="5"/>
  <c r="S48" i="5"/>
  <c r="S46" i="5"/>
  <c r="S44" i="5"/>
  <c r="S55" i="5"/>
  <c r="S45" i="5"/>
  <c r="S53" i="5"/>
  <c r="S51" i="5"/>
  <c r="S40" i="5"/>
  <c r="S49" i="5"/>
  <c r="S38" i="5"/>
  <c r="S36" i="5"/>
  <c r="S34" i="5"/>
  <c r="S32" i="5"/>
  <c r="S30" i="5"/>
  <c r="S47" i="5"/>
  <c r="S43" i="5"/>
  <c r="S41" i="5"/>
  <c r="S71" i="5"/>
  <c r="AA194" i="5"/>
  <c r="AA192" i="5"/>
  <c r="AA195" i="5"/>
  <c r="AA193" i="5"/>
  <c r="AA191" i="5"/>
  <c r="AA186" i="5"/>
  <c r="AA187" i="5"/>
  <c r="AA190" i="5"/>
  <c r="AA188" i="5"/>
  <c r="AA184" i="5"/>
  <c r="AA180" i="5"/>
  <c r="AA176" i="5"/>
  <c r="AA174" i="5"/>
  <c r="AA172" i="5"/>
  <c r="AA185" i="5"/>
  <c r="AA189" i="5"/>
  <c r="AA182" i="5"/>
  <c r="AA178" i="5"/>
  <c r="AA177" i="5"/>
  <c r="AA175" i="5"/>
  <c r="AA173" i="5"/>
  <c r="AA171" i="5"/>
  <c r="AA168" i="5"/>
  <c r="AA166" i="5"/>
  <c r="AA179" i="5"/>
  <c r="AA170" i="5"/>
  <c r="AA167" i="5"/>
  <c r="AA181" i="5"/>
  <c r="AA165" i="5"/>
  <c r="AA164" i="5"/>
  <c r="AA183" i="5"/>
  <c r="AA169" i="5"/>
  <c r="AA162" i="5"/>
  <c r="AA160" i="5"/>
  <c r="AA158" i="5"/>
  <c r="AA156" i="5"/>
  <c r="AA163" i="5"/>
  <c r="AA159" i="5"/>
  <c r="AA155" i="5"/>
  <c r="AA161" i="5"/>
  <c r="AA157" i="5"/>
  <c r="AA146" i="5"/>
  <c r="AA144" i="5"/>
  <c r="AA142" i="5"/>
  <c r="AA140" i="5"/>
  <c r="AA154" i="5"/>
  <c r="AA149" i="5"/>
  <c r="AA150" i="5"/>
  <c r="AA151" i="5"/>
  <c r="AA148" i="5"/>
  <c r="AA152" i="5"/>
  <c r="AA147" i="5"/>
  <c r="AA145" i="5"/>
  <c r="AA143" i="5"/>
  <c r="AA141" i="5"/>
  <c r="AA153" i="5"/>
  <c r="AA137" i="5"/>
  <c r="AA129" i="5"/>
  <c r="AA121" i="5"/>
  <c r="AA120" i="5"/>
  <c r="AA135" i="5"/>
  <c r="AA128" i="5"/>
  <c r="AA117" i="5"/>
  <c r="AA115" i="5"/>
  <c r="AA113" i="5"/>
  <c r="AA111" i="5"/>
  <c r="AA109" i="5"/>
  <c r="AA107" i="5"/>
  <c r="AA105" i="5"/>
  <c r="AA134" i="5"/>
  <c r="AA127" i="5"/>
  <c r="AA123" i="5"/>
  <c r="AA122" i="5"/>
  <c r="AA126" i="5"/>
  <c r="AA136" i="5"/>
  <c r="AA133" i="5"/>
  <c r="AA125" i="5"/>
  <c r="AA124" i="5"/>
  <c r="AA119" i="5"/>
  <c r="AA132" i="5"/>
  <c r="AA118" i="5"/>
  <c r="AA116" i="5"/>
  <c r="AA114" i="5"/>
  <c r="AA112" i="5"/>
  <c r="AA110" i="5"/>
  <c r="AA108" i="5"/>
  <c r="AA106" i="5"/>
  <c r="AA104" i="5"/>
  <c r="AA138" i="5"/>
  <c r="AA101" i="5"/>
  <c r="AA99" i="5"/>
  <c r="AA97" i="5"/>
  <c r="AA95" i="5"/>
  <c r="AA131" i="5"/>
  <c r="AA130" i="5"/>
  <c r="AA139" i="5"/>
  <c r="AA103" i="5"/>
  <c r="AA102" i="5"/>
  <c r="AA100" i="5"/>
  <c r="AA98" i="5"/>
  <c r="AA96" i="5"/>
  <c r="AA94" i="5"/>
  <c r="AA92" i="5"/>
  <c r="AA90" i="5"/>
  <c r="AA91" i="5"/>
  <c r="AA86" i="5"/>
  <c r="AA84" i="5"/>
  <c r="AA82" i="5"/>
  <c r="AA80" i="5"/>
  <c r="AA78" i="5"/>
  <c r="AA88" i="5"/>
  <c r="AA89" i="5"/>
  <c r="AA87" i="5"/>
  <c r="AA85" i="5"/>
  <c r="AA83" i="5"/>
  <c r="AA81" i="5"/>
  <c r="AA79" i="5"/>
  <c r="AA77" i="5"/>
  <c r="AA75" i="5"/>
  <c r="AA71" i="5"/>
  <c r="AA70" i="5"/>
  <c r="AA68" i="5"/>
  <c r="AA66" i="5"/>
  <c r="AA64" i="5"/>
  <c r="AA62" i="5"/>
  <c r="AA60" i="5"/>
  <c r="AA58" i="5"/>
  <c r="AA56" i="5"/>
  <c r="AA93" i="5"/>
  <c r="AA74" i="5"/>
  <c r="AA72" i="5"/>
  <c r="AA73" i="5"/>
  <c r="AA69" i="5"/>
  <c r="AA67" i="5"/>
  <c r="AA65" i="5"/>
  <c r="AA63" i="5"/>
  <c r="AA61" i="5"/>
  <c r="AA59" i="5"/>
  <c r="AA57" i="5"/>
  <c r="AA55" i="5"/>
  <c r="AA53" i="5"/>
  <c r="AA52" i="5"/>
  <c r="AA50" i="5"/>
  <c r="AA48" i="5"/>
  <c r="AA46" i="5"/>
  <c r="AA44" i="5"/>
  <c r="AA54" i="5"/>
  <c r="AA76" i="5"/>
  <c r="AA49" i="5"/>
  <c r="AA47" i="5"/>
  <c r="AA39" i="5"/>
  <c r="AA42" i="5"/>
  <c r="AA38" i="5"/>
  <c r="AA36" i="5"/>
  <c r="AA34" i="5"/>
  <c r="AA32" i="5"/>
  <c r="AA30" i="5"/>
  <c r="AA45" i="5"/>
  <c r="AA40" i="5"/>
  <c r="S6" i="5"/>
  <c r="AA6" i="5"/>
  <c r="O7" i="5"/>
  <c r="W7" i="5"/>
  <c r="S8" i="5"/>
  <c r="AA8" i="5"/>
  <c r="O9" i="5"/>
  <c r="W9" i="5"/>
  <c r="S10" i="5"/>
  <c r="AA10" i="5"/>
  <c r="O11" i="5"/>
  <c r="W11" i="5"/>
  <c r="S12" i="5"/>
  <c r="AA12" i="5"/>
  <c r="O13" i="5"/>
  <c r="W13" i="5"/>
  <c r="S14" i="5"/>
  <c r="AA14" i="5"/>
  <c r="O15" i="5"/>
  <c r="W15" i="5"/>
  <c r="S16" i="5"/>
  <c r="AA16" i="5"/>
  <c r="O17" i="5"/>
  <c r="W17" i="5"/>
  <c r="S18" i="5"/>
  <c r="AA18" i="5"/>
  <c r="O19" i="5"/>
  <c r="W19" i="5"/>
  <c r="S20" i="5"/>
  <c r="AA20" i="5"/>
  <c r="O21" i="5"/>
  <c r="W21" i="5"/>
  <c r="S22" i="5"/>
  <c r="AA22" i="5"/>
  <c r="O23" i="5"/>
  <c r="W23" i="5"/>
  <c r="N24" i="5"/>
  <c r="S25" i="5"/>
  <c r="N28" i="5"/>
  <c r="Z29" i="5"/>
  <c r="W30" i="5"/>
  <c r="O36" i="5"/>
  <c r="S37" i="5"/>
  <c r="V38" i="5"/>
  <c r="W40" i="5"/>
  <c r="AA51" i="5"/>
  <c r="Y6" i="5"/>
  <c r="R194" i="5"/>
  <c r="R192" i="5"/>
  <c r="R190" i="5"/>
  <c r="R188" i="5"/>
  <c r="R186" i="5"/>
  <c r="R185" i="5"/>
  <c r="R183" i="5"/>
  <c r="R181" i="5"/>
  <c r="R179" i="5"/>
  <c r="R189" i="5"/>
  <c r="R184" i="5"/>
  <c r="R182" i="5"/>
  <c r="R180" i="5"/>
  <c r="R178" i="5"/>
  <c r="R193" i="5"/>
  <c r="R195" i="5"/>
  <c r="R191" i="5"/>
  <c r="R176" i="5"/>
  <c r="R174" i="5"/>
  <c r="R172" i="5"/>
  <c r="R170" i="5"/>
  <c r="R187" i="5"/>
  <c r="R173" i="5"/>
  <c r="R168" i="5"/>
  <c r="R166" i="5"/>
  <c r="R177" i="5"/>
  <c r="R175" i="5"/>
  <c r="R171" i="5"/>
  <c r="R169" i="5"/>
  <c r="R167" i="5"/>
  <c r="R163" i="5"/>
  <c r="R161" i="5"/>
  <c r="R159" i="5"/>
  <c r="R157" i="5"/>
  <c r="R155" i="5"/>
  <c r="R165" i="5"/>
  <c r="R162" i="5"/>
  <c r="R160" i="5"/>
  <c r="R158" i="5"/>
  <c r="R156" i="5"/>
  <c r="R154" i="5"/>
  <c r="R153" i="5"/>
  <c r="R151" i="5"/>
  <c r="R149" i="5"/>
  <c r="R164" i="5"/>
  <c r="R152" i="5"/>
  <c r="R148" i="5"/>
  <c r="R146" i="5"/>
  <c r="R144" i="5"/>
  <c r="R142" i="5"/>
  <c r="R140" i="5"/>
  <c r="R147" i="5"/>
  <c r="R145" i="5"/>
  <c r="R143" i="5"/>
  <c r="R141" i="5"/>
  <c r="R138" i="5"/>
  <c r="R136" i="5"/>
  <c r="R134" i="5"/>
  <c r="R132" i="5"/>
  <c r="R130" i="5"/>
  <c r="R128" i="5"/>
  <c r="R126" i="5"/>
  <c r="R124" i="5"/>
  <c r="R122" i="5"/>
  <c r="R120" i="5"/>
  <c r="R150" i="5"/>
  <c r="R137" i="5"/>
  <c r="R135" i="5"/>
  <c r="R133" i="5"/>
  <c r="R131" i="5"/>
  <c r="R129" i="5"/>
  <c r="R127" i="5"/>
  <c r="R125" i="5"/>
  <c r="R123" i="5"/>
  <c r="R121" i="5"/>
  <c r="R139" i="5"/>
  <c r="R117" i="5"/>
  <c r="R115" i="5"/>
  <c r="R113" i="5"/>
  <c r="R111" i="5"/>
  <c r="R109" i="5"/>
  <c r="R107" i="5"/>
  <c r="R105" i="5"/>
  <c r="R119" i="5"/>
  <c r="R106" i="5"/>
  <c r="R112" i="5"/>
  <c r="R103" i="5"/>
  <c r="R101" i="5"/>
  <c r="R99" i="5"/>
  <c r="R97" i="5"/>
  <c r="R95" i="5"/>
  <c r="R93" i="5"/>
  <c r="R91" i="5"/>
  <c r="R118" i="5"/>
  <c r="R116" i="5"/>
  <c r="R108" i="5"/>
  <c r="R104" i="5"/>
  <c r="R114" i="5"/>
  <c r="R102" i="5"/>
  <c r="R96" i="5"/>
  <c r="R94" i="5"/>
  <c r="R110" i="5"/>
  <c r="R100" i="5"/>
  <c r="R89" i="5"/>
  <c r="R88" i="5"/>
  <c r="R86" i="5"/>
  <c r="R84" i="5"/>
  <c r="R82" i="5"/>
  <c r="R80" i="5"/>
  <c r="R78" i="5"/>
  <c r="R76" i="5"/>
  <c r="R74" i="5"/>
  <c r="R90" i="5"/>
  <c r="R92" i="5"/>
  <c r="R75" i="5"/>
  <c r="R71" i="5"/>
  <c r="R73" i="5"/>
  <c r="R72" i="5"/>
  <c r="R70" i="5"/>
  <c r="R68" i="5"/>
  <c r="R66" i="5"/>
  <c r="R64" i="5"/>
  <c r="R62" i="5"/>
  <c r="R60" i="5"/>
  <c r="R58" i="5"/>
  <c r="R56" i="5"/>
  <c r="R54" i="5"/>
  <c r="R77" i="5"/>
  <c r="R79" i="5"/>
  <c r="R87" i="5"/>
  <c r="R85" i="5"/>
  <c r="R81" i="5"/>
  <c r="R65" i="5"/>
  <c r="R53" i="5"/>
  <c r="R63" i="5"/>
  <c r="R98" i="5"/>
  <c r="R83" i="5"/>
  <c r="R61" i="5"/>
  <c r="R59" i="5"/>
  <c r="R57" i="5"/>
  <c r="R52" i="5"/>
  <c r="R50" i="5"/>
  <c r="R48" i="5"/>
  <c r="R46" i="5"/>
  <c r="R55" i="5"/>
  <c r="R42" i="5"/>
  <c r="R39" i="5"/>
  <c r="R45" i="5"/>
  <c r="R51" i="5"/>
  <c r="R40" i="5"/>
  <c r="R49" i="5"/>
  <c r="R38" i="5"/>
  <c r="R36" i="5"/>
  <c r="R34" i="5"/>
  <c r="R32" i="5"/>
  <c r="R30" i="5"/>
  <c r="R28" i="5"/>
  <c r="R26" i="5"/>
  <c r="R24" i="5"/>
  <c r="R47" i="5"/>
  <c r="R43" i="5"/>
  <c r="R69" i="5"/>
  <c r="R67" i="5"/>
  <c r="R41" i="5"/>
  <c r="R20" i="5"/>
  <c r="R22" i="5"/>
  <c r="R25" i="5"/>
  <c r="T194" i="5"/>
  <c r="T192" i="5"/>
  <c r="T190" i="5"/>
  <c r="T188" i="5"/>
  <c r="T186" i="5"/>
  <c r="T195" i="5"/>
  <c r="T193" i="5"/>
  <c r="T191" i="5"/>
  <c r="T189" i="5"/>
  <c r="T187" i="5"/>
  <c r="T184" i="5"/>
  <c r="T182" i="5"/>
  <c r="T180" i="5"/>
  <c r="T178" i="5"/>
  <c r="T183" i="5"/>
  <c r="T179" i="5"/>
  <c r="T177" i="5"/>
  <c r="T175" i="5"/>
  <c r="T173" i="5"/>
  <c r="T171" i="5"/>
  <c r="T169" i="5"/>
  <c r="T185" i="5"/>
  <c r="T181" i="5"/>
  <c r="T168" i="5"/>
  <c r="T166" i="5"/>
  <c r="T164" i="5"/>
  <c r="T170" i="5"/>
  <c r="T174" i="5"/>
  <c r="T167" i="5"/>
  <c r="T165" i="5"/>
  <c r="T161" i="5"/>
  <c r="T157" i="5"/>
  <c r="T172" i="5"/>
  <c r="T162" i="5"/>
  <c r="T158" i="5"/>
  <c r="T153" i="5"/>
  <c r="T151" i="5"/>
  <c r="T149" i="5"/>
  <c r="T163" i="5"/>
  <c r="T159" i="5"/>
  <c r="T176" i="5"/>
  <c r="T155" i="5"/>
  <c r="T160" i="5"/>
  <c r="T156" i="5"/>
  <c r="T154" i="5"/>
  <c r="T152" i="5"/>
  <c r="T150" i="5"/>
  <c r="T148" i="5"/>
  <c r="T146" i="5"/>
  <c r="T144" i="5"/>
  <c r="T142" i="5"/>
  <c r="T140" i="5"/>
  <c r="T147" i="5"/>
  <c r="T145" i="5"/>
  <c r="T143" i="5"/>
  <c r="T141" i="5"/>
  <c r="T139" i="5"/>
  <c r="T137" i="5"/>
  <c r="T135" i="5"/>
  <c r="T133" i="5"/>
  <c r="T131" i="5"/>
  <c r="T129" i="5"/>
  <c r="T127" i="5"/>
  <c r="T125" i="5"/>
  <c r="T123" i="5"/>
  <c r="T121" i="5"/>
  <c r="T119" i="5"/>
  <c r="T138" i="5"/>
  <c r="T136" i="5"/>
  <c r="T134" i="5"/>
  <c r="T132" i="5"/>
  <c r="T130" i="5"/>
  <c r="T128" i="5"/>
  <c r="T126" i="5"/>
  <c r="T117" i="5"/>
  <c r="T115" i="5"/>
  <c r="T113" i="5"/>
  <c r="T120" i="5"/>
  <c r="T118" i="5"/>
  <c r="T116" i="5"/>
  <c r="T114" i="5"/>
  <c r="T112" i="5"/>
  <c r="T110" i="5"/>
  <c r="T108" i="5"/>
  <c r="T106" i="5"/>
  <c r="T104" i="5"/>
  <c r="T122" i="5"/>
  <c r="T111" i="5"/>
  <c r="T124" i="5"/>
  <c r="T103" i="5"/>
  <c r="T101" i="5"/>
  <c r="T99" i="5"/>
  <c r="T97" i="5"/>
  <c r="T95" i="5"/>
  <c r="T93" i="5"/>
  <c r="T91" i="5"/>
  <c r="T89" i="5"/>
  <c r="T107" i="5"/>
  <c r="T109" i="5"/>
  <c r="T102" i="5"/>
  <c r="T100" i="5"/>
  <c r="T98" i="5"/>
  <c r="T96" i="5"/>
  <c r="T94" i="5"/>
  <c r="T92" i="5"/>
  <c r="T90" i="5"/>
  <c r="T88" i="5"/>
  <c r="T86" i="5"/>
  <c r="T84" i="5"/>
  <c r="T82" i="5"/>
  <c r="T80" i="5"/>
  <c r="T78" i="5"/>
  <c r="T76" i="5"/>
  <c r="T74" i="5"/>
  <c r="T72" i="5"/>
  <c r="T105" i="5"/>
  <c r="T87" i="5"/>
  <c r="T85" i="5"/>
  <c r="T83" i="5"/>
  <c r="T81" i="5"/>
  <c r="T79" i="5"/>
  <c r="T77" i="5"/>
  <c r="T75" i="5"/>
  <c r="T73" i="5"/>
  <c r="T71" i="5"/>
  <c r="T70" i="5"/>
  <c r="T68" i="5"/>
  <c r="T66" i="5"/>
  <c r="T64" i="5"/>
  <c r="T62" i="5"/>
  <c r="T60" i="5"/>
  <c r="T58" i="5"/>
  <c r="T56" i="5"/>
  <c r="T54" i="5"/>
  <c r="T69" i="5"/>
  <c r="T67" i="5"/>
  <c r="T65" i="5"/>
  <c r="T63" i="5"/>
  <c r="T61" i="5"/>
  <c r="T59" i="5"/>
  <c r="T57" i="5"/>
  <c r="T55" i="5"/>
  <c r="T52" i="5"/>
  <c r="T50" i="5"/>
  <c r="T48" i="5"/>
  <c r="T46" i="5"/>
  <c r="T44" i="5"/>
  <c r="T42" i="5"/>
  <c r="T40" i="5"/>
  <c r="T51" i="5"/>
  <c r="T49" i="5"/>
  <c r="T47" i="5"/>
  <c r="T45" i="5"/>
  <c r="T43" i="5"/>
  <c r="T41" i="5"/>
  <c r="T39" i="5"/>
  <c r="T53" i="5"/>
  <c r="T38" i="5"/>
  <c r="T36" i="5"/>
  <c r="T34" i="5"/>
  <c r="T32" i="5"/>
  <c r="T30" i="5"/>
  <c r="T28" i="5"/>
  <c r="T26" i="5"/>
  <c r="T24" i="5"/>
  <c r="T37" i="5"/>
  <c r="T35" i="5"/>
  <c r="T33" i="5"/>
  <c r="T31" i="5"/>
  <c r="T29" i="5"/>
  <c r="T27" i="5"/>
  <c r="T25" i="5"/>
  <c r="AB194" i="5"/>
  <c r="AB192" i="5"/>
  <c r="AB190" i="5"/>
  <c r="AB188" i="5"/>
  <c r="AB186" i="5"/>
  <c r="AB195" i="5"/>
  <c r="AB193" i="5"/>
  <c r="AB191" i="5"/>
  <c r="AB189" i="5"/>
  <c r="AB187" i="5"/>
  <c r="AB185" i="5"/>
  <c r="AB184" i="5"/>
  <c r="AB182" i="5"/>
  <c r="AB180" i="5"/>
  <c r="AB178" i="5"/>
  <c r="AB181" i="5"/>
  <c r="AB177" i="5"/>
  <c r="AB175" i="5"/>
  <c r="AB173" i="5"/>
  <c r="AB171" i="5"/>
  <c r="AB169" i="5"/>
  <c r="AB168" i="5"/>
  <c r="AB166" i="5"/>
  <c r="AB164" i="5"/>
  <c r="AB179" i="5"/>
  <c r="AB176" i="5"/>
  <c r="AB172" i="5"/>
  <c r="AB170" i="5"/>
  <c r="AB167" i="5"/>
  <c r="AB165" i="5"/>
  <c r="AB183" i="5"/>
  <c r="AB174" i="5"/>
  <c r="AB163" i="5"/>
  <c r="AB159" i="5"/>
  <c r="AB155" i="5"/>
  <c r="AB160" i="5"/>
  <c r="AB156" i="5"/>
  <c r="AB153" i="5"/>
  <c r="AB151" i="5"/>
  <c r="AB149" i="5"/>
  <c r="AB161" i="5"/>
  <c r="AB157" i="5"/>
  <c r="AB162" i="5"/>
  <c r="AB158" i="5"/>
  <c r="AB154" i="5"/>
  <c r="AB152" i="5"/>
  <c r="AB150" i="5"/>
  <c r="AB148" i="5"/>
  <c r="AB146" i="5"/>
  <c r="AB144" i="5"/>
  <c r="AB142" i="5"/>
  <c r="AB140" i="5"/>
  <c r="AB147" i="5"/>
  <c r="AB145" i="5"/>
  <c r="AB143" i="5"/>
  <c r="AB141" i="5"/>
  <c r="AB139" i="5"/>
  <c r="AB137" i="5"/>
  <c r="AB135" i="5"/>
  <c r="AB133" i="5"/>
  <c r="AB131" i="5"/>
  <c r="AB129" i="5"/>
  <c r="AB127" i="5"/>
  <c r="AB125" i="5"/>
  <c r="AB123" i="5"/>
  <c r="AB121" i="5"/>
  <c r="AB119" i="5"/>
  <c r="AB138" i="5"/>
  <c r="AB136" i="5"/>
  <c r="AB134" i="5"/>
  <c r="AB132" i="5"/>
  <c r="AB130" i="5"/>
  <c r="AB128" i="5"/>
  <c r="AB126" i="5"/>
  <c r="AB117" i="5"/>
  <c r="AB115" i="5"/>
  <c r="AB113" i="5"/>
  <c r="AB122" i="5"/>
  <c r="AB124" i="5"/>
  <c r="AB118" i="5"/>
  <c r="AB116" i="5"/>
  <c r="AB114" i="5"/>
  <c r="AB112" i="5"/>
  <c r="AB110" i="5"/>
  <c r="AB108" i="5"/>
  <c r="AB106" i="5"/>
  <c r="AB104" i="5"/>
  <c r="AB109" i="5"/>
  <c r="AB101" i="5"/>
  <c r="AB99" i="5"/>
  <c r="AB97" i="5"/>
  <c r="AB95" i="5"/>
  <c r="AB93" i="5"/>
  <c r="AB91" i="5"/>
  <c r="AB89" i="5"/>
  <c r="AB120" i="5"/>
  <c r="AB105" i="5"/>
  <c r="AB111" i="5"/>
  <c r="AB103" i="5"/>
  <c r="AB102" i="5"/>
  <c r="AB100" i="5"/>
  <c r="AB98" i="5"/>
  <c r="AB96" i="5"/>
  <c r="AB94" i="5"/>
  <c r="AB92" i="5"/>
  <c r="AB90" i="5"/>
  <c r="AB88" i="5"/>
  <c r="AB107" i="5"/>
  <c r="AB86" i="5"/>
  <c r="AB84" i="5"/>
  <c r="AB82" i="5"/>
  <c r="AB80" i="5"/>
  <c r="AB78" i="5"/>
  <c r="AB76" i="5"/>
  <c r="AB74" i="5"/>
  <c r="AB72" i="5"/>
  <c r="AB87" i="5"/>
  <c r="AB85" i="5"/>
  <c r="AB83" i="5"/>
  <c r="AB81" i="5"/>
  <c r="AB79" i="5"/>
  <c r="AB77" i="5"/>
  <c r="AB75" i="5"/>
  <c r="AB73" i="5"/>
  <c r="AB71" i="5"/>
  <c r="AB70" i="5"/>
  <c r="AB68" i="5"/>
  <c r="AB66" i="5"/>
  <c r="AB64" i="5"/>
  <c r="AB62" i="5"/>
  <c r="AB60" i="5"/>
  <c r="AB58" i="5"/>
  <c r="AB56" i="5"/>
  <c r="AB54" i="5"/>
  <c r="AB69" i="5"/>
  <c r="AB67" i="5"/>
  <c r="AB65" i="5"/>
  <c r="AB63" i="5"/>
  <c r="AB61" i="5"/>
  <c r="AB59" i="5"/>
  <c r="AB57" i="5"/>
  <c r="AB55" i="5"/>
  <c r="AB53" i="5"/>
  <c r="AB52" i="5"/>
  <c r="AB50" i="5"/>
  <c r="AB48" i="5"/>
  <c r="AB46" i="5"/>
  <c r="AB44" i="5"/>
  <c r="AB42" i="5"/>
  <c r="AB40" i="5"/>
  <c r="AB51" i="5"/>
  <c r="AB49" i="5"/>
  <c r="AB47" i="5"/>
  <c r="AB45" i="5"/>
  <c r="AB43" i="5"/>
  <c r="AB41" i="5"/>
  <c r="AB39" i="5"/>
  <c r="AB38" i="5"/>
  <c r="AB36" i="5"/>
  <c r="AB34" i="5"/>
  <c r="AB32" i="5"/>
  <c r="AB30" i="5"/>
  <c r="AB28" i="5"/>
  <c r="AB26" i="5"/>
  <c r="AB24" i="5"/>
  <c r="AB37" i="5"/>
  <c r="AB35" i="5"/>
  <c r="AB33" i="5"/>
  <c r="AB31" i="5"/>
  <c r="AB29" i="5"/>
  <c r="AB27" i="5"/>
  <c r="AB25" i="5"/>
  <c r="T6" i="5"/>
  <c r="AB6" i="5"/>
  <c r="P7" i="5"/>
  <c r="X7" i="5"/>
  <c r="T8" i="5"/>
  <c r="AB8" i="5"/>
  <c r="P9" i="5"/>
  <c r="X9" i="5"/>
  <c r="T10" i="5"/>
  <c r="AB10" i="5"/>
  <c r="P11" i="5"/>
  <c r="X11" i="5"/>
  <c r="T12" i="5"/>
  <c r="AB12" i="5"/>
  <c r="P13" i="5"/>
  <c r="X13" i="5"/>
  <c r="T14" i="5"/>
  <c r="AB14" i="5"/>
  <c r="P15" i="5"/>
  <c r="X15" i="5"/>
  <c r="T16" i="5"/>
  <c r="AB16" i="5"/>
  <c r="P17" i="5"/>
  <c r="X17" i="5"/>
  <c r="T18" i="5"/>
  <c r="AB18" i="5"/>
  <c r="P19" i="5"/>
  <c r="X19" i="5"/>
  <c r="T20" i="5"/>
  <c r="AB20" i="5"/>
  <c r="P21" i="5"/>
  <c r="X21" i="5"/>
  <c r="T22" i="5"/>
  <c r="AB22" i="5"/>
  <c r="O24" i="5"/>
  <c r="W25" i="5"/>
  <c r="AA26" i="5"/>
  <c r="O28" i="5"/>
  <c r="AA29" i="5"/>
  <c r="N34" i="5"/>
  <c r="S35" i="5"/>
  <c r="Z37" i="5"/>
  <c r="W38" i="5"/>
  <c r="Y195" i="5"/>
  <c r="Y193" i="5"/>
  <c r="Y191" i="5"/>
  <c r="Y189" i="5"/>
  <c r="Y187" i="5"/>
  <c r="Y194" i="5"/>
  <c r="Y192" i="5"/>
  <c r="Y190" i="5"/>
  <c r="Y188" i="5"/>
  <c r="Y186" i="5"/>
  <c r="Y185" i="5"/>
  <c r="Y183" i="5"/>
  <c r="Y181" i="5"/>
  <c r="Y179" i="5"/>
  <c r="Y184" i="5"/>
  <c r="Y182" i="5"/>
  <c r="Y180" i="5"/>
  <c r="Y178" i="5"/>
  <c r="Y174" i="5"/>
  <c r="Y177" i="5"/>
  <c r="Y169" i="5"/>
  <c r="Y175" i="5"/>
  <c r="Y171" i="5"/>
  <c r="Y168" i="5"/>
  <c r="Y166" i="5"/>
  <c r="Y176" i="5"/>
  <c r="Y172" i="5"/>
  <c r="Y173" i="5"/>
  <c r="Y170" i="5"/>
  <c r="Y165" i="5"/>
  <c r="Y164" i="5"/>
  <c r="Y163" i="5"/>
  <c r="Y161" i="5"/>
  <c r="Y159" i="5"/>
  <c r="Y157" i="5"/>
  <c r="Y155" i="5"/>
  <c r="Y167" i="5"/>
  <c r="Y154" i="5"/>
  <c r="Y152" i="5"/>
  <c r="Y150" i="5"/>
  <c r="Y148" i="5"/>
  <c r="Y160" i="5"/>
  <c r="Y156" i="5"/>
  <c r="Y153" i="5"/>
  <c r="Y151" i="5"/>
  <c r="Y149" i="5"/>
  <c r="Y146" i="5"/>
  <c r="Y144" i="5"/>
  <c r="Y142" i="5"/>
  <c r="Y140" i="5"/>
  <c r="Y162" i="5"/>
  <c r="Y143" i="5"/>
  <c r="Y139" i="5"/>
  <c r="Y138" i="5"/>
  <c r="Y136" i="5"/>
  <c r="Y134" i="5"/>
  <c r="Y145" i="5"/>
  <c r="Y141" i="5"/>
  <c r="Y137" i="5"/>
  <c r="Y135" i="5"/>
  <c r="Y133" i="5"/>
  <c r="Y131" i="5"/>
  <c r="Y129" i="5"/>
  <c r="Y127" i="5"/>
  <c r="Y125" i="5"/>
  <c r="Y123" i="5"/>
  <c r="Y121" i="5"/>
  <c r="Y119" i="5"/>
  <c r="Y147" i="5"/>
  <c r="Y130" i="5"/>
  <c r="Y120" i="5"/>
  <c r="Y128" i="5"/>
  <c r="Y122" i="5"/>
  <c r="Y117" i="5"/>
  <c r="Y115" i="5"/>
  <c r="Y113" i="5"/>
  <c r="Y126" i="5"/>
  <c r="Y158" i="5"/>
  <c r="Y124" i="5"/>
  <c r="Y104" i="5"/>
  <c r="Y102" i="5"/>
  <c r="Y100" i="5"/>
  <c r="Y98" i="5"/>
  <c r="Y132" i="5"/>
  <c r="Y108" i="5"/>
  <c r="Y109" i="5"/>
  <c r="Y118" i="5"/>
  <c r="Y116" i="5"/>
  <c r="Y114" i="5"/>
  <c r="Y110" i="5"/>
  <c r="Y105" i="5"/>
  <c r="Y101" i="5"/>
  <c r="Y99" i="5"/>
  <c r="Y97" i="5"/>
  <c r="Y95" i="5"/>
  <c r="Y93" i="5"/>
  <c r="Y91" i="5"/>
  <c r="Y89" i="5"/>
  <c r="Y111" i="5"/>
  <c r="Y106" i="5"/>
  <c r="Y103" i="5"/>
  <c r="Y96" i="5"/>
  <c r="Y94" i="5"/>
  <c r="Y87" i="5"/>
  <c r="Y85" i="5"/>
  <c r="Y83" i="5"/>
  <c r="Y81" i="5"/>
  <c r="Y79" i="5"/>
  <c r="Y77" i="5"/>
  <c r="Y75" i="5"/>
  <c r="Y73" i="5"/>
  <c r="Y90" i="5"/>
  <c r="Y107" i="5"/>
  <c r="Y78" i="5"/>
  <c r="Y80" i="5"/>
  <c r="Y92" i="5"/>
  <c r="Y86" i="5"/>
  <c r="Y84" i="5"/>
  <c r="Y82" i="5"/>
  <c r="Y71" i="5"/>
  <c r="Y70" i="5"/>
  <c r="Y68" i="5"/>
  <c r="Y66" i="5"/>
  <c r="Y64" i="5"/>
  <c r="Y62" i="5"/>
  <c r="Y74" i="5"/>
  <c r="Y63" i="5"/>
  <c r="Y51" i="5"/>
  <c r="Y49" i="5"/>
  <c r="Y47" i="5"/>
  <c r="Y61" i="5"/>
  <c r="Y60" i="5"/>
  <c r="Y59" i="5"/>
  <c r="Y58" i="5"/>
  <c r="Y57" i="5"/>
  <c r="Y56" i="5"/>
  <c r="Y72" i="5"/>
  <c r="Y55" i="5"/>
  <c r="Y88" i="5"/>
  <c r="Y53" i="5"/>
  <c r="Y112" i="5"/>
  <c r="Y52" i="5"/>
  <c r="Y50" i="5"/>
  <c r="Y48" i="5"/>
  <c r="Y46" i="5"/>
  <c r="Y44" i="5"/>
  <c r="Y42" i="5"/>
  <c r="Y40" i="5"/>
  <c r="Y69" i="5"/>
  <c r="Y54" i="5"/>
  <c r="Y37" i="5"/>
  <c r="Y35" i="5"/>
  <c r="Y33" i="5"/>
  <c r="Y31" i="5"/>
  <c r="Y29" i="5"/>
  <c r="Y27" i="5"/>
  <c r="Y25" i="5"/>
  <c r="Y76" i="5"/>
  <c r="Y43" i="5"/>
  <c r="Y41" i="5"/>
  <c r="Y65" i="5"/>
  <c r="Y39" i="5"/>
  <c r="Y67" i="5"/>
  <c r="Y38" i="5"/>
  <c r="Y36" i="5"/>
  <c r="Y34" i="5"/>
  <c r="Y32" i="5"/>
  <c r="Y30" i="5"/>
  <c r="Y28" i="5"/>
  <c r="Y26" i="5"/>
  <c r="Y8" i="5"/>
  <c r="Q10" i="5"/>
  <c r="Q12" i="5"/>
  <c r="Y22" i="5"/>
  <c r="Y24" i="5"/>
  <c r="Z8" i="5"/>
  <c r="R10" i="5"/>
  <c r="R12" i="5"/>
  <c r="Z16" i="5"/>
  <c r="Z18" i="5"/>
  <c r="Z22" i="5"/>
  <c r="M194" i="5"/>
  <c r="M192" i="5"/>
  <c r="M190" i="5"/>
  <c r="M188" i="5"/>
  <c r="M186" i="5"/>
  <c r="M195" i="5"/>
  <c r="M193" i="5"/>
  <c r="M191" i="5"/>
  <c r="M189" i="5"/>
  <c r="M187" i="5"/>
  <c r="M184" i="5"/>
  <c r="M182" i="5"/>
  <c r="M180" i="5"/>
  <c r="M178" i="5"/>
  <c r="M185" i="5"/>
  <c r="M183" i="5"/>
  <c r="M181" i="5"/>
  <c r="M179" i="5"/>
  <c r="M175" i="5"/>
  <c r="M171" i="5"/>
  <c r="M176" i="5"/>
  <c r="M172" i="5"/>
  <c r="M169" i="5"/>
  <c r="M167" i="5"/>
  <c r="M173" i="5"/>
  <c r="M177" i="5"/>
  <c r="M170" i="5"/>
  <c r="M174" i="5"/>
  <c r="M162" i="5"/>
  <c r="M160" i="5"/>
  <c r="M158" i="5"/>
  <c r="M156" i="5"/>
  <c r="M166" i="5"/>
  <c r="M155" i="5"/>
  <c r="M153" i="5"/>
  <c r="M151" i="5"/>
  <c r="M149" i="5"/>
  <c r="M161" i="5"/>
  <c r="M157" i="5"/>
  <c r="M168" i="5"/>
  <c r="M154" i="5"/>
  <c r="M152" i="5"/>
  <c r="M150" i="5"/>
  <c r="M164" i="5"/>
  <c r="M165" i="5"/>
  <c r="M147" i="5"/>
  <c r="M145" i="5"/>
  <c r="M143" i="5"/>
  <c r="M141" i="5"/>
  <c r="M163" i="5"/>
  <c r="M148" i="5"/>
  <c r="M144" i="5"/>
  <c r="M140" i="5"/>
  <c r="M139" i="5"/>
  <c r="M159" i="5"/>
  <c r="M137" i="5"/>
  <c r="M135" i="5"/>
  <c r="M133" i="5"/>
  <c r="M146" i="5"/>
  <c r="M142" i="5"/>
  <c r="M138" i="5"/>
  <c r="M136" i="5"/>
  <c r="M134" i="5"/>
  <c r="M132" i="5"/>
  <c r="M130" i="5"/>
  <c r="M128" i="5"/>
  <c r="M126" i="5"/>
  <c r="M124" i="5"/>
  <c r="M122" i="5"/>
  <c r="M120" i="5"/>
  <c r="M123" i="5"/>
  <c r="M131" i="5"/>
  <c r="M125" i="5"/>
  <c r="M118" i="5"/>
  <c r="M116" i="5"/>
  <c r="M114" i="5"/>
  <c r="M129" i="5"/>
  <c r="M121" i="5"/>
  <c r="M109" i="5"/>
  <c r="M104" i="5"/>
  <c r="M103" i="5"/>
  <c r="M101" i="5"/>
  <c r="M99" i="5"/>
  <c r="M110" i="5"/>
  <c r="M105" i="5"/>
  <c r="M111" i="5"/>
  <c r="M106" i="5"/>
  <c r="M102" i="5"/>
  <c r="M100" i="5"/>
  <c r="M98" i="5"/>
  <c r="M96" i="5"/>
  <c r="M94" i="5"/>
  <c r="M92" i="5"/>
  <c r="M90" i="5"/>
  <c r="M88" i="5"/>
  <c r="M127" i="5"/>
  <c r="M112" i="5"/>
  <c r="M107" i="5"/>
  <c r="M119" i="5"/>
  <c r="M117" i="5"/>
  <c r="M115" i="5"/>
  <c r="M86" i="5"/>
  <c r="M84" i="5"/>
  <c r="M82" i="5"/>
  <c r="M80" i="5"/>
  <c r="M78" i="5"/>
  <c r="M76" i="5"/>
  <c r="M74" i="5"/>
  <c r="M72" i="5"/>
  <c r="M93" i="5"/>
  <c r="M97" i="5"/>
  <c r="M95" i="5"/>
  <c r="M89" i="5"/>
  <c r="M113" i="5"/>
  <c r="M75" i="5"/>
  <c r="M91" i="5"/>
  <c r="M69" i="5"/>
  <c r="M67" i="5"/>
  <c r="M65" i="5"/>
  <c r="M63" i="5"/>
  <c r="M77" i="5"/>
  <c r="M73" i="5"/>
  <c r="M71" i="5"/>
  <c r="M108" i="5"/>
  <c r="M79" i="5"/>
  <c r="M70" i="5"/>
  <c r="M52" i="5"/>
  <c r="M50" i="5"/>
  <c r="M48" i="5"/>
  <c r="M46" i="5"/>
  <c r="M85" i="5"/>
  <c r="M81" i="5"/>
  <c r="M68" i="5"/>
  <c r="M55" i="5"/>
  <c r="M87" i="5"/>
  <c r="M66" i="5"/>
  <c r="M83" i="5"/>
  <c r="M64" i="5"/>
  <c r="M62" i="5"/>
  <c r="M53" i="5"/>
  <c r="M51" i="5"/>
  <c r="M49" i="5"/>
  <c r="M47" i="5"/>
  <c r="M45" i="5"/>
  <c r="M43" i="5"/>
  <c r="M41" i="5"/>
  <c r="M39" i="5"/>
  <c r="M61" i="5"/>
  <c r="M59" i="5"/>
  <c r="M57" i="5"/>
  <c r="M38" i="5"/>
  <c r="M36" i="5"/>
  <c r="M34" i="5"/>
  <c r="M32" i="5"/>
  <c r="M30" i="5"/>
  <c r="M28" i="5"/>
  <c r="M26" i="5"/>
  <c r="M24" i="5"/>
  <c r="M44" i="5"/>
  <c r="M42" i="5"/>
  <c r="M37" i="5"/>
  <c r="M35" i="5"/>
  <c r="M33" i="5"/>
  <c r="M31" i="5"/>
  <c r="M29" i="5"/>
  <c r="M27" i="5"/>
  <c r="M25" i="5"/>
  <c r="M40" i="5"/>
  <c r="U194" i="5"/>
  <c r="U192" i="5"/>
  <c r="U190" i="5"/>
  <c r="U188" i="5"/>
  <c r="U186" i="5"/>
  <c r="U195" i="5"/>
  <c r="U193" i="5"/>
  <c r="U191" i="5"/>
  <c r="U189" i="5"/>
  <c r="U187" i="5"/>
  <c r="U184" i="5"/>
  <c r="U182" i="5"/>
  <c r="U180" i="5"/>
  <c r="U178" i="5"/>
  <c r="U185" i="5"/>
  <c r="U183" i="5"/>
  <c r="U181" i="5"/>
  <c r="U179" i="5"/>
  <c r="U173" i="5"/>
  <c r="U170" i="5"/>
  <c r="U177" i="5"/>
  <c r="U174" i="5"/>
  <c r="U167" i="5"/>
  <c r="U175" i="5"/>
  <c r="U171" i="5"/>
  <c r="U169" i="5"/>
  <c r="U176" i="5"/>
  <c r="U172" i="5"/>
  <c r="U166" i="5"/>
  <c r="U162" i="5"/>
  <c r="U160" i="5"/>
  <c r="U158" i="5"/>
  <c r="U156" i="5"/>
  <c r="U165" i="5"/>
  <c r="U168" i="5"/>
  <c r="U164" i="5"/>
  <c r="U153" i="5"/>
  <c r="U151" i="5"/>
  <c r="U149" i="5"/>
  <c r="U163" i="5"/>
  <c r="U159" i="5"/>
  <c r="U155" i="5"/>
  <c r="U154" i="5"/>
  <c r="U152" i="5"/>
  <c r="U150" i="5"/>
  <c r="U148" i="5"/>
  <c r="U161" i="5"/>
  <c r="U147" i="5"/>
  <c r="U145" i="5"/>
  <c r="U143" i="5"/>
  <c r="U141" i="5"/>
  <c r="U157" i="5"/>
  <c r="U137" i="5"/>
  <c r="U135" i="5"/>
  <c r="U133" i="5"/>
  <c r="U146" i="5"/>
  <c r="U142" i="5"/>
  <c r="U139" i="5"/>
  <c r="U138" i="5"/>
  <c r="U136" i="5"/>
  <c r="U134" i="5"/>
  <c r="U132" i="5"/>
  <c r="U130" i="5"/>
  <c r="U128" i="5"/>
  <c r="U126" i="5"/>
  <c r="U124" i="5"/>
  <c r="U122" i="5"/>
  <c r="U120" i="5"/>
  <c r="U140" i="5"/>
  <c r="U131" i="5"/>
  <c r="U119" i="5"/>
  <c r="U129" i="5"/>
  <c r="U121" i="5"/>
  <c r="U118" i="5"/>
  <c r="U116" i="5"/>
  <c r="U114" i="5"/>
  <c r="U127" i="5"/>
  <c r="U144" i="5"/>
  <c r="U123" i="5"/>
  <c r="U106" i="5"/>
  <c r="U103" i="5"/>
  <c r="U101" i="5"/>
  <c r="U99" i="5"/>
  <c r="U112" i="5"/>
  <c r="U107" i="5"/>
  <c r="U108" i="5"/>
  <c r="U104" i="5"/>
  <c r="U117" i="5"/>
  <c r="U115" i="5"/>
  <c r="U109" i="5"/>
  <c r="U102" i="5"/>
  <c r="U100" i="5"/>
  <c r="U98" i="5"/>
  <c r="U96" i="5"/>
  <c r="U94" i="5"/>
  <c r="U92" i="5"/>
  <c r="U90" i="5"/>
  <c r="U88" i="5"/>
  <c r="U113" i="5"/>
  <c r="U110" i="5"/>
  <c r="U105" i="5"/>
  <c r="U97" i="5"/>
  <c r="U95" i="5"/>
  <c r="U86" i="5"/>
  <c r="U84" i="5"/>
  <c r="U82" i="5"/>
  <c r="U80" i="5"/>
  <c r="U78" i="5"/>
  <c r="U76" i="5"/>
  <c r="U74" i="5"/>
  <c r="U72" i="5"/>
  <c r="U89" i="5"/>
  <c r="U111" i="5"/>
  <c r="U125" i="5"/>
  <c r="U93" i="5"/>
  <c r="U73" i="5"/>
  <c r="U91" i="5"/>
  <c r="U77" i="5"/>
  <c r="U79" i="5"/>
  <c r="U69" i="5"/>
  <c r="U67" i="5"/>
  <c r="U65" i="5"/>
  <c r="U63" i="5"/>
  <c r="U87" i="5"/>
  <c r="U85" i="5"/>
  <c r="U81" i="5"/>
  <c r="U83" i="5"/>
  <c r="U66" i="5"/>
  <c r="U52" i="5"/>
  <c r="U50" i="5"/>
  <c r="U48" i="5"/>
  <c r="U46" i="5"/>
  <c r="U75" i="5"/>
  <c r="U64" i="5"/>
  <c r="U54" i="5"/>
  <c r="U62" i="5"/>
  <c r="U61" i="5"/>
  <c r="U59" i="5"/>
  <c r="U57" i="5"/>
  <c r="U60" i="5"/>
  <c r="U58" i="5"/>
  <c r="U56" i="5"/>
  <c r="U55" i="5"/>
  <c r="U51" i="5"/>
  <c r="U49" i="5"/>
  <c r="U47" i="5"/>
  <c r="U45" i="5"/>
  <c r="U43" i="5"/>
  <c r="U41" i="5"/>
  <c r="U39" i="5"/>
  <c r="U71" i="5"/>
  <c r="U53" i="5"/>
  <c r="U68" i="5"/>
  <c r="U40" i="5"/>
  <c r="U38" i="5"/>
  <c r="U36" i="5"/>
  <c r="U34" i="5"/>
  <c r="U32" i="5"/>
  <c r="U30" i="5"/>
  <c r="U28" i="5"/>
  <c r="U26" i="5"/>
  <c r="U24" i="5"/>
  <c r="U37" i="5"/>
  <c r="U35" i="5"/>
  <c r="U33" i="5"/>
  <c r="U31" i="5"/>
  <c r="U29" i="5"/>
  <c r="U27" i="5"/>
  <c r="U25" i="5"/>
  <c r="U44" i="5"/>
  <c r="AC194" i="5"/>
  <c r="AC192" i="5"/>
  <c r="AC190" i="5"/>
  <c r="AC188" i="5"/>
  <c r="AC186" i="5"/>
  <c r="AC195" i="5"/>
  <c r="AC193" i="5"/>
  <c r="AC191" i="5"/>
  <c r="AC189" i="5"/>
  <c r="AC187" i="5"/>
  <c r="AC184" i="5"/>
  <c r="AC182" i="5"/>
  <c r="AC180" i="5"/>
  <c r="AC178" i="5"/>
  <c r="AC183" i="5"/>
  <c r="AC181" i="5"/>
  <c r="AC179" i="5"/>
  <c r="AC185" i="5"/>
  <c r="AC175" i="5"/>
  <c r="AC171" i="5"/>
  <c r="AC176" i="5"/>
  <c r="AC172" i="5"/>
  <c r="AC170" i="5"/>
  <c r="AC167" i="5"/>
  <c r="AC173" i="5"/>
  <c r="AC174" i="5"/>
  <c r="AC169" i="5"/>
  <c r="AC166" i="5"/>
  <c r="AC177" i="5"/>
  <c r="AC162" i="5"/>
  <c r="AC160" i="5"/>
  <c r="AC158" i="5"/>
  <c r="AC156" i="5"/>
  <c r="AC154" i="5"/>
  <c r="AC168" i="5"/>
  <c r="AC153" i="5"/>
  <c r="AC151" i="5"/>
  <c r="AC149" i="5"/>
  <c r="AC164" i="5"/>
  <c r="AC161" i="5"/>
  <c r="AC157" i="5"/>
  <c r="AC165" i="5"/>
  <c r="AC152" i="5"/>
  <c r="AC150" i="5"/>
  <c r="AC148" i="5"/>
  <c r="AC155" i="5"/>
  <c r="AC147" i="5"/>
  <c r="AC145" i="5"/>
  <c r="AC143" i="5"/>
  <c r="AC141" i="5"/>
  <c r="AC163" i="5"/>
  <c r="AC159" i="5"/>
  <c r="AC146" i="5"/>
  <c r="AC142" i="5"/>
  <c r="AC137" i="5"/>
  <c r="AC135" i="5"/>
  <c r="AC133" i="5"/>
  <c r="AC140" i="5"/>
  <c r="AC138" i="5"/>
  <c r="AC136" i="5"/>
  <c r="AC134" i="5"/>
  <c r="AC132" i="5"/>
  <c r="AC130" i="5"/>
  <c r="AC128" i="5"/>
  <c r="AC126" i="5"/>
  <c r="AC124" i="5"/>
  <c r="AC122" i="5"/>
  <c r="AC120" i="5"/>
  <c r="AC144" i="5"/>
  <c r="AC139" i="5"/>
  <c r="AC127" i="5"/>
  <c r="AC123" i="5"/>
  <c r="AC125" i="5"/>
  <c r="AC119" i="5"/>
  <c r="AC118" i="5"/>
  <c r="AC116" i="5"/>
  <c r="AC114" i="5"/>
  <c r="AC131" i="5"/>
  <c r="AC109" i="5"/>
  <c r="AC101" i="5"/>
  <c r="AC99" i="5"/>
  <c r="AC117" i="5"/>
  <c r="AC115" i="5"/>
  <c r="AC110" i="5"/>
  <c r="AC105" i="5"/>
  <c r="AC113" i="5"/>
  <c r="AC111" i="5"/>
  <c r="AC103" i="5"/>
  <c r="AC129" i="5"/>
  <c r="AC106" i="5"/>
  <c r="AC102" i="5"/>
  <c r="AC100" i="5"/>
  <c r="AC98" i="5"/>
  <c r="AC96" i="5"/>
  <c r="AC94" i="5"/>
  <c r="AC92" i="5"/>
  <c r="AC90" i="5"/>
  <c r="AC88" i="5"/>
  <c r="AC112" i="5"/>
  <c r="AC107" i="5"/>
  <c r="AC121" i="5"/>
  <c r="AC104" i="5"/>
  <c r="AC86" i="5"/>
  <c r="AC84" i="5"/>
  <c r="AC82" i="5"/>
  <c r="AC80" i="5"/>
  <c r="AC78" i="5"/>
  <c r="AC76" i="5"/>
  <c r="AC74" i="5"/>
  <c r="AC72" i="5"/>
  <c r="AC91" i="5"/>
  <c r="AC93" i="5"/>
  <c r="AC89" i="5"/>
  <c r="AC108" i="5"/>
  <c r="AC97" i="5"/>
  <c r="AC95" i="5"/>
  <c r="AC77" i="5"/>
  <c r="AC71" i="5"/>
  <c r="AC79" i="5"/>
  <c r="AC87" i="5"/>
  <c r="AC85" i="5"/>
  <c r="AC81" i="5"/>
  <c r="AC83" i="5"/>
  <c r="AC69" i="5"/>
  <c r="AC67" i="5"/>
  <c r="AC65" i="5"/>
  <c r="AC63" i="5"/>
  <c r="AC61" i="5"/>
  <c r="AC75" i="5"/>
  <c r="AC73" i="5"/>
  <c r="AC62" i="5"/>
  <c r="AC60" i="5"/>
  <c r="AC58" i="5"/>
  <c r="AC56" i="5"/>
  <c r="AC52" i="5"/>
  <c r="AC50" i="5"/>
  <c r="AC48" i="5"/>
  <c r="AC46" i="5"/>
  <c r="AC54" i="5"/>
  <c r="AC70" i="5"/>
  <c r="AC51" i="5"/>
  <c r="AC49" i="5"/>
  <c r="AC47" i="5"/>
  <c r="AC45" i="5"/>
  <c r="AC43" i="5"/>
  <c r="AC41" i="5"/>
  <c r="AC39" i="5"/>
  <c r="AC68" i="5"/>
  <c r="AC64" i="5"/>
  <c r="AC38" i="5"/>
  <c r="AC36" i="5"/>
  <c r="AC34" i="5"/>
  <c r="AC32" i="5"/>
  <c r="AC30" i="5"/>
  <c r="AC28" i="5"/>
  <c r="AC26" i="5"/>
  <c r="AC24" i="5"/>
  <c r="AC44" i="5"/>
  <c r="AC42" i="5"/>
  <c r="AC40" i="5"/>
  <c r="AC66" i="5"/>
  <c r="AC37" i="5"/>
  <c r="AC35" i="5"/>
  <c r="AC33" i="5"/>
  <c r="AC31" i="5"/>
  <c r="AC29" i="5"/>
  <c r="AC27" i="5"/>
  <c r="AC25" i="5"/>
  <c r="M6" i="5"/>
  <c r="U6" i="5"/>
  <c r="AC6" i="5"/>
  <c r="Q7" i="5"/>
  <c r="Y7" i="5"/>
  <c r="M8" i="5"/>
  <c r="U8" i="5"/>
  <c r="AC8" i="5"/>
  <c r="Q9" i="5"/>
  <c r="Y9" i="5"/>
  <c r="M10" i="5"/>
  <c r="U10" i="5"/>
  <c r="AC10" i="5"/>
  <c r="Q11" i="5"/>
  <c r="Y11" i="5"/>
  <c r="M12" i="5"/>
  <c r="U12" i="5"/>
  <c r="AC12" i="5"/>
  <c r="Q13" i="5"/>
  <c r="Y13" i="5"/>
  <c r="M14" i="5"/>
  <c r="U14" i="5"/>
  <c r="AC14" i="5"/>
  <c r="Q15" i="5"/>
  <c r="Y15" i="5"/>
  <c r="M16" i="5"/>
  <c r="U16" i="5"/>
  <c r="AC16" i="5"/>
  <c r="Q17" i="5"/>
  <c r="Y17" i="5"/>
  <c r="M18" i="5"/>
  <c r="U18" i="5"/>
  <c r="AC18" i="5"/>
  <c r="Q19" i="5"/>
  <c r="Y19" i="5"/>
  <c r="M20" i="5"/>
  <c r="U20" i="5"/>
  <c r="AC20" i="5"/>
  <c r="Q21" i="5"/>
  <c r="Y21" i="5"/>
  <c r="M22" i="5"/>
  <c r="U22" i="5"/>
  <c r="AC22" i="5"/>
  <c r="Q23" i="5"/>
  <c r="Y23" i="5"/>
  <c r="Q24" i="5"/>
  <c r="Z25" i="5"/>
  <c r="O27" i="5"/>
  <c r="S28" i="5"/>
  <c r="R33" i="5"/>
  <c r="O34" i="5"/>
  <c r="Z35" i="5"/>
  <c r="AA37" i="5"/>
  <c r="AA43" i="5"/>
  <c r="O44" i="5"/>
  <c r="AC53" i="5"/>
  <c r="Q6" i="5"/>
  <c r="Y10" i="5"/>
  <c r="Y14" i="5"/>
  <c r="Y16" i="5"/>
  <c r="Y18" i="5"/>
  <c r="Q20" i="5"/>
  <c r="Z10" i="5"/>
  <c r="N195" i="5"/>
  <c r="N193" i="5"/>
  <c r="N191" i="5"/>
  <c r="N189" i="5"/>
  <c r="N187" i="5"/>
  <c r="N184" i="5"/>
  <c r="N182" i="5"/>
  <c r="N180" i="5"/>
  <c r="N178" i="5"/>
  <c r="N188" i="5"/>
  <c r="N185" i="5"/>
  <c r="N183" i="5"/>
  <c r="N181" i="5"/>
  <c r="N179" i="5"/>
  <c r="N194" i="5"/>
  <c r="N192" i="5"/>
  <c r="N186" i="5"/>
  <c r="N177" i="5"/>
  <c r="N175" i="5"/>
  <c r="N173" i="5"/>
  <c r="N171" i="5"/>
  <c r="N176" i="5"/>
  <c r="N172" i="5"/>
  <c r="N169" i="5"/>
  <c r="N167" i="5"/>
  <c r="N165" i="5"/>
  <c r="N190" i="5"/>
  <c r="N170" i="5"/>
  <c r="N174" i="5"/>
  <c r="N168" i="5"/>
  <c r="N162" i="5"/>
  <c r="N160" i="5"/>
  <c r="N158" i="5"/>
  <c r="N156" i="5"/>
  <c r="N164" i="5"/>
  <c r="N166" i="5"/>
  <c r="N163" i="5"/>
  <c r="N161" i="5"/>
  <c r="N159" i="5"/>
  <c r="N157" i="5"/>
  <c r="N155" i="5"/>
  <c r="N154" i="5"/>
  <c r="N152" i="5"/>
  <c r="N150" i="5"/>
  <c r="N151" i="5"/>
  <c r="N147" i="5"/>
  <c r="N145" i="5"/>
  <c r="N143" i="5"/>
  <c r="N141" i="5"/>
  <c r="N139" i="5"/>
  <c r="N153" i="5"/>
  <c r="N148" i="5"/>
  <c r="N146" i="5"/>
  <c r="N144" i="5"/>
  <c r="N142" i="5"/>
  <c r="N140" i="5"/>
  <c r="N137" i="5"/>
  <c r="N135" i="5"/>
  <c r="N133" i="5"/>
  <c r="N131" i="5"/>
  <c r="N129" i="5"/>
  <c r="N127" i="5"/>
  <c r="N125" i="5"/>
  <c r="N123" i="5"/>
  <c r="N121" i="5"/>
  <c r="N149" i="5"/>
  <c r="N138" i="5"/>
  <c r="N136" i="5"/>
  <c r="N134" i="5"/>
  <c r="N132" i="5"/>
  <c r="N130" i="5"/>
  <c r="N128" i="5"/>
  <c r="N126" i="5"/>
  <c r="N124" i="5"/>
  <c r="N122" i="5"/>
  <c r="N120" i="5"/>
  <c r="N118" i="5"/>
  <c r="N116" i="5"/>
  <c r="N114" i="5"/>
  <c r="N112" i="5"/>
  <c r="N110" i="5"/>
  <c r="N108" i="5"/>
  <c r="N106" i="5"/>
  <c r="N104" i="5"/>
  <c r="N105" i="5"/>
  <c r="N111" i="5"/>
  <c r="N102" i="5"/>
  <c r="N100" i="5"/>
  <c r="N98" i="5"/>
  <c r="N96" i="5"/>
  <c r="N94" i="5"/>
  <c r="N92" i="5"/>
  <c r="N107" i="5"/>
  <c r="N119" i="5"/>
  <c r="N117" i="5"/>
  <c r="N115" i="5"/>
  <c r="N113" i="5"/>
  <c r="N109" i="5"/>
  <c r="N93" i="5"/>
  <c r="N90" i="5"/>
  <c r="N101" i="5"/>
  <c r="N97" i="5"/>
  <c r="N95" i="5"/>
  <c r="N99" i="5"/>
  <c r="N87" i="5"/>
  <c r="N85" i="5"/>
  <c r="N83" i="5"/>
  <c r="N81" i="5"/>
  <c r="N79" i="5"/>
  <c r="N77" i="5"/>
  <c r="N75" i="5"/>
  <c r="N73" i="5"/>
  <c r="N91" i="5"/>
  <c r="N88" i="5"/>
  <c r="N103" i="5"/>
  <c r="N74" i="5"/>
  <c r="N69" i="5"/>
  <c r="N67" i="5"/>
  <c r="N65" i="5"/>
  <c r="N63" i="5"/>
  <c r="N61" i="5"/>
  <c r="N59" i="5"/>
  <c r="N57" i="5"/>
  <c r="N55" i="5"/>
  <c r="N76" i="5"/>
  <c r="N71" i="5"/>
  <c r="N78" i="5"/>
  <c r="N89" i="5"/>
  <c r="N80" i="5"/>
  <c r="N72" i="5"/>
  <c r="N68" i="5"/>
  <c r="N84" i="5"/>
  <c r="N82" i="5"/>
  <c r="N66" i="5"/>
  <c r="N86" i="5"/>
  <c r="N64" i="5"/>
  <c r="N62" i="5"/>
  <c r="N53" i="5"/>
  <c r="N51" i="5"/>
  <c r="N49" i="5"/>
  <c r="N47" i="5"/>
  <c r="N60" i="5"/>
  <c r="N58" i="5"/>
  <c r="N56" i="5"/>
  <c r="N70" i="5"/>
  <c r="N44" i="5"/>
  <c r="N41" i="5"/>
  <c r="N42" i="5"/>
  <c r="N52" i="5"/>
  <c r="N45" i="5"/>
  <c r="N37" i="5"/>
  <c r="N35" i="5"/>
  <c r="N33" i="5"/>
  <c r="N31" i="5"/>
  <c r="N29" i="5"/>
  <c r="N27" i="5"/>
  <c r="N25" i="5"/>
  <c r="N50" i="5"/>
  <c r="N40" i="5"/>
  <c r="N39" i="5"/>
  <c r="N48" i="5"/>
  <c r="V195" i="5"/>
  <c r="V193" i="5"/>
  <c r="V191" i="5"/>
  <c r="V189" i="5"/>
  <c r="V187" i="5"/>
  <c r="V184" i="5"/>
  <c r="V182" i="5"/>
  <c r="V180" i="5"/>
  <c r="V178" i="5"/>
  <c r="V186" i="5"/>
  <c r="V194" i="5"/>
  <c r="V192" i="5"/>
  <c r="V185" i="5"/>
  <c r="V183" i="5"/>
  <c r="V181" i="5"/>
  <c r="V179" i="5"/>
  <c r="V190" i="5"/>
  <c r="V177" i="5"/>
  <c r="V175" i="5"/>
  <c r="V173" i="5"/>
  <c r="V171" i="5"/>
  <c r="V169" i="5"/>
  <c r="V188" i="5"/>
  <c r="V174" i="5"/>
  <c r="V167" i="5"/>
  <c r="V165" i="5"/>
  <c r="V176" i="5"/>
  <c r="V172" i="5"/>
  <c r="V168" i="5"/>
  <c r="V166" i="5"/>
  <c r="V162" i="5"/>
  <c r="V160" i="5"/>
  <c r="V158" i="5"/>
  <c r="V156" i="5"/>
  <c r="V170" i="5"/>
  <c r="V164" i="5"/>
  <c r="V163" i="5"/>
  <c r="V161" i="5"/>
  <c r="V159" i="5"/>
  <c r="V157" i="5"/>
  <c r="V155" i="5"/>
  <c r="V154" i="5"/>
  <c r="V152" i="5"/>
  <c r="V150" i="5"/>
  <c r="V148" i="5"/>
  <c r="V153" i="5"/>
  <c r="V147" i="5"/>
  <c r="V145" i="5"/>
  <c r="V143" i="5"/>
  <c r="V141" i="5"/>
  <c r="V139" i="5"/>
  <c r="V149" i="5"/>
  <c r="V151" i="5"/>
  <c r="V146" i="5"/>
  <c r="V144" i="5"/>
  <c r="V142" i="5"/>
  <c r="V140" i="5"/>
  <c r="V137" i="5"/>
  <c r="V135" i="5"/>
  <c r="V133" i="5"/>
  <c r="V131" i="5"/>
  <c r="V129" i="5"/>
  <c r="V127" i="5"/>
  <c r="V125" i="5"/>
  <c r="V123" i="5"/>
  <c r="V121" i="5"/>
  <c r="V138" i="5"/>
  <c r="V136" i="5"/>
  <c r="V134" i="5"/>
  <c r="V132" i="5"/>
  <c r="V130" i="5"/>
  <c r="V128" i="5"/>
  <c r="V126" i="5"/>
  <c r="V124" i="5"/>
  <c r="V122" i="5"/>
  <c r="V119" i="5"/>
  <c r="V118" i="5"/>
  <c r="V116" i="5"/>
  <c r="V114" i="5"/>
  <c r="V112" i="5"/>
  <c r="V110" i="5"/>
  <c r="V108" i="5"/>
  <c r="V106" i="5"/>
  <c r="V104" i="5"/>
  <c r="V120" i="5"/>
  <c r="V107" i="5"/>
  <c r="V117" i="5"/>
  <c r="V115" i="5"/>
  <c r="V109" i="5"/>
  <c r="V102" i="5"/>
  <c r="V100" i="5"/>
  <c r="V98" i="5"/>
  <c r="V96" i="5"/>
  <c r="V94" i="5"/>
  <c r="V92" i="5"/>
  <c r="V113" i="5"/>
  <c r="V105" i="5"/>
  <c r="V111" i="5"/>
  <c r="V101" i="5"/>
  <c r="V89" i="5"/>
  <c r="V88" i="5"/>
  <c r="V99" i="5"/>
  <c r="V91" i="5"/>
  <c r="V87" i="5"/>
  <c r="V85" i="5"/>
  <c r="V83" i="5"/>
  <c r="V81" i="5"/>
  <c r="V79" i="5"/>
  <c r="V77" i="5"/>
  <c r="V75" i="5"/>
  <c r="V73" i="5"/>
  <c r="V93" i="5"/>
  <c r="V103" i="5"/>
  <c r="V76" i="5"/>
  <c r="V72" i="5"/>
  <c r="V78" i="5"/>
  <c r="V69" i="5"/>
  <c r="V67" i="5"/>
  <c r="V65" i="5"/>
  <c r="V63" i="5"/>
  <c r="V61" i="5"/>
  <c r="V59" i="5"/>
  <c r="V57" i="5"/>
  <c r="V55" i="5"/>
  <c r="V53" i="5"/>
  <c r="V80" i="5"/>
  <c r="V97" i="5"/>
  <c r="V90" i="5"/>
  <c r="V86" i="5"/>
  <c r="V84" i="5"/>
  <c r="V82" i="5"/>
  <c r="V71" i="5"/>
  <c r="V74" i="5"/>
  <c r="V64" i="5"/>
  <c r="V54" i="5"/>
  <c r="V62" i="5"/>
  <c r="V60" i="5"/>
  <c r="V58" i="5"/>
  <c r="V56" i="5"/>
  <c r="V51" i="5"/>
  <c r="V49" i="5"/>
  <c r="V47" i="5"/>
  <c r="V95" i="5"/>
  <c r="V70" i="5"/>
  <c r="V52" i="5"/>
  <c r="V50" i="5"/>
  <c r="V43" i="5"/>
  <c r="V48" i="5"/>
  <c r="V41" i="5"/>
  <c r="V37" i="5"/>
  <c r="V35" i="5"/>
  <c r="V33" i="5"/>
  <c r="V31" i="5"/>
  <c r="V29" i="5"/>
  <c r="V27" i="5"/>
  <c r="V25" i="5"/>
  <c r="V46" i="5"/>
  <c r="V44" i="5"/>
  <c r="V66" i="5"/>
  <c r="V42" i="5"/>
  <c r="N6" i="5"/>
  <c r="V6" i="5"/>
  <c r="R7" i="5"/>
  <c r="Z7" i="5"/>
  <c r="N8" i="5"/>
  <c r="V8" i="5"/>
  <c r="R9" i="5"/>
  <c r="Z9" i="5"/>
  <c r="N10" i="5"/>
  <c r="V10" i="5"/>
  <c r="R11" i="5"/>
  <c r="Z11" i="5"/>
  <c r="N12" i="5"/>
  <c r="V12" i="5"/>
  <c r="R13" i="5"/>
  <c r="Z13" i="5"/>
  <c r="N14" i="5"/>
  <c r="V14" i="5"/>
  <c r="R15" i="5"/>
  <c r="Z15" i="5"/>
  <c r="N16" i="5"/>
  <c r="V16" i="5"/>
  <c r="R17" i="5"/>
  <c r="Z17" i="5"/>
  <c r="N18" i="5"/>
  <c r="V18" i="5"/>
  <c r="R19" i="5"/>
  <c r="Z19" i="5"/>
  <c r="N20" i="5"/>
  <c r="V20" i="5"/>
  <c r="R21" i="5"/>
  <c r="Z21" i="5"/>
  <c r="N22" i="5"/>
  <c r="V22" i="5"/>
  <c r="R23" i="5"/>
  <c r="Z23" i="5"/>
  <c r="S24" i="5"/>
  <c r="AA25" i="5"/>
  <c r="R27" i="5"/>
  <c r="V28" i="5"/>
  <c r="N32" i="5"/>
  <c r="S33" i="5"/>
  <c r="V34" i="5"/>
  <c r="AA35" i="5"/>
  <c r="R44" i="5"/>
  <c r="M56" i="5"/>
  <c r="AC57" i="5"/>
  <c r="Q69" i="5"/>
  <c r="Q14" i="5"/>
  <c r="Q18" i="5"/>
  <c r="R6" i="5"/>
  <c r="O195" i="5"/>
  <c r="O193" i="5"/>
  <c r="O194" i="5"/>
  <c r="O192" i="5"/>
  <c r="O190" i="5"/>
  <c r="O191" i="5"/>
  <c r="O188" i="5"/>
  <c r="O189" i="5"/>
  <c r="O186" i="5"/>
  <c r="O182" i="5"/>
  <c r="O178" i="5"/>
  <c r="O177" i="5"/>
  <c r="O175" i="5"/>
  <c r="O173" i="5"/>
  <c r="O171" i="5"/>
  <c r="O183" i="5"/>
  <c r="O187" i="5"/>
  <c r="O184" i="5"/>
  <c r="O180" i="5"/>
  <c r="O176" i="5"/>
  <c r="O174" i="5"/>
  <c r="O172" i="5"/>
  <c r="O170" i="5"/>
  <c r="O181" i="5"/>
  <c r="O185" i="5"/>
  <c r="O169" i="5"/>
  <c r="O167" i="5"/>
  <c r="O165" i="5"/>
  <c r="O179" i="5"/>
  <c r="O168" i="5"/>
  <c r="O166" i="5"/>
  <c r="O164" i="5"/>
  <c r="O163" i="5"/>
  <c r="O161" i="5"/>
  <c r="O159" i="5"/>
  <c r="O157" i="5"/>
  <c r="O155" i="5"/>
  <c r="O160" i="5"/>
  <c r="O156" i="5"/>
  <c r="O162" i="5"/>
  <c r="O158" i="5"/>
  <c r="O151" i="5"/>
  <c r="O150" i="5"/>
  <c r="O147" i="5"/>
  <c r="O145" i="5"/>
  <c r="O143" i="5"/>
  <c r="O141" i="5"/>
  <c r="O153" i="5"/>
  <c r="O152" i="5"/>
  <c r="O148" i="5"/>
  <c r="O154" i="5"/>
  <c r="O146" i="5"/>
  <c r="O144" i="5"/>
  <c r="O142" i="5"/>
  <c r="O149" i="5"/>
  <c r="O138" i="5"/>
  <c r="O136" i="5"/>
  <c r="O139" i="5"/>
  <c r="O126" i="5"/>
  <c r="O123" i="5"/>
  <c r="O122" i="5"/>
  <c r="O118" i="5"/>
  <c r="O116" i="5"/>
  <c r="O114" i="5"/>
  <c r="O112" i="5"/>
  <c r="O110" i="5"/>
  <c r="O108" i="5"/>
  <c r="O106" i="5"/>
  <c r="O140" i="5"/>
  <c r="O132" i="5"/>
  <c r="O131" i="5"/>
  <c r="O125" i="5"/>
  <c r="O124" i="5"/>
  <c r="O137" i="5"/>
  <c r="O135" i="5"/>
  <c r="O130" i="5"/>
  <c r="O129" i="5"/>
  <c r="O134" i="5"/>
  <c r="O119" i="5"/>
  <c r="O117" i="5"/>
  <c r="O115" i="5"/>
  <c r="O113" i="5"/>
  <c r="O111" i="5"/>
  <c r="O109" i="5"/>
  <c r="O107" i="5"/>
  <c r="O105" i="5"/>
  <c r="O133" i="5"/>
  <c r="O102" i="5"/>
  <c r="O100" i="5"/>
  <c r="O98" i="5"/>
  <c r="O96" i="5"/>
  <c r="O94" i="5"/>
  <c r="O128" i="5"/>
  <c r="O127" i="5"/>
  <c r="O120" i="5"/>
  <c r="O103" i="5"/>
  <c r="O101" i="5"/>
  <c r="O99" i="5"/>
  <c r="O97" i="5"/>
  <c r="O95" i="5"/>
  <c r="O93" i="5"/>
  <c r="O91" i="5"/>
  <c r="O89" i="5"/>
  <c r="O121" i="5"/>
  <c r="O92" i="5"/>
  <c r="O104" i="5"/>
  <c r="O87" i="5"/>
  <c r="O85" i="5"/>
  <c r="O83" i="5"/>
  <c r="O81" i="5"/>
  <c r="O79" i="5"/>
  <c r="O77" i="5"/>
  <c r="O88" i="5"/>
  <c r="O86" i="5"/>
  <c r="O84" i="5"/>
  <c r="O82" i="5"/>
  <c r="O80" i="5"/>
  <c r="O78" i="5"/>
  <c r="O76" i="5"/>
  <c r="O74" i="5"/>
  <c r="O75" i="5"/>
  <c r="O69" i="5"/>
  <c r="O67" i="5"/>
  <c r="O65" i="5"/>
  <c r="O63" i="5"/>
  <c r="O61" i="5"/>
  <c r="O59" i="5"/>
  <c r="O57" i="5"/>
  <c r="O71" i="5"/>
  <c r="O73" i="5"/>
  <c r="O72" i="5"/>
  <c r="O90" i="5"/>
  <c r="O70" i="5"/>
  <c r="O68" i="5"/>
  <c r="O66" i="5"/>
  <c r="O64" i="5"/>
  <c r="O62" i="5"/>
  <c r="O60" i="5"/>
  <c r="O58" i="5"/>
  <c r="O56" i="5"/>
  <c r="O55" i="5"/>
  <c r="O53" i="5"/>
  <c r="O51" i="5"/>
  <c r="O49" i="5"/>
  <c r="O47" i="5"/>
  <c r="O45" i="5"/>
  <c r="O43" i="5"/>
  <c r="O54" i="5"/>
  <c r="O42" i="5"/>
  <c r="O52" i="5"/>
  <c r="O37" i="5"/>
  <c r="O35" i="5"/>
  <c r="O33" i="5"/>
  <c r="O31" i="5"/>
  <c r="O29" i="5"/>
  <c r="O50" i="5"/>
  <c r="O40" i="5"/>
  <c r="O39" i="5"/>
  <c r="O48" i="5"/>
  <c r="O46" i="5"/>
  <c r="W195" i="5"/>
  <c r="W193" i="5"/>
  <c r="W194" i="5"/>
  <c r="W192" i="5"/>
  <c r="W190" i="5"/>
  <c r="W189" i="5"/>
  <c r="W186" i="5"/>
  <c r="W187" i="5"/>
  <c r="W191" i="5"/>
  <c r="W183" i="5"/>
  <c r="W179" i="5"/>
  <c r="W177" i="5"/>
  <c r="W175" i="5"/>
  <c r="W173" i="5"/>
  <c r="W171" i="5"/>
  <c r="W184" i="5"/>
  <c r="W180" i="5"/>
  <c r="W188" i="5"/>
  <c r="W185" i="5"/>
  <c r="W181" i="5"/>
  <c r="W176" i="5"/>
  <c r="W174" i="5"/>
  <c r="W172" i="5"/>
  <c r="W170" i="5"/>
  <c r="W167" i="5"/>
  <c r="W165" i="5"/>
  <c r="W169" i="5"/>
  <c r="W178" i="5"/>
  <c r="W168" i="5"/>
  <c r="W166" i="5"/>
  <c r="W182" i="5"/>
  <c r="W163" i="5"/>
  <c r="W161" i="5"/>
  <c r="W159" i="5"/>
  <c r="W157" i="5"/>
  <c r="W162" i="5"/>
  <c r="W158" i="5"/>
  <c r="W155" i="5"/>
  <c r="W164" i="5"/>
  <c r="W160" i="5"/>
  <c r="W156" i="5"/>
  <c r="W147" i="5"/>
  <c r="W145" i="5"/>
  <c r="W143" i="5"/>
  <c r="W141" i="5"/>
  <c r="W154" i="5"/>
  <c r="W149" i="5"/>
  <c r="W151" i="5"/>
  <c r="W150" i="5"/>
  <c r="W146" i="5"/>
  <c r="W144" i="5"/>
  <c r="W142" i="5"/>
  <c r="W140" i="5"/>
  <c r="W152" i="5"/>
  <c r="W148" i="5"/>
  <c r="W153" i="5"/>
  <c r="W139" i="5"/>
  <c r="W138" i="5"/>
  <c r="W136" i="5"/>
  <c r="W130" i="5"/>
  <c r="W129" i="5"/>
  <c r="W118" i="5"/>
  <c r="W116" i="5"/>
  <c r="W114" i="5"/>
  <c r="W112" i="5"/>
  <c r="W110" i="5"/>
  <c r="W108" i="5"/>
  <c r="W106" i="5"/>
  <c r="W137" i="5"/>
  <c r="W135" i="5"/>
  <c r="W121" i="5"/>
  <c r="W120" i="5"/>
  <c r="W134" i="5"/>
  <c r="W128" i="5"/>
  <c r="W127" i="5"/>
  <c r="W123" i="5"/>
  <c r="W122" i="5"/>
  <c r="W133" i="5"/>
  <c r="W126" i="5"/>
  <c r="W117" i="5"/>
  <c r="W115" i="5"/>
  <c r="W113" i="5"/>
  <c r="W111" i="5"/>
  <c r="W109" i="5"/>
  <c r="W107" i="5"/>
  <c r="W105" i="5"/>
  <c r="W103" i="5"/>
  <c r="W124" i="5"/>
  <c r="W132" i="5"/>
  <c r="W104" i="5"/>
  <c r="W102" i="5"/>
  <c r="W100" i="5"/>
  <c r="W98" i="5"/>
  <c r="W96" i="5"/>
  <c r="W94" i="5"/>
  <c r="W131" i="5"/>
  <c r="W119" i="5"/>
  <c r="W125" i="5"/>
  <c r="W101" i="5"/>
  <c r="W99" i="5"/>
  <c r="W97" i="5"/>
  <c r="W95" i="5"/>
  <c r="W93" i="5"/>
  <c r="W91" i="5"/>
  <c r="W89" i="5"/>
  <c r="W88" i="5"/>
  <c r="W87" i="5"/>
  <c r="W85" i="5"/>
  <c r="W83" i="5"/>
  <c r="W81" i="5"/>
  <c r="W79" i="5"/>
  <c r="W77" i="5"/>
  <c r="W90" i="5"/>
  <c r="W92" i="5"/>
  <c r="W86" i="5"/>
  <c r="W84" i="5"/>
  <c r="W82" i="5"/>
  <c r="W80" i="5"/>
  <c r="W78" i="5"/>
  <c r="W76" i="5"/>
  <c r="W74" i="5"/>
  <c r="W69" i="5"/>
  <c r="W67" i="5"/>
  <c r="W65" i="5"/>
  <c r="W63" i="5"/>
  <c r="W61" i="5"/>
  <c r="W59" i="5"/>
  <c r="W57" i="5"/>
  <c r="W71" i="5"/>
  <c r="W70" i="5"/>
  <c r="W68" i="5"/>
  <c r="W66" i="5"/>
  <c r="W64" i="5"/>
  <c r="W62" i="5"/>
  <c r="W60" i="5"/>
  <c r="W58" i="5"/>
  <c r="W56" i="5"/>
  <c r="W75" i="5"/>
  <c r="W73" i="5"/>
  <c r="W51" i="5"/>
  <c r="W49" i="5"/>
  <c r="W47" i="5"/>
  <c r="W45" i="5"/>
  <c r="W43" i="5"/>
  <c r="W72" i="5"/>
  <c r="W55" i="5"/>
  <c r="W53" i="5"/>
  <c r="W52" i="5"/>
  <c r="W50" i="5"/>
  <c r="W48" i="5"/>
  <c r="W41" i="5"/>
  <c r="W37" i="5"/>
  <c r="W35" i="5"/>
  <c r="W33" i="5"/>
  <c r="W31" i="5"/>
  <c r="W29" i="5"/>
  <c r="W46" i="5"/>
  <c r="W44" i="5"/>
  <c r="W42" i="5"/>
  <c r="W54" i="5"/>
  <c r="W39" i="5"/>
  <c r="O6" i="5"/>
  <c r="W6" i="5"/>
  <c r="O8" i="5"/>
  <c r="W8" i="5"/>
  <c r="S9" i="5"/>
  <c r="AA9" i="5"/>
  <c r="O10" i="5"/>
  <c r="W10" i="5"/>
  <c r="S11" i="5"/>
  <c r="AA11" i="5"/>
  <c r="O12" i="5"/>
  <c r="W12" i="5"/>
  <c r="S13" i="5"/>
  <c r="AA13" i="5"/>
  <c r="O14" i="5"/>
  <c r="W14" i="5"/>
  <c r="S15" i="5"/>
  <c r="AA15" i="5"/>
  <c r="O16" i="5"/>
  <c r="W16" i="5"/>
  <c r="S17" i="5"/>
  <c r="AA17" i="5"/>
  <c r="O18" i="5"/>
  <c r="W18" i="5"/>
  <c r="S19" i="5"/>
  <c r="AA19" i="5"/>
  <c r="O20" i="5"/>
  <c r="W20" i="5"/>
  <c r="S21" i="5"/>
  <c r="AA21" i="5"/>
  <c r="O22" i="5"/>
  <c r="W22" i="5"/>
  <c r="S23" i="5"/>
  <c r="AA23" i="5"/>
  <c r="V24" i="5"/>
  <c r="N26" i="5"/>
  <c r="S27" i="5"/>
  <c r="W28" i="5"/>
  <c r="R31" i="5"/>
  <c r="O32" i="5"/>
  <c r="Z33" i="5"/>
  <c r="W34" i="5"/>
  <c r="V45" i="5"/>
  <c r="V68" i="5"/>
  <c r="Q195" i="5"/>
  <c r="Q193" i="5"/>
  <c r="Q191" i="5"/>
  <c r="Q189" i="5"/>
  <c r="Q187" i="5"/>
  <c r="Q194" i="5"/>
  <c r="Q192" i="5"/>
  <c r="Q190" i="5"/>
  <c r="Q188" i="5"/>
  <c r="Q186" i="5"/>
  <c r="Q185" i="5"/>
  <c r="Q183" i="5"/>
  <c r="Q181" i="5"/>
  <c r="Q179" i="5"/>
  <c r="Q184" i="5"/>
  <c r="Q182" i="5"/>
  <c r="Q180" i="5"/>
  <c r="Q178" i="5"/>
  <c r="Q176" i="5"/>
  <c r="Q172" i="5"/>
  <c r="Q173" i="5"/>
  <c r="Q170" i="5"/>
  <c r="Q168" i="5"/>
  <c r="Q166" i="5"/>
  <c r="Q177" i="5"/>
  <c r="Q174" i="5"/>
  <c r="Q175" i="5"/>
  <c r="Q171" i="5"/>
  <c r="Q164" i="5"/>
  <c r="Q163" i="5"/>
  <c r="Q161" i="5"/>
  <c r="Q159" i="5"/>
  <c r="Q157" i="5"/>
  <c r="Q155" i="5"/>
  <c r="Q169" i="5"/>
  <c r="Q154" i="5"/>
  <c r="Q152" i="5"/>
  <c r="Q150" i="5"/>
  <c r="Q148" i="5"/>
  <c r="Q167" i="5"/>
  <c r="Q162" i="5"/>
  <c r="Q158" i="5"/>
  <c r="Q153" i="5"/>
  <c r="Q151" i="5"/>
  <c r="Q149" i="5"/>
  <c r="Q165" i="5"/>
  <c r="Q160" i="5"/>
  <c r="Q156" i="5"/>
  <c r="Q146" i="5"/>
  <c r="Q144" i="5"/>
  <c r="Q142" i="5"/>
  <c r="Q140" i="5"/>
  <c r="Q147" i="5"/>
  <c r="Q143" i="5"/>
  <c r="Q138" i="5"/>
  <c r="Q136" i="5"/>
  <c r="Q134" i="5"/>
  <c r="Q145" i="5"/>
  <c r="Q141" i="5"/>
  <c r="Q137" i="5"/>
  <c r="Q135" i="5"/>
  <c r="Q133" i="5"/>
  <c r="Q131" i="5"/>
  <c r="Q129" i="5"/>
  <c r="Q127" i="5"/>
  <c r="Q125" i="5"/>
  <c r="Q123" i="5"/>
  <c r="Q121" i="5"/>
  <c r="Q119" i="5"/>
  <c r="Q139" i="5"/>
  <c r="Q132" i="5"/>
  <c r="Q124" i="5"/>
  <c r="Q130" i="5"/>
  <c r="Q117" i="5"/>
  <c r="Q115" i="5"/>
  <c r="Q113" i="5"/>
  <c r="Q128" i="5"/>
  <c r="Q110" i="5"/>
  <c r="Q105" i="5"/>
  <c r="Q102" i="5"/>
  <c r="Q100" i="5"/>
  <c r="Q98" i="5"/>
  <c r="Q111" i="5"/>
  <c r="Q106" i="5"/>
  <c r="Q120" i="5"/>
  <c r="Q112" i="5"/>
  <c r="Q107" i="5"/>
  <c r="Q103" i="5"/>
  <c r="Q101" i="5"/>
  <c r="Q99" i="5"/>
  <c r="Q97" i="5"/>
  <c r="Q95" i="5"/>
  <c r="Q93" i="5"/>
  <c r="Q91" i="5"/>
  <c r="Q89" i="5"/>
  <c r="Q122" i="5"/>
  <c r="Q118" i="5"/>
  <c r="Q116" i="5"/>
  <c r="Q108" i="5"/>
  <c r="Q104" i="5"/>
  <c r="Q126" i="5"/>
  <c r="Q114" i="5"/>
  <c r="Q109" i="5"/>
  <c r="Q87" i="5"/>
  <c r="Q85" i="5"/>
  <c r="Q83" i="5"/>
  <c r="Q81" i="5"/>
  <c r="Q79" i="5"/>
  <c r="Q77" i="5"/>
  <c r="Q75" i="5"/>
  <c r="Q73" i="5"/>
  <c r="Q96" i="5"/>
  <c r="Q94" i="5"/>
  <c r="Q90" i="5"/>
  <c r="Q74" i="5"/>
  <c r="Q71" i="5"/>
  <c r="Q76" i="5"/>
  <c r="Q78" i="5"/>
  <c r="Q72" i="5"/>
  <c r="Q70" i="5"/>
  <c r="Q68" i="5"/>
  <c r="Q66" i="5"/>
  <c r="Q64" i="5"/>
  <c r="Q62" i="5"/>
  <c r="Q92" i="5"/>
  <c r="Q80" i="5"/>
  <c r="Q86" i="5"/>
  <c r="Q84" i="5"/>
  <c r="Q82" i="5"/>
  <c r="Q67" i="5"/>
  <c r="Q51" i="5"/>
  <c r="Q49" i="5"/>
  <c r="Q47" i="5"/>
  <c r="Q65" i="5"/>
  <c r="Q53" i="5"/>
  <c r="Q63" i="5"/>
  <c r="Q54" i="5"/>
  <c r="Q88" i="5"/>
  <c r="Q61" i="5"/>
  <c r="Q60" i="5"/>
  <c r="Q59" i="5"/>
  <c r="Q58" i="5"/>
  <c r="Q57" i="5"/>
  <c r="Q56" i="5"/>
  <c r="Q52" i="5"/>
  <c r="Q50" i="5"/>
  <c r="Q48" i="5"/>
  <c r="Q46" i="5"/>
  <c r="Q44" i="5"/>
  <c r="Q42" i="5"/>
  <c r="Q40" i="5"/>
  <c r="Q37" i="5"/>
  <c r="Q35" i="5"/>
  <c r="Q33" i="5"/>
  <c r="Q31" i="5"/>
  <c r="Q29" i="5"/>
  <c r="Q27" i="5"/>
  <c r="Q25" i="5"/>
  <c r="Q55" i="5"/>
  <c r="Q39" i="5"/>
  <c r="Q45" i="5"/>
  <c r="Q38" i="5"/>
  <c r="Q36" i="5"/>
  <c r="Q34" i="5"/>
  <c r="Q32" i="5"/>
  <c r="Q30" i="5"/>
  <c r="Q28" i="5"/>
  <c r="Q26" i="5"/>
  <c r="Q43" i="5"/>
  <c r="Q8" i="5"/>
  <c r="Q16" i="5"/>
  <c r="Z6" i="5"/>
  <c r="R8" i="5"/>
  <c r="Z14" i="5"/>
  <c r="R18" i="5"/>
  <c r="R37" i="5"/>
  <c r="P195" i="5"/>
  <c r="P193" i="5"/>
  <c r="P191" i="5"/>
  <c r="P189" i="5"/>
  <c r="P187" i="5"/>
  <c r="P194" i="5"/>
  <c r="P192" i="5"/>
  <c r="P190" i="5"/>
  <c r="P188" i="5"/>
  <c r="P186" i="5"/>
  <c r="P185" i="5"/>
  <c r="P183" i="5"/>
  <c r="P181" i="5"/>
  <c r="P179" i="5"/>
  <c r="P182" i="5"/>
  <c r="P178" i="5"/>
  <c r="P177" i="5"/>
  <c r="P184" i="5"/>
  <c r="P180" i="5"/>
  <c r="P176" i="5"/>
  <c r="P174" i="5"/>
  <c r="P172" i="5"/>
  <c r="P170" i="5"/>
  <c r="P169" i="5"/>
  <c r="P167" i="5"/>
  <c r="P165" i="5"/>
  <c r="P173" i="5"/>
  <c r="P168" i="5"/>
  <c r="P166" i="5"/>
  <c r="P164" i="5"/>
  <c r="P171" i="5"/>
  <c r="P175" i="5"/>
  <c r="P160" i="5"/>
  <c r="P156" i="5"/>
  <c r="P161" i="5"/>
  <c r="P157" i="5"/>
  <c r="P154" i="5"/>
  <c r="P152" i="5"/>
  <c r="P150" i="5"/>
  <c r="P162" i="5"/>
  <c r="P158" i="5"/>
  <c r="P163" i="5"/>
  <c r="P159" i="5"/>
  <c r="P153" i="5"/>
  <c r="P151" i="5"/>
  <c r="P149" i="5"/>
  <c r="P147" i="5"/>
  <c r="P145" i="5"/>
  <c r="P143" i="5"/>
  <c r="P141" i="5"/>
  <c r="P139" i="5"/>
  <c r="P155" i="5"/>
  <c r="P148" i="5"/>
  <c r="P146" i="5"/>
  <c r="P144" i="5"/>
  <c r="P142" i="5"/>
  <c r="P140" i="5"/>
  <c r="P138" i="5"/>
  <c r="P136" i="5"/>
  <c r="P134" i="5"/>
  <c r="P132" i="5"/>
  <c r="P130" i="5"/>
  <c r="P128" i="5"/>
  <c r="P126" i="5"/>
  <c r="P124" i="5"/>
  <c r="P122" i="5"/>
  <c r="P120" i="5"/>
  <c r="P137" i="5"/>
  <c r="P135" i="5"/>
  <c r="P133" i="5"/>
  <c r="P131" i="5"/>
  <c r="P129" i="5"/>
  <c r="P127" i="5"/>
  <c r="P118" i="5"/>
  <c r="P116" i="5"/>
  <c r="P114" i="5"/>
  <c r="P125" i="5"/>
  <c r="P119" i="5"/>
  <c r="P117" i="5"/>
  <c r="P115" i="5"/>
  <c r="P113" i="5"/>
  <c r="P111" i="5"/>
  <c r="P109" i="5"/>
  <c r="P107" i="5"/>
  <c r="P105" i="5"/>
  <c r="P121" i="5"/>
  <c r="P110" i="5"/>
  <c r="P102" i="5"/>
  <c r="P100" i="5"/>
  <c r="P98" i="5"/>
  <c r="P96" i="5"/>
  <c r="P94" i="5"/>
  <c r="P92" i="5"/>
  <c r="P90" i="5"/>
  <c r="P88" i="5"/>
  <c r="P123" i="5"/>
  <c r="P106" i="5"/>
  <c r="P112" i="5"/>
  <c r="P103" i="5"/>
  <c r="P101" i="5"/>
  <c r="P99" i="5"/>
  <c r="P97" i="5"/>
  <c r="P95" i="5"/>
  <c r="P93" i="5"/>
  <c r="P91" i="5"/>
  <c r="P89" i="5"/>
  <c r="P108" i="5"/>
  <c r="P104" i="5"/>
  <c r="P87" i="5"/>
  <c r="P85" i="5"/>
  <c r="P83" i="5"/>
  <c r="P81" i="5"/>
  <c r="P79" i="5"/>
  <c r="P77" i="5"/>
  <c r="P75" i="5"/>
  <c r="P73" i="5"/>
  <c r="P71" i="5"/>
  <c r="P86" i="5"/>
  <c r="P84" i="5"/>
  <c r="P82" i="5"/>
  <c r="P80" i="5"/>
  <c r="P78" i="5"/>
  <c r="P76" i="5"/>
  <c r="P74" i="5"/>
  <c r="P72" i="5"/>
  <c r="P69" i="5"/>
  <c r="P67" i="5"/>
  <c r="P65" i="5"/>
  <c r="P63" i="5"/>
  <c r="P61" i="5"/>
  <c r="P59" i="5"/>
  <c r="P57" i="5"/>
  <c r="P55" i="5"/>
  <c r="P53" i="5"/>
  <c r="P70" i="5"/>
  <c r="P68" i="5"/>
  <c r="P66" i="5"/>
  <c r="P64" i="5"/>
  <c r="P62" i="5"/>
  <c r="P60" i="5"/>
  <c r="P58" i="5"/>
  <c r="P56" i="5"/>
  <c r="P51" i="5"/>
  <c r="P49" i="5"/>
  <c r="P47" i="5"/>
  <c r="P45" i="5"/>
  <c r="P43" i="5"/>
  <c r="P41" i="5"/>
  <c r="P54" i="5"/>
  <c r="P52" i="5"/>
  <c r="P50" i="5"/>
  <c r="P48" i="5"/>
  <c r="P46" i="5"/>
  <c r="P44" i="5"/>
  <c r="P42" i="5"/>
  <c r="P40" i="5"/>
  <c r="P37" i="5"/>
  <c r="P35" i="5"/>
  <c r="P33" i="5"/>
  <c r="P31" i="5"/>
  <c r="P29" i="5"/>
  <c r="P27" i="5"/>
  <c r="P25" i="5"/>
  <c r="P39" i="5"/>
  <c r="P38" i="5"/>
  <c r="P36" i="5"/>
  <c r="P34" i="5"/>
  <c r="P32" i="5"/>
  <c r="P30" i="5"/>
  <c r="P28" i="5"/>
  <c r="P26" i="5"/>
  <c r="P24" i="5"/>
  <c r="X195" i="5"/>
  <c r="X193" i="5"/>
  <c r="X191" i="5"/>
  <c r="X189" i="5"/>
  <c r="X187" i="5"/>
  <c r="X194" i="5"/>
  <c r="X192" i="5"/>
  <c r="X190" i="5"/>
  <c r="X188" i="5"/>
  <c r="X186" i="5"/>
  <c r="X185" i="5"/>
  <c r="X183" i="5"/>
  <c r="X181" i="5"/>
  <c r="X179" i="5"/>
  <c r="X177" i="5"/>
  <c r="X184" i="5"/>
  <c r="X180" i="5"/>
  <c r="X176" i="5"/>
  <c r="X174" i="5"/>
  <c r="X172" i="5"/>
  <c r="X170" i="5"/>
  <c r="X182" i="5"/>
  <c r="X178" i="5"/>
  <c r="X167" i="5"/>
  <c r="X165" i="5"/>
  <c r="X169" i="5"/>
  <c r="X175" i="5"/>
  <c r="X171" i="5"/>
  <c r="X168" i="5"/>
  <c r="X166" i="5"/>
  <c r="X164" i="5"/>
  <c r="X173" i="5"/>
  <c r="X162" i="5"/>
  <c r="X158" i="5"/>
  <c r="X163" i="5"/>
  <c r="X159" i="5"/>
  <c r="X155" i="5"/>
  <c r="X154" i="5"/>
  <c r="X152" i="5"/>
  <c r="X150" i="5"/>
  <c r="X160" i="5"/>
  <c r="X156" i="5"/>
  <c r="X161" i="5"/>
  <c r="X157" i="5"/>
  <c r="X153" i="5"/>
  <c r="X151" i="5"/>
  <c r="X149" i="5"/>
  <c r="X147" i="5"/>
  <c r="X145" i="5"/>
  <c r="X143" i="5"/>
  <c r="X141" i="5"/>
  <c r="X139" i="5"/>
  <c r="X146" i="5"/>
  <c r="X144" i="5"/>
  <c r="X142" i="5"/>
  <c r="X140" i="5"/>
  <c r="X148" i="5"/>
  <c r="X138" i="5"/>
  <c r="X136" i="5"/>
  <c r="X134" i="5"/>
  <c r="X132" i="5"/>
  <c r="X130" i="5"/>
  <c r="X128" i="5"/>
  <c r="X126" i="5"/>
  <c r="X124" i="5"/>
  <c r="X122" i="5"/>
  <c r="X120" i="5"/>
  <c r="X137" i="5"/>
  <c r="X135" i="5"/>
  <c r="X133" i="5"/>
  <c r="X131" i="5"/>
  <c r="X129" i="5"/>
  <c r="X127" i="5"/>
  <c r="X118" i="5"/>
  <c r="X116" i="5"/>
  <c r="X114" i="5"/>
  <c r="X121" i="5"/>
  <c r="X123" i="5"/>
  <c r="X117" i="5"/>
  <c r="X115" i="5"/>
  <c r="X113" i="5"/>
  <c r="X111" i="5"/>
  <c r="X109" i="5"/>
  <c r="X107" i="5"/>
  <c r="X105" i="5"/>
  <c r="X103" i="5"/>
  <c r="X125" i="5"/>
  <c r="X112" i="5"/>
  <c r="X104" i="5"/>
  <c r="X102" i="5"/>
  <c r="X100" i="5"/>
  <c r="X98" i="5"/>
  <c r="X96" i="5"/>
  <c r="X94" i="5"/>
  <c r="X92" i="5"/>
  <c r="X90" i="5"/>
  <c r="X88" i="5"/>
  <c r="X108" i="5"/>
  <c r="X119" i="5"/>
  <c r="X110" i="5"/>
  <c r="X101" i="5"/>
  <c r="X99" i="5"/>
  <c r="X97" i="5"/>
  <c r="X95" i="5"/>
  <c r="X93" i="5"/>
  <c r="X91" i="5"/>
  <c r="X89" i="5"/>
  <c r="X87" i="5"/>
  <c r="X85" i="5"/>
  <c r="X83" i="5"/>
  <c r="X81" i="5"/>
  <c r="X79" i="5"/>
  <c r="X77" i="5"/>
  <c r="X75" i="5"/>
  <c r="X73" i="5"/>
  <c r="X71" i="5"/>
  <c r="X86" i="5"/>
  <c r="X84" i="5"/>
  <c r="X82" i="5"/>
  <c r="X80" i="5"/>
  <c r="X78" i="5"/>
  <c r="X76" i="5"/>
  <c r="X74" i="5"/>
  <c r="X72" i="5"/>
  <c r="X69" i="5"/>
  <c r="X67" i="5"/>
  <c r="X65" i="5"/>
  <c r="X63" i="5"/>
  <c r="X61" i="5"/>
  <c r="X59" i="5"/>
  <c r="X57" i="5"/>
  <c r="X55" i="5"/>
  <c r="X53" i="5"/>
  <c r="X70" i="5"/>
  <c r="X68" i="5"/>
  <c r="X66" i="5"/>
  <c r="X64" i="5"/>
  <c r="X62" i="5"/>
  <c r="X60" i="5"/>
  <c r="X58" i="5"/>
  <c r="X56" i="5"/>
  <c r="X106" i="5"/>
  <c r="X51" i="5"/>
  <c r="X49" i="5"/>
  <c r="X47" i="5"/>
  <c r="X45" i="5"/>
  <c r="X43" i="5"/>
  <c r="X41" i="5"/>
  <c r="X52" i="5"/>
  <c r="X50" i="5"/>
  <c r="X48" i="5"/>
  <c r="X46" i="5"/>
  <c r="X44" i="5"/>
  <c r="X42" i="5"/>
  <c r="X40" i="5"/>
  <c r="X37" i="5"/>
  <c r="X35" i="5"/>
  <c r="X33" i="5"/>
  <c r="X31" i="5"/>
  <c r="X29" i="5"/>
  <c r="X27" i="5"/>
  <c r="X25" i="5"/>
  <c r="X54" i="5"/>
  <c r="X39" i="5"/>
  <c r="X38" i="5"/>
  <c r="X36" i="5"/>
  <c r="X34" i="5"/>
  <c r="X32" i="5"/>
  <c r="X30" i="5"/>
  <c r="X28" i="5"/>
  <c r="X26" i="5"/>
  <c r="X24" i="5"/>
  <c r="P6" i="5"/>
  <c r="X6" i="5"/>
  <c r="P8" i="5"/>
  <c r="X8" i="5"/>
  <c r="T9" i="5"/>
  <c r="AB9" i="5"/>
  <c r="P10" i="5"/>
  <c r="X10" i="5"/>
  <c r="T11" i="5"/>
  <c r="AB11" i="5"/>
  <c r="P12" i="5"/>
  <c r="X12" i="5"/>
  <c r="T13" i="5"/>
  <c r="AB13" i="5"/>
  <c r="P14" i="5"/>
  <c r="X14" i="5"/>
  <c r="T15" i="5"/>
  <c r="AB15" i="5"/>
  <c r="P16" i="5"/>
  <c r="X16" i="5"/>
  <c r="T17" i="5"/>
  <c r="AB17" i="5"/>
  <c r="P18" i="5"/>
  <c r="X18" i="5"/>
  <c r="T19" i="5"/>
  <c r="AB19" i="5"/>
  <c r="P20" i="5"/>
  <c r="X20" i="5"/>
  <c r="T21" i="5"/>
  <c r="AB21" i="5"/>
  <c r="P22" i="5"/>
  <c r="X22" i="5"/>
  <c r="T23" i="5"/>
  <c r="AB23" i="5"/>
  <c r="W24" i="5"/>
  <c r="O26" i="5"/>
  <c r="AA28" i="5"/>
  <c r="N30" i="5"/>
  <c r="S31" i="5"/>
  <c r="V32" i="5"/>
  <c r="AA33" i="5"/>
  <c r="AA41" i="5"/>
  <c r="Y45" i="5"/>
  <c r="M54" i="5"/>
  <c r="M60" i="5"/>
  <c r="V227" i="46"/>
  <c r="V225" i="46"/>
  <c r="V223" i="46"/>
  <c r="V221" i="46"/>
  <c r="V226" i="46"/>
  <c r="V224" i="46"/>
  <c r="V222" i="46"/>
  <c r="V220" i="46"/>
  <c r="V218" i="46"/>
  <c r="V216" i="46"/>
  <c r="V214" i="46"/>
  <c r="V219" i="46"/>
  <c r="V212" i="46"/>
  <c r="V211" i="46"/>
  <c r="V209" i="46"/>
  <c r="V207" i="46"/>
  <c r="V205" i="46"/>
  <c r="V203" i="46"/>
  <c r="V217" i="46"/>
  <c r="V213" i="46"/>
  <c r="V215" i="46"/>
  <c r="V210" i="46"/>
  <c r="V208" i="46"/>
  <c r="V206" i="46"/>
  <c r="V204" i="46"/>
  <c r="V201" i="46"/>
  <c r="V199" i="46"/>
  <c r="V197" i="46"/>
  <c r="V195" i="46"/>
  <c r="V202" i="46"/>
  <c r="V200" i="46"/>
  <c r="V198" i="46"/>
  <c r="V196" i="46"/>
  <c r="V193" i="46"/>
  <c r="V191" i="46"/>
  <c r="V189" i="46"/>
  <c r="V187" i="46"/>
  <c r="V194" i="46"/>
  <c r="V192" i="46"/>
  <c r="V190" i="46"/>
  <c r="V188" i="46"/>
  <c r="V186" i="46"/>
  <c r="V184" i="46"/>
  <c r="V182" i="46"/>
  <c r="V180" i="46"/>
  <c r="V177" i="46"/>
  <c r="V175" i="46"/>
  <c r="V173" i="46"/>
  <c r="V171" i="46"/>
  <c r="V169" i="46"/>
  <c r="V178" i="46"/>
  <c r="V176" i="46"/>
  <c r="V174" i="46"/>
  <c r="V172" i="46"/>
  <c r="V170" i="46"/>
  <c r="V168" i="46"/>
  <c r="V183" i="46"/>
  <c r="V181" i="46"/>
  <c r="V179" i="46"/>
  <c r="V167" i="46"/>
  <c r="V165" i="46"/>
  <c r="V163" i="46"/>
  <c r="V161" i="46"/>
  <c r="V159" i="46"/>
  <c r="V157" i="46"/>
  <c r="V185" i="46"/>
  <c r="V155" i="46"/>
  <c r="V166" i="46"/>
  <c r="V156" i="46"/>
  <c r="V149" i="46"/>
  <c r="V164" i="46"/>
  <c r="V162" i="46"/>
  <c r="V152" i="46"/>
  <c r="V150" i="46"/>
  <c r="V147" i="46"/>
  <c r="V145" i="46"/>
  <c r="V143" i="46"/>
  <c r="V141" i="46"/>
  <c r="V139" i="46"/>
  <c r="V137" i="46"/>
  <c r="V135" i="46"/>
  <c r="V133" i="46"/>
  <c r="V160" i="46"/>
  <c r="V154" i="46"/>
  <c r="V151" i="46"/>
  <c r="V148" i="46"/>
  <c r="V146" i="46"/>
  <c r="V144" i="46"/>
  <c r="V142" i="46"/>
  <c r="V140" i="46"/>
  <c r="V138" i="46"/>
  <c r="V136" i="46"/>
  <c r="V134" i="46"/>
  <c r="V153" i="46"/>
  <c r="V158" i="46"/>
  <c r="V130" i="46"/>
  <c r="V128" i="46"/>
  <c r="V126" i="46"/>
  <c r="V124" i="46"/>
  <c r="V122" i="46"/>
  <c r="V120" i="46"/>
  <c r="V118" i="46"/>
  <c r="V116" i="46"/>
  <c r="V132" i="46"/>
  <c r="V131" i="46"/>
  <c r="V129" i="46"/>
  <c r="V127" i="46"/>
  <c r="V125" i="46"/>
  <c r="V123" i="46"/>
  <c r="V121" i="46"/>
  <c r="V119" i="46"/>
  <c r="V117" i="46"/>
  <c r="V115" i="46"/>
  <c r="V114" i="46"/>
  <c r="V112" i="46"/>
  <c r="V110" i="46"/>
  <c r="V108" i="46"/>
  <c r="V106" i="46"/>
  <c r="V104" i="46"/>
  <c r="V102" i="46"/>
  <c r="V100" i="46"/>
  <c r="V113" i="46"/>
  <c r="V111" i="46"/>
  <c r="V109" i="46"/>
  <c r="V107" i="46"/>
  <c r="V105" i="46"/>
  <c r="V103" i="46"/>
  <c r="V101" i="46"/>
  <c r="V99" i="46"/>
  <c r="V97" i="46"/>
  <c r="V95" i="46"/>
  <c r="V93" i="46"/>
  <c r="V91" i="46"/>
  <c r="V89" i="46"/>
  <c r="V87" i="46"/>
  <c r="V85" i="46"/>
  <c r="V83" i="46"/>
  <c r="V81" i="46"/>
  <c r="V79" i="46"/>
  <c r="V94" i="46"/>
  <c r="V92" i="46"/>
  <c r="V90" i="46"/>
  <c r="V88" i="46"/>
  <c r="V86" i="46"/>
  <c r="V84" i="46"/>
  <c r="V82" i="46"/>
  <c r="V98" i="46"/>
  <c r="V96" i="46"/>
  <c r="V80" i="46"/>
  <c r="V77" i="46"/>
  <c r="V75" i="46"/>
  <c r="V73" i="46"/>
  <c r="V71" i="46"/>
  <c r="V69" i="46"/>
  <c r="V67" i="46"/>
  <c r="V65" i="46"/>
  <c r="V63" i="46"/>
  <c r="V61" i="46"/>
  <c r="V59" i="46"/>
  <c r="V78" i="46"/>
  <c r="V76" i="46"/>
  <c r="V74" i="46"/>
  <c r="V72" i="46"/>
  <c r="V70" i="46"/>
  <c r="V68" i="46"/>
  <c r="V66" i="46"/>
  <c r="V64" i="46"/>
  <c r="V62" i="46"/>
  <c r="V60" i="46"/>
  <c r="V56" i="46"/>
  <c r="V54" i="46"/>
  <c r="V52" i="46"/>
  <c r="V50" i="46"/>
  <c r="V48" i="46"/>
  <c r="V46" i="46"/>
  <c r="V44" i="46"/>
  <c r="V42" i="46"/>
  <c r="V57" i="46"/>
  <c r="V55" i="46"/>
  <c r="V53" i="46"/>
  <c r="V51" i="46"/>
  <c r="V49" i="46"/>
  <c r="V47" i="46"/>
  <c r="V45" i="46"/>
  <c r="V43" i="46"/>
  <c r="V58" i="46"/>
  <c r="V41" i="46"/>
  <c r="V40" i="46"/>
  <c r="V38" i="46"/>
  <c r="V36" i="46"/>
  <c r="V34" i="46"/>
  <c r="V32" i="46"/>
  <c r="V30" i="46"/>
  <c r="V28" i="46"/>
  <c r="V26" i="46"/>
  <c r="V24" i="46"/>
  <c r="V39" i="46"/>
  <c r="V37" i="46"/>
  <c r="V35" i="46"/>
  <c r="V33" i="46"/>
  <c r="V31" i="46"/>
  <c r="V29" i="46"/>
  <c r="V27" i="46"/>
  <c r="V25" i="46"/>
  <c r="V12" i="46"/>
  <c r="N14" i="46"/>
  <c r="O8" i="46"/>
  <c r="O10" i="46"/>
  <c r="W12" i="46"/>
  <c r="W20" i="46"/>
  <c r="W22" i="46"/>
  <c r="P227" i="46"/>
  <c r="P226" i="46"/>
  <c r="P224" i="46"/>
  <c r="P222" i="46"/>
  <c r="P220" i="46"/>
  <c r="P221" i="46"/>
  <c r="P218" i="46"/>
  <c r="P225" i="46"/>
  <c r="P217" i="46"/>
  <c r="P215" i="46"/>
  <c r="P213" i="46"/>
  <c r="P211" i="46"/>
  <c r="P209" i="46"/>
  <c r="P207" i="46"/>
  <c r="P205" i="46"/>
  <c r="P203" i="46"/>
  <c r="P212" i="46"/>
  <c r="P216" i="46"/>
  <c r="P210" i="46"/>
  <c r="P208" i="46"/>
  <c r="P206" i="46"/>
  <c r="P204" i="46"/>
  <c r="P223" i="46"/>
  <c r="P219" i="46"/>
  <c r="P214" i="46"/>
  <c r="P202" i="46"/>
  <c r="P200" i="46"/>
  <c r="P198" i="46"/>
  <c r="P196" i="46"/>
  <c r="P201" i="46"/>
  <c r="P199" i="46"/>
  <c r="P197" i="46"/>
  <c r="P195" i="46"/>
  <c r="P194" i="46"/>
  <c r="P192" i="46"/>
  <c r="P190" i="46"/>
  <c r="P188" i="46"/>
  <c r="P186" i="46"/>
  <c r="P193" i="46"/>
  <c r="P191" i="46"/>
  <c r="P189" i="46"/>
  <c r="P187" i="46"/>
  <c r="P184" i="46"/>
  <c r="P182" i="46"/>
  <c r="P180" i="46"/>
  <c r="P178" i="46"/>
  <c r="P185" i="46"/>
  <c r="P183" i="46"/>
  <c r="P181" i="46"/>
  <c r="P179" i="46"/>
  <c r="P176" i="46"/>
  <c r="P174" i="46"/>
  <c r="P172" i="46"/>
  <c r="P170" i="46"/>
  <c r="P177" i="46"/>
  <c r="P175" i="46"/>
  <c r="P173" i="46"/>
  <c r="P171" i="46"/>
  <c r="P169" i="46"/>
  <c r="P167" i="46"/>
  <c r="P165" i="46"/>
  <c r="P163" i="46"/>
  <c r="P161" i="46"/>
  <c r="P159" i="46"/>
  <c r="P157" i="46"/>
  <c r="P155" i="46"/>
  <c r="P153" i="46"/>
  <c r="P151" i="46"/>
  <c r="P149" i="46"/>
  <c r="P166" i="46"/>
  <c r="P164" i="46"/>
  <c r="P162" i="46"/>
  <c r="P160" i="46"/>
  <c r="P158" i="46"/>
  <c r="P156" i="46"/>
  <c r="P154" i="46"/>
  <c r="P152" i="46"/>
  <c r="P150" i="46"/>
  <c r="P147" i="46"/>
  <c r="P145" i="46"/>
  <c r="P143" i="46"/>
  <c r="P141" i="46"/>
  <c r="P139" i="46"/>
  <c r="P137" i="46"/>
  <c r="P135" i="46"/>
  <c r="P133" i="46"/>
  <c r="P168" i="46"/>
  <c r="P142" i="46"/>
  <c r="P132" i="46"/>
  <c r="P130" i="46"/>
  <c r="P128" i="46"/>
  <c r="P126" i="46"/>
  <c r="P124" i="46"/>
  <c r="P122" i="46"/>
  <c r="P120" i="46"/>
  <c r="P118" i="46"/>
  <c r="P116" i="46"/>
  <c r="P134" i="46"/>
  <c r="P148" i="46"/>
  <c r="P146" i="46"/>
  <c r="P138" i="46"/>
  <c r="P136" i="46"/>
  <c r="P144" i="46"/>
  <c r="P140" i="46"/>
  <c r="P121" i="46"/>
  <c r="P117" i="46"/>
  <c r="P114" i="46"/>
  <c r="P112" i="46"/>
  <c r="P110" i="46"/>
  <c r="P108" i="46"/>
  <c r="P106" i="46"/>
  <c r="P104" i="46"/>
  <c r="P102" i="46"/>
  <c r="P100" i="46"/>
  <c r="P98" i="46"/>
  <c r="P96" i="46"/>
  <c r="P123" i="46"/>
  <c r="P125" i="46"/>
  <c r="P127" i="46"/>
  <c r="P131" i="46"/>
  <c r="P119" i="46"/>
  <c r="P115" i="46"/>
  <c r="P107" i="46"/>
  <c r="P105" i="46"/>
  <c r="P103" i="46"/>
  <c r="P94" i="46"/>
  <c r="P92" i="46"/>
  <c r="P90" i="46"/>
  <c r="P88" i="46"/>
  <c r="P86" i="46"/>
  <c r="P84" i="46"/>
  <c r="P82" i="46"/>
  <c r="P80" i="46"/>
  <c r="P101" i="46"/>
  <c r="P99" i="46"/>
  <c r="P113" i="46"/>
  <c r="P97" i="46"/>
  <c r="P111" i="46"/>
  <c r="P95" i="46"/>
  <c r="P93" i="46"/>
  <c r="P91" i="46"/>
  <c r="P89" i="46"/>
  <c r="P87" i="46"/>
  <c r="P85" i="46"/>
  <c r="P83" i="46"/>
  <c r="P81" i="46"/>
  <c r="P79" i="46"/>
  <c r="P129" i="46"/>
  <c r="P109" i="46"/>
  <c r="P78" i="46"/>
  <c r="P76" i="46"/>
  <c r="P74" i="46"/>
  <c r="P72" i="46"/>
  <c r="P70" i="46"/>
  <c r="P68" i="46"/>
  <c r="P66" i="46"/>
  <c r="P64" i="46"/>
  <c r="P62" i="46"/>
  <c r="P60" i="46"/>
  <c r="P58" i="46"/>
  <c r="P77" i="46"/>
  <c r="P75" i="46"/>
  <c r="P73" i="46"/>
  <c r="P71" i="46"/>
  <c r="P69" i="46"/>
  <c r="P67" i="46"/>
  <c r="P65" i="46"/>
  <c r="P63" i="46"/>
  <c r="P61" i="46"/>
  <c r="P59" i="46"/>
  <c r="P57" i="46"/>
  <c r="P55" i="46"/>
  <c r="P53" i="46"/>
  <c r="P51" i="46"/>
  <c r="P49" i="46"/>
  <c r="P47" i="46"/>
  <c r="P56" i="46"/>
  <c r="P43" i="46"/>
  <c r="P44" i="46"/>
  <c r="P39" i="46"/>
  <c r="P37" i="46"/>
  <c r="P35" i="46"/>
  <c r="P33" i="46"/>
  <c r="P31" i="46"/>
  <c r="P29" i="46"/>
  <c r="P27" i="46"/>
  <c r="P25" i="46"/>
  <c r="P41" i="46"/>
  <c r="P50" i="46"/>
  <c r="P48" i="46"/>
  <c r="P45" i="46"/>
  <c r="X227" i="46"/>
  <c r="X226" i="46"/>
  <c r="X224" i="46"/>
  <c r="X222" i="46"/>
  <c r="X220" i="46"/>
  <c r="X219" i="46"/>
  <c r="X223" i="46"/>
  <c r="X218" i="46"/>
  <c r="X217" i="46"/>
  <c r="X215" i="46"/>
  <c r="X213" i="46"/>
  <c r="X221" i="46"/>
  <c r="X225" i="46"/>
  <c r="X211" i="46"/>
  <c r="X209" i="46"/>
  <c r="X207" i="46"/>
  <c r="X205" i="46"/>
  <c r="X203" i="46"/>
  <c r="X216" i="46"/>
  <c r="X214" i="46"/>
  <c r="X210" i="46"/>
  <c r="X208" i="46"/>
  <c r="X206" i="46"/>
  <c r="X204" i="46"/>
  <c r="X212" i="46"/>
  <c r="X202" i="46"/>
  <c r="X200" i="46"/>
  <c r="X198" i="46"/>
  <c r="X196" i="46"/>
  <c r="X201" i="46"/>
  <c r="X199" i="46"/>
  <c r="X197" i="46"/>
  <c r="X194" i="46"/>
  <c r="X192" i="46"/>
  <c r="X190" i="46"/>
  <c r="X188" i="46"/>
  <c r="X186" i="46"/>
  <c r="X195" i="46"/>
  <c r="X193" i="46"/>
  <c r="X191" i="46"/>
  <c r="X189" i="46"/>
  <c r="X187" i="46"/>
  <c r="X184" i="46"/>
  <c r="X182" i="46"/>
  <c r="X180" i="46"/>
  <c r="X178" i="46"/>
  <c r="X185" i="46"/>
  <c r="X183" i="46"/>
  <c r="X181" i="46"/>
  <c r="X179" i="46"/>
  <c r="X176" i="46"/>
  <c r="X174" i="46"/>
  <c r="X172" i="46"/>
  <c r="X170" i="46"/>
  <c r="X177" i="46"/>
  <c r="X175" i="46"/>
  <c r="X173" i="46"/>
  <c r="X171" i="46"/>
  <c r="X169" i="46"/>
  <c r="X167" i="46"/>
  <c r="X165" i="46"/>
  <c r="X163" i="46"/>
  <c r="X161" i="46"/>
  <c r="X159" i="46"/>
  <c r="X157" i="46"/>
  <c r="X155" i="46"/>
  <c r="X153" i="46"/>
  <c r="X151" i="46"/>
  <c r="X149" i="46"/>
  <c r="X168" i="46"/>
  <c r="X166" i="46"/>
  <c r="X164" i="46"/>
  <c r="X162" i="46"/>
  <c r="X160" i="46"/>
  <c r="X158" i="46"/>
  <c r="X156" i="46"/>
  <c r="X154" i="46"/>
  <c r="X152" i="46"/>
  <c r="X150" i="46"/>
  <c r="X147" i="46"/>
  <c r="X145" i="46"/>
  <c r="X143" i="46"/>
  <c r="X141" i="46"/>
  <c r="X139" i="46"/>
  <c r="X137" i="46"/>
  <c r="X135" i="46"/>
  <c r="X133" i="46"/>
  <c r="X130" i="46"/>
  <c r="X128" i="46"/>
  <c r="X126" i="46"/>
  <c r="X124" i="46"/>
  <c r="X122" i="46"/>
  <c r="X120" i="46"/>
  <c r="X118" i="46"/>
  <c r="X116" i="46"/>
  <c r="X132" i="46"/>
  <c r="X136" i="46"/>
  <c r="X144" i="46"/>
  <c r="X140" i="46"/>
  <c r="X142" i="46"/>
  <c r="X134" i="46"/>
  <c r="X121" i="46"/>
  <c r="X123" i="46"/>
  <c r="X115" i="46"/>
  <c r="X114" i="46"/>
  <c r="X112" i="46"/>
  <c r="X110" i="46"/>
  <c r="X108" i="46"/>
  <c r="X106" i="46"/>
  <c r="X104" i="46"/>
  <c r="X102" i="46"/>
  <c r="X100" i="46"/>
  <c r="X98" i="46"/>
  <c r="X96" i="46"/>
  <c r="X146" i="46"/>
  <c r="X125" i="46"/>
  <c r="X127" i="46"/>
  <c r="X119" i="46"/>
  <c r="X129" i="46"/>
  <c r="X117" i="46"/>
  <c r="X105" i="46"/>
  <c r="X99" i="46"/>
  <c r="X103" i="46"/>
  <c r="X97" i="46"/>
  <c r="X148" i="46"/>
  <c r="X101" i="46"/>
  <c r="X94" i="46"/>
  <c r="X92" i="46"/>
  <c r="X90" i="46"/>
  <c r="X88" i="46"/>
  <c r="X86" i="46"/>
  <c r="X84" i="46"/>
  <c r="X82" i="46"/>
  <c r="X80" i="46"/>
  <c r="X131" i="46"/>
  <c r="X113" i="46"/>
  <c r="X138" i="46"/>
  <c r="X111" i="46"/>
  <c r="X109" i="46"/>
  <c r="X95" i="46"/>
  <c r="X93" i="46"/>
  <c r="X91" i="46"/>
  <c r="X89" i="46"/>
  <c r="X87" i="46"/>
  <c r="X85" i="46"/>
  <c r="X83" i="46"/>
  <c r="X81" i="46"/>
  <c r="X79" i="46"/>
  <c r="X107" i="46"/>
  <c r="X78" i="46"/>
  <c r="X76" i="46"/>
  <c r="X74" i="46"/>
  <c r="X72" i="46"/>
  <c r="X70" i="46"/>
  <c r="X68" i="46"/>
  <c r="X66" i="46"/>
  <c r="X64" i="46"/>
  <c r="X62" i="46"/>
  <c r="X60" i="46"/>
  <c r="X58" i="46"/>
  <c r="X77" i="46"/>
  <c r="X75" i="46"/>
  <c r="X73" i="46"/>
  <c r="X71" i="46"/>
  <c r="X69" i="46"/>
  <c r="X67" i="46"/>
  <c r="X65" i="46"/>
  <c r="X63" i="46"/>
  <c r="X61" i="46"/>
  <c r="X59" i="46"/>
  <c r="X57" i="46"/>
  <c r="X55" i="46"/>
  <c r="X53" i="46"/>
  <c r="X51" i="46"/>
  <c r="X49" i="46"/>
  <c r="X47" i="46"/>
  <c r="X43" i="46"/>
  <c r="X44" i="46"/>
  <c r="X45" i="46"/>
  <c r="X39" i="46"/>
  <c r="X37" i="46"/>
  <c r="X35" i="46"/>
  <c r="X33" i="46"/>
  <c r="X31" i="46"/>
  <c r="X29" i="46"/>
  <c r="X27" i="46"/>
  <c r="X25" i="46"/>
  <c r="X50" i="46"/>
  <c r="X48" i="46"/>
  <c r="X46" i="46"/>
  <c r="X42" i="46"/>
  <c r="X52" i="46"/>
  <c r="P6" i="46"/>
  <c r="X6" i="46"/>
  <c r="T7" i="46"/>
  <c r="AB7" i="46"/>
  <c r="P8" i="46"/>
  <c r="X8" i="46"/>
  <c r="T9" i="46"/>
  <c r="AB9" i="46"/>
  <c r="P10" i="46"/>
  <c r="X10" i="46"/>
  <c r="T11" i="46"/>
  <c r="AB11" i="46"/>
  <c r="P12" i="46"/>
  <c r="X12" i="46"/>
  <c r="T13" i="46"/>
  <c r="AB13" i="46"/>
  <c r="P14" i="46"/>
  <c r="X14" i="46"/>
  <c r="T15" i="46"/>
  <c r="AB15" i="46"/>
  <c r="P16" i="46"/>
  <c r="X16" i="46"/>
  <c r="T17" i="46"/>
  <c r="AB17" i="46"/>
  <c r="P18" i="46"/>
  <c r="X18" i="46"/>
  <c r="T19" i="46"/>
  <c r="AB19" i="46"/>
  <c r="P20" i="46"/>
  <c r="X20" i="46"/>
  <c r="T21" i="46"/>
  <c r="AB21" i="46"/>
  <c r="P22" i="46"/>
  <c r="X22" i="46"/>
  <c r="X23" i="46"/>
  <c r="T24" i="46"/>
  <c r="O25" i="46"/>
  <c r="S26" i="46"/>
  <c r="M31" i="46"/>
  <c r="P32" i="46"/>
  <c r="T33" i="46"/>
  <c r="U35" i="46"/>
  <c r="X36" i="46"/>
  <c r="AB37" i="46"/>
  <c r="AC39" i="46"/>
  <c r="AB43" i="46"/>
  <c r="X54" i="46"/>
  <c r="N227" i="46"/>
  <c r="N225" i="46"/>
  <c r="N223" i="46"/>
  <c r="N221" i="46"/>
  <c r="N226" i="46"/>
  <c r="N224" i="46"/>
  <c r="N222" i="46"/>
  <c r="N220" i="46"/>
  <c r="N218" i="46"/>
  <c r="N216" i="46"/>
  <c r="N214" i="46"/>
  <c r="N213" i="46"/>
  <c r="N211" i="46"/>
  <c r="N209" i="46"/>
  <c r="N207" i="46"/>
  <c r="N205" i="46"/>
  <c r="N203" i="46"/>
  <c r="N217" i="46"/>
  <c r="N212" i="46"/>
  <c r="N219" i="46"/>
  <c r="N210" i="46"/>
  <c r="N208" i="46"/>
  <c r="N206" i="46"/>
  <c r="N204" i="46"/>
  <c r="N201" i="46"/>
  <c r="N199" i="46"/>
  <c r="N197" i="46"/>
  <c r="N195" i="46"/>
  <c r="N215" i="46"/>
  <c r="N202" i="46"/>
  <c r="N200" i="46"/>
  <c r="N198" i="46"/>
  <c r="N193" i="46"/>
  <c r="N191" i="46"/>
  <c r="N189" i="46"/>
  <c r="N187" i="46"/>
  <c r="N196" i="46"/>
  <c r="N194" i="46"/>
  <c r="N192" i="46"/>
  <c r="N190" i="46"/>
  <c r="N188" i="46"/>
  <c r="N184" i="46"/>
  <c r="N182" i="46"/>
  <c r="N180" i="46"/>
  <c r="N186" i="46"/>
  <c r="N177" i="46"/>
  <c r="N175" i="46"/>
  <c r="N173" i="46"/>
  <c r="N171" i="46"/>
  <c r="N169" i="46"/>
  <c r="N179" i="46"/>
  <c r="N176" i="46"/>
  <c r="N174" i="46"/>
  <c r="N172" i="46"/>
  <c r="N170" i="46"/>
  <c r="N168" i="46"/>
  <c r="N185" i="46"/>
  <c r="N178" i="46"/>
  <c r="N183" i="46"/>
  <c r="N181" i="46"/>
  <c r="N167" i="46"/>
  <c r="N165" i="46"/>
  <c r="N163" i="46"/>
  <c r="N161" i="46"/>
  <c r="N159" i="46"/>
  <c r="N157" i="46"/>
  <c r="N153" i="46"/>
  <c r="N150" i="46"/>
  <c r="N154" i="46"/>
  <c r="N166" i="46"/>
  <c r="N164" i="46"/>
  <c r="N155" i="46"/>
  <c r="N147" i="46"/>
  <c r="N145" i="46"/>
  <c r="N143" i="46"/>
  <c r="N141" i="46"/>
  <c r="N139" i="46"/>
  <c r="N137" i="46"/>
  <c r="N135" i="46"/>
  <c r="N133" i="46"/>
  <c r="N162" i="46"/>
  <c r="N156" i="46"/>
  <c r="N151" i="46"/>
  <c r="N158" i="46"/>
  <c r="N152" i="46"/>
  <c r="N149" i="46"/>
  <c r="N148" i="46"/>
  <c r="N146" i="46"/>
  <c r="N144" i="46"/>
  <c r="N142" i="46"/>
  <c r="N140" i="46"/>
  <c r="N138" i="46"/>
  <c r="N136" i="46"/>
  <c r="N134" i="46"/>
  <c r="N160" i="46"/>
  <c r="N132" i="46"/>
  <c r="N130" i="46"/>
  <c r="N128" i="46"/>
  <c r="N126" i="46"/>
  <c r="N124" i="46"/>
  <c r="N122" i="46"/>
  <c r="N120" i="46"/>
  <c r="N118" i="46"/>
  <c r="N116" i="46"/>
  <c r="N131" i="46"/>
  <c r="N129" i="46"/>
  <c r="N127" i="46"/>
  <c r="N125" i="46"/>
  <c r="N123" i="46"/>
  <c r="N121" i="46"/>
  <c r="N119" i="46"/>
  <c r="N117" i="46"/>
  <c r="N115" i="46"/>
  <c r="N114" i="46"/>
  <c r="N112" i="46"/>
  <c r="N110" i="46"/>
  <c r="N108" i="46"/>
  <c r="N106" i="46"/>
  <c r="N104" i="46"/>
  <c r="N102" i="46"/>
  <c r="N100" i="46"/>
  <c r="N113" i="46"/>
  <c r="N111" i="46"/>
  <c r="N109" i="46"/>
  <c r="N107" i="46"/>
  <c r="N105" i="46"/>
  <c r="N103" i="46"/>
  <c r="N101" i="46"/>
  <c r="N99" i="46"/>
  <c r="N97" i="46"/>
  <c r="N95" i="46"/>
  <c r="N93" i="46"/>
  <c r="N91" i="46"/>
  <c r="N89" i="46"/>
  <c r="N87" i="46"/>
  <c r="N85" i="46"/>
  <c r="N83" i="46"/>
  <c r="N81" i="46"/>
  <c r="N79" i="46"/>
  <c r="N98" i="46"/>
  <c r="N96" i="46"/>
  <c r="N94" i="46"/>
  <c r="N92" i="46"/>
  <c r="N90" i="46"/>
  <c r="N88" i="46"/>
  <c r="N86" i="46"/>
  <c r="N84" i="46"/>
  <c r="N82" i="46"/>
  <c r="N77" i="46"/>
  <c r="N75" i="46"/>
  <c r="N73" i="46"/>
  <c r="N71" i="46"/>
  <c r="N69" i="46"/>
  <c r="N67" i="46"/>
  <c r="N65" i="46"/>
  <c r="N63" i="46"/>
  <c r="N61" i="46"/>
  <c r="N59" i="46"/>
  <c r="N80" i="46"/>
  <c r="N78" i="46"/>
  <c r="N76" i="46"/>
  <c r="N74" i="46"/>
  <c r="N72" i="46"/>
  <c r="N70" i="46"/>
  <c r="N68" i="46"/>
  <c r="N66" i="46"/>
  <c r="N64" i="46"/>
  <c r="N62" i="46"/>
  <c r="N60" i="46"/>
  <c r="N56" i="46"/>
  <c r="N54" i="46"/>
  <c r="N52" i="46"/>
  <c r="N50" i="46"/>
  <c r="N48" i="46"/>
  <c r="N46" i="46"/>
  <c r="N44" i="46"/>
  <c r="N42" i="46"/>
  <c r="N58" i="46"/>
  <c r="N57" i="46"/>
  <c r="N55" i="46"/>
  <c r="N53" i="46"/>
  <c r="N51" i="46"/>
  <c r="N49" i="46"/>
  <c r="N47" i="46"/>
  <c r="N45" i="46"/>
  <c r="N43" i="46"/>
  <c r="N40" i="46"/>
  <c r="N38" i="46"/>
  <c r="N36" i="46"/>
  <c r="N34" i="46"/>
  <c r="N32" i="46"/>
  <c r="N30" i="46"/>
  <c r="N28" i="46"/>
  <c r="N26" i="46"/>
  <c r="N24" i="46"/>
  <c r="N39" i="46"/>
  <c r="N37" i="46"/>
  <c r="N35" i="46"/>
  <c r="N33" i="46"/>
  <c r="N31" i="46"/>
  <c r="N29" i="46"/>
  <c r="N27" i="46"/>
  <c r="N25" i="46"/>
  <c r="N12" i="46"/>
  <c r="V16" i="46"/>
  <c r="V20" i="46"/>
  <c r="V23" i="46"/>
  <c r="W227" i="46"/>
  <c r="W226" i="46"/>
  <c r="W224" i="46"/>
  <c r="W216" i="46"/>
  <c r="W214" i="46"/>
  <c r="W219" i="46"/>
  <c r="W223" i="46"/>
  <c r="W220" i="46"/>
  <c r="W218" i="46"/>
  <c r="W217" i="46"/>
  <c r="W222" i="46"/>
  <c r="W225" i="46"/>
  <c r="W211" i="46"/>
  <c r="W209" i="46"/>
  <c r="W207" i="46"/>
  <c r="W205" i="46"/>
  <c r="W213" i="46"/>
  <c r="W215" i="46"/>
  <c r="W221" i="46"/>
  <c r="W210" i="46"/>
  <c r="W208" i="46"/>
  <c r="W206" i="46"/>
  <c r="W204" i="46"/>
  <c r="W212" i="46"/>
  <c r="W203" i="46"/>
  <c r="W202" i="46"/>
  <c r="W200" i="46"/>
  <c r="W198" i="46"/>
  <c r="W199" i="46"/>
  <c r="W197" i="46"/>
  <c r="W194" i="46"/>
  <c r="W192" i="46"/>
  <c r="W201" i="46"/>
  <c r="W196" i="46"/>
  <c r="W193" i="46"/>
  <c r="W191" i="46"/>
  <c r="W189" i="46"/>
  <c r="W186" i="46"/>
  <c r="W190" i="46"/>
  <c r="W188" i="46"/>
  <c r="W187" i="46"/>
  <c r="W184" i="46"/>
  <c r="W182" i="46"/>
  <c r="W180" i="46"/>
  <c r="W195" i="46"/>
  <c r="W185" i="46"/>
  <c r="W183" i="46"/>
  <c r="W181" i="46"/>
  <c r="W179" i="46"/>
  <c r="W178" i="46"/>
  <c r="W176" i="46"/>
  <c r="W174" i="46"/>
  <c r="W172" i="46"/>
  <c r="W177" i="46"/>
  <c r="W175" i="46"/>
  <c r="W173" i="46"/>
  <c r="W171" i="46"/>
  <c r="W169" i="46"/>
  <c r="W167" i="46"/>
  <c r="W165" i="46"/>
  <c r="W163" i="46"/>
  <c r="W161" i="46"/>
  <c r="W159" i="46"/>
  <c r="W157" i="46"/>
  <c r="W155" i="46"/>
  <c r="W153" i="46"/>
  <c r="W168" i="46"/>
  <c r="W166" i="46"/>
  <c r="W164" i="46"/>
  <c r="W162" i="46"/>
  <c r="W160" i="46"/>
  <c r="W158" i="46"/>
  <c r="W156" i="46"/>
  <c r="W154" i="46"/>
  <c r="W152" i="46"/>
  <c r="W149" i="46"/>
  <c r="W150" i="46"/>
  <c r="W147" i="46"/>
  <c r="W145" i="46"/>
  <c r="W143" i="46"/>
  <c r="W141" i="46"/>
  <c r="W139" i="46"/>
  <c r="W137" i="46"/>
  <c r="W170" i="46"/>
  <c r="W151" i="46"/>
  <c r="W148" i="46"/>
  <c r="W146" i="46"/>
  <c r="W144" i="46"/>
  <c r="W142" i="46"/>
  <c r="W140" i="46"/>
  <c r="W138" i="46"/>
  <c r="W134" i="46"/>
  <c r="W135" i="46"/>
  <c r="W130" i="46"/>
  <c r="W128" i="46"/>
  <c r="W126" i="46"/>
  <c r="W124" i="46"/>
  <c r="W122" i="46"/>
  <c r="W132" i="46"/>
  <c r="W133" i="46"/>
  <c r="W131" i="46"/>
  <c r="W129" i="46"/>
  <c r="W127" i="46"/>
  <c r="W125" i="46"/>
  <c r="W123" i="46"/>
  <c r="W121" i="46"/>
  <c r="W120" i="46"/>
  <c r="W136" i="46"/>
  <c r="W118" i="46"/>
  <c r="W115" i="46"/>
  <c r="W114" i="46"/>
  <c r="W112" i="46"/>
  <c r="W110" i="46"/>
  <c r="W108" i="46"/>
  <c r="W106" i="46"/>
  <c r="W104" i="46"/>
  <c r="W102" i="46"/>
  <c r="W119" i="46"/>
  <c r="W116" i="46"/>
  <c r="W113" i="46"/>
  <c r="W111" i="46"/>
  <c r="W109" i="46"/>
  <c r="W107" i="46"/>
  <c r="W105" i="46"/>
  <c r="W103" i="46"/>
  <c r="W101" i="46"/>
  <c r="W117" i="46"/>
  <c r="W99" i="46"/>
  <c r="W97" i="46"/>
  <c r="W100" i="46"/>
  <c r="W94" i="46"/>
  <c r="W92" i="46"/>
  <c r="W90" i="46"/>
  <c r="W88" i="46"/>
  <c r="W86" i="46"/>
  <c r="W84" i="46"/>
  <c r="W98" i="46"/>
  <c r="W96" i="46"/>
  <c r="W95" i="46"/>
  <c r="W93" i="46"/>
  <c r="W91" i="46"/>
  <c r="W89" i="46"/>
  <c r="W87" i="46"/>
  <c r="W85" i="46"/>
  <c r="W83" i="46"/>
  <c r="W81" i="46"/>
  <c r="W78" i="46"/>
  <c r="W76" i="46"/>
  <c r="W74" i="46"/>
  <c r="W72" i="46"/>
  <c r="W70" i="46"/>
  <c r="W68" i="46"/>
  <c r="W66" i="46"/>
  <c r="W82" i="46"/>
  <c r="W79" i="46"/>
  <c r="W56" i="46"/>
  <c r="W54" i="46"/>
  <c r="W52" i="46"/>
  <c r="W50" i="46"/>
  <c r="W48" i="46"/>
  <c r="W46" i="46"/>
  <c r="W44" i="46"/>
  <c r="W42" i="46"/>
  <c r="W80" i="46"/>
  <c r="W71" i="46"/>
  <c r="W77" i="46"/>
  <c r="W69" i="46"/>
  <c r="W57" i="46"/>
  <c r="W55" i="46"/>
  <c r="W53" i="46"/>
  <c r="W51" i="46"/>
  <c r="W49" i="46"/>
  <c r="W47" i="46"/>
  <c r="W45" i="46"/>
  <c r="W43" i="46"/>
  <c r="W75" i="46"/>
  <c r="W67" i="46"/>
  <c r="W65" i="46"/>
  <c r="W64" i="46"/>
  <c r="W63" i="46"/>
  <c r="W62" i="46"/>
  <c r="W61" i="46"/>
  <c r="W60" i="46"/>
  <c r="W58" i="46"/>
  <c r="W59" i="46"/>
  <c r="W41" i="46"/>
  <c r="W40" i="46"/>
  <c r="W38" i="46"/>
  <c r="W36" i="46"/>
  <c r="W34" i="46"/>
  <c r="W32" i="46"/>
  <c r="W30" i="46"/>
  <c r="W28" i="46"/>
  <c r="W26" i="46"/>
  <c r="W24" i="46"/>
  <c r="W73" i="46"/>
  <c r="W39" i="46"/>
  <c r="W37" i="46"/>
  <c r="W35" i="46"/>
  <c r="W33" i="46"/>
  <c r="W31" i="46"/>
  <c r="W29" i="46"/>
  <c r="W10" i="46"/>
  <c r="O12" i="46"/>
  <c r="O14" i="46"/>
  <c r="Q226" i="46"/>
  <c r="Q224" i="46"/>
  <c r="Q222" i="46"/>
  <c r="Q220" i="46"/>
  <c r="Q218" i="46"/>
  <c r="Q227" i="46"/>
  <c r="Q225" i="46"/>
  <c r="Q217" i="46"/>
  <c r="Q215" i="46"/>
  <c r="Q213" i="46"/>
  <c r="Q223" i="46"/>
  <c r="Q219" i="46"/>
  <c r="Q216" i="46"/>
  <c r="Q214" i="46"/>
  <c r="Q212" i="46"/>
  <c r="Q221" i="46"/>
  <c r="Q210" i="46"/>
  <c r="Q208" i="46"/>
  <c r="Q206" i="46"/>
  <c r="Q207" i="46"/>
  <c r="Q211" i="46"/>
  <c r="Q209" i="46"/>
  <c r="Q202" i="46"/>
  <c r="Q200" i="46"/>
  <c r="Q198" i="46"/>
  <c r="Q196" i="46"/>
  <c r="Q204" i="46"/>
  <c r="Q201" i="46"/>
  <c r="Q199" i="46"/>
  <c r="Q195" i="46"/>
  <c r="Q194" i="46"/>
  <c r="Q192" i="46"/>
  <c r="Q190" i="46"/>
  <c r="Q188" i="46"/>
  <c r="Q186" i="46"/>
  <c r="Q197" i="46"/>
  <c r="Q205" i="46"/>
  <c r="Q184" i="46"/>
  <c r="Q182" i="46"/>
  <c r="Q180" i="46"/>
  <c r="Q178" i="46"/>
  <c r="Q203" i="46"/>
  <c r="Q189" i="46"/>
  <c r="Q187" i="46"/>
  <c r="Q185" i="46"/>
  <c r="Q183" i="46"/>
  <c r="Q181" i="46"/>
  <c r="Q179" i="46"/>
  <c r="Q193" i="46"/>
  <c r="Q191" i="46"/>
  <c r="Q176" i="46"/>
  <c r="Q174" i="46"/>
  <c r="Q172" i="46"/>
  <c r="Q170" i="46"/>
  <c r="Q168" i="46"/>
  <c r="Q167" i="46"/>
  <c r="Q165" i="46"/>
  <c r="Q163" i="46"/>
  <c r="Q161" i="46"/>
  <c r="Q159" i="46"/>
  <c r="Q157" i="46"/>
  <c r="Q169" i="46"/>
  <c r="Q166" i="46"/>
  <c r="Q164" i="46"/>
  <c r="Q162" i="46"/>
  <c r="Q160" i="46"/>
  <c r="Q158" i="46"/>
  <c r="Q156" i="46"/>
  <c r="Q154" i="46"/>
  <c r="Q152" i="46"/>
  <c r="Q150" i="46"/>
  <c r="Q175" i="46"/>
  <c r="Q173" i="46"/>
  <c r="Q171" i="46"/>
  <c r="Q177" i="46"/>
  <c r="Q147" i="46"/>
  <c r="Q145" i="46"/>
  <c r="Q143" i="46"/>
  <c r="Q141" i="46"/>
  <c r="Q139" i="46"/>
  <c r="Q137" i="46"/>
  <c r="Q135" i="46"/>
  <c r="Q133" i="46"/>
  <c r="Q155" i="46"/>
  <c r="Q151" i="46"/>
  <c r="Q149" i="46"/>
  <c r="Q148" i="46"/>
  <c r="Q146" i="46"/>
  <c r="Q144" i="46"/>
  <c r="Q142" i="46"/>
  <c r="Q140" i="46"/>
  <c r="Q138" i="46"/>
  <c r="Q136" i="46"/>
  <c r="Q134" i="46"/>
  <c r="Q153" i="46"/>
  <c r="Q132" i="46"/>
  <c r="Q130" i="46"/>
  <c r="Q128" i="46"/>
  <c r="Q126" i="46"/>
  <c r="Q124" i="46"/>
  <c r="Q122" i="46"/>
  <c r="Q120" i="46"/>
  <c r="Q118" i="46"/>
  <c r="Q116" i="46"/>
  <c r="Q131" i="46"/>
  <c r="Q129" i="46"/>
  <c r="Q127" i="46"/>
  <c r="Q125" i="46"/>
  <c r="Q123" i="46"/>
  <c r="Q121" i="46"/>
  <c r="Q119" i="46"/>
  <c r="Q117" i="46"/>
  <c r="Q115" i="46"/>
  <c r="Q114" i="46"/>
  <c r="Q112" i="46"/>
  <c r="Q110" i="46"/>
  <c r="Q108" i="46"/>
  <c r="Q106" i="46"/>
  <c r="Q104" i="46"/>
  <c r="Q102" i="46"/>
  <c r="Q100" i="46"/>
  <c r="Q98" i="46"/>
  <c r="Q96" i="46"/>
  <c r="Q113" i="46"/>
  <c r="Q111" i="46"/>
  <c r="Q109" i="46"/>
  <c r="Q107" i="46"/>
  <c r="Q105" i="46"/>
  <c r="Q103" i="46"/>
  <c r="Q101" i="46"/>
  <c r="Q99" i="46"/>
  <c r="Q97" i="46"/>
  <c r="Q94" i="46"/>
  <c r="Q92" i="46"/>
  <c r="Q90" i="46"/>
  <c r="Q88" i="46"/>
  <c r="Q86" i="46"/>
  <c r="Q84" i="46"/>
  <c r="Q82" i="46"/>
  <c r="Q80" i="46"/>
  <c r="Q95" i="46"/>
  <c r="Q93" i="46"/>
  <c r="Q91" i="46"/>
  <c r="Q89" i="46"/>
  <c r="Q87" i="46"/>
  <c r="Q85" i="46"/>
  <c r="Q83" i="46"/>
  <c r="Q81" i="46"/>
  <c r="Q79" i="46"/>
  <c r="Q78" i="46"/>
  <c r="Q76" i="46"/>
  <c r="Q74" i="46"/>
  <c r="Q72" i="46"/>
  <c r="Q70" i="46"/>
  <c r="Q68" i="46"/>
  <c r="Q66" i="46"/>
  <c r="Q64" i="46"/>
  <c r="Q62" i="46"/>
  <c r="Q60" i="46"/>
  <c r="Q58" i="46"/>
  <c r="Q77" i="46"/>
  <c r="Q75" i="46"/>
  <c r="Q73" i="46"/>
  <c r="Q71" i="46"/>
  <c r="Q69" i="46"/>
  <c r="Q67" i="46"/>
  <c r="Q65" i="46"/>
  <c r="Q63" i="46"/>
  <c r="Q61" i="46"/>
  <c r="Q59" i="46"/>
  <c r="Q57" i="46"/>
  <c r="Q55" i="46"/>
  <c r="Q53" i="46"/>
  <c r="Q51" i="46"/>
  <c r="Q49" i="46"/>
  <c r="Q47" i="46"/>
  <c r="Q45" i="46"/>
  <c r="Q43" i="46"/>
  <c r="Q41" i="46"/>
  <c r="Q56" i="46"/>
  <c r="Q54" i="46"/>
  <c r="Q52" i="46"/>
  <c r="Q50" i="46"/>
  <c r="Q48" i="46"/>
  <c r="Q46" i="46"/>
  <c r="Q44" i="46"/>
  <c r="Q42" i="46"/>
  <c r="Q39" i="46"/>
  <c r="Q37" i="46"/>
  <c r="Q35" i="46"/>
  <c r="Q33" i="46"/>
  <c r="Q31" i="46"/>
  <c r="Q29" i="46"/>
  <c r="Q27" i="46"/>
  <c r="Q25" i="46"/>
  <c r="Q23" i="46"/>
  <c r="Y226" i="46"/>
  <c r="Y224" i="46"/>
  <c r="Y222" i="46"/>
  <c r="Y220" i="46"/>
  <c r="Y218" i="46"/>
  <c r="Y223" i="46"/>
  <c r="Y217" i="46"/>
  <c r="Y215" i="46"/>
  <c r="Y213" i="46"/>
  <c r="Y221" i="46"/>
  <c r="Y216" i="46"/>
  <c r="Y214" i="46"/>
  <c r="Y212" i="46"/>
  <c r="Y227" i="46"/>
  <c r="Y210" i="46"/>
  <c r="Y208" i="46"/>
  <c r="Y206" i="46"/>
  <c r="Y219" i="46"/>
  <c r="Y211" i="46"/>
  <c r="Y209" i="46"/>
  <c r="Y202" i="46"/>
  <c r="Y200" i="46"/>
  <c r="Y198" i="46"/>
  <c r="Y196" i="46"/>
  <c r="Y204" i="46"/>
  <c r="Y203" i="46"/>
  <c r="Y225" i="46"/>
  <c r="Y201" i="46"/>
  <c r="Y199" i="46"/>
  <c r="Y205" i="46"/>
  <c r="Y197" i="46"/>
  <c r="Y194" i="46"/>
  <c r="Y192" i="46"/>
  <c r="Y190" i="46"/>
  <c r="Y188" i="46"/>
  <c r="Y186" i="46"/>
  <c r="Y195" i="46"/>
  <c r="Y184" i="46"/>
  <c r="Y182" i="46"/>
  <c r="Y180" i="46"/>
  <c r="Y178" i="46"/>
  <c r="Y207" i="46"/>
  <c r="Y189" i="46"/>
  <c r="Y187" i="46"/>
  <c r="Y193" i="46"/>
  <c r="Y191" i="46"/>
  <c r="Y185" i="46"/>
  <c r="Y183" i="46"/>
  <c r="Y181" i="46"/>
  <c r="Y179" i="46"/>
  <c r="Y176" i="46"/>
  <c r="Y174" i="46"/>
  <c r="Y172" i="46"/>
  <c r="Y170" i="46"/>
  <c r="Y168" i="46"/>
  <c r="Y167" i="46"/>
  <c r="Y165" i="46"/>
  <c r="Y163" i="46"/>
  <c r="Y161" i="46"/>
  <c r="Y159" i="46"/>
  <c r="Y157" i="46"/>
  <c r="Y166" i="46"/>
  <c r="Y164" i="46"/>
  <c r="Y162" i="46"/>
  <c r="Y160" i="46"/>
  <c r="Y158" i="46"/>
  <c r="Y156" i="46"/>
  <c r="Y154" i="46"/>
  <c r="Y152" i="46"/>
  <c r="Y150" i="46"/>
  <c r="Y175" i="46"/>
  <c r="Y173" i="46"/>
  <c r="Y171" i="46"/>
  <c r="Y177" i="46"/>
  <c r="Y169" i="46"/>
  <c r="Y147" i="46"/>
  <c r="Y145" i="46"/>
  <c r="Y143" i="46"/>
  <c r="Y141" i="46"/>
  <c r="Y139" i="46"/>
  <c r="Y137" i="46"/>
  <c r="Y135" i="46"/>
  <c r="Y133" i="46"/>
  <c r="Y153" i="46"/>
  <c r="Y148" i="46"/>
  <c r="Y146" i="46"/>
  <c r="Y144" i="46"/>
  <c r="Y142" i="46"/>
  <c r="Y140" i="46"/>
  <c r="Y138" i="46"/>
  <c r="Y136" i="46"/>
  <c r="Y134" i="46"/>
  <c r="Y132" i="46"/>
  <c r="Y155" i="46"/>
  <c r="Y149" i="46"/>
  <c r="Y130" i="46"/>
  <c r="Y128" i="46"/>
  <c r="Y126" i="46"/>
  <c r="Y124" i="46"/>
  <c r="Y122" i="46"/>
  <c r="Y120" i="46"/>
  <c r="Y118" i="46"/>
  <c r="Y116" i="46"/>
  <c r="Y151" i="46"/>
  <c r="Y131" i="46"/>
  <c r="Y129" i="46"/>
  <c r="Y127" i="46"/>
  <c r="Y125" i="46"/>
  <c r="Y123" i="46"/>
  <c r="Y121" i="46"/>
  <c r="Y119" i="46"/>
  <c r="Y117" i="46"/>
  <c r="Y115" i="46"/>
  <c r="Y114" i="46"/>
  <c r="Y112" i="46"/>
  <c r="Y110" i="46"/>
  <c r="Y108" i="46"/>
  <c r="Y106" i="46"/>
  <c r="Y104" i="46"/>
  <c r="Y102" i="46"/>
  <c r="Y100" i="46"/>
  <c r="Y98" i="46"/>
  <c r="Y96" i="46"/>
  <c r="Y113" i="46"/>
  <c r="Y111" i="46"/>
  <c r="Y109" i="46"/>
  <c r="Y107" i="46"/>
  <c r="Y105" i="46"/>
  <c r="Y103" i="46"/>
  <c r="Y101" i="46"/>
  <c r="Y99" i="46"/>
  <c r="Y97" i="46"/>
  <c r="Y94" i="46"/>
  <c r="Y92" i="46"/>
  <c r="Y90" i="46"/>
  <c r="Y88" i="46"/>
  <c r="Y86" i="46"/>
  <c r="Y84" i="46"/>
  <c r="Y82" i="46"/>
  <c r="Y80" i="46"/>
  <c r="Y95" i="46"/>
  <c r="Y93" i="46"/>
  <c r="Y91" i="46"/>
  <c r="Y89" i="46"/>
  <c r="Y87" i="46"/>
  <c r="Y85" i="46"/>
  <c r="Y83" i="46"/>
  <c r="Y81" i="46"/>
  <c r="Y79" i="46"/>
  <c r="Y78" i="46"/>
  <c r="Y76" i="46"/>
  <c r="Y74" i="46"/>
  <c r="Y72" i="46"/>
  <c r="Y70" i="46"/>
  <c r="Y68" i="46"/>
  <c r="Y66" i="46"/>
  <c r="Y64" i="46"/>
  <c r="Y62" i="46"/>
  <c r="Y60" i="46"/>
  <c r="Y58" i="46"/>
  <c r="Y77" i="46"/>
  <c r="Y75" i="46"/>
  <c r="Y73" i="46"/>
  <c r="Y71" i="46"/>
  <c r="Y69" i="46"/>
  <c r="Y67" i="46"/>
  <c r="Y65" i="46"/>
  <c r="Y63" i="46"/>
  <c r="Y61" i="46"/>
  <c r="Y59" i="46"/>
  <c r="Y57" i="46"/>
  <c r="Y55" i="46"/>
  <c r="Y53" i="46"/>
  <c r="Y51" i="46"/>
  <c r="Y49" i="46"/>
  <c r="Y47" i="46"/>
  <c r="Y45" i="46"/>
  <c r="Y43" i="46"/>
  <c r="Y41" i="46"/>
  <c r="Y56" i="46"/>
  <c r="Y54" i="46"/>
  <c r="Y52" i="46"/>
  <c r="Y50" i="46"/>
  <c r="Y48" i="46"/>
  <c r="Y46" i="46"/>
  <c r="Y44" i="46"/>
  <c r="Y42" i="46"/>
  <c r="Y39" i="46"/>
  <c r="Y37" i="46"/>
  <c r="Y35" i="46"/>
  <c r="Y33" i="46"/>
  <c r="Y31" i="46"/>
  <c r="Y29" i="46"/>
  <c r="Y27" i="46"/>
  <c r="Y25" i="46"/>
  <c r="Y23" i="46"/>
  <c r="Q6" i="46"/>
  <c r="Y6" i="46"/>
  <c r="M7" i="46"/>
  <c r="U7" i="46"/>
  <c r="AC7" i="46"/>
  <c r="Q8" i="46"/>
  <c r="Y8" i="46"/>
  <c r="M9" i="46"/>
  <c r="U9" i="46"/>
  <c r="AC9" i="46"/>
  <c r="Q10" i="46"/>
  <c r="Y10" i="46"/>
  <c r="M11" i="46"/>
  <c r="U11" i="46"/>
  <c r="AC11" i="46"/>
  <c r="Q12" i="46"/>
  <c r="Y12" i="46"/>
  <c r="M13" i="46"/>
  <c r="U13" i="46"/>
  <c r="AC13" i="46"/>
  <c r="Q14" i="46"/>
  <c r="Y14" i="46"/>
  <c r="M15" i="46"/>
  <c r="U15" i="46"/>
  <c r="AC15" i="46"/>
  <c r="Q16" i="46"/>
  <c r="Y16" i="46"/>
  <c r="M17" i="46"/>
  <c r="U17" i="46"/>
  <c r="AC17" i="46"/>
  <c r="Q18" i="46"/>
  <c r="Y18" i="46"/>
  <c r="M19" i="46"/>
  <c r="U19" i="46"/>
  <c r="AC19" i="46"/>
  <c r="Q20" i="46"/>
  <c r="Y20" i="46"/>
  <c r="M21" i="46"/>
  <c r="U21" i="46"/>
  <c r="AC21" i="46"/>
  <c r="Q22" i="46"/>
  <c r="Y22" i="46"/>
  <c r="O23" i="46"/>
  <c r="X24" i="46"/>
  <c r="T25" i="46"/>
  <c r="X26" i="46"/>
  <c r="AB27" i="46"/>
  <c r="M29" i="46"/>
  <c r="P30" i="46"/>
  <c r="T31" i="46"/>
  <c r="Q32" i="46"/>
  <c r="U33" i="46"/>
  <c r="X34" i="46"/>
  <c r="AB35" i="46"/>
  <c r="Y36" i="46"/>
  <c r="AC37" i="46"/>
  <c r="N41" i="46"/>
  <c r="P52" i="46"/>
  <c r="AB55" i="46"/>
  <c r="V6" i="46"/>
  <c r="N8" i="46"/>
  <c r="O18" i="46"/>
  <c r="R226" i="46"/>
  <c r="R224" i="46"/>
  <c r="R222" i="46"/>
  <c r="R227" i="46"/>
  <c r="R225" i="46"/>
  <c r="R223" i="46"/>
  <c r="R221" i="46"/>
  <c r="R219" i="46"/>
  <c r="R217" i="46"/>
  <c r="R215" i="46"/>
  <c r="R218" i="46"/>
  <c r="R212" i="46"/>
  <c r="R210" i="46"/>
  <c r="R208" i="46"/>
  <c r="R206" i="46"/>
  <c r="R204" i="46"/>
  <c r="R220" i="46"/>
  <c r="R216" i="46"/>
  <c r="R214" i="46"/>
  <c r="R213" i="46"/>
  <c r="R211" i="46"/>
  <c r="R209" i="46"/>
  <c r="R207" i="46"/>
  <c r="R205" i="46"/>
  <c r="R202" i="46"/>
  <c r="R200" i="46"/>
  <c r="R198" i="46"/>
  <c r="R196" i="46"/>
  <c r="R201" i="46"/>
  <c r="R199" i="46"/>
  <c r="R197" i="46"/>
  <c r="R203" i="46"/>
  <c r="R194" i="46"/>
  <c r="R192" i="46"/>
  <c r="R190" i="46"/>
  <c r="R188" i="46"/>
  <c r="R186" i="46"/>
  <c r="R193" i="46"/>
  <c r="R191" i="46"/>
  <c r="R189" i="46"/>
  <c r="R187" i="46"/>
  <c r="R195" i="46"/>
  <c r="R185" i="46"/>
  <c r="R183" i="46"/>
  <c r="R181" i="46"/>
  <c r="R176" i="46"/>
  <c r="R174" i="46"/>
  <c r="R172" i="46"/>
  <c r="R170" i="46"/>
  <c r="R168" i="46"/>
  <c r="R179" i="46"/>
  <c r="R178" i="46"/>
  <c r="R177" i="46"/>
  <c r="R175" i="46"/>
  <c r="R173" i="46"/>
  <c r="R171" i="46"/>
  <c r="R169" i="46"/>
  <c r="R184" i="46"/>
  <c r="R182" i="46"/>
  <c r="R180" i="46"/>
  <c r="R166" i="46"/>
  <c r="R164" i="46"/>
  <c r="R162" i="46"/>
  <c r="R160" i="46"/>
  <c r="R158" i="46"/>
  <c r="R154" i="46"/>
  <c r="R155" i="46"/>
  <c r="R151" i="46"/>
  <c r="R167" i="46"/>
  <c r="R165" i="46"/>
  <c r="R163" i="46"/>
  <c r="R156" i="46"/>
  <c r="R149" i="46"/>
  <c r="R148" i="46"/>
  <c r="R146" i="46"/>
  <c r="R144" i="46"/>
  <c r="R142" i="46"/>
  <c r="R140" i="46"/>
  <c r="R138" i="46"/>
  <c r="R136" i="46"/>
  <c r="R134" i="46"/>
  <c r="R161" i="46"/>
  <c r="R157" i="46"/>
  <c r="R153" i="46"/>
  <c r="R150" i="46"/>
  <c r="R147" i="46"/>
  <c r="R145" i="46"/>
  <c r="R143" i="46"/>
  <c r="R141" i="46"/>
  <c r="R139" i="46"/>
  <c r="R137" i="46"/>
  <c r="R135" i="46"/>
  <c r="R133" i="46"/>
  <c r="R131" i="46"/>
  <c r="R129" i="46"/>
  <c r="R127" i="46"/>
  <c r="R125" i="46"/>
  <c r="R123" i="46"/>
  <c r="R121" i="46"/>
  <c r="R119" i="46"/>
  <c r="R117" i="46"/>
  <c r="R115" i="46"/>
  <c r="R159" i="46"/>
  <c r="R132" i="46"/>
  <c r="R130" i="46"/>
  <c r="R128" i="46"/>
  <c r="R126" i="46"/>
  <c r="R124" i="46"/>
  <c r="R122" i="46"/>
  <c r="R120" i="46"/>
  <c r="R118" i="46"/>
  <c r="R116" i="46"/>
  <c r="R152" i="46"/>
  <c r="R113" i="46"/>
  <c r="R111" i="46"/>
  <c r="R109" i="46"/>
  <c r="R107" i="46"/>
  <c r="R105" i="46"/>
  <c r="R103" i="46"/>
  <c r="R101" i="46"/>
  <c r="R99" i="46"/>
  <c r="R114" i="46"/>
  <c r="R112" i="46"/>
  <c r="R110" i="46"/>
  <c r="R108" i="46"/>
  <c r="R106" i="46"/>
  <c r="R104" i="46"/>
  <c r="R102" i="46"/>
  <c r="R100" i="46"/>
  <c r="R98" i="46"/>
  <c r="R96" i="46"/>
  <c r="R94" i="46"/>
  <c r="R92" i="46"/>
  <c r="R90" i="46"/>
  <c r="R88" i="46"/>
  <c r="R86" i="46"/>
  <c r="R84" i="46"/>
  <c r="R82" i="46"/>
  <c r="R80" i="46"/>
  <c r="R97" i="46"/>
  <c r="R95" i="46"/>
  <c r="R93" i="46"/>
  <c r="R91" i="46"/>
  <c r="R89" i="46"/>
  <c r="R87" i="46"/>
  <c r="R85" i="46"/>
  <c r="R83" i="46"/>
  <c r="R81" i="46"/>
  <c r="R78" i="46"/>
  <c r="R76" i="46"/>
  <c r="R74" i="46"/>
  <c r="R72" i="46"/>
  <c r="R70" i="46"/>
  <c r="R68" i="46"/>
  <c r="R66" i="46"/>
  <c r="R64" i="46"/>
  <c r="R62" i="46"/>
  <c r="R60" i="46"/>
  <c r="R79" i="46"/>
  <c r="R77" i="46"/>
  <c r="R75" i="46"/>
  <c r="R73" i="46"/>
  <c r="R71" i="46"/>
  <c r="R69" i="46"/>
  <c r="R67" i="46"/>
  <c r="R65" i="46"/>
  <c r="R63" i="46"/>
  <c r="R61" i="46"/>
  <c r="R59" i="46"/>
  <c r="R58" i="46"/>
  <c r="R57" i="46"/>
  <c r="R55" i="46"/>
  <c r="R53" i="46"/>
  <c r="R51" i="46"/>
  <c r="R49" i="46"/>
  <c r="R47" i="46"/>
  <c r="R45" i="46"/>
  <c r="R43" i="46"/>
  <c r="R41" i="46"/>
  <c r="R56" i="46"/>
  <c r="R54" i="46"/>
  <c r="R52" i="46"/>
  <c r="R50" i="46"/>
  <c r="R48" i="46"/>
  <c r="R46" i="46"/>
  <c r="R44" i="46"/>
  <c r="R42" i="46"/>
  <c r="R39" i="46"/>
  <c r="R37" i="46"/>
  <c r="R35" i="46"/>
  <c r="R33" i="46"/>
  <c r="R31" i="46"/>
  <c r="R29" i="46"/>
  <c r="R27" i="46"/>
  <c r="R25" i="46"/>
  <c r="R23" i="46"/>
  <c r="R40" i="46"/>
  <c r="R38" i="46"/>
  <c r="R36" i="46"/>
  <c r="R34" i="46"/>
  <c r="R32" i="46"/>
  <c r="R30" i="46"/>
  <c r="R28" i="46"/>
  <c r="R26" i="46"/>
  <c r="Z226" i="46"/>
  <c r="Z224" i="46"/>
  <c r="Z222" i="46"/>
  <c r="Z227" i="46"/>
  <c r="Z225" i="46"/>
  <c r="Z223" i="46"/>
  <c r="Z221" i="46"/>
  <c r="Z219" i="46"/>
  <c r="Z218" i="46"/>
  <c r="Z217" i="46"/>
  <c r="Z215" i="46"/>
  <c r="Z220" i="46"/>
  <c r="Z216" i="46"/>
  <c r="Z214" i="46"/>
  <c r="Z213" i="46"/>
  <c r="Z210" i="46"/>
  <c r="Z208" i="46"/>
  <c r="Z206" i="46"/>
  <c r="Z204" i="46"/>
  <c r="Z212" i="46"/>
  <c r="Z211" i="46"/>
  <c r="Z209" i="46"/>
  <c r="Z207" i="46"/>
  <c r="Z205" i="46"/>
  <c r="Z202" i="46"/>
  <c r="Z200" i="46"/>
  <c r="Z198" i="46"/>
  <c r="Z196" i="46"/>
  <c r="Z203" i="46"/>
  <c r="Z201" i="46"/>
  <c r="Z199" i="46"/>
  <c r="Z197" i="46"/>
  <c r="Z194" i="46"/>
  <c r="Z192" i="46"/>
  <c r="Z190" i="46"/>
  <c r="Z188" i="46"/>
  <c r="Z186" i="46"/>
  <c r="Z195" i="46"/>
  <c r="Z193" i="46"/>
  <c r="Z191" i="46"/>
  <c r="Z189" i="46"/>
  <c r="Z187" i="46"/>
  <c r="Z185" i="46"/>
  <c r="Z183" i="46"/>
  <c r="Z181" i="46"/>
  <c r="Z176" i="46"/>
  <c r="Z174" i="46"/>
  <c r="Z172" i="46"/>
  <c r="Z170" i="46"/>
  <c r="Z168" i="46"/>
  <c r="Z177" i="46"/>
  <c r="Z175" i="46"/>
  <c r="Z173" i="46"/>
  <c r="Z171" i="46"/>
  <c r="Z169" i="46"/>
  <c r="Z182" i="46"/>
  <c r="Z180" i="46"/>
  <c r="Z179" i="46"/>
  <c r="Z178" i="46"/>
  <c r="Z184" i="46"/>
  <c r="Z166" i="46"/>
  <c r="Z164" i="46"/>
  <c r="Z162" i="46"/>
  <c r="Z160" i="46"/>
  <c r="Z158" i="46"/>
  <c r="Z156" i="46"/>
  <c r="Z167" i="46"/>
  <c r="Z165" i="46"/>
  <c r="Z150" i="46"/>
  <c r="Z163" i="46"/>
  <c r="Z152" i="46"/>
  <c r="Z161" i="46"/>
  <c r="Z153" i="46"/>
  <c r="Z148" i="46"/>
  <c r="Z146" i="46"/>
  <c r="Z144" i="46"/>
  <c r="Z142" i="46"/>
  <c r="Z140" i="46"/>
  <c r="Z138" i="46"/>
  <c r="Z136" i="46"/>
  <c r="Z134" i="46"/>
  <c r="Z159" i="46"/>
  <c r="Z151" i="46"/>
  <c r="Z155" i="46"/>
  <c r="Z149" i="46"/>
  <c r="Z147" i="46"/>
  <c r="Z145" i="46"/>
  <c r="Z143" i="46"/>
  <c r="Z141" i="46"/>
  <c r="Z139" i="46"/>
  <c r="Z137" i="46"/>
  <c r="Z135" i="46"/>
  <c r="Z133" i="46"/>
  <c r="Z132" i="46"/>
  <c r="Z154" i="46"/>
  <c r="Z131" i="46"/>
  <c r="Z129" i="46"/>
  <c r="Z127" i="46"/>
  <c r="Z125" i="46"/>
  <c r="Z123" i="46"/>
  <c r="Z121" i="46"/>
  <c r="Z119" i="46"/>
  <c r="Z117" i="46"/>
  <c r="Z115" i="46"/>
  <c r="Z157" i="46"/>
  <c r="Z130" i="46"/>
  <c r="Z128" i="46"/>
  <c r="Z126" i="46"/>
  <c r="Z124" i="46"/>
  <c r="Z122" i="46"/>
  <c r="Z120" i="46"/>
  <c r="Z118" i="46"/>
  <c r="Z116" i="46"/>
  <c r="Z113" i="46"/>
  <c r="Z111" i="46"/>
  <c r="Z109" i="46"/>
  <c r="Z107" i="46"/>
  <c r="Z105" i="46"/>
  <c r="Z103" i="46"/>
  <c r="Z101" i="46"/>
  <c r="Z99" i="46"/>
  <c r="Z114" i="46"/>
  <c r="Z112" i="46"/>
  <c r="Z110" i="46"/>
  <c r="Z108" i="46"/>
  <c r="Z106" i="46"/>
  <c r="Z104" i="46"/>
  <c r="Z102" i="46"/>
  <c r="Z100" i="46"/>
  <c r="Z98" i="46"/>
  <c r="Z96" i="46"/>
  <c r="Z97" i="46"/>
  <c r="Z94" i="46"/>
  <c r="Z92" i="46"/>
  <c r="Z90" i="46"/>
  <c r="Z88" i="46"/>
  <c r="Z86" i="46"/>
  <c r="Z84" i="46"/>
  <c r="Z82" i="46"/>
  <c r="Z80" i="46"/>
  <c r="Z95" i="46"/>
  <c r="Z93" i="46"/>
  <c r="Z91" i="46"/>
  <c r="Z89" i="46"/>
  <c r="Z87" i="46"/>
  <c r="Z85" i="46"/>
  <c r="Z83" i="46"/>
  <c r="Z81" i="46"/>
  <c r="Z78" i="46"/>
  <c r="Z76" i="46"/>
  <c r="Z74" i="46"/>
  <c r="Z72" i="46"/>
  <c r="Z70" i="46"/>
  <c r="Z68" i="46"/>
  <c r="Z66" i="46"/>
  <c r="Z64" i="46"/>
  <c r="Z62" i="46"/>
  <c r="Z60" i="46"/>
  <c r="Z77" i="46"/>
  <c r="Z75" i="46"/>
  <c r="Z73" i="46"/>
  <c r="Z71" i="46"/>
  <c r="Z69" i="46"/>
  <c r="Z67" i="46"/>
  <c r="Z65" i="46"/>
  <c r="Z63" i="46"/>
  <c r="Z61" i="46"/>
  <c r="Z79" i="46"/>
  <c r="Z57" i="46"/>
  <c r="Z55" i="46"/>
  <c r="Z53" i="46"/>
  <c r="Z51" i="46"/>
  <c r="Z49" i="46"/>
  <c r="Z47" i="46"/>
  <c r="Z45" i="46"/>
  <c r="Z43" i="46"/>
  <c r="Z41" i="46"/>
  <c r="Z58" i="46"/>
  <c r="Z59" i="46"/>
  <c r="Z56" i="46"/>
  <c r="Z54" i="46"/>
  <c r="Z52" i="46"/>
  <c r="Z50" i="46"/>
  <c r="Z48" i="46"/>
  <c r="Z46" i="46"/>
  <c r="Z44" i="46"/>
  <c r="Z42" i="46"/>
  <c r="Z39" i="46"/>
  <c r="Z37" i="46"/>
  <c r="Z35" i="46"/>
  <c r="Z33" i="46"/>
  <c r="Z31" i="46"/>
  <c r="Z29" i="46"/>
  <c r="Z27" i="46"/>
  <c r="Z25" i="46"/>
  <c r="Z23" i="46"/>
  <c r="Z40" i="46"/>
  <c r="Z38" i="46"/>
  <c r="Z36" i="46"/>
  <c r="Z34" i="46"/>
  <c r="Z32" i="46"/>
  <c r="Z30" i="46"/>
  <c r="Z28" i="46"/>
  <c r="Z26" i="46"/>
  <c r="R6" i="46"/>
  <c r="Z6" i="46"/>
  <c r="N7" i="46"/>
  <c r="V7" i="46"/>
  <c r="R8" i="46"/>
  <c r="Z8" i="46"/>
  <c r="N9" i="46"/>
  <c r="V9" i="46"/>
  <c r="R10" i="46"/>
  <c r="Z10" i="46"/>
  <c r="N11" i="46"/>
  <c r="V11" i="46"/>
  <c r="R12" i="46"/>
  <c r="Z12" i="46"/>
  <c r="N13" i="46"/>
  <c r="V13" i="46"/>
  <c r="R14" i="46"/>
  <c r="Z14" i="46"/>
  <c r="N15" i="46"/>
  <c r="V15" i="46"/>
  <c r="R16" i="46"/>
  <c r="Z16" i="46"/>
  <c r="N17" i="46"/>
  <c r="V17" i="46"/>
  <c r="R18" i="46"/>
  <c r="Z18" i="46"/>
  <c r="N19" i="46"/>
  <c r="V19" i="46"/>
  <c r="R20" i="46"/>
  <c r="Z20" i="46"/>
  <c r="N21" i="46"/>
  <c r="V21" i="46"/>
  <c r="R22" i="46"/>
  <c r="Z22" i="46"/>
  <c r="N10" i="46"/>
  <c r="N16" i="46"/>
  <c r="N20" i="46"/>
  <c r="V22" i="46"/>
  <c r="O6" i="46"/>
  <c r="W16" i="46"/>
  <c r="W18" i="46"/>
  <c r="O20" i="46"/>
  <c r="S227" i="46"/>
  <c r="S225" i="46"/>
  <c r="S217" i="46"/>
  <c r="S215" i="46"/>
  <c r="S222" i="46"/>
  <c r="S226" i="46"/>
  <c r="S223" i="46"/>
  <c r="S219" i="46"/>
  <c r="S216" i="46"/>
  <c r="S221" i="46"/>
  <c r="S220" i="46"/>
  <c r="S218" i="46"/>
  <c r="S224" i="46"/>
  <c r="S212" i="46"/>
  <c r="S210" i="46"/>
  <c r="S208" i="46"/>
  <c r="S206" i="46"/>
  <c r="S204" i="46"/>
  <c r="S214" i="46"/>
  <c r="S213" i="46"/>
  <c r="S211" i="46"/>
  <c r="S209" i="46"/>
  <c r="S207" i="46"/>
  <c r="S205" i="46"/>
  <c r="S201" i="46"/>
  <c r="S199" i="46"/>
  <c r="S203" i="46"/>
  <c r="S197" i="46"/>
  <c r="S196" i="46"/>
  <c r="S193" i="46"/>
  <c r="S198" i="46"/>
  <c r="S195" i="46"/>
  <c r="S200" i="46"/>
  <c r="S194" i="46"/>
  <c r="S192" i="46"/>
  <c r="S190" i="46"/>
  <c r="S189" i="46"/>
  <c r="S185" i="46"/>
  <c r="S183" i="46"/>
  <c r="S181" i="46"/>
  <c r="S187" i="46"/>
  <c r="S186" i="46"/>
  <c r="S188" i="46"/>
  <c r="S202" i="46"/>
  <c r="S191" i="46"/>
  <c r="S184" i="46"/>
  <c r="S182" i="46"/>
  <c r="S180" i="46"/>
  <c r="S179" i="46"/>
  <c r="S178" i="46"/>
  <c r="S177" i="46"/>
  <c r="S175" i="46"/>
  <c r="S173" i="46"/>
  <c r="S171" i="46"/>
  <c r="S176" i="46"/>
  <c r="S174" i="46"/>
  <c r="S172" i="46"/>
  <c r="S170" i="46"/>
  <c r="S169" i="46"/>
  <c r="S166" i="46"/>
  <c r="S164" i="46"/>
  <c r="S162" i="46"/>
  <c r="S160" i="46"/>
  <c r="S158" i="46"/>
  <c r="S156" i="46"/>
  <c r="S154" i="46"/>
  <c r="S152" i="46"/>
  <c r="S168" i="46"/>
  <c r="S167" i="46"/>
  <c r="S165" i="46"/>
  <c r="S163" i="46"/>
  <c r="S161" i="46"/>
  <c r="S159" i="46"/>
  <c r="S157" i="46"/>
  <c r="S155" i="46"/>
  <c r="S153" i="46"/>
  <c r="S151" i="46"/>
  <c r="S149" i="46"/>
  <c r="S148" i="46"/>
  <c r="S146" i="46"/>
  <c r="S144" i="46"/>
  <c r="S142" i="46"/>
  <c r="S140" i="46"/>
  <c r="S138" i="46"/>
  <c r="S136" i="46"/>
  <c r="S147" i="46"/>
  <c r="S145" i="46"/>
  <c r="S143" i="46"/>
  <c r="S141" i="46"/>
  <c r="S139" i="46"/>
  <c r="S137" i="46"/>
  <c r="S133" i="46"/>
  <c r="S150" i="46"/>
  <c r="S134" i="46"/>
  <c r="S131" i="46"/>
  <c r="S129" i="46"/>
  <c r="S127" i="46"/>
  <c r="S125" i="46"/>
  <c r="S123" i="46"/>
  <c r="S121" i="46"/>
  <c r="S135" i="46"/>
  <c r="S132" i="46"/>
  <c r="S130" i="46"/>
  <c r="S128" i="46"/>
  <c r="S126" i="46"/>
  <c r="S124" i="46"/>
  <c r="S122" i="46"/>
  <c r="S120" i="46"/>
  <c r="S117" i="46"/>
  <c r="S113" i="46"/>
  <c r="S111" i="46"/>
  <c r="S109" i="46"/>
  <c r="S107" i="46"/>
  <c r="S105" i="46"/>
  <c r="S103" i="46"/>
  <c r="S101" i="46"/>
  <c r="S118" i="46"/>
  <c r="S116" i="46"/>
  <c r="S114" i="46"/>
  <c r="S112" i="46"/>
  <c r="S110" i="46"/>
  <c r="S108" i="46"/>
  <c r="S106" i="46"/>
  <c r="S104" i="46"/>
  <c r="S102" i="46"/>
  <c r="S100" i="46"/>
  <c r="S119" i="46"/>
  <c r="S96" i="46"/>
  <c r="S99" i="46"/>
  <c r="S97" i="46"/>
  <c r="S95" i="46"/>
  <c r="S93" i="46"/>
  <c r="S91" i="46"/>
  <c r="S89" i="46"/>
  <c r="S87" i="46"/>
  <c r="S85" i="46"/>
  <c r="S83" i="46"/>
  <c r="S115" i="46"/>
  <c r="S98" i="46"/>
  <c r="S94" i="46"/>
  <c r="S92" i="46"/>
  <c r="S90" i="46"/>
  <c r="S88" i="46"/>
  <c r="S86" i="46"/>
  <c r="S84" i="46"/>
  <c r="S82" i="46"/>
  <c r="S79" i="46"/>
  <c r="S81" i="46"/>
  <c r="S80" i="46"/>
  <c r="S77" i="46"/>
  <c r="S75" i="46"/>
  <c r="S73" i="46"/>
  <c r="S71" i="46"/>
  <c r="S69" i="46"/>
  <c r="S67" i="46"/>
  <c r="S57" i="46"/>
  <c r="S55" i="46"/>
  <c r="S53" i="46"/>
  <c r="S51" i="46"/>
  <c r="S49" i="46"/>
  <c r="S47" i="46"/>
  <c r="S45" i="46"/>
  <c r="S43" i="46"/>
  <c r="S72" i="46"/>
  <c r="S78" i="46"/>
  <c r="S70" i="46"/>
  <c r="S56" i="46"/>
  <c r="S54" i="46"/>
  <c r="S52" i="46"/>
  <c r="S50" i="46"/>
  <c r="S48" i="46"/>
  <c r="S46" i="46"/>
  <c r="S44" i="46"/>
  <c r="S76" i="46"/>
  <c r="S68" i="46"/>
  <c r="S65" i="46"/>
  <c r="S64" i="46"/>
  <c r="S63" i="46"/>
  <c r="S62" i="46"/>
  <c r="S61" i="46"/>
  <c r="S60" i="46"/>
  <c r="S39" i="46"/>
  <c r="S37" i="46"/>
  <c r="S35" i="46"/>
  <c r="S33" i="46"/>
  <c r="S31" i="46"/>
  <c r="S29" i="46"/>
  <c r="S27" i="46"/>
  <c r="S25" i="46"/>
  <c r="S41" i="46"/>
  <c r="S66" i="46"/>
  <c r="S58" i="46"/>
  <c r="S40" i="46"/>
  <c r="S38" i="46"/>
  <c r="S36" i="46"/>
  <c r="S34" i="46"/>
  <c r="S32" i="46"/>
  <c r="S30" i="46"/>
  <c r="S28" i="46"/>
  <c r="S74" i="46"/>
  <c r="AA227" i="46"/>
  <c r="AA225" i="46"/>
  <c r="AA218" i="46"/>
  <c r="AA217" i="46"/>
  <c r="AA215" i="46"/>
  <c r="AA220" i="46"/>
  <c r="AA221" i="46"/>
  <c r="AA224" i="46"/>
  <c r="AA216" i="46"/>
  <c r="AA219" i="46"/>
  <c r="AA226" i="46"/>
  <c r="AA223" i="46"/>
  <c r="AA222" i="46"/>
  <c r="AA214" i="46"/>
  <c r="AA213" i="46"/>
  <c r="AA210" i="46"/>
  <c r="AA208" i="46"/>
  <c r="AA206" i="46"/>
  <c r="AA204" i="46"/>
  <c r="AA212" i="46"/>
  <c r="AA211" i="46"/>
  <c r="AA209" i="46"/>
  <c r="AA207" i="46"/>
  <c r="AA205" i="46"/>
  <c r="AA203" i="46"/>
  <c r="AA201" i="46"/>
  <c r="AA199" i="46"/>
  <c r="AA195" i="46"/>
  <c r="AA198" i="46"/>
  <c r="AA193" i="46"/>
  <c r="AA191" i="46"/>
  <c r="AA202" i="46"/>
  <c r="AA200" i="46"/>
  <c r="AA196" i="46"/>
  <c r="AA197" i="46"/>
  <c r="AA194" i="46"/>
  <c r="AA192" i="46"/>
  <c r="AA190" i="46"/>
  <c r="AA189" i="46"/>
  <c r="AA187" i="46"/>
  <c r="AA188" i="46"/>
  <c r="AA185" i="46"/>
  <c r="AA183" i="46"/>
  <c r="AA181" i="46"/>
  <c r="AA184" i="46"/>
  <c r="AA182" i="46"/>
  <c r="AA180" i="46"/>
  <c r="AA177" i="46"/>
  <c r="AA175" i="46"/>
  <c r="AA173" i="46"/>
  <c r="AA171" i="46"/>
  <c r="AA186" i="46"/>
  <c r="AA178" i="46"/>
  <c r="AA176" i="46"/>
  <c r="AA174" i="46"/>
  <c r="AA172" i="46"/>
  <c r="AA170" i="46"/>
  <c r="AA168" i="46"/>
  <c r="AA166" i="46"/>
  <c r="AA164" i="46"/>
  <c r="AA162" i="46"/>
  <c r="AA160" i="46"/>
  <c r="AA158" i="46"/>
  <c r="AA156" i="46"/>
  <c r="AA154" i="46"/>
  <c r="AA152" i="46"/>
  <c r="AA179" i="46"/>
  <c r="AA169" i="46"/>
  <c r="AA167" i="46"/>
  <c r="AA165" i="46"/>
  <c r="AA163" i="46"/>
  <c r="AA161" i="46"/>
  <c r="AA159" i="46"/>
  <c r="AA157" i="46"/>
  <c r="AA155" i="46"/>
  <c r="AA153" i="46"/>
  <c r="AA150" i="46"/>
  <c r="AA148" i="46"/>
  <c r="AA146" i="46"/>
  <c r="AA144" i="46"/>
  <c r="AA142" i="46"/>
  <c r="AA140" i="46"/>
  <c r="AA138" i="46"/>
  <c r="AA136" i="46"/>
  <c r="AA151" i="46"/>
  <c r="AA147" i="46"/>
  <c r="AA145" i="46"/>
  <c r="AA143" i="46"/>
  <c r="AA141" i="46"/>
  <c r="AA139" i="46"/>
  <c r="AA137" i="46"/>
  <c r="AA135" i="46"/>
  <c r="AA132" i="46"/>
  <c r="AA131" i="46"/>
  <c r="AA129" i="46"/>
  <c r="AA127" i="46"/>
  <c r="AA125" i="46"/>
  <c r="AA123" i="46"/>
  <c r="AA121" i="46"/>
  <c r="AA134" i="46"/>
  <c r="AA130" i="46"/>
  <c r="AA128" i="46"/>
  <c r="AA126" i="46"/>
  <c r="AA124" i="46"/>
  <c r="AA122" i="46"/>
  <c r="AA120" i="46"/>
  <c r="AA149" i="46"/>
  <c r="AA118" i="46"/>
  <c r="AA115" i="46"/>
  <c r="AA119" i="46"/>
  <c r="AA113" i="46"/>
  <c r="AA111" i="46"/>
  <c r="AA109" i="46"/>
  <c r="AA107" i="46"/>
  <c r="AA105" i="46"/>
  <c r="AA103" i="46"/>
  <c r="AA101" i="46"/>
  <c r="AA133" i="46"/>
  <c r="AA116" i="46"/>
  <c r="AA114" i="46"/>
  <c r="AA112" i="46"/>
  <c r="AA110" i="46"/>
  <c r="AA108" i="46"/>
  <c r="AA106" i="46"/>
  <c r="AA104" i="46"/>
  <c r="AA102" i="46"/>
  <c r="AA100" i="46"/>
  <c r="AA98" i="46"/>
  <c r="AA95" i="46"/>
  <c r="AA93" i="46"/>
  <c r="AA91" i="46"/>
  <c r="AA89" i="46"/>
  <c r="AA87" i="46"/>
  <c r="AA85" i="46"/>
  <c r="AA83" i="46"/>
  <c r="AA96" i="46"/>
  <c r="AA117" i="46"/>
  <c r="AA99" i="46"/>
  <c r="AA97" i="46"/>
  <c r="AA94" i="46"/>
  <c r="AA92" i="46"/>
  <c r="AA90" i="46"/>
  <c r="AA88" i="46"/>
  <c r="AA86" i="46"/>
  <c r="AA84" i="46"/>
  <c r="AA82" i="46"/>
  <c r="AA77" i="46"/>
  <c r="AA75" i="46"/>
  <c r="AA73" i="46"/>
  <c r="AA71" i="46"/>
  <c r="AA69" i="46"/>
  <c r="AA67" i="46"/>
  <c r="AA79" i="46"/>
  <c r="AA80" i="46"/>
  <c r="AA72" i="46"/>
  <c r="AA57" i="46"/>
  <c r="AA55" i="46"/>
  <c r="AA53" i="46"/>
  <c r="AA51" i="46"/>
  <c r="AA49" i="46"/>
  <c r="AA47" i="46"/>
  <c r="AA45" i="46"/>
  <c r="AA43" i="46"/>
  <c r="AA41" i="46"/>
  <c r="AA78" i="46"/>
  <c r="AA70" i="46"/>
  <c r="AA58" i="46"/>
  <c r="AA76" i="46"/>
  <c r="AA68" i="46"/>
  <c r="AA65" i="46"/>
  <c r="AA64" i="46"/>
  <c r="AA63" i="46"/>
  <c r="AA62" i="46"/>
  <c r="AA61" i="46"/>
  <c r="AA60" i="46"/>
  <c r="AA59" i="46"/>
  <c r="AA56" i="46"/>
  <c r="AA54" i="46"/>
  <c r="AA52" i="46"/>
  <c r="AA50" i="46"/>
  <c r="AA48" i="46"/>
  <c r="AA46" i="46"/>
  <c r="AA44" i="46"/>
  <c r="AA81" i="46"/>
  <c r="AA74" i="46"/>
  <c r="AA66" i="46"/>
  <c r="AA39" i="46"/>
  <c r="AA37" i="46"/>
  <c r="AA35" i="46"/>
  <c r="AA33" i="46"/>
  <c r="AA31" i="46"/>
  <c r="AA29" i="46"/>
  <c r="AA27" i="46"/>
  <c r="AA25" i="46"/>
  <c r="AA42" i="46"/>
  <c r="AA40" i="46"/>
  <c r="AA38" i="46"/>
  <c r="AA36" i="46"/>
  <c r="AA34" i="46"/>
  <c r="AA32" i="46"/>
  <c r="AA30" i="46"/>
  <c r="AA28" i="46"/>
  <c r="S6" i="46"/>
  <c r="AA6" i="46"/>
  <c r="O7" i="46"/>
  <c r="W7" i="46"/>
  <c r="S8" i="46"/>
  <c r="AA8" i="46"/>
  <c r="O9" i="46"/>
  <c r="W9" i="46"/>
  <c r="S10" i="46"/>
  <c r="AA10" i="46"/>
  <c r="O11" i="46"/>
  <c r="W11" i="46"/>
  <c r="S12" i="46"/>
  <c r="AA12" i="46"/>
  <c r="O13" i="46"/>
  <c r="W13" i="46"/>
  <c r="S14" i="46"/>
  <c r="AA14" i="46"/>
  <c r="O15" i="46"/>
  <c r="W15" i="46"/>
  <c r="S16" i="46"/>
  <c r="AA16" i="46"/>
  <c r="O17" i="46"/>
  <c r="W17" i="46"/>
  <c r="S18" i="46"/>
  <c r="AA18" i="46"/>
  <c r="O19" i="46"/>
  <c r="W19" i="46"/>
  <c r="S20" i="46"/>
  <c r="AA20" i="46"/>
  <c r="W21" i="46"/>
  <c r="S22" i="46"/>
  <c r="AA22" i="46"/>
  <c r="S23" i="46"/>
  <c r="AC23" i="46"/>
  <c r="Z24" i="46"/>
  <c r="W25" i="46"/>
  <c r="AA26" i="46"/>
  <c r="Q28" i="46"/>
  <c r="X30" i="46"/>
  <c r="AB31" i="46"/>
  <c r="Y32" i="46"/>
  <c r="AC33" i="46"/>
  <c r="S42" i="46"/>
  <c r="X56" i="46"/>
  <c r="N6" i="46"/>
  <c r="V8" i="46"/>
  <c r="V10" i="46"/>
  <c r="V14" i="46"/>
  <c r="V18" i="46"/>
  <c r="O227" i="46"/>
  <c r="O226" i="46"/>
  <c r="O224" i="46"/>
  <c r="O220" i="46"/>
  <c r="O216" i="46"/>
  <c r="O214" i="46"/>
  <c r="O221" i="46"/>
  <c r="O218" i="46"/>
  <c r="O225" i="46"/>
  <c r="O222" i="46"/>
  <c r="O217" i="46"/>
  <c r="O223" i="46"/>
  <c r="O219" i="46"/>
  <c r="O211" i="46"/>
  <c r="O209" i="46"/>
  <c r="O207" i="46"/>
  <c r="O205" i="46"/>
  <c r="O212" i="46"/>
  <c r="O210" i="46"/>
  <c r="O208" i="46"/>
  <c r="O206" i="46"/>
  <c r="O204" i="46"/>
  <c r="O215" i="46"/>
  <c r="O203" i="46"/>
  <c r="O202" i="46"/>
  <c r="O200" i="46"/>
  <c r="O198" i="46"/>
  <c r="O213" i="46"/>
  <c r="O199" i="46"/>
  <c r="O195" i="46"/>
  <c r="O196" i="46"/>
  <c r="O194" i="46"/>
  <c r="O192" i="46"/>
  <c r="O197" i="46"/>
  <c r="O201" i="46"/>
  <c r="O193" i="46"/>
  <c r="O191" i="46"/>
  <c r="O189" i="46"/>
  <c r="O184" i="46"/>
  <c r="O182" i="46"/>
  <c r="O180" i="46"/>
  <c r="O190" i="46"/>
  <c r="O186" i="46"/>
  <c r="O188" i="46"/>
  <c r="O187" i="46"/>
  <c r="O185" i="46"/>
  <c r="O183" i="46"/>
  <c r="O181" i="46"/>
  <c r="O179" i="46"/>
  <c r="O176" i="46"/>
  <c r="O174" i="46"/>
  <c r="O172" i="46"/>
  <c r="O177" i="46"/>
  <c r="O175" i="46"/>
  <c r="O173" i="46"/>
  <c r="O171" i="46"/>
  <c r="O168" i="46"/>
  <c r="O170" i="46"/>
  <c r="O178" i="46"/>
  <c r="O167" i="46"/>
  <c r="O165" i="46"/>
  <c r="O163" i="46"/>
  <c r="O161" i="46"/>
  <c r="O159" i="46"/>
  <c r="O157" i="46"/>
  <c r="O155" i="46"/>
  <c r="O153" i="46"/>
  <c r="O169" i="46"/>
  <c r="O166" i="46"/>
  <c r="O164" i="46"/>
  <c r="O162" i="46"/>
  <c r="O160" i="46"/>
  <c r="O158" i="46"/>
  <c r="O156" i="46"/>
  <c r="O154" i="46"/>
  <c r="O152" i="46"/>
  <c r="O147" i="46"/>
  <c r="O145" i="46"/>
  <c r="O143" i="46"/>
  <c r="O141" i="46"/>
  <c r="O139" i="46"/>
  <c r="O137" i="46"/>
  <c r="O151" i="46"/>
  <c r="O148" i="46"/>
  <c r="O146" i="46"/>
  <c r="O144" i="46"/>
  <c r="O142" i="46"/>
  <c r="O140" i="46"/>
  <c r="O138" i="46"/>
  <c r="O150" i="46"/>
  <c r="O149" i="46"/>
  <c r="O133" i="46"/>
  <c r="O132" i="46"/>
  <c r="O130" i="46"/>
  <c r="O128" i="46"/>
  <c r="O126" i="46"/>
  <c r="O124" i="46"/>
  <c r="O122" i="46"/>
  <c r="O134" i="46"/>
  <c r="O135" i="46"/>
  <c r="O131" i="46"/>
  <c r="O129" i="46"/>
  <c r="O127" i="46"/>
  <c r="O125" i="46"/>
  <c r="O123" i="46"/>
  <c r="O121" i="46"/>
  <c r="O136" i="46"/>
  <c r="O120" i="46"/>
  <c r="O117" i="46"/>
  <c r="O114" i="46"/>
  <c r="O112" i="46"/>
  <c r="O110" i="46"/>
  <c r="O108" i="46"/>
  <c r="O106" i="46"/>
  <c r="O104" i="46"/>
  <c r="O102" i="46"/>
  <c r="O118" i="46"/>
  <c r="O113" i="46"/>
  <c r="O111" i="46"/>
  <c r="O109" i="46"/>
  <c r="O107" i="46"/>
  <c r="O105" i="46"/>
  <c r="O103" i="46"/>
  <c r="O101" i="46"/>
  <c r="O119" i="46"/>
  <c r="O116" i="46"/>
  <c r="O115" i="46"/>
  <c r="O98" i="46"/>
  <c r="O96" i="46"/>
  <c r="O94" i="46"/>
  <c r="O92" i="46"/>
  <c r="O90" i="46"/>
  <c r="O88" i="46"/>
  <c r="O86" i="46"/>
  <c r="O84" i="46"/>
  <c r="O99" i="46"/>
  <c r="O100" i="46"/>
  <c r="O97" i="46"/>
  <c r="O95" i="46"/>
  <c r="O93" i="46"/>
  <c r="O91" i="46"/>
  <c r="O89" i="46"/>
  <c r="O87" i="46"/>
  <c r="O85" i="46"/>
  <c r="O83" i="46"/>
  <c r="O81" i="46"/>
  <c r="O80" i="46"/>
  <c r="O79" i="46"/>
  <c r="O78" i="46"/>
  <c r="O76" i="46"/>
  <c r="O74" i="46"/>
  <c r="O72" i="46"/>
  <c r="O70" i="46"/>
  <c r="O68" i="46"/>
  <c r="O66" i="46"/>
  <c r="O82" i="46"/>
  <c r="O73" i="46"/>
  <c r="O56" i="46"/>
  <c r="O54" i="46"/>
  <c r="O52" i="46"/>
  <c r="O50" i="46"/>
  <c r="O48" i="46"/>
  <c r="O46" i="46"/>
  <c r="O44" i="46"/>
  <c r="O42" i="46"/>
  <c r="O59" i="46"/>
  <c r="O58" i="46"/>
  <c r="O71" i="46"/>
  <c r="O77" i="46"/>
  <c r="O69" i="46"/>
  <c r="O57" i="46"/>
  <c r="O55" i="46"/>
  <c r="O53" i="46"/>
  <c r="O51" i="46"/>
  <c r="O49" i="46"/>
  <c r="O47" i="46"/>
  <c r="O45" i="46"/>
  <c r="O43" i="46"/>
  <c r="O75" i="46"/>
  <c r="O67" i="46"/>
  <c r="O62" i="46"/>
  <c r="O40" i="46"/>
  <c r="O38" i="46"/>
  <c r="O36" i="46"/>
  <c r="O34" i="46"/>
  <c r="O32" i="46"/>
  <c r="O30" i="46"/>
  <c r="O28" i="46"/>
  <c r="O26" i="46"/>
  <c r="O24" i="46"/>
  <c r="O65" i="46"/>
  <c r="O60" i="46"/>
  <c r="O63" i="46"/>
  <c r="O39" i="46"/>
  <c r="O37" i="46"/>
  <c r="O35" i="46"/>
  <c r="O33" i="46"/>
  <c r="O31" i="46"/>
  <c r="O29" i="46"/>
  <c r="O61" i="46"/>
  <c r="O41" i="46"/>
  <c r="W6" i="46"/>
  <c r="W8" i="46"/>
  <c r="W14" i="46"/>
  <c r="O16" i="46"/>
  <c r="T227" i="46"/>
  <c r="T225" i="46"/>
  <c r="T223" i="46"/>
  <c r="T221" i="46"/>
  <c r="T219" i="46"/>
  <c r="T222" i="46"/>
  <c r="T226" i="46"/>
  <c r="T216" i="46"/>
  <c r="T214" i="46"/>
  <c r="T212" i="46"/>
  <c r="T224" i="46"/>
  <c r="T210" i="46"/>
  <c r="T208" i="46"/>
  <c r="T206" i="46"/>
  <c r="T204" i="46"/>
  <c r="T220" i="46"/>
  <c r="T217" i="46"/>
  <c r="T213" i="46"/>
  <c r="T211" i="46"/>
  <c r="T209" i="46"/>
  <c r="T207" i="46"/>
  <c r="T205" i="46"/>
  <c r="T203" i="46"/>
  <c r="T215" i="46"/>
  <c r="T201" i="46"/>
  <c r="T199" i="46"/>
  <c r="T197" i="46"/>
  <c r="T195" i="46"/>
  <c r="T218" i="46"/>
  <c r="T202" i="46"/>
  <c r="T200" i="46"/>
  <c r="T198" i="46"/>
  <c r="T196" i="46"/>
  <c r="T193" i="46"/>
  <c r="T191" i="46"/>
  <c r="T189" i="46"/>
  <c r="T187" i="46"/>
  <c r="T194" i="46"/>
  <c r="T192" i="46"/>
  <c r="T190" i="46"/>
  <c r="T188" i="46"/>
  <c r="T186" i="46"/>
  <c r="T185" i="46"/>
  <c r="T183" i="46"/>
  <c r="T181" i="46"/>
  <c r="T179" i="46"/>
  <c r="T184" i="46"/>
  <c r="T182" i="46"/>
  <c r="T180" i="46"/>
  <c r="T178" i="46"/>
  <c r="T177" i="46"/>
  <c r="T175" i="46"/>
  <c r="T173" i="46"/>
  <c r="T171" i="46"/>
  <c r="T176" i="46"/>
  <c r="T174" i="46"/>
  <c r="T172" i="46"/>
  <c r="T170" i="46"/>
  <c r="T168" i="46"/>
  <c r="T169" i="46"/>
  <c r="T166" i="46"/>
  <c r="T164" i="46"/>
  <c r="T162" i="46"/>
  <c r="T160" i="46"/>
  <c r="T158" i="46"/>
  <c r="T156" i="46"/>
  <c r="T154" i="46"/>
  <c r="T152" i="46"/>
  <c r="T150" i="46"/>
  <c r="T167" i="46"/>
  <c r="T165" i="46"/>
  <c r="T163" i="46"/>
  <c r="T161" i="46"/>
  <c r="T159" i="46"/>
  <c r="T157" i="46"/>
  <c r="T155" i="46"/>
  <c r="T153" i="46"/>
  <c r="T151" i="46"/>
  <c r="T149" i="46"/>
  <c r="T148" i="46"/>
  <c r="T146" i="46"/>
  <c r="T144" i="46"/>
  <c r="T142" i="46"/>
  <c r="T140" i="46"/>
  <c r="T138" i="46"/>
  <c r="T136" i="46"/>
  <c r="T134" i="46"/>
  <c r="T132" i="46"/>
  <c r="T131" i="46"/>
  <c r="T129" i="46"/>
  <c r="T127" i="46"/>
  <c r="T125" i="46"/>
  <c r="T123" i="46"/>
  <c r="T121" i="46"/>
  <c r="T119" i="46"/>
  <c r="T117" i="46"/>
  <c r="T135" i="46"/>
  <c r="T145" i="46"/>
  <c r="T139" i="46"/>
  <c r="T143" i="46"/>
  <c r="T141" i="46"/>
  <c r="T133" i="46"/>
  <c r="T122" i="46"/>
  <c r="T120" i="46"/>
  <c r="T113" i="46"/>
  <c r="T111" i="46"/>
  <c r="T109" i="46"/>
  <c r="T107" i="46"/>
  <c r="T105" i="46"/>
  <c r="T103" i="46"/>
  <c r="T101" i="46"/>
  <c r="T99" i="46"/>
  <c r="T97" i="46"/>
  <c r="T124" i="46"/>
  <c r="T118" i="46"/>
  <c r="T126" i="46"/>
  <c r="T128" i="46"/>
  <c r="T115" i="46"/>
  <c r="T147" i="46"/>
  <c r="T137" i="46"/>
  <c r="T106" i="46"/>
  <c r="T96" i="46"/>
  <c r="T116" i="46"/>
  <c r="T104" i="46"/>
  <c r="T102" i="46"/>
  <c r="T95" i="46"/>
  <c r="T93" i="46"/>
  <c r="T91" i="46"/>
  <c r="T89" i="46"/>
  <c r="T87" i="46"/>
  <c r="T85" i="46"/>
  <c r="T83" i="46"/>
  <c r="T81" i="46"/>
  <c r="T79" i="46"/>
  <c r="T130" i="46"/>
  <c r="T114" i="46"/>
  <c r="T100" i="46"/>
  <c r="T112" i="46"/>
  <c r="T110" i="46"/>
  <c r="T98" i="46"/>
  <c r="T94" i="46"/>
  <c r="T92" i="46"/>
  <c r="T90" i="46"/>
  <c r="T88" i="46"/>
  <c r="T86" i="46"/>
  <c r="T84" i="46"/>
  <c r="T82" i="46"/>
  <c r="T80" i="46"/>
  <c r="T108" i="46"/>
  <c r="T77" i="46"/>
  <c r="T75" i="46"/>
  <c r="T73" i="46"/>
  <c r="T71" i="46"/>
  <c r="T69" i="46"/>
  <c r="T67" i="46"/>
  <c r="T65" i="46"/>
  <c r="T63" i="46"/>
  <c r="T61" i="46"/>
  <c r="T59" i="46"/>
  <c r="T78" i="46"/>
  <c r="T76" i="46"/>
  <c r="T74" i="46"/>
  <c r="T72" i="46"/>
  <c r="T70" i="46"/>
  <c r="T68" i="46"/>
  <c r="T66" i="46"/>
  <c r="T64" i="46"/>
  <c r="T62" i="46"/>
  <c r="T60" i="46"/>
  <c r="T58" i="46"/>
  <c r="T56" i="46"/>
  <c r="T54" i="46"/>
  <c r="T52" i="46"/>
  <c r="T50" i="46"/>
  <c r="T48" i="46"/>
  <c r="T55" i="46"/>
  <c r="T57" i="46"/>
  <c r="T43" i="46"/>
  <c r="T44" i="46"/>
  <c r="T41" i="46"/>
  <c r="T40" i="46"/>
  <c r="T38" i="46"/>
  <c r="T36" i="46"/>
  <c r="T34" i="46"/>
  <c r="T32" i="46"/>
  <c r="T30" i="46"/>
  <c r="T28" i="46"/>
  <c r="T26" i="46"/>
  <c r="T45" i="46"/>
  <c r="T46" i="46"/>
  <c r="T42" i="46"/>
  <c r="AB227" i="46"/>
  <c r="AB225" i="46"/>
  <c r="AB223" i="46"/>
  <c r="AB221" i="46"/>
  <c r="AB219" i="46"/>
  <c r="AB220" i="46"/>
  <c r="AB224" i="46"/>
  <c r="AB216" i="46"/>
  <c r="AB214" i="46"/>
  <c r="AB212" i="46"/>
  <c r="AB222" i="46"/>
  <c r="AB226" i="46"/>
  <c r="AB210" i="46"/>
  <c r="AB208" i="46"/>
  <c r="AB206" i="46"/>
  <c r="AB204" i="46"/>
  <c r="AB217" i="46"/>
  <c r="AB215" i="46"/>
  <c r="AB211" i="46"/>
  <c r="AB209" i="46"/>
  <c r="AB207" i="46"/>
  <c r="AB205" i="46"/>
  <c r="AB203" i="46"/>
  <c r="AB218" i="46"/>
  <c r="AB201" i="46"/>
  <c r="AB199" i="46"/>
  <c r="AB197" i="46"/>
  <c r="AB195" i="46"/>
  <c r="AB213" i="46"/>
  <c r="AB202" i="46"/>
  <c r="AB200" i="46"/>
  <c r="AB198" i="46"/>
  <c r="AB196" i="46"/>
  <c r="AB193" i="46"/>
  <c r="AB191" i="46"/>
  <c r="AB189" i="46"/>
  <c r="AB187" i="46"/>
  <c r="AB194" i="46"/>
  <c r="AB192" i="46"/>
  <c r="AB190" i="46"/>
  <c r="AB188" i="46"/>
  <c r="AB186" i="46"/>
  <c r="AB185" i="46"/>
  <c r="AB183" i="46"/>
  <c r="AB181" i="46"/>
  <c r="AB179" i="46"/>
  <c r="AB177" i="46"/>
  <c r="AB184" i="46"/>
  <c r="AB182" i="46"/>
  <c r="AB180" i="46"/>
  <c r="AB178" i="46"/>
  <c r="AB175" i="46"/>
  <c r="AB173" i="46"/>
  <c r="AB171" i="46"/>
  <c r="AB176" i="46"/>
  <c r="AB174" i="46"/>
  <c r="AB172" i="46"/>
  <c r="AB170" i="46"/>
  <c r="AB168" i="46"/>
  <c r="AB166" i="46"/>
  <c r="AB164" i="46"/>
  <c r="AB162" i="46"/>
  <c r="AB160" i="46"/>
  <c r="AB158" i="46"/>
  <c r="AB156" i="46"/>
  <c r="AB154" i="46"/>
  <c r="AB152" i="46"/>
  <c r="AB150" i="46"/>
  <c r="AB169" i="46"/>
  <c r="AB167" i="46"/>
  <c r="AB165" i="46"/>
  <c r="AB163" i="46"/>
  <c r="AB161" i="46"/>
  <c r="AB159" i="46"/>
  <c r="AB157" i="46"/>
  <c r="AB155" i="46"/>
  <c r="AB153" i="46"/>
  <c r="AB151" i="46"/>
  <c r="AB149" i="46"/>
  <c r="AB148" i="46"/>
  <c r="AB146" i="46"/>
  <c r="AB144" i="46"/>
  <c r="AB142" i="46"/>
  <c r="AB140" i="46"/>
  <c r="AB138" i="46"/>
  <c r="AB136" i="46"/>
  <c r="AB134" i="46"/>
  <c r="AB132" i="46"/>
  <c r="AB131" i="46"/>
  <c r="AB129" i="46"/>
  <c r="AB127" i="46"/>
  <c r="AB125" i="46"/>
  <c r="AB123" i="46"/>
  <c r="AB121" i="46"/>
  <c r="AB119" i="46"/>
  <c r="AB117" i="46"/>
  <c r="AB115" i="46"/>
  <c r="AB147" i="46"/>
  <c r="AB137" i="46"/>
  <c r="AB133" i="46"/>
  <c r="AB143" i="46"/>
  <c r="AB141" i="46"/>
  <c r="AB135" i="46"/>
  <c r="AB122" i="46"/>
  <c r="AB124" i="46"/>
  <c r="AB113" i="46"/>
  <c r="AB111" i="46"/>
  <c r="AB109" i="46"/>
  <c r="AB107" i="46"/>
  <c r="AB105" i="46"/>
  <c r="AB103" i="46"/>
  <c r="AB101" i="46"/>
  <c r="AB99" i="46"/>
  <c r="AB97" i="46"/>
  <c r="AB126" i="46"/>
  <c r="AB116" i="46"/>
  <c r="AB139" i="46"/>
  <c r="AB128" i="46"/>
  <c r="AB145" i="46"/>
  <c r="AB130" i="46"/>
  <c r="AB120" i="46"/>
  <c r="AB118" i="46"/>
  <c r="AB104" i="46"/>
  <c r="AB102" i="46"/>
  <c r="AB100" i="46"/>
  <c r="AB98" i="46"/>
  <c r="AB95" i="46"/>
  <c r="AB93" i="46"/>
  <c r="AB91" i="46"/>
  <c r="AB89" i="46"/>
  <c r="AB87" i="46"/>
  <c r="AB85" i="46"/>
  <c r="AB83" i="46"/>
  <c r="AB81" i="46"/>
  <c r="AB79" i="46"/>
  <c r="AB114" i="46"/>
  <c r="AB112" i="46"/>
  <c r="AB96" i="46"/>
  <c r="AB110" i="46"/>
  <c r="AB108" i="46"/>
  <c r="AB94" i="46"/>
  <c r="AB92" i="46"/>
  <c r="AB90" i="46"/>
  <c r="AB88" i="46"/>
  <c r="AB86" i="46"/>
  <c r="AB84" i="46"/>
  <c r="AB82" i="46"/>
  <c r="AB80" i="46"/>
  <c r="AB106" i="46"/>
  <c r="AB77" i="46"/>
  <c r="AB75" i="46"/>
  <c r="AB73" i="46"/>
  <c r="AB71" i="46"/>
  <c r="AB69" i="46"/>
  <c r="AB67" i="46"/>
  <c r="AB65" i="46"/>
  <c r="AB63" i="46"/>
  <c r="AB61" i="46"/>
  <c r="AB59" i="46"/>
  <c r="AB78" i="46"/>
  <c r="AB76" i="46"/>
  <c r="AB74" i="46"/>
  <c r="AB72" i="46"/>
  <c r="AB70" i="46"/>
  <c r="AB68" i="46"/>
  <c r="AB66" i="46"/>
  <c r="AB64" i="46"/>
  <c r="AB62" i="46"/>
  <c r="AB60" i="46"/>
  <c r="AB58" i="46"/>
  <c r="AB56" i="46"/>
  <c r="AB54" i="46"/>
  <c r="AB52" i="46"/>
  <c r="AB50" i="46"/>
  <c r="AB48" i="46"/>
  <c r="AB46" i="46"/>
  <c r="AB57" i="46"/>
  <c r="AB44" i="46"/>
  <c r="AB45" i="46"/>
  <c r="AB42" i="46"/>
  <c r="AB40" i="46"/>
  <c r="AB38" i="46"/>
  <c r="AB36" i="46"/>
  <c r="AB34" i="46"/>
  <c r="AB32" i="46"/>
  <c r="AB30" i="46"/>
  <c r="AB28" i="46"/>
  <c r="AB26" i="46"/>
  <c r="AB51" i="46"/>
  <c r="AB49" i="46"/>
  <c r="AB47" i="46"/>
  <c r="T6" i="46"/>
  <c r="AB6" i="46"/>
  <c r="P7" i="46"/>
  <c r="X7" i="46"/>
  <c r="T8" i="46"/>
  <c r="AB8" i="46"/>
  <c r="P9" i="46"/>
  <c r="X9" i="46"/>
  <c r="T10" i="46"/>
  <c r="AB10" i="46"/>
  <c r="P11" i="46"/>
  <c r="X11" i="46"/>
  <c r="T12" i="46"/>
  <c r="AB12" i="46"/>
  <c r="P13" i="46"/>
  <c r="X13" i="46"/>
  <c r="T14" i="46"/>
  <c r="AB14" i="46"/>
  <c r="P15" i="46"/>
  <c r="X15" i="46"/>
  <c r="T16" i="46"/>
  <c r="AB16" i="46"/>
  <c r="P17" i="46"/>
  <c r="X17" i="46"/>
  <c r="T18" i="46"/>
  <c r="AB18" i="46"/>
  <c r="P19" i="46"/>
  <c r="X19" i="46"/>
  <c r="T20" i="46"/>
  <c r="AB20" i="46"/>
  <c r="P21" i="46"/>
  <c r="X21" i="46"/>
  <c r="T22" i="46"/>
  <c r="AB22" i="46"/>
  <c r="T23" i="46"/>
  <c r="P24" i="46"/>
  <c r="AA24" i="46"/>
  <c r="AB25" i="46"/>
  <c r="M27" i="46"/>
  <c r="X28" i="46"/>
  <c r="AB29" i="46"/>
  <c r="Y30" i="46"/>
  <c r="P40" i="46"/>
  <c r="P46" i="46"/>
  <c r="AB53" i="46"/>
  <c r="N18" i="46"/>
  <c r="N22" i="46"/>
  <c r="O22" i="46"/>
  <c r="W23" i="46"/>
  <c r="M227" i="46"/>
  <c r="M225" i="46"/>
  <c r="M223" i="46"/>
  <c r="M221" i="46"/>
  <c r="M219" i="46"/>
  <c r="M224" i="46"/>
  <c r="M220" i="46"/>
  <c r="M218" i="46"/>
  <c r="M216" i="46"/>
  <c r="M214" i="46"/>
  <c r="M212" i="46"/>
  <c r="M226" i="46"/>
  <c r="M222" i="46"/>
  <c r="M217" i="46"/>
  <c r="M215" i="46"/>
  <c r="M213" i="46"/>
  <c r="M211" i="46"/>
  <c r="M209" i="46"/>
  <c r="M207" i="46"/>
  <c r="M205" i="46"/>
  <c r="M206" i="46"/>
  <c r="M210" i="46"/>
  <c r="M208" i="46"/>
  <c r="M203" i="46"/>
  <c r="M201" i="46"/>
  <c r="M199" i="46"/>
  <c r="M197" i="46"/>
  <c r="M195" i="46"/>
  <c r="M204" i="46"/>
  <c r="M202" i="46"/>
  <c r="M200" i="46"/>
  <c r="M193" i="46"/>
  <c r="M191" i="46"/>
  <c r="M189" i="46"/>
  <c r="M187" i="46"/>
  <c r="M198" i="46"/>
  <c r="M185" i="46"/>
  <c r="M183" i="46"/>
  <c r="M181" i="46"/>
  <c r="M179" i="46"/>
  <c r="M196" i="46"/>
  <c r="M184" i="46"/>
  <c r="M182" i="46"/>
  <c r="M180" i="46"/>
  <c r="M190" i="46"/>
  <c r="M194" i="46"/>
  <c r="M192" i="46"/>
  <c r="M188" i="46"/>
  <c r="M186" i="46"/>
  <c r="M177" i="46"/>
  <c r="M175" i="46"/>
  <c r="M173" i="46"/>
  <c r="M171" i="46"/>
  <c r="M169" i="46"/>
  <c r="M178" i="46"/>
  <c r="M166" i="46"/>
  <c r="M164" i="46"/>
  <c r="M162" i="46"/>
  <c r="M160" i="46"/>
  <c r="M158" i="46"/>
  <c r="M168" i="46"/>
  <c r="M170" i="46"/>
  <c r="M167" i="46"/>
  <c r="M165" i="46"/>
  <c r="M163" i="46"/>
  <c r="M161" i="46"/>
  <c r="M159" i="46"/>
  <c r="M157" i="46"/>
  <c r="M155" i="46"/>
  <c r="M153" i="46"/>
  <c r="M151" i="46"/>
  <c r="M149" i="46"/>
  <c r="M148" i="46"/>
  <c r="M146" i="46"/>
  <c r="M144" i="46"/>
  <c r="M142" i="46"/>
  <c r="M140" i="46"/>
  <c r="M138" i="46"/>
  <c r="M136" i="46"/>
  <c r="M134" i="46"/>
  <c r="M150" i="46"/>
  <c r="M176" i="46"/>
  <c r="M172" i="46"/>
  <c r="M154" i="46"/>
  <c r="M147" i="46"/>
  <c r="M145" i="46"/>
  <c r="M143" i="46"/>
  <c r="M141" i="46"/>
  <c r="M139" i="46"/>
  <c r="M137" i="46"/>
  <c r="M135" i="46"/>
  <c r="M133" i="46"/>
  <c r="M174" i="46"/>
  <c r="M152" i="46"/>
  <c r="M131" i="46"/>
  <c r="M129" i="46"/>
  <c r="M127" i="46"/>
  <c r="M125" i="46"/>
  <c r="M123" i="46"/>
  <c r="M121" i="46"/>
  <c r="M119" i="46"/>
  <c r="M117" i="46"/>
  <c r="M115" i="46"/>
  <c r="M156" i="46"/>
  <c r="M132" i="46"/>
  <c r="M130" i="46"/>
  <c r="M128" i="46"/>
  <c r="M126" i="46"/>
  <c r="M124" i="46"/>
  <c r="M122" i="46"/>
  <c r="M120" i="46"/>
  <c r="M118" i="46"/>
  <c r="M116" i="46"/>
  <c r="M113" i="46"/>
  <c r="M111" i="46"/>
  <c r="M109" i="46"/>
  <c r="M107" i="46"/>
  <c r="M105" i="46"/>
  <c r="M103" i="46"/>
  <c r="M101" i="46"/>
  <c r="M99" i="46"/>
  <c r="M97" i="46"/>
  <c r="M114" i="46"/>
  <c r="M112" i="46"/>
  <c r="M110" i="46"/>
  <c r="M108" i="46"/>
  <c r="M106" i="46"/>
  <c r="M104" i="46"/>
  <c r="M102" i="46"/>
  <c r="M100" i="46"/>
  <c r="M98" i="46"/>
  <c r="M96" i="46"/>
  <c r="M95" i="46"/>
  <c r="M93" i="46"/>
  <c r="M91" i="46"/>
  <c r="M89" i="46"/>
  <c r="M87" i="46"/>
  <c r="M85" i="46"/>
  <c r="M83" i="46"/>
  <c r="M81" i="46"/>
  <c r="M94" i="46"/>
  <c r="M92" i="46"/>
  <c r="M90" i="46"/>
  <c r="M88" i="46"/>
  <c r="M86" i="46"/>
  <c r="M84" i="46"/>
  <c r="M82" i="46"/>
  <c r="M80" i="46"/>
  <c r="M77" i="46"/>
  <c r="M75" i="46"/>
  <c r="M73" i="46"/>
  <c r="M71" i="46"/>
  <c r="M69" i="46"/>
  <c r="M67" i="46"/>
  <c r="M65" i="46"/>
  <c r="M63" i="46"/>
  <c r="M61" i="46"/>
  <c r="M59" i="46"/>
  <c r="M79" i="46"/>
  <c r="M78" i="46"/>
  <c r="M76" i="46"/>
  <c r="M74" i="46"/>
  <c r="M72" i="46"/>
  <c r="M70" i="46"/>
  <c r="M68" i="46"/>
  <c r="M66" i="46"/>
  <c r="M64" i="46"/>
  <c r="M62" i="46"/>
  <c r="M60" i="46"/>
  <c r="M58" i="46"/>
  <c r="M56" i="46"/>
  <c r="M54" i="46"/>
  <c r="M52" i="46"/>
  <c r="M50" i="46"/>
  <c r="M48" i="46"/>
  <c r="M46" i="46"/>
  <c r="M44" i="46"/>
  <c r="M42" i="46"/>
  <c r="M57" i="46"/>
  <c r="M55" i="46"/>
  <c r="M53" i="46"/>
  <c r="M51" i="46"/>
  <c r="M49" i="46"/>
  <c r="M47" i="46"/>
  <c r="M45" i="46"/>
  <c r="M43" i="46"/>
  <c r="M41" i="46"/>
  <c r="M40" i="46"/>
  <c r="M38" i="46"/>
  <c r="M36" i="46"/>
  <c r="M34" i="46"/>
  <c r="M32" i="46"/>
  <c r="M30" i="46"/>
  <c r="M28" i="46"/>
  <c r="M26" i="46"/>
  <c r="M24" i="46"/>
  <c r="U227" i="46"/>
  <c r="U225" i="46"/>
  <c r="U223" i="46"/>
  <c r="U221" i="46"/>
  <c r="U219" i="46"/>
  <c r="U226" i="46"/>
  <c r="U216" i="46"/>
  <c r="U214" i="46"/>
  <c r="U212" i="46"/>
  <c r="U220" i="46"/>
  <c r="U218" i="46"/>
  <c r="U217" i="46"/>
  <c r="U215" i="46"/>
  <c r="U213" i="46"/>
  <c r="U222" i="46"/>
  <c r="U224" i="46"/>
  <c r="U211" i="46"/>
  <c r="U209" i="46"/>
  <c r="U207" i="46"/>
  <c r="U205" i="46"/>
  <c r="U210" i="46"/>
  <c r="U208" i="46"/>
  <c r="U201" i="46"/>
  <c r="U199" i="46"/>
  <c r="U197" i="46"/>
  <c r="U195" i="46"/>
  <c r="U204" i="46"/>
  <c r="U203" i="46"/>
  <c r="U202" i="46"/>
  <c r="U200" i="46"/>
  <c r="U196" i="46"/>
  <c r="U193" i="46"/>
  <c r="U191" i="46"/>
  <c r="U189" i="46"/>
  <c r="U187" i="46"/>
  <c r="U198" i="46"/>
  <c r="U206" i="46"/>
  <c r="U185" i="46"/>
  <c r="U183" i="46"/>
  <c r="U181" i="46"/>
  <c r="U179" i="46"/>
  <c r="U186" i="46"/>
  <c r="U190" i="46"/>
  <c r="U188" i="46"/>
  <c r="U184" i="46"/>
  <c r="U182" i="46"/>
  <c r="U180" i="46"/>
  <c r="U194" i="46"/>
  <c r="U192" i="46"/>
  <c r="U177" i="46"/>
  <c r="U175" i="46"/>
  <c r="U173" i="46"/>
  <c r="U171" i="46"/>
  <c r="U169" i="46"/>
  <c r="U178" i="46"/>
  <c r="U170" i="46"/>
  <c r="U166" i="46"/>
  <c r="U164" i="46"/>
  <c r="U162" i="46"/>
  <c r="U160" i="46"/>
  <c r="U158" i="46"/>
  <c r="U167" i="46"/>
  <c r="U165" i="46"/>
  <c r="U163" i="46"/>
  <c r="U161" i="46"/>
  <c r="U159" i="46"/>
  <c r="U157" i="46"/>
  <c r="U155" i="46"/>
  <c r="U153" i="46"/>
  <c r="U151" i="46"/>
  <c r="U149" i="46"/>
  <c r="U168" i="46"/>
  <c r="U176" i="46"/>
  <c r="U174" i="46"/>
  <c r="U172" i="46"/>
  <c r="U148" i="46"/>
  <c r="U146" i="46"/>
  <c r="U144" i="46"/>
  <c r="U142" i="46"/>
  <c r="U140" i="46"/>
  <c r="U138" i="46"/>
  <c r="U136" i="46"/>
  <c r="U134" i="46"/>
  <c r="U156" i="46"/>
  <c r="U152" i="46"/>
  <c r="U150" i="46"/>
  <c r="U147" i="46"/>
  <c r="U145" i="46"/>
  <c r="U143" i="46"/>
  <c r="U141" i="46"/>
  <c r="U139" i="46"/>
  <c r="U137" i="46"/>
  <c r="U135" i="46"/>
  <c r="U133" i="46"/>
  <c r="U154" i="46"/>
  <c r="U131" i="46"/>
  <c r="U129" i="46"/>
  <c r="U127" i="46"/>
  <c r="U125" i="46"/>
  <c r="U123" i="46"/>
  <c r="U121" i="46"/>
  <c r="U119" i="46"/>
  <c r="U117" i="46"/>
  <c r="U115" i="46"/>
  <c r="U130" i="46"/>
  <c r="U128" i="46"/>
  <c r="U126" i="46"/>
  <c r="U124" i="46"/>
  <c r="U122" i="46"/>
  <c r="U120" i="46"/>
  <c r="U118" i="46"/>
  <c r="U116" i="46"/>
  <c r="U113" i="46"/>
  <c r="U111" i="46"/>
  <c r="U109" i="46"/>
  <c r="U107" i="46"/>
  <c r="U105" i="46"/>
  <c r="U103" i="46"/>
  <c r="U101" i="46"/>
  <c r="U99" i="46"/>
  <c r="U97" i="46"/>
  <c r="U114" i="46"/>
  <c r="U112" i="46"/>
  <c r="U110" i="46"/>
  <c r="U108" i="46"/>
  <c r="U106" i="46"/>
  <c r="U104" i="46"/>
  <c r="U102" i="46"/>
  <c r="U100" i="46"/>
  <c r="U98" i="46"/>
  <c r="U96" i="46"/>
  <c r="U132" i="46"/>
  <c r="U95" i="46"/>
  <c r="U93" i="46"/>
  <c r="U91" i="46"/>
  <c r="U89" i="46"/>
  <c r="U87" i="46"/>
  <c r="U85" i="46"/>
  <c r="U83" i="46"/>
  <c r="U81" i="46"/>
  <c r="U94" i="46"/>
  <c r="U92" i="46"/>
  <c r="U90" i="46"/>
  <c r="U88" i="46"/>
  <c r="U86" i="46"/>
  <c r="U84" i="46"/>
  <c r="U82" i="46"/>
  <c r="U80" i="46"/>
  <c r="U77" i="46"/>
  <c r="U75" i="46"/>
  <c r="U73" i="46"/>
  <c r="U71" i="46"/>
  <c r="U69" i="46"/>
  <c r="U67" i="46"/>
  <c r="U65" i="46"/>
  <c r="U63" i="46"/>
  <c r="U61" i="46"/>
  <c r="U59" i="46"/>
  <c r="U78" i="46"/>
  <c r="U76" i="46"/>
  <c r="U74" i="46"/>
  <c r="U72" i="46"/>
  <c r="U70" i="46"/>
  <c r="U68" i="46"/>
  <c r="U66" i="46"/>
  <c r="U64" i="46"/>
  <c r="U62" i="46"/>
  <c r="U60" i="46"/>
  <c r="U58" i="46"/>
  <c r="U56" i="46"/>
  <c r="U54" i="46"/>
  <c r="U52" i="46"/>
  <c r="U50" i="46"/>
  <c r="U48" i="46"/>
  <c r="U46" i="46"/>
  <c r="U44" i="46"/>
  <c r="U42" i="46"/>
  <c r="U79" i="46"/>
  <c r="U57" i="46"/>
  <c r="U55" i="46"/>
  <c r="U53" i="46"/>
  <c r="U51" i="46"/>
  <c r="U49" i="46"/>
  <c r="U47" i="46"/>
  <c r="U45" i="46"/>
  <c r="U43" i="46"/>
  <c r="U41" i="46"/>
  <c r="U40" i="46"/>
  <c r="U38" i="46"/>
  <c r="U36" i="46"/>
  <c r="U34" i="46"/>
  <c r="U32" i="46"/>
  <c r="U30" i="46"/>
  <c r="U28" i="46"/>
  <c r="U26" i="46"/>
  <c r="U24" i="46"/>
  <c r="AC227" i="46"/>
  <c r="AC225" i="46"/>
  <c r="AC223" i="46"/>
  <c r="AC221" i="46"/>
  <c r="AC219" i="46"/>
  <c r="AC224" i="46"/>
  <c r="AC216" i="46"/>
  <c r="AC214" i="46"/>
  <c r="AC212" i="46"/>
  <c r="AC222" i="46"/>
  <c r="AC218" i="46"/>
  <c r="AC217" i="46"/>
  <c r="AC215" i="46"/>
  <c r="AC213" i="46"/>
  <c r="AC220" i="46"/>
  <c r="AC226" i="46"/>
  <c r="AC211" i="46"/>
  <c r="AC209" i="46"/>
  <c r="AC207" i="46"/>
  <c r="AC205" i="46"/>
  <c r="AC204" i="46"/>
  <c r="AC201" i="46"/>
  <c r="AC199" i="46"/>
  <c r="AC197" i="46"/>
  <c r="AC195" i="46"/>
  <c r="AC202" i="46"/>
  <c r="AC200" i="46"/>
  <c r="AC206" i="46"/>
  <c r="AC198" i="46"/>
  <c r="AC193" i="46"/>
  <c r="AC191" i="46"/>
  <c r="AC189" i="46"/>
  <c r="AC187" i="46"/>
  <c r="AC210" i="46"/>
  <c r="AC208" i="46"/>
  <c r="AC203" i="46"/>
  <c r="AC196" i="46"/>
  <c r="AC188" i="46"/>
  <c r="AC185" i="46"/>
  <c r="AC183" i="46"/>
  <c r="AC181" i="46"/>
  <c r="AC179" i="46"/>
  <c r="AC177" i="46"/>
  <c r="AC190" i="46"/>
  <c r="AC194" i="46"/>
  <c r="AC192" i="46"/>
  <c r="AC184" i="46"/>
  <c r="AC182" i="46"/>
  <c r="AC180" i="46"/>
  <c r="AC186" i="46"/>
  <c r="AC175" i="46"/>
  <c r="AC173" i="46"/>
  <c r="AC171" i="46"/>
  <c r="AC169" i="46"/>
  <c r="AC166" i="46"/>
  <c r="AC164" i="46"/>
  <c r="AC162" i="46"/>
  <c r="AC160" i="46"/>
  <c r="AC158" i="46"/>
  <c r="AC178" i="46"/>
  <c r="AC168" i="46"/>
  <c r="AC167" i="46"/>
  <c r="AC165" i="46"/>
  <c r="AC163" i="46"/>
  <c r="AC161" i="46"/>
  <c r="AC159" i="46"/>
  <c r="AC157" i="46"/>
  <c r="AC155" i="46"/>
  <c r="AC153" i="46"/>
  <c r="AC151" i="46"/>
  <c r="AC149" i="46"/>
  <c r="AC176" i="46"/>
  <c r="AC174" i="46"/>
  <c r="AC172" i="46"/>
  <c r="AC170" i="46"/>
  <c r="AC148" i="46"/>
  <c r="AC146" i="46"/>
  <c r="AC144" i="46"/>
  <c r="AC142" i="46"/>
  <c r="AC140" i="46"/>
  <c r="AC138" i="46"/>
  <c r="AC136" i="46"/>
  <c r="AC134" i="46"/>
  <c r="AC132" i="46"/>
  <c r="AC152" i="46"/>
  <c r="AC154" i="46"/>
  <c r="AC147" i="46"/>
  <c r="AC145" i="46"/>
  <c r="AC143" i="46"/>
  <c r="AC141" i="46"/>
  <c r="AC139" i="46"/>
  <c r="AC137" i="46"/>
  <c r="AC135" i="46"/>
  <c r="AC133" i="46"/>
  <c r="AC156" i="46"/>
  <c r="AC150" i="46"/>
  <c r="AC131" i="46"/>
  <c r="AC129" i="46"/>
  <c r="AC127" i="46"/>
  <c r="AC125" i="46"/>
  <c r="AC123" i="46"/>
  <c r="AC121" i="46"/>
  <c r="AC119" i="46"/>
  <c r="AC117" i="46"/>
  <c r="AC115" i="46"/>
  <c r="AC130" i="46"/>
  <c r="AC128" i="46"/>
  <c r="AC126" i="46"/>
  <c r="AC124" i="46"/>
  <c r="AC122" i="46"/>
  <c r="AC120" i="46"/>
  <c r="AC118" i="46"/>
  <c r="AC116" i="46"/>
  <c r="AC113" i="46"/>
  <c r="AC111" i="46"/>
  <c r="AC109" i="46"/>
  <c r="AC107" i="46"/>
  <c r="AC105" i="46"/>
  <c r="AC103" i="46"/>
  <c r="AC101" i="46"/>
  <c r="AC99" i="46"/>
  <c r="AC97" i="46"/>
  <c r="AC114" i="46"/>
  <c r="AC112" i="46"/>
  <c r="AC110" i="46"/>
  <c r="AC108" i="46"/>
  <c r="AC106" i="46"/>
  <c r="AC104" i="46"/>
  <c r="AC102" i="46"/>
  <c r="AC100" i="46"/>
  <c r="AC98" i="46"/>
  <c r="AC96" i="46"/>
  <c r="AC95" i="46"/>
  <c r="AC93" i="46"/>
  <c r="AC91" i="46"/>
  <c r="AC89" i="46"/>
  <c r="AC87" i="46"/>
  <c r="AC85" i="46"/>
  <c r="AC83" i="46"/>
  <c r="AC81" i="46"/>
  <c r="AC94" i="46"/>
  <c r="AC92" i="46"/>
  <c r="AC90" i="46"/>
  <c r="AC88" i="46"/>
  <c r="AC86" i="46"/>
  <c r="AC84" i="46"/>
  <c r="AC82" i="46"/>
  <c r="AC80" i="46"/>
  <c r="AC77" i="46"/>
  <c r="AC75" i="46"/>
  <c r="AC73" i="46"/>
  <c r="AC71" i="46"/>
  <c r="AC69" i="46"/>
  <c r="AC67" i="46"/>
  <c r="AC65" i="46"/>
  <c r="AC63" i="46"/>
  <c r="AC61" i="46"/>
  <c r="AC59" i="46"/>
  <c r="AC79" i="46"/>
  <c r="AC78" i="46"/>
  <c r="AC76" i="46"/>
  <c r="AC74" i="46"/>
  <c r="AC72" i="46"/>
  <c r="AC70" i="46"/>
  <c r="AC68" i="46"/>
  <c r="AC66" i="46"/>
  <c r="AC64" i="46"/>
  <c r="AC62" i="46"/>
  <c r="AC60" i="46"/>
  <c r="AC58" i="46"/>
  <c r="AC56" i="46"/>
  <c r="AC54" i="46"/>
  <c r="AC52" i="46"/>
  <c r="AC50" i="46"/>
  <c r="AC48" i="46"/>
  <c r="AC46" i="46"/>
  <c r="AC44" i="46"/>
  <c r="AC42" i="46"/>
  <c r="AC57" i="46"/>
  <c r="AC55" i="46"/>
  <c r="AC53" i="46"/>
  <c r="AC51" i="46"/>
  <c r="AC49" i="46"/>
  <c r="AC47" i="46"/>
  <c r="AC45" i="46"/>
  <c r="AC43" i="46"/>
  <c r="AC41" i="46"/>
  <c r="AC40" i="46"/>
  <c r="AC38" i="46"/>
  <c r="AC36" i="46"/>
  <c r="AC34" i="46"/>
  <c r="AC32" i="46"/>
  <c r="AC30" i="46"/>
  <c r="AC28" i="46"/>
  <c r="AC26" i="46"/>
  <c r="AC24" i="46"/>
  <c r="M6" i="46"/>
  <c r="U6" i="46"/>
  <c r="AC6" i="46"/>
  <c r="Q7" i="46"/>
  <c r="Y7" i="46"/>
  <c r="M8" i="46"/>
  <c r="U8" i="46"/>
  <c r="AC8" i="46"/>
  <c r="Q9" i="46"/>
  <c r="Y9" i="46"/>
  <c r="M10" i="46"/>
  <c r="U10" i="46"/>
  <c r="AC10" i="46"/>
  <c r="Q11" i="46"/>
  <c r="Y11" i="46"/>
  <c r="M12" i="46"/>
  <c r="U12" i="46"/>
  <c r="AC12" i="46"/>
  <c r="Q13" i="46"/>
  <c r="Y13" i="46"/>
  <c r="M14" i="46"/>
  <c r="U14" i="46"/>
  <c r="AC14" i="46"/>
  <c r="Q15" i="46"/>
  <c r="Y15" i="46"/>
  <c r="M16" i="46"/>
  <c r="U16" i="46"/>
  <c r="AC16" i="46"/>
  <c r="Q17" i="46"/>
  <c r="Y17" i="46"/>
  <c r="M18" i="46"/>
  <c r="U18" i="46"/>
  <c r="AC18" i="46"/>
  <c r="Q19" i="46"/>
  <c r="Y19" i="46"/>
  <c r="M20" i="46"/>
  <c r="U20" i="46"/>
  <c r="AC20" i="46"/>
  <c r="Q21" i="46"/>
  <c r="Y21" i="46"/>
  <c r="M22" i="46"/>
  <c r="U22" i="46"/>
  <c r="AC22" i="46"/>
  <c r="U23" i="46"/>
  <c r="Q24" i="46"/>
  <c r="AB24" i="46"/>
  <c r="AC25" i="46"/>
  <c r="O27" i="46"/>
  <c r="Y28" i="46"/>
  <c r="AC29" i="46"/>
  <c r="M37" i="46"/>
  <c r="P38" i="46"/>
  <c r="T39" i="46"/>
  <c r="Q40" i="46"/>
  <c r="T51" i="46"/>
  <c r="D60" i="6" l="1"/>
  <c r="C123" i="6" l="1"/>
  <c r="C21" i="6" s="1"/>
  <c r="B30" i="7" l="1"/>
  <c r="B77" i="8"/>
  <c r="B78" i="8" s="1"/>
  <c r="B79" i="8" s="1"/>
  <c r="D79" i="8" s="1"/>
  <c r="B72" i="8"/>
  <c r="B73" i="8" s="1"/>
  <c r="B65" i="8" s="1"/>
  <c r="B118" i="8" s="1"/>
  <c r="B28" i="8"/>
  <c r="B37" i="8" s="1"/>
  <c r="B38" i="8" s="1"/>
  <c r="B79" i="44"/>
  <c r="B151" i="8"/>
  <c r="B35" i="44" s="1"/>
  <c r="B46" i="8"/>
  <c r="B48" i="8" s="1"/>
  <c r="B34" i="8"/>
  <c r="B69" i="8" s="1"/>
  <c r="B62" i="8" s="1"/>
  <c r="C98" i="8" s="1"/>
  <c r="B76" i="44"/>
  <c r="C14" i="44" s="1"/>
  <c r="C13" i="44"/>
  <c r="B71" i="44"/>
  <c r="B77" i="44" s="1"/>
  <c r="C12" i="44" s="1"/>
  <c r="B42" i="44"/>
  <c r="B53" i="44" s="1"/>
  <c r="B43" i="44"/>
  <c r="B44" i="44"/>
  <c r="B48" i="44"/>
  <c r="B45" i="44" s="1"/>
  <c r="B57" i="44"/>
  <c r="B58" i="44" s="1"/>
  <c r="C17" i="44" s="1"/>
  <c r="B23" i="44"/>
  <c r="B93" i="43"/>
  <c r="B76" i="43"/>
  <c r="B77" i="43" s="1"/>
  <c r="B66" i="43"/>
  <c r="B68" i="43"/>
  <c r="B69" i="43" s="1"/>
  <c r="C59" i="43"/>
  <c r="C62" i="43" s="1"/>
  <c r="B59" i="43"/>
  <c r="B62" i="43" s="1"/>
  <c r="D58" i="43"/>
  <c r="D57" i="43"/>
  <c r="C22" i="43" s="1"/>
  <c r="D56" i="43"/>
  <c r="C21" i="43" s="1"/>
  <c r="D55" i="43"/>
  <c r="C20" i="43" s="1"/>
  <c r="D54" i="43"/>
  <c r="D53" i="43"/>
  <c r="D52" i="43"/>
  <c r="D51" i="43"/>
  <c r="D50" i="43"/>
  <c r="D49" i="43"/>
  <c r="D48" i="43"/>
  <c r="B44" i="43"/>
  <c r="B43" i="43"/>
  <c r="B33" i="43"/>
  <c r="B37" i="43" s="1"/>
  <c r="B32" i="43"/>
  <c r="B35" i="43" s="1"/>
  <c r="B27" i="43"/>
  <c r="C19" i="43"/>
  <c r="D59" i="43"/>
  <c r="B32" i="6"/>
  <c r="B49" i="7"/>
  <c r="B50" i="7"/>
  <c r="C79" i="7" s="1"/>
  <c r="B48" i="7"/>
  <c r="B47" i="7"/>
  <c r="D89" i="7" s="1"/>
  <c r="B161" i="41"/>
  <c r="E143" i="41"/>
  <c r="F143" i="41" s="1"/>
  <c r="E142" i="41"/>
  <c r="F142" i="41"/>
  <c r="E141" i="41"/>
  <c r="F141" i="41" s="1"/>
  <c r="E140" i="41"/>
  <c r="F140" i="41" s="1"/>
  <c r="E139" i="41"/>
  <c r="F139" i="41" s="1"/>
  <c r="E138" i="41"/>
  <c r="F138" i="41" s="1"/>
  <c r="E137" i="41"/>
  <c r="F137" i="41" s="1"/>
  <c r="E136" i="41"/>
  <c r="F136" i="41" s="1"/>
  <c r="E135" i="41"/>
  <c r="F135" i="41" s="1"/>
  <c r="E134" i="41"/>
  <c r="F134" i="41" s="1"/>
  <c r="B85" i="41"/>
  <c r="B81" i="41"/>
  <c r="B82" i="41" s="1"/>
  <c r="B68" i="41" s="1"/>
  <c r="B76" i="41"/>
  <c r="B57" i="41"/>
  <c r="B60" i="41" s="1"/>
  <c r="B61" i="41" s="1"/>
  <c r="B38" i="7" s="1"/>
  <c r="B43" i="7" s="1"/>
  <c r="C78" i="7" s="1"/>
  <c r="B37" i="41"/>
  <c r="B38" i="41" s="1"/>
  <c r="B36" i="41"/>
  <c r="B35" i="41"/>
  <c r="B34" i="41"/>
  <c r="B73" i="41" s="1"/>
  <c r="B30" i="41"/>
  <c r="D82" i="41"/>
  <c r="C99" i="6"/>
  <c r="C102" i="6" s="1"/>
  <c r="C14" i="6" s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4" i="40"/>
  <c r="B83" i="8"/>
  <c r="B30" i="8"/>
  <c r="B90" i="8"/>
  <c r="B35" i="8"/>
  <c r="B76" i="9"/>
  <c r="B77" i="9" s="1"/>
  <c r="B66" i="9"/>
  <c r="B68" i="9" s="1"/>
  <c r="B69" i="9" s="1"/>
  <c r="B93" i="9"/>
  <c r="B27" i="9"/>
  <c r="B44" i="9"/>
  <c r="B43" i="9"/>
  <c r="B32" i="9"/>
  <c r="B35" i="9" s="1"/>
  <c r="B33" i="9"/>
  <c r="B37" i="9" s="1"/>
  <c r="B51" i="36"/>
  <c r="C80" i="36" s="1"/>
  <c r="B50" i="36"/>
  <c r="B49" i="36"/>
  <c r="C77" i="36" s="1"/>
  <c r="B48" i="36"/>
  <c r="B160" i="39"/>
  <c r="E142" i="39"/>
  <c r="F142" i="39" s="1"/>
  <c r="E141" i="39"/>
  <c r="F141" i="39" s="1"/>
  <c r="E140" i="39"/>
  <c r="F140" i="39" s="1"/>
  <c r="E139" i="39"/>
  <c r="F139" i="39"/>
  <c r="E138" i="39"/>
  <c r="F138" i="39" s="1"/>
  <c r="E137" i="39"/>
  <c r="F137" i="39" s="1"/>
  <c r="E136" i="39"/>
  <c r="F136" i="39"/>
  <c r="E135" i="39"/>
  <c r="F135" i="39" s="1"/>
  <c r="E134" i="39"/>
  <c r="F134" i="39" s="1"/>
  <c r="E133" i="39"/>
  <c r="F133" i="39" s="1"/>
  <c r="B84" i="39"/>
  <c r="B80" i="39"/>
  <c r="B81" i="39" s="1"/>
  <c r="B67" i="39" s="1"/>
  <c r="B75" i="39"/>
  <c r="B56" i="39"/>
  <c r="B59" i="39" s="1"/>
  <c r="B36" i="39"/>
  <c r="B37" i="39" s="1"/>
  <c r="B35" i="39"/>
  <c r="C12" i="39" s="1"/>
  <c r="B34" i="39"/>
  <c r="B33" i="39"/>
  <c r="B31" i="36" s="1"/>
  <c r="B32" i="36" s="1"/>
  <c r="B29" i="39"/>
  <c r="D104" i="36"/>
  <c r="D86" i="36"/>
  <c r="D87" i="36" s="1"/>
  <c r="D88" i="36" s="1"/>
  <c r="D85" i="36"/>
  <c r="C73" i="36"/>
  <c r="B30" i="36"/>
  <c r="C15" i="36" s="1"/>
  <c r="B29" i="36"/>
  <c r="B42" i="36" s="1"/>
  <c r="E133" i="8"/>
  <c r="F133" i="8" s="1"/>
  <c r="E132" i="8"/>
  <c r="F132" i="8" s="1"/>
  <c r="E131" i="8"/>
  <c r="F131" i="8" s="1"/>
  <c r="E130" i="8"/>
  <c r="F130" i="8" s="1"/>
  <c r="E129" i="8"/>
  <c r="F129" i="8" s="1"/>
  <c r="E128" i="8"/>
  <c r="F128" i="8" s="1"/>
  <c r="E127" i="8"/>
  <c r="F127" i="8" s="1"/>
  <c r="E126" i="8"/>
  <c r="F126" i="8" s="1"/>
  <c r="E125" i="8"/>
  <c r="F125" i="8" s="1"/>
  <c r="E124" i="8"/>
  <c r="F124" i="8" s="1"/>
  <c r="D103" i="7"/>
  <c r="C72" i="7"/>
  <c r="D85" i="7"/>
  <c r="D84" i="7"/>
  <c r="C76" i="7"/>
  <c r="C17" i="7" s="1"/>
  <c r="C56" i="7"/>
  <c r="C57" i="7"/>
  <c r="C15" i="7"/>
  <c r="B29" i="7"/>
  <c r="C132" i="6"/>
  <c r="C131" i="6"/>
  <c r="C130" i="6"/>
  <c r="C129" i="6"/>
  <c r="C128" i="6"/>
  <c r="C127" i="6"/>
  <c r="C122" i="6"/>
  <c r="C20" i="6" s="1"/>
  <c r="C121" i="6"/>
  <c r="C18" i="6" s="1"/>
  <c r="B87" i="43" s="1"/>
  <c r="B88" i="43" s="1"/>
  <c r="C120" i="6"/>
  <c r="C17" i="6" s="1"/>
  <c r="C119" i="6"/>
  <c r="C19" i="6" s="1"/>
  <c r="C108" i="6"/>
  <c r="C111" i="6" s="1"/>
  <c r="C101" i="6"/>
  <c r="C96" i="6"/>
  <c r="C95" i="6"/>
  <c r="D55" i="6"/>
  <c r="C50" i="6"/>
  <c r="D49" i="6"/>
  <c r="A49" i="6" s="1"/>
  <c r="D48" i="6"/>
  <c r="A48" i="6" s="1"/>
  <c r="D47" i="6"/>
  <c r="A47" i="6" s="1"/>
  <c r="D46" i="6"/>
  <c r="A46" i="6" s="1"/>
  <c r="D45" i="6"/>
  <c r="A45" i="6" s="1"/>
  <c r="D44" i="6"/>
  <c r="A44" i="6" s="1"/>
  <c r="D43" i="6"/>
  <c r="A43" i="6" s="1"/>
  <c r="D42" i="6"/>
  <c r="A42" i="6" s="1"/>
  <c r="D41" i="6"/>
  <c r="A41" i="6" s="1"/>
  <c r="B34" i="6"/>
  <c r="C105" i="6" s="1"/>
  <c r="C12" i="6"/>
  <c r="H12" i="6" s="1"/>
  <c r="B29" i="6"/>
  <c r="B30" i="6" s="1" a="1"/>
  <c r="B30" i="6" s="1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I35" i="15"/>
  <c r="H35" i="15"/>
  <c r="G35" i="15"/>
  <c r="F35" i="15"/>
  <c r="I34" i="15"/>
  <c r="H34" i="15"/>
  <c r="G34" i="15"/>
  <c r="F34" i="15"/>
  <c r="F44" i="15" s="1"/>
  <c r="I33" i="15"/>
  <c r="H33" i="15"/>
  <c r="Q44" i="15" s="1"/>
  <c r="G33" i="15"/>
  <c r="L44" i="15" s="1"/>
  <c r="F33" i="15"/>
  <c r="G44" i="15" s="1"/>
  <c r="U24" i="15"/>
  <c r="T24" i="15"/>
  <c r="S24" i="15"/>
  <c r="R24" i="15"/>
  <c r="Q24" i="15"/>
  <c r="P24" i="15"/>
  <c r="O24" i="15"/>
  <c r="N24" i="15"/>
  <c r="M24" i="15"/>
  <c r="L24" i="15"/>
  <c r="K24" i="15"/>
  <c r="J24" i="15"/>
  <c r="D24" i="15"/>
  <c r="E24" i="15" s="1"/>
  <c r="U23" i="15"/>
  <c r="T23" i="15"/>
  <c r="S23" i="15"/>
  <c r="R23" i="15"/>
  <c r="Q23" i="15"/>
  <c r="P23" i="15"/>
  <c r="O23" i="15"/>
  <c r="N23" i="15"/>
  <c r="M23" i="15"/>
  <c r="L23" i="15"/>
  <c r="K23" i="15"/>
  <c r="J23" i="15"/>
  <c r="E23" i="15"/>
  <c r="D22" i="15"/>
  <c r="E22" i="15" s="1"/>
  <c r="U21" i="15"/>
  <c r="T21" i="15"/>
  <c r="S21" i="15"/>
  <c r="R21" i="15"/>
  <c r="Q21" i="15"/>
  <c r="P21" i="15"/>
  <c r="O21" i="15"/>
  <c r="N21" i="15"/>
  <c r="M21" i="15"/>
  <c r="L21" i="15"/>
  <c r="K21" i="15"/>
  <c r="J21" i="15"/>
  <c r="D21" i="15"/>
  <c r="E21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D20" i="15"/>
  <c r="E20" i="15" s="1"/>
  <c r="U19" i="15"/>
  <c r="T19" i="15"/>
  <c r="S19" i="15"/>
  <c r="R19" i="15"/>
  <c r="Q19" i="15"/>
  <c r="P19" i="15"/>
  <c r="O19" i="15"/>
  <c r="N19" i="15"/>
  <c r="M19" i="15"/>
  <c r="L19" i="15"/>
  <c r="K19" i="15"/>
  <c r="J19" i="15"/>
  <c r="D19" i="15"/>
  <c r="E19" i="15" s="1"/>
  <c r="U18" i="15"/>
  <c r="T18" i="15"/>
  <c r="S18" i="15"/>
  <c r="R18" i="15"/>
  <c r="Q18" i="15"/>
  <c r="P18" i="15"/>
  <c r="O18" i="15"/>
  <c r="N18" i="15"/>
  <c r="M18" i="15"/>
  <c r="L18" i="15"/>
  <c r="K18" i="15"/>
  <c r="J18" i="15"/>
  <c r="D18" i="15"/>
  <c r="E18" i="15" s="1"/>
  <c r="U17" i="15"/>
  <c r="T17" i="15"/>
  <c r="S17" i="15"/>
  <c r="R17" i="15"/>
  <c r="Q17" i="15"/>
  <c r="P17" i="15"/>
  <c r="O17" i="15"/>
  <c r="N17" i="15"/>
  <c r="M17" i="15"/>
  <c r="L17" i="15"/>
  <c r="K17" i="15"/>
  <c r="J17" i="15"/>
  <c r="D17" i="15"/>
  <c r="E17" i="15" s="1"/>
  <c r="U16" i="15"/>
  <c r="T16" i="15"/>
  <c r="S16" i="15"/>
  <c r="R16" i="15"/>
  <c r="Q16" i="15"/>
  <c r="P16" i="15"/>
  <c r="O16" i="15"/>
  <c r="N16" i="15"/>
  <c r="M16" i="15"/>
  <c r="L16" i="15"/>
  <c r="K16" i="15"/>
  <c r="J16" i="15"/>
  <c r="D16" i="15"/>
  <c r="E16" i="15" s="1"/>
  <c r="U15" i="15"/>
  <c r="T15" i="15"/>
  <c r="S15" i="15"/>
  <c r="R15" i="15"/>
  <c r="Q15" i="15"/>
  <c r="P15" i="15"/>
  <c r="O15" i="15"/>
  <c r="N15" i="15"/>
  <c r="M15" i="15"/>
  <c r="L15" i="15"/>
  <c r="K15" i="15"/>
  <c r="J15" i="15"/>
  <c r="D15" i="15"/>
  <c r="E15" i="15" s="1"/>
  <c r="U14" i="15"/>
  <c r="T14" i="15"/>
  <c r="S14" i="15"/>
  <c r="R14" i="15"/>
  <c r="Q14" i="15"/>
  <c r="P14" i="15"/>
  <c r="O14" i="15"/>
  <c r="N14" i="15"/>
  <c r="M14" i="15"/>
  <c r="L14" i="15"/>
  <c r="K14" i="15"/>
  <c r="J14" i="15"/>
  <c r="E14" i="15"/>
  <c r="C51" i="15" s="1"/>
  <c r="U13" i="15"/>
  <c r="T13" i="15"/>
  <c r="S13" i="15"/>
  <c r="R13" i="15"/>
  <c r="Q13" i="15"/>
  <c r="P13" i="15"/>
  <c r="O13" i="15"/>
  <c r="N13" i="15"/>
  <c r="M13" i="15"/>
  <c r="L13" i="15"/>
  <c r="K13" i="15"/>
  <c r="J13" i="15"/>
  <c r="E13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E12" i="15"/>
  <c r="C50" i="15" s="1"/>
  <c r="U11" i="15"/>
  <c r="T11" i="15"/>
  <c r="S11" i="15"/>
  <c r="R11" i="15"/>
  <c r="Q11" i="15"/>
  <c r="P11" i="15"/>
  <c r="O11" i="15"/>
  <c r="N11" i="15"/>
  <c r="M11" i="15"/>
  <c r="L11" i="15"/>
  <c r="K11" i="15"/>
  <c r="J11" i="15"/>
  <c r="E11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E10" i="15"/>
  <c r="C53" i="15" s="1"/>
  <c r="U9" i="15"/>
  <c r="T9" i="15"/>
  <c r="S9" i="15"/>
  <c r="R9" i="15"/>
  <c r="Q9" i="15"/>
  <c r="P9" i="15"/>
  <c r="O9" i="15"/>
  <c r="N9" i="15"/>
  <c r="M9" i="15"/>
  <c r="L9" i="15"/>
  <c r="K9" i="15"/>
  <c r="J9" i="15"/>
  <c r="E9" i="15"/>
  <c r="C57" i="15" s="1"/>
  <c r="U8" i="15"/>
  <c r="T8" i="15"/>
  <c r="S8" i="15"/>
  <c r="R8" i="15"/>
  <c r="Q8" i="15"/>
  <c r="P8" i="15"/>
  <c r="O8" i="15"/>
  <c r="N8" i="15"/>
  <c r="M8" i="15"/>
  <c r="L8" i="15"/>
  <c r="K8" i="15"/>
  <c r="J8" i="15"/>
  <c r="E8" i="15"/>
  <c r="U7" i="15"/>
  <c r="T7" i="15"/>
  <c r="S7" i="15"/>
  <c r="R7" i="15"/>
  <c r="Q7" i="15"/>
  <c r="P7" i="15"/>
  <c r="O7" i="15"/>
  <c r="N7" i="15"/>
  <c r="M7" i="15"/>
  <c r="L7" i="15"/>
  <c r="K7" i="15"/>
  <c r="J7" i="15"/>
  <c r="E7" i="15"/>
  <c r="U6" i="15"/>
  <c r="T6" i="15"/>
  <c r="S6" i="15"/>
  <c r="R6" i="15"/>
  <c r="Q6" i="15"/>
  <c r="P6" i="15"/>
  <c r="O6" i="15"/>
  <c r="N6" i="15"/>
  <c r="M6" i="15"/>
  <c r="L6" i="15"/>
  <c r="K6" i="15"/>
  <c r="J6" i="15"/>
  <c r="E6" i="15"/>
  <c r="U5" i="15"/>
  <c r="T5" i="15"/>
  <c r="S5" i="15"/>
  <c r="R5" i="15"/>
  <c r="Q5" i="15"/>
  <c r="P5" i="15"/>
  <c r="O5" i="15"/>
  <c r="N5" i="15"/>
  <c r="M5" i="15"/>
  <c r="L5" i="15"/>
  <c r="K5" i="15"/>
  <c r="J5" i="15"/>
  <c r="E5" i="15"/>
  <c r="U4" i="15"/>
  <c r="T4" i="15"/>
  <c r="S4" i="15"/>
  <c r="R4" i="15"/>
  <c r="Q4" i="15"/>
  <c r="P4" i="15"/>
  <c r="O4" i="15"/>
  <c r="N4" i="15"/>
  <c r="M4" i="15"/>
  <c r="L4" i="15"/>
  <c r="K4" i="15"/>
  <c r="J4" i="15"/>
  <c r="E4" i="15"/>
  <c r="Z112" i="12"/>
  <c r="Y112" i="12"/>
  <c r="X112" i="12"/>
  <c r="W112" i="12"/>
  <c r="V112" i="12"/>
  <c r="U112" i="12"/>
  <c r="T112" i="12"/>
  <c r="S112" i="12"/>
  <c r="Z111" i="12"/>
  <c r="Y111" i="12"/>
  <c r="X111" i="12"/>
  <c r="W111" i="12"/>
  <c r="V111" i="12"/>
  <c r="U111" i="12"/>
  <c r="T111" i="12"/>
  <c r="P110" i="12"/>
  <c r="Z110" i="12" s="1"/>
  <c r="O110" i="12"/>
  <c r="Y110" i="12" s="1"/>
  <c r="N110" i="12"/>
  <c r="X110" i="12" s="1"/>
  <c r="M110" i="12"/>
  <c r="W110" i="12" s="1"/>
  <c r="L110" i="12"/>
  <c r="V110" i="12" s="1"/>
  <c r="K110" i="12"/>
  <c r="U110" i="12" s="1"/>
  <c r="J110" i="12"/>
  <c r="T110" i="12" s="1"/>
  <c r="P109" i="12"/>
  <c r="Z109" i="12" s="1"/>
  <c r="O109" i="12"/>
  <c r="N109" i="12"/>
  <c r="X109" i="12" s="1"/>
  <c r="M109" i="12"/>
  <c r="W109" i="12" s="1"/>
  <c r="L109" i="12"/>
  <c r="V109" i="12" s="1"/>
  <c r="K109" i="12"/>
  <c r="U109" i="12" s="1"/>
  <c r="J109" i="12"/>
  <c r="T109" i="12" s="1"/>
  <c r="P108" i="12"/>
  <c r="Z108" i="12" s="1"/>
  <c r="O108" i="12"/>
  <c r="Y108" i="12" s="1"/>
  <c r="N108" i="12"/>
  <c r="X108" i="12" s="1"/>
  <c r="M108" i="12"/>
  <c r="W108" i="12" s="1"/>
  <c r="L108" i="12"/>
  <c r="V108" i="12" s="1"/>
  <c r="K108" i="12"/>
  <c r="U108" i="12" s="1"/>
  <c r="J108" i="12"/>
  <c r="T108" i="12" s="1"/>
  <c r="P107" i="12"/>
  <c r="Z107" i="12" s="1"/>
  <c r="O107" i="12"/>
  <c r="Y107" i="12" s="1"/>
  <c r="N107" i="12"/>
  <c r="X107" i="12" s="1"/>
  <c r="M107" i="12"/>
  <c r="W107" i="12"/>
  <c r="L107" i="12"/>
  <c r="V107" i="12" s="1"/>
  <c r="K107" i="12"/>
  <c r="U107" i="12" s="1"/>
  <c r="J107" i="12"/>
  <c r="T107" i="12" s="1"/>
  <c r="P106" i="12"/>
  <c r="O106" i="12"/>
  <c r="Y106" i="12" s="1"/>
  <c r="N106" i="12"/>
  <c r="X106" i="12" s="1"/>
  <c r="M106" i="12"/>
  <c r="W106" i="12" s="1"/>
  <c r="L106" i="12"/>
  <c r="V106" i="12" s="1"/>
  <c r="K106" i="12"/>
  <c r="U106" i="12" s="1"/>
  <c r="J106" i="12"/>
  <c r="T106" i="12" s="1"/>
  <c r="P105" i="12"/>
  <c r="Z105" i="12" s="1"/>
  <c r="O105" i="12"/>
  <c r="Y105" i="12" s="1"/>
  <c r="N105" i="12"/>
  <c r="M105" i="12"/>
  <c r="W105" i="12" s="1"/>
  <c r="L105" i="12"/>
  <c r="V105" i="12" s="1"/>
  <c r="K105" i="12"/>
  <c r="U105" i="12" s="1"/>
  <c r="J105" i="12"/>
  <c r="T105" i="12" s="1"/>
  <c r="S104" i="12"/>
  <c r="P104" i="12"/>
  <c r="Z104" i="12" s="1"/>
  <c r="O104" i="12"/>
  <c r="Y104" i="12" s="1"/>
  <c r="N104" i="12"/>
  <c r="X104" i="12" s="1"/>
  <c r="M104" i="12"/>
  <c r="W104" i="12" s="1"/>
  <c r="L104" i="12"/>
  <c r="K104" i="12"/>
  <c r="U104" i="12" s="1"/>
  <c r="J104" i="12"/>
  <c r="T104" i="12" s="1"/>
  <c r="Z103" i="12"/>
  <c r="Y103" i="12"/>
  <c r="X103" i="12"/>
  <c r="W103" i="12"/>
  <c r="V103" i="12"/>
  <c r="U103" i="12"/>
  <c r="T103" i="12"/>
  <c r="S103" i="12"/>
  <c r="R103" i="12"/>
  <c r="H103" i="12"/>
  <c r="Z101" i="12"/>
  <c r="Y101" i="12"/>
  <c r="X101" i="12"/>
  <c r="W101" i="12"/>
  <c r="V101" i="12"/>
  <c r="U101" i="12"/>
  <c r="T101" i="12"/>
  <c r="Z100" i="12"/>
  <c r="Y100" i="12"/>
  <c r="X100" i="12"/>
  <c r="W100" i="12"/>
  <c r="V100" i="12"/>
  <c r="U100" i="12"/>
  <c r="T100" i="12"/>
  <c r="Z99" i="12"/>
  <c r="Y99" i="12"/>
  <c r="X99" i="12"/>
  <c r="W99" i="12"/>
  <c r="V99" i="12"/>
  <c r="U99" i="12"/>
  <c r="T99" i="12"/>
  <c r="Z92" i="12"/>
  <c r="Y92" i="12"/>
  <c r="X92" i="12"/>
  <c r="W92" i="12"/>
  <c r="V92" i="12"/>
  <c r="U92" i="12"/>
  <c r="T92" i="12"/>
  <c r="S92" i="12"/>
  <c r="Z91" i="12"/>
  <c r="Y91" i="12"/>
  <c r="X91" i="12"/>
  <c r="W91" i="12"/>
  <c r="V91" i="12"/>
  <c r="U91" i="12"/>
  <c r="T91" i="12"/>
  <c r="P90" i="12"/>
  <c r="Z90" i="12" s="1"/>
  <c r="O90" i="12"/>
  <c r="Y90" i="12" s="1"/>
  <c r="N90" i="12"/>
  <c r="X90" i="12" s="1"/>
  <c r="M90" i="12"/>
  <c r="W90" i="12" s="1"/>
  <c r="L90" i="12"/>
  <c r="V90" i="12"/>
  <c r="K90" i="12"/>
  <c r="U90" i="12" s="1"/>
  <c r="J90" i="12"/>
  <c r="T90" i="12" s="1"/>
  <c r="P89" i="12"/>
  <c r="Z89" i="12"/>
  <c r="O89" i="12"/>
  <c r="Y89" i="12" s="1"/>
  <c r="N89" i="12"/>
  <c r="X89" i="12" s="1"/>
  <c r="M89" i="12"/>
  <c r="W89" i="12" s="1"/>
  <c r="L89" i="12"/>
  <c r="V89" i="12" s="1"/>
  <c r="K89" i="12"/>
  <c r="U89" i="12" s="1"/>
  <c r="J89" i="12"/>
  <c r="T89" i="12" s="1"/>
  <c r="P88" i="12"/>
  <c r="Z88" i="12" s="1"/>
  <c r="O88" i="12"/>
  <c r="Y88" i="12" s="1"/>
  <c r="N88" i="12"/>
  <c r="X88" i="12"/>
  <c r="M88" i="12"/>
  <c r="W88" i="12" s="1"/>
  <c r="L88" i="12"/>
  <c r="V88" i="12" s="1"/>
  <c r="K88" i="12"/>
  <c r="U88" i="12" s="1"/>
  <c r="J88" i="12"/>
  <c r="T88" i="12"/>
  <c r="P87" i="12"/>
  <c r="Z87" i="12" s="1"/>
  <c r="O87" i="12"/>
  <c r="Y87" i="12" s="1"/>
  <c r="N87" i="12"/>
  <c r="X87" i="12" s="1"/>
  <c r="M87" i="12"/>
  <c r="W87" i="12" s="1"/>
  <c r="L87" i="12"/>
  <c r="V87" i="12" s="1"/>
  <c r="K87" i="12"/>
  <c r="U87" i="12" s="1"/>
  <c r="J87" i="12"/>
  <c r="T87" i="12" s="1"/>
  <c r="P86" i="12"/>
  <c r="Z86" i="12" s="1"/>
  <c r="O86" i="12"/>
  <c r="Y86" i="12" s="1"/>
  <c r="N86" i="12"/>
  <c r="X86" i="12" s="1"/>
  <c r="M86" i="12"/>
  <c r="W86" i="12" s="1"/>
  <c r="L86" i="12"/>
  <c r="V86" i="12" s="1"/>
  <c r="K86" i="12"/>
  <c r="U86" i="12"/>
  <c r="J86" i="12"/>
  <c r="T86" i="12" s="1"/>
  <c r="P85" i="12"/>
  <c r="Z85" i="12" s="1"/>
  <c r="O85" i="12"/>
  <c r="Y85" i="12" s="1"/>
  <c r="N85" i="12"/>
  <c r="X85" i="12" s="1"/>
  <c r="M85" i="12"/>
  <c r="W85" i="12" s="1"/>
  <c r="L85" i="12"/>
  <c r="V85" i="12" s="1"/>
  <c r="K85" i="12"/>
  <c r="U85" i="12" s="1"/>
  <c r="J85" i="12"/>
  <c r="T85" i="12" s="1"/>
  <c r="S84" i="12"/>
  <c r="P84" i="12"/>
  <c r="Z84" i="12" s="1"/>
  <c r="O84" i="12"/>
  <c r="Y84" i="12" s="1"/>
  <c r="N84" i="12"/>
  <c r="X84" i="12" s="1"/>
  <c r="M84" i="12"/>
  <c r="W84" i="12" s="1"/>
  <c r="L84" i="12"/>
  <c r="V84" i="12" s="1"/>
  <c r="K84" i="12"/>
  <c r="U84" i="12" s="1"/>
  <c r="J84" i="12"/>
  <c r="T84" i="12" s="1"/>
  <c r="Z83" i="12"/>
  <c r="Y83" i="12"/>
  <c r="X83" i="12"/>
  <c r="W83" i="12"/>
  <c r="V83" i="12"/>
  <c r="U83" i="12"/>
  <c r="T83" i="12"/>
  <c r="S83" i="12"/>
  <c r="R83" i="12"/>
  <c r="H83" i="12"/>
  <c r="Z81" i="12"/>
  <c r="Y81" i="12"/>
  <c r="X81" i="12"/>
  <c r="W81" i="12"/>
  <c r="V81" i="12"/>
  <c r="U81" i="12"/>
  <c r="T81" i="12"/>
  <c r="Z80" i="12"/>
  <c r="Y80" i="12"/>
  <c r="X80" i="12"/>
  <c r="W80" i="12"/>
  <c r="V80" i="12"/>
  <c r="U80" i="12"/>
  <c r="T80" i="12"/>
  <c r="Z79" i="12"/>
  <c r="Y79" i="12"/>
  <c r="X79" i="12"/>
  <c r="W79" i="12"/>
  <c r="V79" i="12"/>
  <c r="U79" i="12"/>
  <c r="T79" i="12"/>
  <c r="Z72" i="12"/>
  <c r="Y72" i="12"/>
  <c r="X72" i="12"/>
  <c r="W72" i="12"/>
  <c r="V72" i="12"/>
  <c r="U72" i="12"/>
  <c r="T72" i="12"/>
  <c r="S72" i="12"/>
  <c r="Z71" i="12"/>
  <c r="Y71" i="12"/>
  <c r="X71" i="12"/>
  <c r="W71" i="12"/>
  <c r="V71" i="12"/>
  <c r="U71" i="12"/>
  <c r="T71" i="12"/>
  <c r="P70" i="12"/>
  <c r="Z70" i="12" s="1"/>
  <c r="O70" i="12"/>
  <c r="Y70" i="12" s="1"/>
  <c r="N70" i="12"/>
  <c r="X70" i="12" s="1"/>
  <c r="M70" i="12"/>
  <c r="W70" i="12" s="1"/>
  <c r="L70" i="12"/>
  <c r="V70" i="12" s="1"/>
  <c r="K70" i="12"/>
  <c r="U70" i="12" s="1"/>
  <c r="J70" i="12"/>
  <c r="T70" i="12" s="1"/>
  <c r="P69" i="12"/>
  <c r="Z69" i="12" s="1"/>
  <c r="O69" i="12"/>
  <c r="Y69" i="12" s="1"/>
  <c r="N69" i="12"/>
  <c r="X69" i="12" s="1"/>
  <c r="M69" i="12"/>
  <c r="W69" i="12" s="1"/>
  <c r="L69" i="12"/>
  <c r="V69" i="12" s="1"/>
  <c r="K69" i="12"/>
  <c r="U69" i="12" s="1"/>
  <c r="J69" i="12"/>
  <c r="T69" i="12" s="1"/>
  <c r="P68" i="12"/>
  <c r="Z68" i="12" s="1"/>
  <c r="O68" i="12"/>
  <c r="Y68" i="12" s="1"/>
  <c r="N68" i="12"/>
  <c r="X68" i="12" s="1"/>
  <c r="M68" i="12"/>
  <c r="W68" i="12" s="1"/>
  <c r="L68" i="12"/>
  <c r="V68" i="12" s="1"/>
  <c r="K68" i="12"/>
  <c r="U68" i="12" s="1"/>
  <c r="J68" i="12"/>
  <c r="T68" i="12" s="1"/>
  <c r="P67" i="12"/>
  <c r="Z67" i="12" s="1"/>
  <c r="O67" i="12"/>
  <c r="Y67" i="12" s="1"/>
  <c r="N67" i="12"/>
  <c r="X67" i="12" s="1"/>
  <c r="M67" i="12"/>
  <c r="W67" i="12" s="1"/>
  <c r="L67" i="12"/>
  <c r="V67" i="12" s="1"/>
  <c r="K67" i="12"/>
  <c r="U67" i="12" s="1"/>
  <c r="J67" i="12"/>
  <c r="T67" i="12" s="1"/>
  <c r="P66" i="12"/>
  <c r="Z66" i="12" s="1"/>
  <c r="O66" i="12"/>
  <c r="Y66" i="12" s="1"/>
  <c r="N66" i="12"/>
  <c r="X66" i="12" s="1"/>
  <c r="M66" i="12"/>
  <c r="W66" i="12"/>
  <c r="L66" i="12"/>
  <c r="V66" i="12" s="1"/>
  <c r="K66" i="12"/>
  <c r="U66" i="12"/>
  <c r="J66" i="12"/>
  <c r="T66" i="12" s="1"/>
  <c r="P65" i="12"/>
  <c r="Z65" i="12" s="1"/>
  <c r="O65" i="12"/>
  <c r="Y65" i="12" s="1"/>
  <c r="N65" i="12"/>
  <c r="X65" i="12" s="1"/>
  <c r="M65" i="12"/>
  <c r="W65" i="12" s="1"/>
  <c r="L65" i="12"/>
  <c r="V65" i="12" s="1"/>
  <c r="K65" i="12"/>
  <c r="U65" i="12" s="1"/>
  <c r="J65" i="12"/>
  <c r="T65" i="12" s="1"/>
  <c r="S64" i="12"/>
  <c r="P64" i="12"/>
  <c r="Z64" i="12" s="1"/>
  <c r="O64" i="12"/>
  <c r="Y64" i="12" s="1"/>
  <c r="N64" i="12"/>
  <c r="X64" i="12" s="1"/>
  <c r="M64" i="12"/>
  <c r="W64" i="12" s="1"/>
  <c r="L64" i="12"/>
  <c r="V64" i="12" s="1"/>
  <c r="K64" i="12"/>
  <c r="U64" i="12" s="1"/>
  <c r="J64" i="12"/>
  <c r="T64" i="12" s="1"/>
  <c r="Z63" i="12"/>
  <c r="Y63" i="12"/>
  <c r="X63" i="12"/>
  <c r="W63" i="12"/>
  <c r="V63" i="12"/>
  <c r="U63" i="12"/>
  <c r="T63" i="12"/>
  <c r="S63" i="12"/>
  <c r="Z61" i="12"/>
  <c r="Y61" i="12"/>
  <c r="X61" i="12"/>
  <c r="W61" i="12"/>
  <c r="V61" i="12"/>
  <c r="U61" i="12"/>
  <c r="T61" i="12"/>
  <c r="Z60" i="12"/>
  <c r="Y60" i="12"/>
  <c r="X60" i="12"/>
  <c r="W60" i="12"/>
  <c r="V60" i="12"/>
  <c r="U60" i="12"/>
  <c r="T60" i="12"/>
  <c r="Z59" i="12"/>
  <c r="Y59" i="12"/>
  <c r="X59" i="12"/>
  <c r="W59" i="12"/>
  <c r="V59" i="12"/>
  <c r="U59" i="12"/>
  <c r="T59" i="12"/>
  <c r="E47" i="12"/>
  <c r="E46" i="12"/>
  <c r="E45" i="12"/>
  <c r="E44" i="12"/>
  <c r="C17" i="12"/>
  <c r="D11" i="12"/>
  <c r="D10" i="12"/>
  <c r="D6" i="12"/>
  <c r="D26" i="12" s="1"/>
  <c r="C6" i="12"/>
  <c r="C14" i="12" s="1"/>
  <c r="C31" i="12" s="1"/>
  <c r="B59" i="9"/>
  <c r="B62" i="9" s="1"/>
  <c r="D58" i="9"/>
  <c r="D52" i="9"/>
  <c r="D49" i="9"/>
  <c r="D51" i="9"/>
  <c r="D55" i="9"/>
  <c r="C20" i="9" s="1"/>
  <c r="D56" i="9"/>
  <c r="C21" i="9" s="1"/>
  <c r="D57" i="9"/>
  <c r="C27" i="12"/>
  <c r="D54" i="9"/>
  <c r="D50" i="9"/>
  <c r="C19" i="9" s="1"/>
  <c r="D53" i="9"/>
  <c r="C54" i="15"/>
  <c r="V104" i="12"/>
  <c r="C55" i="15"/>
  <c r="C52" i="15"/>
  <c r="D48" i="9"/>
  <c r="C59" i="9"/>
  <c r="C62" i="9"/>
  <c r="D59" i="9"/>
  <c r="D81" i="39"/>
  <c r="E14" i="8"/>
  <c r="C59" i="36"/>
  <c r="E12" i="8"/>
  <c r="B138" i="8"/>
  <c r="K22" i="15"/>
  <c r="N22" i="15"/>
  <c r="T22" i="15"/>
  <c r="U22" i="15"/>
  <c r="R22" i="15"/>
  <c r="P22" i="15"/>
  <c r="Q22" i="15"/>
  <c r="S22" i="15"/>
  <c r="O22" i="15"/>
  <c r="L22" i="15"/>
  <c r="M22" i="15"/>
  <c r="J22" i="15"/>
  <c r="N35" i="15" l="1"/>
  <c r="C58" i="7"/>
  <c r="D86" i="7"/>
  <c r="B45" i="9"/>
  <c r="G187" i="5"/>
  <c r="G149" i="5"/>
  <c r="G125" i="5"/>
  <c r="G92" i="5"/>
  <c r="G195" i="5"/>
  <c r="G104" i="5"/>
  <c r="G68" i="5"/>
  <c r="G119" i="5"/>
  <c r="G98" i="5"/>
  <c r="G81" i="5"/>
  <c r="G76" i="5"/>
  <c r="G12" i="5"/>
  <c r="G178" i="5"/>
  <c r="G227" i="46"/>
  <c r="G24" i="5"/>
  <c r="G214" i="46"/>
  <c r="G220" i="46"/>
  <c r="G205" i="46"/>
  <c r="G56" i="5"/>
  <c r="G147" i="46"/>
  <c r="G128" i="46"/>
  <c r="G106" i="46"/>
  <c r="G195" i="46"/>
  <c r="G96" i="46"/>
  <c r="G161" i="46"/>
  <c r="G115" i="46"/>
  <c r="G87" i="46"/>
  <c r="G63" i="46"/>
  <c r="G72" i="46"/>
  <c r="G23" i="46"/>
  <c r="G11" i="46"/>
  <c r="G135" i="46"/>
  <c r="G81" i="46"/>
  <c r="G140" i="5"/>
  <c r="G88" i="5"/>
  <c r="G133" i="5"/>
  <c r="G83" i="5"/>
  <c r="G64" i="5"/>
  <c r="G115" i="5"/>
  <c r="G105" i="5"/>
  <c r="G100" i="5"/>
  <c r="G29" i="5"/>
  <c r="G174" i="5"/>
  <c r="G8" i="5"/>
  <c r="G184" i="5"/>
  <c r="G145" i="5"/>
  <c r="G52" i="5"/>
  <c r="G39" i="5"/>
  <c r="G157" i="5"/>
  <c r="G191" i="46"/>
  <c r="G20" i="5"/>
  <c r="G201" i="46"/>
  <c r="G216" i="46"/>
  <c r="G152" i="46"/>
  <c r="G111" i="46"/>
  <c r="G97" i="46"/>
  <c r="G143" i="46"/>
  <c r="G124" i="46"/>
  <c r="G102" i="46"/>
  <c r="G107" i="46"/>
  <c r="G92" i="46"/>
  <c r="G39" i="46"/>
  <c r="G174" i="46"/>
  <c r="G163" i="46"/>
  <c r="G83" i="46"/>
  <c r="G59" i="46"/>
  <c r="G157" i="46"/>
  <c r="G74" i="46"/>
  <c r="G19" i="46"/>
  <c r="G7" i="46"/>
  <c r="G29" i="46"/>
  <c r="G190" i="5"/>
  <c r="G164" i="5"/>
  <c r="G153" i="5"/>
  <c r="G129" i="5"/>
  <c r="G170" i="5"/>
  <c r="G111" i="5"/>
  <c r="G120" i="5"/>
  <c r="G180" i="5"/>
  <c r="G60" i="5"/>
  <c r="G35" i="5"/>
  <c r="G46" i="5"/>
  <c r="G27" i="5"/>
  <c r="G16" i="5"/>
  <c r="G94" i="5"/>
  <c r="G72" i="5"/>
  <c r="G223" i="46"/>
  <c r="G197" i="46"/>
  <c r="G208" i="46"/>
  <c r="G187" i="46"/>
  <c r="G129" i="46"/>
  <c r="G120" i="46"/>
  <c r="G101" i="46"/>
  <c r="G181" i="46"/>
  <c r="G170" i="46"/>
  <c r="G139" i="46"/>
  <c r="G78" i="5"/>
  <c r="G88" i="46"/>
  <c r="G67" i="46"/>
  <c r="G55" i="46"/>
  <c r="G46" i="46"/>
  <c r="G35" i="46"/>
  <c r="G27" i="46"/>
  <c r="G78" i="46"/>
  <c r="G15" i="46"/>
  <c r="B36" i="8"/>
  <c r="K32" i="15"/>
  <c r="G126" i="5"/>
  <c r="G143" i="5"/>
  <c r="G137" i="5"/>
  <c r="G167" i="5"/>
  <c r="G108" i="5"/>
  <c r="G161" i="5"/>
  <c r="G69" i="5"/>
  <c r="G32" i="5"/>
  <c r="G150" i="5"/>
  <c r="G13" i="5"/>
  <c r="G25" i="5"/>
  <c r="G57" i="5"/>
  <c r="G184" i="46"/>
  <c r="G167" i="46"/>
  <c r="G148" i="46"/>
  <c r="G43" i="5"/>
  <c r="G178" i="46"/>
  <c r="G117" i="46"/>
  <c r="G136" i="46"/>
  <c r="G24" i="46"/>
  <c r="G155" i="46"/>
  <c r="G32" i="46"/>
  <c r="G52" i="46"/>
  <c r="G43" i="46"/>
  <c r="G12" i="46"/>
  <c r="G64" i="46"/>
  <c r="G194" i="5"/>
  <c r="G177" i="5"/>
  <c r="G103" i="5"/>
  <c r="G67" i="5"/>
  <c r="G136" i="5"/>
  <c r="G124" i="5"/>
  <c r="G55" i="5"/>
  <c r="G186" i="5"/>
  <c r="G118" i="5"/>
  <c r="G42" i="5"/>
  <c r="G23" i="5"/>
  <c r="G226" i="46"/>
  <c r="G189" i="5"/>
  <c r="G148" i="5"/>
  <c r="G11" i="5"/>
  <c r="G219" i="46"/>
  <c r="G194" i="46"/>
  <c r="G160" i="5"/>
  <c r="G97" i="5"/>
  <c r="G207" i="46"/>
  <c r="G204" i="46"/>
  <c r="G114" i="46"/>
  <c r="G166" i="46"/>
  <c r="G160" i="46"/>
  <c r="G134" i="46"/>
  <c r="G127" i="46"/>
  <c r="G100" i="46"/>
  <c r="G91" i="5"/>
  <c r="G213" i="46"/>
  <c r="G177" i="46"/>
  <c r="G146" i="46"/>
  <c r="G105" i="46"/>
  <c r="G95" i="46"/>
  <c r="G77" i="46"/>
  <c r="G71" i="46"/>
  <c r="G42" i="46"/>
  <c r="G86" i="46"/>
  <c r="G62" i="46"/>
  <c r="G22" i="46"/>
  <c r="G10" i="46"/>
  <c r="G87" i="5"/>
  <c r="G144" i="5"/>
  <c r="G132" i="5"/>
  <c r="G114" i="5"/>
  <c r="G82" i="5"/>
  <c r="G173" i="5"/>
  <c r="G49" i="5"/>
  <c r="G38" i="5"/>
  <c r="G19" i="5"/>
  <c r="G183" i="5"/>
  <c r="G28" i="5"/>
  <c r="G156" i="5"/>
  <c r="G139" i="5"/>
  <c r="G63" i="5"/>
  <c r="G7" i="5"/>
  <c r="G215" i="46"/>
  <c r="G190" i="46"/>
  <c r="G51" i="5"/>
  <c r="G142" i="46"/>
  <c r="G162" i="46"/>
  <c r="G156" i="46"/>
  <c r="G200" i="46"/>
  <c r="G110" i="46"/>
  <c r="G173" i="46"/>
  <c r="G123" i="46"/>
  <c r="G73" i="46"/>
  <c r="G91" i="46"/>
  <c r="G28" i="46"/>
  <c r="G82" i="46"/>
  <c r="G49" i="46"/>
  <c r="G151" i="46"/>
  <c r="G58" i="46"/>
  <c r="G38" i="46"/>
  <c r="G18" i="46"/>
  <c r="G6" i="46"/>
  <c r="G138" i="5"/>
  <c r="G128" i="5"/>
  <c r="G179" i="5"/>
  <c r="G169" i="5"/>
  <c r="G152" i="5"/>
  <c r="G34" i="5"/>
  <c r="G163" i="5"/>
  <c r="G110" i="5"/>
  <c r="G71" i="5"/>
  <c r="G59" i="5"/>
  <c r="G45" i="5"/>
  <c r="G222" i="46"/>
  <c r="G15" i="5"/>
  <c r="G196" i="46"/>
  <c r="G186" i="46"/>
  <c r="G169" i="46"/>
  <c r="G150" i="46"/>
  <c r="G119" i="46"/>
  <c r="G138" i="46"/>
  <c r="G34" i="46"/>
  <c r="G26" i="46"/>
  <c r="G54" i="46"/>
  <c r="G66" i="46"/>
  <c r="G45" i="46"/>
  <c r="G14" i="46"/>
  <c r="G180" i="46"/>
  <c r="G188" i="5"/>
  <c r="G142" i="5"/>
  <c r="G90" i="5"/>
  <c r="G99" i="5"/>
  <c r="G185" i="5"/>
  <c r="G159" i="5"/>
  <c r="G107" i="5"/>
  <c r="G102" i="5"/>
  <c r="G193" i="5"/>
  <c r="G117" i="5"/>
  <c r="G147" i="5"/>
  <c r="G135" i="5"/>
  <c r="G41" i="5"/>
  <c r="G31" i="5"/>
  <c r="G75" i="5"/>
  <c r="G54" i="5"/>
  <c r="G22" i="5"/>
  <c r="G10" i="5"/>
  <c r="G218" i="46"/>
  <c r="G212" i="46"/>
  <c r="G193" i="46"/>
  <c r="G123" i="5"/>
  <c r="G66" i="5"/>
  <c r="G50" i="5"/>
  <c r="G206" i="46"/>
  <c r="G203" i="46"/>
  <c r="G109" i="46"/>
  <c r="G154" i="46"/>
  <c r="G126" i="46"/>
  <c r="G176" i="46"/>
  <c r="G133" i="46"/>
  <c r="G116" i="46"/>
  <c r="G113" i="46"/>
  <c r="G145" i="46"/>
  <c r="G104" i="46"/>
  <c r="G94" i="46"/>
  <c r="G61" i="46"/>
  <c r="G165" i="46"/>
  <c r="G76" i="46"/>
  <c r="G70" i="46"/>
  <c r="G41" i="46"/>
  <c r="G159" i="46"/>
  <c r="G99" i="46"/>
  <c r="G9" i="46"/>
  <c r="G176" i="5"/>
  <c r="G85" i="46"/>
  <c r="G21" i="46"/>
  <c r="G51" i="46"/>
  <c r="G31" i="46"/>
  <c r="G192" i="5"/>
  <c r="G155" i="5"/>
  <c r="G131" i="5"/>
  <c r="G113" i="5"/>
  <c r="G86" i="5"/>
  <c r="G182" i="5"/>
  <c r="G172" i="5"/>
  <c r="G80" i="5"/>
  <c r="G48" i="5"/>
  <c r="G37" i="5"/>
  <c r="G74" i="5"/>
  <c r="G62" i="5"/>
  <c r="G18" i="5"/>
  <c r="G122" i="5"/>
  <c r="G96" i="5"/>
  <c r="G6" i="5"/>
  <c r="G166" i="5"/>
  <c r="G225" i="46"/>
  <c r="G210" i="46"/>
  <c r="G189" i="46"/>
  <c r="G199" i="46"/>
  <c r="G172" i="46"/>
  <c r="G141" i="46"/>
  <c r="G183" i="46"/>
  <c r="G80" i="46"/>
  <c r="G69" i="46"/>
  <c r="G90" i="46"/>
  <c r="G48" i="46"/>
  <c r="G37" i="46"/>
  <c r="G17" i="46"/>
  <c r="G122" i="46"/>
  <c r="G57" i="46"/>
  <c r="G131" i="46"/>
  <c r="G151" i="5"/>
  <c r="G70" i="5"/>
  <c r="G127" i="5"/>
  <c r="G168" i="5"/>
  <c r="G109" i="5"/>
  <c r="G77" i="5"/>
  <c r="G14" i="5"/>
  <c r="G162" i="5"/>
  <c r="G26" i="5"/>
  <c r="G93" i="5"/>
  <c r="G58" i="5"/>
  <c r="G44" i="5"/>
  <c r="G221" i="46"/>
  <c r="G33" i="5"/>
  <c r="G179" i="46"/>
  <c r="G118" i="46"/>
  <c r="G185" i="46"/>
  <c r="G168" i="46"/>
  <c r="G137" i="46"/>
  <c r="G65" i="46"/>
  <c r="G149" i="46"/>
  <c r="G53" i="46"/>
  <c r="G44" i="46"/>
  <c r="G33" i="46"/>
  <c r="G25" i="46"/>
  <c r="G13" i="46"/>
  <c r="C22" i="9"/>
  <c r="A50" i="6"/>
  <c r="G146" i="5"/>
  <c r="G134" i="5"/>
  <c r="G89" i="5"/>
  <c r="G65" i="5"/>
  <c r="G141" i="5"/>
  <c r="G84" i="5"/>
  <c r="G116" i="5"/>
  <c r="G106" i="5"/>
  <c r="G101" i="5"/>
  <c r="G158" i="5"/>
  <c r="G40" i="5"/>
  <c r="G175" i="5"/>
  <c r="G53" i="5"/>
  <c r="G9" i="5"/>
  <c r="G217" i="46"/>
  <c r="G211" i="46"/>
  <c r="G192" i="46"/>
  <c r="G21" i="5"/>
  <c r="G202" i="46"/>
  <c r="G98" i="46"/>
  <c r="G164" i="46"/>
  <c r="G158" i="46"/>
  <c r="G144" i="46"/>
  <c r="G108" i="46"/>
  <c r="G103" i="46"/>
  <c r="G175" i="46"/>
  <c r="G125" i="46"/>
  <c r="G153" i="46"/>
  <c r="G132" i="46"/>
  <c r="G84" i="46"/>
  <c r="G75" i="46"/>
  <c r="G30" i="5"/>
  <c r="G112" i="46"/>
  <c r="G40" i="46"/>
  <c r="G30" i="46"/>
  <c r="G93" i="46"/>
  <c r="G60" i="46"/>
  <c r="G8" i="46"/>
  <c r="G50" i="46"/>
  <c r="G20" i="46"/>
  <c r="G165" i="5"/>
  <c r="G130" i="5"/>
  <c r="G85" i="5"/>
  <c r="G191" i="5"/>
  <c r="G154" i="5"/>
  <c r="G112" i="5"/>
  <c r="G95" i="5"/>
  <c r="G79" i="5"/>
  <c r="G171" i="5"/>
  <c r="G73" i="5"/>
  <c r="G121" i="5"/>
  <c r="G61" i="5"/>
  <c r="G47" i="5"/>
  <c r="G36" i="5"/>
  <c r="G181" i="5"/>
  <c r="G17" i="5"/>
  <c r="G224" i="46"/>
  <c r="G188" i="46"/>
  <c r="G209" i="46"/>
  <c r="G198" i="46"/>
  <c r="G182" i="46"/>
  <c r="G171" i="46"/>
  <c r="G121" i="46"/>
  <c r="G140" i="46"/>
  <c r="G79" i="46"/>
  <c r="G47" i="46"/>
  <c r="G36" i="46"/>
  <c r="G130" i="46"/>
  <c r="G68" i="46"/>
  <c r="G89" i="46"/>
  <c r="G16" i="46"/>
  <c r="G56" i="46"/>
  <c r="L25" i="15"/>
  <c r="O28" i="15"/>
  <c r="N42" i="15" s="1"/>
  <c r="Q35" i="15"/>
  <c r="F134" i="8"/>
  <c r="F135" i="8" s="1"/>
  <c r="B31" i="7"/>
  <c r="B32" i="7" s="1"/>
  <c r="B41" i="7" s="1"/>
  <c r="C7" i="12"/>
  <c r="F40" i="12" s="1"/>
  <c r="B38" i="9"/>
  <c r="B39" i="9" s="1"/>
  <c r="C28" i="12"/>
  <c r="C26" i="12"/>
  <c r="P34" i="15"/>
  <c r="H27" i="15"/>
  <c r="B64" i="8"/>
  <c r="C13" i="12"/>
  <c r="C30" i="12" s="1"/>
  <c r="C29" i="12"/>
  <c r="B45" i="43"/>
  <c r="B70" i="43" s="1"/>
  <c r="C16" i="6"/>
  <c r="C106" i="6"/>
  <c r="B87" i="9"/>
  <c r="B88" i="9" s="1"/>
  <c r="B89" i="9" s="1"/>
  <c r="C17" i="9" s="1"/>
  <c r="D61" i="6"/>
  <c r="D56" i="6"/>
  <c r="C113" i="6"/>
  <c r="C114" i="6" s="1"/>
  <c r="C115" i="6" s="1"/>
  <c r="C23" i="6" s="1"/>
  <c r="C22" i="6"/>
  <c r="B82" i="43"/>
  <c r="B83" i="43" s="1"/>
  <c r="B82" i="9"/>
  <c r="B83" i="9" s="1"/>
  <c r="C57" i="36"/>
  <c r="D90" i="36"/>
  <c r="C58" i="36"/>
  <c r="C12" i="41"/>
  <c r="E12" i="41"/>
  <c r="Q33" i="15"/>
  <c r="P44" i="15" s="1"/>
  <c r="L33" i="15"/>
  <c r="J44" i="15" s="1"/>
  <c r="R25" i="15"/>
  <c r="C15" i="41"/>
  <c r="C60" i="7"/>
  <c r="B38" i="43"/>
  <c r="B39" i="43" s="1"/>
  <c r="C12" i="43" s="1"/>
  <c r="J35" i="15"/>
  <c r="R35" i="15"/>
  <c r="L35" i="15"/>
  <c r="O35" i="15"/>
  <c r="B89" i="43"/>
  <c r="C17" i="43" s="1"/>
  <c r="F143" i="39"/>
  <c r="F144" i="39" s="1"/>
  <c r="D62" i="9"/>
  <c r="C15" i="9" s="1"/>
  <c r="K28" i="15"/>
  <c r="I42" i="15" s="1"/>
  <c r="N26" i="15"/>
  <c r="K35" i="15"/>
  <c r="S35" i="15"/>
  <c r="M35" i="15"/>
  <c r="U35" i="15"/>
  <c r="P35" i="15"/>
  <c r="E15" i="41"/>
  <c r="B38" i="36"/>
  <c r="Z106" i="12"/>
  <c r="C58" i="15"/>
  <c r="C59" i="15"/>
  <c r="F28" i="15"/>
  <c r="C56" i="15"/>
  <c r="D61" i="15" s="1"/>
  <c r="G32" i="15"/>
  <c r="F25" i="15"/>
  <c r="G26" i="15"/>
  <c r="G29" i="15"/>
  <c r="L43" i="15" s="1"/>
  <c r="I29" i="15"/>
  <c r="F43" i="15" s="1"/>
  <c r="G25" i="15"/>
  <c r="F27" i="15"/>
  <c r="F29" i="15"/>
  <c r="G43" i="15" s="1"/>
  <c r="I27" i="15"/>
  <c r="G28" i="15"/>
  <c r="F32" i="15"/>
  <c r="I25" i="15"/>
  <c r="H32" i="15"/>
  <c r="H28" i="15"/>
  <c r="F26" i="15"/>
  <c r="H29" i="15"/>
  <c r="Q43" i="15" s="1"/>
  <c r="H25" i="15"/>
  <c r="I26" i="15"/>
  <c r="H26" i="15"/>
  <c r="I28" i="15"/>
  <c r="G27" i="15"/>
  <c r="I32" i="15"/>
  <c r="Q26" i="15"/>
  <c r="Q27" i="15"/>
  <c r="Q28" i="15"/>
  <c r="Q32" i="15"/>
  <c r="Q34" i="15"/>
  <c r="Q25" i="15"/>
  <c r="Q29" i="15"/>
  <c r="P43" i="15" s="1"/>
  <c r="L27" i="15"/>
  <c r="L29" i="15"/>
  <c r="J43" i="15" s="1"/>
  <c r="L28" i="15"/>
  <c r="L32" i="15"/>
  <c r="L26" i="15"/>
  <c r="L34" i="15"/>
  <c r="T27" i="15"/>
  <c r="T34" i="15"/>
  <c r="T32" i="15"/>
  <c r="T26" i="15"/>
  <c r="T29" i="15"/>
  <c r="T43" i="15" s="1"/>
  <c r="T25" i="15"/>
  <c r="T33" i="15"/>
  <c r="T44" i="15" s="1"/>
  <c r="T28" i="15"/>
  <c r="N28" i="15"/>
  <c r="X105" i="12"/>
  <c r="D87" i="7"/>
  <c r="Y109" i="12"/>
  <c r="O25" i="15"/>
  <c r="O30" i="15" s="1"/>
  <c r="N41" i="15" s="1"/>
  <c r="O34" i="15"/>
  <c r="O33" i="15"/>
  <c r="N44" i="15" s="1"/>
  <c r="O32" i="15"/>
  <c r="O29" i="15"/>
  <c r="N43" i="15" s="1"/>
  <c r="O27" i="15"/>
  <c r="O26" i="15"/>
  <c r="J25" i="15"/>
  <c r="J34" i="15"/>
  <c r="J26" i="15"/>
  <c r="J32" i="15"/>
  <c r="J27" i="15"/>
  <c r="J29" i="15"/>
  <c r="H43" i="15" s="1"/>
  <c r="J28" i="15"/>
  <c r="J33" i="15"/>
  <c r="H44" i="15" s="1"/>
  <c r="R32" i="15"/>
  <c r="R28" i="15"/>
  <c r="R33" i="15"/>
  <c r="R44" i="15" s="1"/>
  <c r="R27" i="15"/>
  <c r="R26" i="15"/>
  <c r="R29" i="15"/>
  <c r="R43" i="15" s="1"/>
  <c r="R34" i="15"/>
  <c r="M28" i="15"/>
  <c r="M26" i="15"/>
  <c r="M33" i="15"/>
  <c r="K44" i="15" s="1"/>
  <c r="M29" i="15"/>
  <c r="K43" i="15" s="1"/>
  <c r="M32" i="15"/>
  <c r="M34" i="15"/>
  <c r="M25" i="15"/>
  <c r="M27" i="15"/>
  <c r="U33" i="15"/>
  <c r="U44" i="15" s="1"/>
  <c r="U27" i="15"/>
  <c r="U34" i="15"/>
  <c r="U25" i="15"/>
  <c r="U32" i="15"/>
  <c r="U26" i="15"/>
  <c r="U28" i="15"/>
  <c r="U29" i="15"/>
  <c r="U43" i="15" s="1"/>
  <c r="P26" i="15"/>
  <c r="P29" i="15"/>
  <c r="O43" i="15" s="1"/>
  <c r="P28" i="15"/>
  <c r="P32" i="15"/>
  <c r="P25" i="15"/>
  <c r="K27" i="15"/>
  <c r="K34" i="15"/>
  <c r="K26" i="15"/>
  <c r="K33" i="15"/>
  <c r="I44" i="15" s="1"/>
  <c r="S32" i="15"/>
  <c r="S27" i="15"/>
  <c r="S33" i="15"/>
  <c r="S44" i="15" s="1"/>
  <c r="S28" i="15"/>
  <c r="S34" i="15"/>
  <c r="S29" i="15"/>
  <c r="S43" i="15" s="1"/>
  <c r="N33" i="15"/>
  <c r="M44" i="15" s="1"/>
  <c r="N34" i="15"/>
  <c r="N25" i="15"/>
  <c r="N29" i="15"/>
  <c r="M43" i="15" s="1"/>
  <c r="N32" i="15"/>
  <c r="C66" i="7"/>
  <c r="C67" i="7"/>
  <c r="C63" i="7"/>
  <c r="C64" i="7"/>
  <c r="C65" i="7"/>
  <c r="C61" i="36"/>
  <c r="B72" i="39"/>
  <c r="B46" i="39"/>
  <c r="B48" i="39" s="1"/>
  <c r="B50" i="39" s="1"/>
  <c r="C17" i="36"/>
  <c r="D53" i="6"/>
  <c r="D62" i="6"/>
  <c r="D7" i="12"/>
  <c r="G37" i="12" s="1"/>
  <c r="C49" i="12"/>
  <c r="D29" i="12"/>
  <c r="R63" i="12"/>
  <c r="H63" i="12"/>
  <c r="D28" i="12"/>
  <c r="D13" i="12"/>
  <c r="D30" i="12" s="1"/>
  <c r="D14" i="12"/>
  <c r="D31" i="12" s="1"/>
  <c r="B70" i="9"/>
  <c r="C13" i="9" s="1"/>
  <c r="B78" i="9"/>
  <c r="C14" i="9" s="1"/>
  <c r="P27" i="15"/>
  <c r="P33" i="15"/>
  <c r="O44" i="15" s="1"/>
  <c r="K29" i="15"/>
  <c r="I43" i="15" s="1"/>
  <c r="K25" i="15"/>
  <c r="S25" i="15"/>
  <c r="S26" i="15"/>
  <c r="N27" i="15"/>
  <c r="T35" i="15"/>
  <c r="F144" i="41"/>
  <c r="F145" i="41" s="1"/>
  <c r="D27" i="12"/>
  <c r="D50" i="6"/>
  <c r="C27" i="44"/>
  <c r="C28" i="44"/>
  <c r="C29" i="44"/>
  <c r="C30" i="44"/>
  <c r="C26" i="44"/>
  <c r="B67" i="41"/>
  <c r="B126" i="41" s="1"/>
  <c r="B47" i="41"/>
  <c r="B49" i="41" s="1"/>
  <c r="B51" i="41" s="1"/>
  <c r="B66" i="41"/>
  <c r="B77" i="41"/>
  <c r="B69" i="41" s="1"/>
  <c r="B128" i="41" s="1"/>
  <c r="B86" i="41"/>
  <c r="B88" i="41" s="1"/>
  <c r="E12" i="39"/>
  <c r="B84" i="8"/>
  <c r="B86" i="8" s="1"/>
  <c r="B63" i="8" s="1"/>
  <c r="B116" i="8" s="1"/>
  <c r="B78" i="43"/>
  <c r="C97" i="8"/>
  <c r="C99" i="8"/>
  <c r="D62" i="43"/>
  <c r="B94" i="43"/>
  <c r="C18" i="43" s="1"/>
  <c r="B46" i="44"/>
  <c r="C16" i="44" s="1"/>
  <c r="B53" i="41"/>
  <c r="L30" i="15" l="1"/>
  <c r="J41" i="15" s="1"/>
  <c r="R30" i="15"/>
  <c r="R41" i="15" s="1"/>
  <c r="B84" i="9"/>
  <c r="C16" i="9" s="1"/>
  <c r="AF184" i="5"/>
  <c r="AF181" i="5"/>
  <c r="AF178" i="5"/>
  <c r="AD172" i="5"/>
  <c r="AH171" i="5"/>
  <c r="AG169" i="5"/>
  <c r="AH168" i="5"/>
  <c r="AD167" i="5"/>
  <c r="AG166" i="5"/>
  <c r="AF158" i="5"/>
  <c r="AD136" i="5"/>
  <c r="AH135" i="5"/>
  <c r="AH118" i="5"/>
  <c r="AG115" i="5"/>
  <c r="AD111" i="5"/>
  <c r="AH110" i="5"/>
  <c r="AH108" i="5"/>
  <c r="AG107" i="5"/>
  <c r="AG106" i="5"/>
  <c r="AG105" i="5"/>
  <c r="AD102" i="5"/>
  <c r="AH101" i="5"/>
  <c r="AD100" i="5"/>
  <c r="AD98" i="5"/>
  <c r="AH97" i="5"/>
  <c r="AH94" i="5"/>
  <c r="AE81" i="5"/>
  <c r="AG80" i="5"/>
  <c r="AE79" i="5"/>
  <c r="AG78" i="5"/>
  <c r="AH76" i="5"/>
  <c r="AE75" i="5"/>
  <c r="AE73" i="5"/>
  <c r="AH72" i="5"/>
  <c r="AG70" i="5"/>
  <c r="AF66" i="5"/>
  <c r="AG63" i="5"/>
  <c r="AG61" i="5"/>
  <c r="AE192" i="5"/>
  <c r="AE188" i="5"/>
  <c r="AE184" i="5"/>
  <c r="AF183" i="5"/>
  <c r="AE181" i="5"/>
  <c r="AF180" i="5"/>
  <c r="AE178" i="5"/>
  <c r="AH177" i="5"/>
  <c r="AF175" i="5"/>
  <c r="AG174" i="5"/>
  <c r="AG171" i="5"/>
  <c r="AD166" i="5"/>
  <c r="AH165" i="5"/>
  <c r="AG162" i="5"/>
  <c r="AE161" i="5"/>
  <c r="AF160" i="5"/>
  <c r="AE158" i="5"/>
  <c r="AF157" i="5"/>
  <c r="AF156" i="5"/>
  <c r="AF155" i="5"/>
  <c r="AE151" i="5"/>
  <c r="AE149" i="5"/>
  <c r="AD147" i="5"/>
  <c r="AH146" i="5"/>
  <c r="AH144" i="5"/>
  <c r="AF138" i="5"/>
  <c r="AE135" i="5"/>
  <c r="AE134" i="5"/>
  <c r="AH123" i="5"/>
  <c r="AE122" i="5"/>
  <c r="AH121" i="5"/>
  <c r="AE120" i="5"/>
  <c r="AG118" i="5"/>
  <c r="AG117" i="5"/>
  <c r="AF110" i="5"/>
  <c r="AD97" i="5"/>
  <c r="AH96" i="5"/>
  <c r="AG94" i="5"/>
  <c r="AH93" i="5"/>
  <c r="AG92" i="5"/>
  <c r="AH90" i="5"/>
  <c r="AD78" i="5"/>
  <c r="AD75" i="5"/>
  <c r="AD72" i="5"/>
  <c r="AF70" i="5"/>
  <c r="AG68" i="5"/>
  <c r="AD66" i="5"/>
  <c r="AH65" i="5"/>
  <c r="AD192" i="5"/>
  <c r="AH191" i="5"/>
  <c r="AD188" i="5"/>
  <c r="AH187" i="5"/>
  <c r="AG177" i="5"/>
  <c r="AG165" i="5"/>
  <c r="AD164" i="5"/>
  <c r="AE155" i="5"/>
  <c r="AF154" i="5"/>
  <c r="AD151" i="5"/>
  <c r="AD149" i="5"/>
  <c r="AG146" i="5"/>
  <c r="AG144" i="5"/>
  <c r="AG141" i="5"/>
  <c r="AD138" i="5"/>
  <c r="AF137" i="5"/>
  <c r="AD134" i="5"/>
  <c r="AH133" i="5"/>
  <c r="AD130" i="5"/>
  <c r="AH129" i="5"/>
  <c r="AE128" i="5"/>
  <c r="AH125" i="5"/>
  <c r="AH102" i="5"/>
  <c r="AD92" i="5"/>
  <c r="AD90" i="5"/>
  <c r="AD89" i="5"/>
  <c r="AH88" i="5"/>
  <c r="AE87" i="5"/>
  <c r="AH86" i="5"/>
  <c r="AG84" i="5"/>
  <c r="AE191" i="5"/>
  <c r="AD144" i="5"/>
  <c r="AD141" i="5"/>
  <c r="AD132" i="5"/>
  <c r="AH127" i="5"/>
  <c r="AG113" i="5"/>
  <c r="AD82" i="5"/>
  <c r="AF64" i="5"/>
  <c r="AH63" i="5"/>
  <c r="AG59" i="5"/>
  <c r="AD58" i="5"/>
  <c r="AH57" i="5"/>
  <c r="AE53" i="5"/>
  <c r="AE52" i="5"/>
  <c r="AH51" i="5"/>
  <c r="AH45" i="5"/>
  <c r="AD44" i="5"/>
  <c r="AH43" i="5"/>
  <c r="AE40" i="5"/>
  <c r="AE38" i="5"/>
  <c r="AE26" i="5"/>
  <c r="AD24" i="5"/>
  <c r="AG22" i="5"/>
  <c r="AD21" i="5"/>
  <c r="AG16" i="5"/>
  <c r="AD15" i="5"/>
  <c r="AG10" i="5"/>
  <c r="AH6" i="5"/>
  <c r="AF227" i="46"/>
  <c r="AF225" i="46"/>
  <c r="AE136" i="5"/>
  <c r="AE133" i="5"/>
  <c r="AD128" i="5"/>
  <c r="AG86" i="5"/>
  <c r="AH83" i="5"/>
  <c r="AG66" i="5"/>
  <c r="AG65" i="5"/>
  <c r="AD64" i="5"/>
  <c r="AG57" i="5"/>
  <c r="AD56" i="5"/>
  <c r="AE55" i="5"/>
  <c r="AD51" i="5"/>
  <c r="AE50" i="5"/>
  <c r="AH49" i="5"/>
  <c r="AG43" i="5"/>
  <c r="AD42" i="5"/>
  <c r="AD40" i="5"/>
  <c r="AE32" i="5"/>
  <c r="AD26" i="5"/>
  <c r="AY23" i="5"/>
  <c r="AG20" i="5"/>
  <c r="AD19" i="5"/>
  <c r="AH14" i="5"/>
  <c r="AE225" i="46"/>
  <c r="AE224" i="46"/>
  <c r="AE154" i="5"/>
  <c r="AE137" i="5"/>
  <c r="AG111" i="5"/>
  <c r="AG102" i="5"/>
  <c r="AD84" i="5"/>
  <c r="AF68" i="5"/>
  <c r="AH67" i="5"/>
  <c r="AF54" i="5"/>
  <c r="AD49" i="5"/>
  <c r="AE48" i="5"/>
  <c r="AH47" i="5"/>
  <c r="AE39" i="5"/>
  <c r="AE37" i="5"/>
  <c r="AD36" i="5"/>
  <c r="AE28" i="5"/>
  <c r="AD23" i="5"/>
  <c r="AH18" i="5"/>
  <c r="AG14" i="5"/>
  <c r="AD13" i="5"/>
  <c r="AH143" i="5"/>
  <c r="AH112" i="5"/>
  <c r="AD68" i="5"/>
  <c r="AH61" i="5"/>
  <c r="AD47" i="5"/>
  <c r="AH41" i="5"/>
  <c r="AH35" i="5"/>
  <c r="AE25" i="5"/>
  <c r="AD7" i="5"/>
  <c r="AE220" i="46"/>
  <c r="AF219" i="46"/>
  <c r="AF216" i="46"/>
  <c r="AE213" i="46"/>
  <c r="AF209" i="46"/>
  <c r="AG208" i="46"/>
  <c r="AG207" i="46"/>
  <c r="AG206" i="46"/>
  <c r="AG205" i="46"/>
  <c r="AG204" i="46"/>
  <c r="AG203" i="46"/>
  <c r="AE202" i="46"/>
  <c r="AE201" i="46"/>
  <c r="AE200" i="46"/>
  <c r="AE199" i="46"/>
  <c r="AE198" i="46"/>
  <c r="AD196" i="46"/>
  <c r="AH195" i="46"/>
  <c r="AE187" i="46"/>
  <c r="AE186" i="46"/>
  <c r="AH98" i="5"/>
  <c r="AE30" i="5"/>
  <c r="AD11" i="5"/>
  <c r="AE219" i="46"/>
  <c r="AE216" i="46"/>
  <c r="AE215" i="46"/>
  <c r="AD213" i="46"/>
  <c r="AH212" i="46"/>
  <c r="AD202" i="46"/>
  <c r="AH201" i="46"/>
  <c r="AD200" i="46"/>
  <c r="AH199" i="46"/>
  <c r="AD198" i="46"/>
  <c r="AH197" i="46"/>
  <c r="AG195" i="46"/>
  <c r="AF194" i="46"/>
  <c r="AH59" i="5"/>
  <c r="AH22" i="5"/>
  <c r="AD17" i="5"/>
  <c r="AG12" i="5"/>
  <c r="AG227" i="46"/>
  <c r="AF223" i="46"/>
  <c r="AE222" i="46"/>
  <c r="AG221" i="46"/>
  <c r="AD219" i="46"/>
  <c r="AE218" i="46"/>
  <c r="AE217" i="46"/>
  <c r="AD215" i="46"/>
  <c r="AH214" i="46"/>
  <c r="AE212" i="46"/>
  <c r="AG211" i="46"/>
  <c r="AG201" i="46"/>
  <c r="AG199" i="46"/>
  <c r="AG197" i="46"/>
  <c r="AE194" i="46"/>
  <c r="AG193" i="46"/>
  <c r="AF192" i="46"/>
  <c r="AD54" i="5"/>
  <c r="AD217" i="46"/>
  <c r="AH213" i="46"/>
  <c r="AG209" i="46"/>
  <c r="AF199" i="46"/>
  <c r="AG189" i="46"/>
  <c r="AD185" i="46"/>
  <c r="AH184" i="46"/>
  <c r="AD183" i="46"/>
  <c r="AH182" i="46"/>
  <c r="AE180" i="46"/>
  <c r="AD178" i="46"/>
  <c r="AD177" i="46"/>
  <c r="AF176" i="46"/>
  <c r="AG175" i="46"/>
  <c r="AF174" i="46"/>
  <c r="AE168" i="46"/>
  <c r="AH167" i="46"/>
  <c r="AG165" i="46"/>
  <c r="AG163" i="46"/>
  <c r="AG161" i="46"/>
  <c r="AG159" i="46"/>
  <c r="AG157" i="46"/>
  <c r="AG155" i="46"/>
  <c r="AG153" i="46"/>
  <c r="AE151" i="46"/>
  <c r="AG149" i="46"/>
  <c r="AE146" i="46"/>
  <c r="AE145" i="46"/>
  <c r="AD143" i="46"/>
  <c r="AH142" i="46"/>
  <c r="AE138" i="46"/>
  <c r="AE137" i="46"/>
  <c r="AF136" i="46"/>
  <c r="AD133" i="46"/>
  <c r="AF132" i="46"/>
  <c r="AE125" i="46"/>
  <c r="AE124" i="46"/>
  <c r="AF123" i="46"/>
  <c r="AE117" i="46"/>
  <c r="AE116" i="46"/>
  <c r="AF115" i="46"/>
  <c r="AE113" i="46"/>
  <c r="AE112" i="46"/>
  <c r="AD110" i="46"/>
  <c r="AH109" i="46"/>
  <c r="AF107" i="46"/>
  <c r="AE105" i="46"/>
  <c r="AE104" i="46"/>
  <c r="AD102" i="46"/>
  <c r="AH101" i="46"/>
  <c r="AF99" i="46"/>
  <c r="AH40" i="5"/>
  <c r="AG225" i="46"/>
  <c r="AH220" i="46"/>
  <c r="AE214" i="46"/>
  <c r="AG210" i="46"/>
  <c r="AE196" i="46"/>
  <c r="AE190" i="46"/>
  <c r="AE184" i="46"/>
  <c r="AE182" i="46"/>
  <c r="AD180" i="46"/>
  <c r="AH179" i="46"/>
  <c r="AE174" i="46"/>
  <c r="AG173" i="46"/>
  <c r="AF172" i="46"/>
  <c r="AG167" i="46"/>
  <c r="AD165" i="46"/>
  <c r="AH164" i="46"/>
  <c r="AD163" i="46"/>
  <c r="AH162" i="46"/>
  <c r="AD161" i="46"/>
  <c r="AH160" i="46"/>
  <c r="AD159" i="46"/>
  <c r="AH158" i="46"/>
  <c r="AD157" i="46"/>
  <c r="AH156" i="46"/>
  <c r="AD155" i="46"/>
  <c r="AH154" i="46"/>
  <c r="AD153" i="46"/>
  <c r="AH152" i="46"/>
  <c r="AD151" i="46"/>
  <c r="AH150" i="46"/>
  <c r="AD149" i="46"/>
  <c r="AG148" i="46"/>
  <c r="AD145" i="46"/>
  <c r="AH144" i="46"/>
  <c r="AF142" i="46"/>
  <c r="AE136" i="46"/>
  <c r="AE135" i="46"/>
  <c r="AH134" i="46"/>
  <c r="AE132" i="46"/>
  <c r="AF131" i="46"/>
  <c r="AE130" i="46"/>
  <c r="AF129" i="46"/>
  <c r="AE123" i="46"/>
  <c r="AE122" i="46"/>
  <c r="AF121" i="46"/>
  <c r="AE115" i="46"/>
  <c r="AE114" i="46"/>
  <c r="AD112" i="46"/>
  <c r="AH111" i="46"/>
  <c r="AF109" i="46"/>
  <c r="AE107" i="46"/>
  <c r="AE106" i="46"/>
  <c r="AD104" i="46"/>
  <c r="AH103" i="46"/>
  <c r="AF101" i="46"/>
  <c r="AE99" i="46"/>
  <c r="AE98" i="46"/>
  <c r="AE95" i="46"/>
  <c r="AF94" i="46"/>
  <c r="AH81" i="5"/>
  <c r="AD60" i="5"/>
  <c r="AD46" i="5"/>
  <c r="AG18" i="5"/>
  <c r="AF221" i="46"/>
  <c r="AF211" i="46"/>
  <c r="AF201" i="46"/>
  <c r="AE197" i="46"/>
  <c r="AG191" i="46"/>
  <c r="AH187" i="46"/>
  <c r="AD186" i="46"/>
  <c r="AH185" i="46"/>
  <c r="AD184" i="46"/>
  <c r="AH183" i="46"/>
  <c r="AD182" i="46"/>
  <c r="AH181" i="46"/>
  <c r="AD179" i="46"/>
  <c r="AH178" i="46"/>
  <c r="AE172" i="46"/>
  <c r="AG171" i="46"/>
  <c r="AF170" i="46"/>
  <c r="AD167" i="46"/>
  <c r="AH166" i="46"/>
  <c r="AE164" i="46"/>
  <c r="AE162" i="46"/>
  <c r="AE160" i="46"/>
  <c r="AE158" i="46"/>
  <c r="AE156" i="46"/>
  <c r="AE154" i="46"/>
  <c r="AE152" i="46"/>
  <c r="AE150" i="46"/>
  <c r="AF148" i="46"/>
  <c r="AE147" i="46"/>
  <c r="AH146" i="46"/>
  <c r="AF144" i="46"/>
  <c r="AE142" i="46"/>
  <c r="AE141" i="46"/>
  <c r="AF140" i="46"/>
  <c r="AF134" i="46"/>
  <c r="AE129" i="46"/>
  <c r="AE128" i="46"/>
  <c r="AF127" i="46"/>
  <c r="AE121" i="46"/>
  <c r="AE120" i="46"/>
  <c r="AF119" i="46"/>
  <c r="AD114" i="46"/>
  <c r="AH113" i="46"/>
  <c r="AF111" i="46"/>
  <c r="AE109" i="46"/>
  <c r="AE108" i="46"/>
  <c r="AD106" i="46"/>
  <c r="AH105" i="46"/>
  <c r="AF103" i="46"/>
  <c r="AE101" i="46"/>
  <c r="AE100" i="46"/>
  <c r="AD98" i="46"/>
  <c r="AH97" i="46"/>
  <c r="AE192" i="46"/>
  <c r="AG185" i="46"/>
  <c r="AF168" i="46"/>
  <c r="AH165" i="46"/>
  <c r="AD164" i="46"/>
  <c r="AH157" i="46"/>
  <c r="AD156" i="46"/>
  <c r="AH149" i="46"/>
  <c r="AF146" i="46"/>
  <c r="AE140" i="46"/>
  <c r="AE133" i="46"/>
  <c r="AE127" i="46"/>
  <c r="AE118" i="46"/>
  <c r="AF105" i="46"/>
  <c r="AE93" i="46"/>
  <c r="AF92" i="46"/>
  <c r="AD90" i="46"/>
  <c r="AH89" i="46"/>
  <c r="AD86" i="46"/>
  <c r="AH85" i="46"/>
  <c r="AD82" i="46"/>
  <c r="AH81" i="46"/>
  <c r="AD78" i="46"/>
  <c r="AH77" i="46"/>
  <c r="AD76" i="46"/>
  <c r="AH75" i="46"/>
  <c r="AD74" i="46"/>
  <c r="AH73" i="46"/>
  <c r="AD72" i="46"/>
  <c r="AH71" i="46"/>
  <c r="AD70" i="46"/>
  <c r="AH69" i="46"/>
  <c r="AD68" i="46"/>
  <c r="AH67" i="46"/>
  <c r="AD66" i="46"/>
  <c r="AH65" i="46"/>
  <c r="AD64" i="46"/>
  <c r="AE62" i="46"/>
  <c r="AE60" i="46"/>
  <c r="AE58" i="46"/>
  <c r="AF53" i="46"/>
  <c r="AF52" i="46"/>
  <c r="AG51" i="46"/>
  <c r="AF48" i="46"/>
  <c r="AG47" i="46"/>
  <c r="AE45" i="46"/>
  <c r="AF44" i="46"/>
  <c r="AF43" i="46"/>
  <c r="AG40" i="46"/>
  <c r="AE39" i="46"/>
  <c r="AG36" i="46"/>
  <c r="AE35" i="46"/>
  <c r="AF34" i="46"/>
  <c r="AE31" i="46"/>
  <c r="AE29" i="46"/>
  <c r="AE27" i="46"/>
  <c r="AD28" i="5"/>
  <c r="AE188" i="46"/>
  <c r="AG183" i="46"/>
  <c r="AH180" i="46"/>
  <c r="AG169" i="46"/>
  <c r="AD166" i="46"/>
  <c r="AH159" i="46"/>
  <c r="AD158" i="46"/>
  <c r="AH151" i="46"/>
  <c r="AD150" i="46"/>
  <c r="AE143" i="46"/>
  <c r="AE134" i="46"/>
  <c r="AE119" i="46"/>
  <c r="AF113" i="46"/>
  <c r="AE102" i="46"/>
  <c r="AH99" i="46"/>
  <c r="AE92" i="46"/>
  <c r="AE89" i="46"/>
  <c r="AE88" i="46"/>
  <c r="AE85" i="46"/>
  <c r="AE84" i="46"/>
  <c r="AE81" i="46"/>
  <c r="AE80" i="46"/>
  <c r="AE77" i="46"/>
  <c r="AE75" i="46"/>
  <c r="AE73" i="46"/>
  <c r="AE71" i="46"/>
  <c r="AE69" i="46"/>
  <c r="AE67" i="46"/>
  <c r="AE65" i="46"/>
  <c r="AH63" i="46"/>
  <c r="AD62" i="46"/>
  <c r="AH61" i="46"/>
  <c r="AD60" i="46"/>
  <c r="AH59" i="46"/>
  <c r="AD58" i="46"/>
  <c r="AF57" i="46"/>
  <c r="AF56" i="46"/>
  <c r="AG55" i="46"/>
  <c r="AF51" i="46"/>
  <c r="AF50" i="46"/>
  <c r="AG49" i="46"/>
  <c r="AF47" i="46"/>
  <c r="AE43" i="46"/>
  <c r="AF42" i="46"/>
  <c r="AF40" i="46"/>
  <c r="AF37" i="46"/>
  <c r="AF36" i="46"/>
  <c r="AG32" i="46"/>
  <c r="AG30" i="46"/>
  <c r="AG28" i="46"/>
  <c r="AH24" i="46"/>
  <c r="AD22" i="46"/>
  <c r="AD181" i="46"/>
  <c r="AE170" i="46"/>
  <c r="AH161" i="46"/>
  <c r="AD160" i="46"/>
  <c r="AH153" i="46"/>
  <c r="AD152" i="46"/>
  <c r="AE144" i="46"/>
  <c r="AF138" i="46"/>
  <c r="AF125" i="46"/>
  <c r="AE110" i="46"/>
  <c r="AH107" i="46"/>
  <c r="AE103" i="46"/>
  <c r="AD100" i="46"/>
  <c r="AE96" i="46"/>
  <c r="AH95" i="46"/>
  <c r="AE94" i="46"/>
  <c r="AD92" i="46"/>
  <c r="AH91" i="46"/>
  <c r="AD88" i="46"/>
  <c r="AH87" i="46"/>
  <c r="AD84" i="46"/>
  <c r="AH83" i="46"/>
  <c r="AD80" i="46"/>
  <c r="AH79" i="46"/>
  <c r="AD77" i="46"/>
  <c r="AH76" i="46"/>
  <c r="AD75" i="46"/>
  <c r="AH74" i="46"/>
  <c r="AD73" i="46"/>
  <c r="AH72" i="46"/>
  <c r="AD71" i="46"/>
  <c r="AH70" i="46"/>
  <c r="AD69" i="46"/>
  <c r="AH68" i="46"/>
  <c r="AD67" i="46"/>
  <c r="AH66" i="46"/>
  <c r="AD65" i="46"/>
  <c r="AH64" i="46"/>
  <c r="AE63" i="46"/>
  <c r="AE61" i="46"/>
  <c r="AE59" i="46"/>
  <c r="AF55" i="46"/>
  <c r="AF54" i="46"/>
  <c r="AF49" i="46"/>
  <c r="AE47" i="46"/>
  <c r="AF41" i="46"/>
  <c r="AG38" i="46"/>
  <c r="AE37" i="46"/>
  <c r="AF33" i="46"/>
  <c r="AF32" i="46"/>
  <c r="AF30" i="46"/>
  <c r="AF28" i="46"/>
  <c r="AF25" i="46"/>
  <c r="AD154" i="46"/>
  <c r="AE139" i="46"/>
  <c r="AD96" i="46"/>
  <c r="AH93" i="46"/>
  <c r="AE90" i="46"/>
  <c r="AE87" i="46"/>
  <c r="AE72" i="46"/>
  <c r="AE64" i="46"/>
  <c r="AD63" i="46"/>
  <c r="AG53" i="46"/>
  <c r="AE41" i="46"/>
  <c r="AF29" i="46"/>
  <c r="AE23" i="46"/>
  <c r="AE22" i="46"/>
  <c r="AH21" i="46"/>
  <c r="AD20" i="46"/>
  <c r="AH19" i="46"/>
  <c r="AE18" i="46"/>
  <c r="AG16" i="46"/>
  <c r="AD15" i="46"/>
  <c r="AH14" i="46"/>
  <c r="AE12" i="46"/>
  <c r="AE10" i="46"/>
  <c r="AE8" i="46"/>
  <c r="AE6" i="46"/>
  <c r="AH216" i="46"/>
  <c r="AD162" i="46"/>
  <c r="AH155" i="46"/>
  <c r="AE126" i="46"/>
  <c r="AF117" i="46"/>
  <c r="AD108" i="46"/>
  <c r="AE97" i="46"/>
  <c r="AD94" i="46"/>
  <c r="AE91" i="46"/>
  <c r="AH78" i="46"/>
  <c r="AE70" i="46"/>
  <c r="AH58" i="46"/>
  <c r="AF38" i="46"/>
  <c r="AF31" i="46"/>
  <c r="AD21" i="46"/>
  <c r="AH20" i="46"/>
  <c r="AE19" i="46"/>
  <c r="AD18" i="46"/>
  <c r="AH17" i="46"/>
  <c r="AE16" i="46"/>
  <c r="AE14" i="46"/>
  <c r="AD12" i="46"/>
  <c r="AH11" i="46"/>
  <c r="AD10" i="46"/>
  <c r="AH9" i="46"/>
  <c r="AD8" i="46"/>
  <c r="AH7" i="46"/>
  <c r="AD6" i="46"/>
  <c r="AE86" i="46"/>
  <c r="AH62" i="46"/>
  <c r="AF35" i="46"/>
  <c r="AG34" i="46"/>
  <c r="AF27" i="46"/>
  <c r="AF26" i="46"/>
  <c r="AF24" i="46"/>
  <c r="AF23" i="46"/>
  <c r="AG22" i="46"/>
  <c r="AD17" i="46"/>
  <c r="AH16" i="46"/>
  <c r="AD11" i="46"/>
  <c r="AD9" i="46"/>
  <c r="AH8" i="46"/>
  <c r="AH163" i="46"/>
  <c r="AE111" i="46"/>
  <c r="AE82" i="46"/>
  <c r="AE79" i="46"/>
  <c r="AE76" i="46"/>
  <c r="AE68" i="46"/>
  <c r="AH60" i="46"/>
  <c r="AD59" i="46"/>
  <c r="AF45" i="46"/>
  <c r="AF39" i="46"/>
  <c r="AE33" i="46"/>
  <c r="AE25" i="46"/>
  <c r="AG24" i="46"/>
  <c r="AH22" i="46"/>
  <c r="AG20" i="46"/>
  <c r="AD19" i="46"/>
  <c r="AH18" i="46"/>
  <c r="AE17" i="46"/>
  <c r="AD16" i="46"/>
  <c r="AH15" i="46"/>
  <c r="AD14" i="46"/>
  <c r="AH13" i="46"/>
  <c r="AE11" i="46"/>
  <c r="AE9" i="46"/>
  <c r="AE7" i="46"/>
  <c r="AE178" i="46"/>
  <c r="AE83" i="46"/>
  <c r="AE74" i="46"/>
  <c r="AE66" i="46"/>
  <c r="AD61" i="46"/>
  <c r="AE49" i="46"/>
  <c r="AF46" i="46"/>
  <c r="AE20" i="46"/>
  <c r="AG18" i="46"/>
  <c r="AE15" i="46"/>
  <c r="AD13" i="46"/>
  <c r="AH12" i="46"/>
  <c r="AH10" i="46"/>
  <c r="AD7" i="46"/>
  <c r="AH6" i="46"/>
  <c r="AI23" i="46"/>
  <c r="AV21" i="46"/>
  <c r="AT40" i="46"/>
  <c r="AG58" i="46"/>
  <c r="AD120" i="46"/>
  <c r="AD140" i="5"/>
  <c r="AD42" i="46"/>
  <c r="AF66" i="46"/>
  <c r="AH88" i="46"/>
  <c r="AG8" i="46"/>
  <c r="AN13" i="46"/>
  <c r="AD23" i="46"/>
  <c r="AE40" i="46"/>
  <c r="AG131" i="46"/>
  <c r="AG17" i="46"/>
  <c r="AE21" i="46"/>
  <c r="AE30" i="46"/>
  <c r="AE54" i="46"/>
  <c r="AF68" i="46"/>
  <c r="AG99" i="46"/>
  <c r="AJ23" i="46"/>
  <c r="AF18" i="46"/>
  <c r="AG23" i="46"/>
  <c r="AH26" i="46"/>
  <c r="AG33" i="46"/>
  <c r="AE36" i="46"/>
  <c r="AG60" i="46"/>
  <c r="AG89" i="46"/>
  <c r="AG151" i="46"/>
  <c r="AH29" i="46"/>
  <c r="AH33" i="46"/>
  <c r="AH38" i="46"/>
  <c r="AH43" i="46"/>
  <c r="AD50" i="46"/>
  <c r="AG52" i="46"/>
  <c r="AD57" i="46"/>
  <c r="AF63" i="46"/>
  <c r="AG72" i="46"/>
  <c r="AF79" i="46"/>
  <c r="AD85" i="46"/>
  <c r="AG90" i="46"/>
  <c r="AH106" i="46"/>
  <c r="AD141" i="46"/>
  <c r="AD172" i="46"/>
  <c r="AH186" i="46"/>
  <c r="AD37" i="46"/>
  <c r="AH41" i="46"/>
  <c r="AH45" i="46"/>
  <c r="AD49" i="46"/>
  <c r="AD52" i="46"/>
  <c r="AG54" i="46"/>
  <c r="AG61" i="46"/>
  <c r="AF69" i="46"/>
  <c r="AF77" i="46"/>
  <c r="AG83" i="46"/>
  <c r="AF88" i="46"/>
  <c r="AG94" i="46"/>
  <c r="AF110" i="46"/>
  <c r="AH121" i="46"/>
  <c r="AF189" i="46"/>
  <c r="AD28" i="46"/>
  <c r="AD32" i="46"/>
  <c r="AD36" i="46"/>
  <c r="AH40" i="46"/>
  <c r="AH46" i="46"/>
  <c r="AE52" i="46"/>
  <c r="AF58" i="46"/>
  <c r="AG65" i="46"/>
  <c r="AG73" i="46"/>
  <c r="AD79" i="46"/>
  <c r="AG84" i="46"/>
  <c r="AF89" i="46"/>
  <c r="AG95" i="46"/>
  <c r="AG104" i="46"/>
  <c r="AD129" i="46"/>
  <c r="AD142" i="46"/>
  <c r="AH148" i="46"/>
  <c r="AF177" i="46"/>
  <c r="AH194" i="46"/>
  <c r="AD95" i="46"/>
  <c r="AF100" i="46"/>
  <c r="AD107" i="46"/>
  <c r="AG113" i="46"/>
  <c r="AG117" i="46"/>
  <c r="AD123" i="46"/>
  <c r="AF126" i="46"/>
  <c r="AH131" i="46"/>
  <c r="AD135" i="46"/>
  <c r="AG137" i="46"/>
  <c r="AH145" i="46"/>
  <c r="AF152" i="46"/>
  <c r="AF160" i="46"/>
  <c r="AE167" i="46"/>
  <c r="AD173" i="46"/>
  <c r="AG176" i="46"/>
  <c r="AF181" i="46"/>
  <c r="AE211" i="46"/>
  <c r="AE221" i="46"/>
  <c r="AD34" i="5"/>
  <c r="AG97" i="46"/>
  <c r="AG103" i="46"/>
  <c r="AH110" i="46"/>
  <c r="AD116" i="46"/>
  <c r="AG118" i="46"/>
  <c r="AH124" i="46"/>
  <c r="AG127" i="46"/>
  <c r="AG134" i="46"/>
  <c r="AH138" i="46"/>
  <c r="AH143" i="46"/>
  <c r="AE149" i="46"/>
  <c r="AG154" i="46"/>
  <c r="AG158" i="46"/>
  <c r="AG162" i="46"/>
  <c r="AG166" i="46"/>
  <c r="AG170" i="46"/>
  <c r="AH175" i="46"/>
  <c r="AF179" i="46"/>
  <c r="AF186" i="46"/>
  <c r="AH193" i="46"/>
  <c r="AE210" i="46"/>
  <c r="AG101" i="46"/>
  <c r="AH108" i="46"/>
  <c r="AG114" i="46"/>
  <c r="AH119" i="46"/>
  <c r="AD126" i="46"/>
  <c r="AG128" i="46"/>
  <c r="AF135" i="46"/>
  <c r="AH140" i="46"/>
  <c r="AF145" i="46"/>
  <c r="AF153" i="46"/>
  <c r="AF161" i="46"/>
  <c r="AH169" i="46"/>
  <c r="AF173" i="46"/>
  <c r="AG179" i="46"/>
  <c r="AG184" i="46"/>
  <c r="AE189" i="46"/>
  <c r="AG202" i="46"/>
  <c r="AD222" i="46"/>
  <c r="AE193" i="46"/>
  <c r="AH198" i="46"/>
  <c r="AF214" i="46"/>
  <c r="AE223" i="46"/>
  <c r="AD48" i="5"/>
  <c r="AG192" i="46"/>
  <c r="AD199" i="46"/>
  <c r="AD204" i="46"/>
  <c r="AD206" i="46"/>
  <c r="AD208" i="46"/>
  <c r="AF212" i="46"/>
  <c r="AF218" i="46"/>
  <c r="AE36" i="5"/>
  <c r="AG160" i="5"/>
  <c r="AH189" i="46"/>
  <c r="AH191" i="46"/>
  <c r="AF195" i="46"/>
  <c r="AF202" i="46"/>
  <c r="AE206" i="46"/>
  <c r="AD210" i="46"/>
  <c r="AG212" i="46"/>
  <c r="AH217" i="46"/>
  <c r="AH221" i="46"/>
  <c r="AE226" i="46"/>
  <c r="AF226" i="46"/>
  <c r="AG6" i="5"/>
  <c r="AE29" i="5"/>
  <c r="AF36" i="5"/>
  <c r="AD142" i="5"/>
  <c r="AH227" i="46"/>
  <c r="AD52" i="5"/>
  <c r="AD226" i="46"/>
  <c r="AE46" i="5"/>
  <c r="AD194" i="5"/>
  <c r="AD96" i="5"/>
  <c r="AD145" i="5"/>
  <c r="AD186" i="5"/>
  <c r="AD76" i="5"/>
  <c r="AH100" i="5"/>
  <c r="AH169" i="5"/>
  <c r="AE77" i="5"/>
  <c r="AF163" i="5"/>
  <c r="AG184" i="5"/>
  <c r="AD18" i="5"/>
  <c r="AG48" i="5"/>
  <c r="AG142" i="5"/>
  <c r="AF117" i="5"/>
  <c r="AH128" i="5"/>
  <c r="AF140" i="5"/>
  <c r="AD159" i="5"/>
  <c r="AF176" i="5"/>
  <c r="AN24" i="46"/>
  <c r="AG12" i="46"/>
  <c r="AF22" i="46"/>
  <c r="AE46" i="46"/>
  <c r="AG85" i="46"/>
  <c r="AH120" i="46"/>
  <c r="AF9" i="46"/>
  <c r="AF13" i="46"/>
  <c r="AF17" i="46"/>
  <c r="AG29" i="46"/>
  <c r="AH42" i="46"/>
  <c r="AF74" i="46"/>
  <c r="AG135" i="46"/>
  <c r="AW23" i="46"/>
  <c r="AN9" i="46"/>
  <c r="AD25" i="46"/>
  <c r="AF72" i="46"/>
  <c r="AG7" i="46"/>
  <c r="AG11" i="46"/>
  <c r="AF14" i="46"/>
  <c r="AF76" i="46"/>
  <c r="AS27" i="46"/>
  <c r="AF6" i="46"/>
  <c r="AF10" i="46"/>
  <c r="AG14" i="46"/>
  <c r="AG19" i="46"/>
  <c r="AE24" i="46"/>
  <c r="AD34" i="46"/>
  <c r="AF70" i="46"/>
  <c r="AH114" i="46"/>
  <c r="AH25" i="46"/>
  <c r="AD31" i="46"/>
  <c r="AE34" i="46"/>
  <c r="AG41" i="46"/>
  <c r="AG44" i="46"/>
  <c r="AH50" i="46"/>
  <c r="AE55" i="46"/>
  <c r="AH57" i="46"/>
  <c r="AG66" i="46"/>
  <c r="AG74" i="46"/>
  <c r="AD81" i="46"/>
  <c r="AG86" i="46"/>
  <c r="AF91" i="46"/>
  <c r="AD128" i="46"/>
  <c r="AH141" i="46"/>
  <c r="AH172" i="46"/>
  <c r="AH215" i="46"/>
  <c r="AH37" i="46"/>
  <c r="AD44" i="46"/>
  <c r="AG46" i="46"/>
  <c r="AH49" i="46"/>
  <c r="AH52" i="46"/>
  <c r="AE56" i="46"/>
  <c r="AG63" i="46"/>
  <c r="AF71" i="46"/>
  <c r="AG79" i="46"/>
  <c r="AF84" i="46"/>
  <c r="AH90" i="46"/>
  <c r="AF95" i="46"/>
  <c r="AG112" i="46"/>
  <c r="AE166" i="46"/>
  <c r="AG26" i="46"/>
  <c r="AH28" i="46"/>
  <c r="AH32" i="46"/>
  <c r="AH36" i="46"/>
  <c r="AG42" i="46"/>
  <c r="AD47" i="46"/>
  <c r="AE53" i="46"/>
  <c r="AF60" i="46"/>
  <c r="AG67" i="46"/>
  <c r="AG75" i="46"/>
  <c r="AG80" i="46"/>
  <c r="AF85" i="46"/>
  <c r="AD91" i="46"/>
  <c r="AD97" i="46"/>
  <c r="AG107" i="46"/>
  <c r="AH129" i="46"/>
  <c r="AF143" i="46"/>
  <c r="AD171" i="46"/>
  <c r="AF183" i="46"/>
  <c r="AF203" i="46"/>
  <c r="AG96" i="46"/>
  <c r="AG102" i="46"/>
  <c r="AF108" i="46"/>
  <c r="AD115" i="46"/>
  <c r="AF118" i="46"/>
  <c r="AH123" i="46"/>
  <c r="AD130" i="46"/>
  <c r="AD132" i="46"/>
  <c r="AH135" i="46"/>
  <c r="AG138" i="46"/>
  <c r="AG146" i="46"/>
  <c r="AF154" i="46"/>
  <c r="AF162" i="46"/>
  <c r="AG168" i="46"/>
  <c r="AH173" i="46"/>
  <c r="AG177" i="46"/>
  <c r="AF188" i="46"/>
  <c r="AG213" i="46"/>
  <c r="AD223" i="46"/>
  <c r="AD87" i="5"/>
  <c r="AF98" i="46"/>
  <c r="AD105" i="46"/>
  <c r="AG111" i="46"/>
  <c r="AH116" i="46"/>
  <c r="AG119" i="46"/>
  <c r="AD125" i="46"/>
  <c r="AF128" i="46"/>
  <c r="AD137" i="46"/>
  <c r="AG139" i="46"/>
  <c r="AG144" i="46"/>
  <c r="AG150" i="46"/>
  <c r="AE155" i="46"/>
  <c r="AE159" i="46"/>
  <c r="AE163" i="46"/>
  <c r="AF167" i="46"/>
  <c r="AF171" i="46"/>
  <c r="AD176" i="46"/>
  <c r="AG181" i="46"/>
  <c r="AF187" i="46"/>
  <c r="AF204" i="46"/>
  <c r="AG216" i="46"/>
  <c r="AD103" i="46"/>
  <c r="AG109" i="46"/>
  <c r="AD118" i="46"/>
  <c r="AG120" i="46"/>
  <c r="AH126" i="46"/>
  <c r="AG129" i="46"/>
  <c r="AD139" i="46"/>
  <c r="AG141" i="46"/>
  <c r="AG147" i="46"/>
  <c r="AF155" i="46"/>
  <c r="AF163" i="46"/>
  <c r="AD170" i="46"/>
  <c r="AE175" i="46"/>
  <c r="AF180" i="46"/>
  <c r="AE185" i="46"/>
  <c r="AF190" i="46"/>
  <c r="AD212" i="46"/>
  <c r="AH222" i="46"/>
  <c r="AD195" i="46"/>
  <c r="AH200" i="46"/>
  <c r="AD216" i="46"/>
  <c r="AE31" i="5"/>
  <c r="AD190" i="5"/>
  <c r="AF193" i="46"/>
  <c r="AD201" i="46"/>
  <c r="AH204" i="46"/>
  <c r="AH206" i="46"/>
  <c r="AH208" i="46"/>
  <c r="AG214" i="46"/>
  <c r="AD220" i="46"/>
  <c r="AD188" i="46"/>
  <c r="AD190" i="46"/>
  <c r="AD192" i="46"/>
  <c r="AD197" i="46"/>
  <c r="AE203" i="46"/>
  <c r="AE207" i="46"/>
  <c r="AH210" i="46"/>
  <c r="AF213" i="46"/>
  <c r="AG218" i="46"/>
  <c r="AG222" i="46"/>
  <c r="AG175" i="5"/>
  <c r="AD6" i="5"/>
  <c r="AH75" i="5"/>
  <c r="AH226" i="46"/>
  <c r="AD85" i="5"/>
  <c r="AG77" i="5"/>
  <c r="AG116" i="5"/>
  <c r="AH166" i="5"/>
  <c r="AG64" i="5"/>
  <c r="AD77" i="5"/>
  <c r="AD101" i="5"/>
  <c r="AE189" i="5"/>
  <c r="AH84" i="5"/>
  <c r="AI15" i="5"/>
  <c r="AQ9" i="5"/>
  <c r="AI19" i="5"/>
  <c r="AG52" i="5"/>
  <c r="AO7" i="5"/>
  <c r="AH119" i="5"/>
  <c r="AD129" i="5"/>
  <c r="AF145" i="5"/>
  <c r="AD162" i="5"/>
  <c r="AH178" i="5"/>
  <c r="AV19" i="46"/>
  <c r="AH23" i="46"/>
  <c r="AD55" i="46"/>
  <c r="AF90" i="46"/>
  <c r="AF137" i="46"/>
  <c r="AE32" i="46"/>
  <c r="AG57" i="46"/>
  <c r="AG81" i="46"/>
  <c r="AF185" i="46"/>
  <c r="AG6" i="46"/>
  <c r="AG10" i="46"/>
  <c r="AN17" i="46"/>
  <c r="AG31" i="46"/>
  <c r="AF93" i="46"/>
  <c r="AF19" i="46"/>
  <c r="AG56" i="46"/>
  <c r="AF82" i="46"/>
  <c r="AE13" i="46"/>
  <c r="AF21" i="46"/>
  <c r="AG25" i="46"/>
  <c r="AE28" i="46"/>
  <c r="AH34" i="46"/>
  <c r="AG43" i="46"/>
  <c r="AF78" i="46"/>
  <c r="AF124" i="46"/>
  <c r="AE26" i="46"/>
  <c r="AH31" i="46"/>
  <c r="AG37" i="46"/>
  <c r="AE42" i="46"/>
  <c r="AG45" i="46"/>
  <c r="AD51" i="46"/>
  <c r="AD56" i="46"/>
  <c r="AF59" i="46"/>
  <c r="AG68" i="46"/>
  <c r="AG76" i="46"/>
  <c r="AG82" i="46"/>
  <c r="AF87" i="46"/>
  <c r="AG93" i="46"/>
  <c r="AH128" i="46"/>
  <c r="AD147" i="46"/>
  <c r="AF178" i="46"/>
  <c r="AG27" i="46"/>
  <c r="AE38" i="46"/>
  <c r="AH44" i="46"/>
  <c r="AD48" i="46"/>
  <c r="AE50" i="46"/>
  <c r="AD53" i="46"/>
  <c r="AE57" i="46"/>
  <c r="AF65" i="46"/>
  <c r="AF73" i="46"/>
  <c r="AF80" i="46"/>
  <c r="AH86" i="46"/>
  <c r="AG91" i="46"/>
  <c r="AH98" i="46"/>
  <c r="AG115" i="46"/>
  <c r="AE169" i="46"/>
  <c r="AD27" i="46"/>
  <c r="AD30" i="46"/>
  <c r="AD35" i="46"/>
  <c r="AG39" i="46"/>
  <c r="AE44" i="46"/>
  <c r="AH47" i="46"/>
  <c r="AD54" i="46"/>
  <c r="AF62" i="46"/>
  <c r="AG69" i="46"/>
  <c r="AG77" i="46"/>
  <c r="AF81" i="46"/>
  <c r="AD87" i="46"/>
  <c r="AG92" i="46"/>
  <c r="AD101" i="46"/>
  <c r="AF116" i="46"/>
  <c r="AG132" i="46"/>
  <c r="AG145" i="46"/>
  <c r="AH171" i="46"/>
  <c r="AD187" i="46"/>
  <c r="AF205" i="46"/>
  <c r="AF97" i="46"/>
  <c r="AH104" i="46"/>
  <c r="AG110" i="46"/>
  <c r="AH115" i="46"/>
  <c r="AD122" i="46"/>
  <c r="AG124" i="46"/>
  <c r="AH130" i="46"/>
  <c r="AH132" i="46"/>
  <c r="AD136" i="46"/>
  <c r="AF139" i="46"/>
  <c r="AE148" i="46"/>
  <c r="AF156" i="46"/>
  <c r="AF164" i="46"/>
  <c r="AF169" i="46"/>
  <c r="AD174" i="46"/>
  <c r="AG178" i="46"/>
  <c r="AE191" i="46"/>
  <c r="AD218" i="46"/>
  <c r="AH223" i="46"/>
  <c r="AH89" i="5"/>
  <c r="AG100" i="46"/>
  <c r="AF106" i="46"/>
  <c r="AD113" i="46"/>
  <c r="AD117" i="46"/>
  <c r="AF120" i="46"/>
  <c r="AH125" i="46"/>
  <c r="AE131" i="46"/>
  <c r="AH137" i="46"/>
  <c r="AG140" i="46"/>
  <c r="AD146" i="46"/>
  <c r="AG152" i="46"/>
  <c r="AG156" i="46"/>
  <c r="AG160" i="46"/>
  <c r="AG164" i="46"/>
  <c r="AD168" i="46"/>
  <c r="AE173" i="46"/>
  <c r="AH176" i="46"/>
  <c r="AF182" i="46"/>
  <c r="AF191" i="46"/>
  <c r="AF206" i="46"/>
  <c r="AG98" i="46"/>
  <c r="AF104" i="46"/>
  <c r="AD111" i="46"/>
  <c r="AH118" i="46"/>
  <c r="AG121" i="46"/>
  <c r="AD127" i="46"/>
  <c r="AF130" i="46"/>
  <c r="AH139" i="46"/>
  <c r="AG142" i="46"/>
  <c r="AF149" i="46"/>
  <c r="AF157" i="46"/>
  <c r="AF165" i="46"/>
  <c r="AH170" i="46"/>
  <c r="AE176" i="46"/>
  <c r="AG182" i="46"/>
  <c r="AG186" i="46"/>
  <c r="AF196" i="46"/>
  <c r="AH219" i="46"/>
  <c r="AD224" i="46"/>
  <c r="AG196" i="46"/>
  <c r="AH202" i="46"/>
  <c r="AF217" i="46"/>
  <c r="AG188" i="46"/>
  <c r="AE195" i="46"/>
  <c r="AD203" i="46"/>
  <c r="AD205" i="46"/>
  <c r="AD207" i="46"/>
  <c r="AD209" i="46"/>
  <c r="AF215" i="46"/>
  <c r="AF222" i="46"/>
  <c r="AD38" i="5"/>
  <c r="AH188" i="46"/>
  <c r="AH190" i="46"/>
  <c r="AD39" i="46"/>
  <c r="AG15" i="46"/>
  <c r="AG13" i="46"/>
  <c r="AD24" i="46"/>
  <c r="AF12" i="46"/>
  <c r="AF133" i="46"/>
  <c r="AD43" i="46"/>
  <c r="AF61" i="46"/>
  <c r="AD89" i="46"/>
  <c r="AE181" i="46"/>
  <c r="AH48" i="46"/>
  <c r="AF67" i="46"/>
  <c r="AD93" i="46"/>
  <c r="AH27" i="46"/>
  <c r="AD46" i="46"/>
  <c r="AG71" i="46"/>
  <c r="AH94" i="46"/>
  <c r="AD148" i="46"/>
  <c r="AD99" i="46"/>
  <c r="AH122" i="46"/>
  <c r="AH136" i="46"/>
  <c r="AF166" i="46"/>
  <c r="AG200" i="46"/>
  <c r="AH102" i="46"/>
  <c r="AD124" i="46"/>
  <c r="AF141" i="46"/>
  <c r="AE161" i="46"/>
  <c r="AH177" i="46"/>
  <c r="AH100" i="46"/>
  <c r="AF122" i="46"/>
  <c r="AD144" i="46"/>
  <c r="AG172" i="46"/>
  <c r="AG198" i="46"/>
  <c r="AF210" i="46"/>
  <c r="AG190" i="46"/>
  <c r="AH207" i="46"/>
  <c r="AH192" i="46"/>
  <c r="AE204" i="46"/>
  <c r="AD211" i="46"/>
  <c r="AG219" i="46"/>
  <c r="AD227" i="46"/>
  <c r="AF224" i="46"/>
  <c r="AD103" i="5"/>
  <c r="AD139" i="5"/>
  <c r="AD73" i="5"/>
  <c r="AE150" i="5"/>
  <c r="AF161" i="5"/>
  <c r="AE17" i="5"/>
  <c r="AD67" i="5"/>
  <c r="AD127" i="5"/>
  <c r="AH158" i="5"/>
  <c r="AG193" i="5"/>
  <c r="AD14" i="5"/>
  <c r="AG50" i="5"/>
  <c r="AE9" i="5"/>
  <c r="AH12" i="5"/>
  <c r="AH16" i="5"/>
  <c r="AH20" i="5"/>
  <c r="AF30" i="5"/>
  <c r="AF41" i="5"/>
  <c r="AH56" i="5"/>
  <c r="AE70" i="5"/>
  <c r="AF88" i="5"/>
  <c r="AG101" i="5"/>
  <c r="AD109" i="5"/>
  <c r="AD126" i="5"/>
  <c r="AE146" i="5"/>
  <c r="AF153" i="5"/>
  <c r="AF168" i="5"/>
  <c r="AG179" i="5"/>
  <c r="AF190" i="5"/>
  <c r="AG73" i="5"/>
  <c r="AG137" i="5"/>
  <c r="AD57" i="5"/>
  <c r="AE68" i="5"/>
  <c r="AG83" i="5"/>
  <c r="AH104" i="5"/>
  <c r="AE113" i="5"/>
  <c r="AH117" i="5"/>
  <c r="AG126" i="5"/>
  <c r="AE144" i="5"/>
  <c r="AD154" i="5"/>
  <c r="AG194" i="5"/>
  <c r="AE176" i="5"/>
  <c r="AF13" i="5"/>
  <c r="AE18" i="5"/>
  <c r="AJ23" i="5"/>
  <c r="AG79" i="5"/>
  <c r="AG8" i="5"/>
  <c r="AQ11" i="5"/>
  <c r="AR19" i="5"/>
  <c r="AW27" i="5"/>
  <c r="AH34" i="5"/>
  <c r="AR7" i="5"/>
  <c r="AD12" i="5"/>
  <c r="AD16" i="5"/>
  <c r="AD20" i="5"/>
  <c r="AG26" i="5"/>
  <c r="AH30" i="5"/>
  <c r="AH48" i="5"/>
  <c r="AH52" i="5"/>
  <c r="AF58" i="5"/>
  <c r="AE66" i="5"/>
  <c r="AG82" i="5"/>
  <c r="AE97" i="5"/>
  <c r="AG112" i="5"/>
  <c r="AG121" i="5"/>
  <c r="AG128" i="5"/>
  <c r="AF136" i="5"/>
  <c r="AH147" i="5"/>
  <c r="AG158" i="5"/>
  <c r="AG167" i="5"/>
  <c r="AE179" i="5"/>
  <c r="AH193" i="5"/>
  <c r="AG7" i="5"/>
  <c r="AY11" i="5"/>
  <c r="AE16" i="5"/>
  <c r="AJ21" i="5"/>
  <c r="AD27" i="5"/>
  <c r="AH31" i="5"/>
  <c r="AD41" i="5"/>
  <c r="AG56" i="5"/>
  <c r="AG67" i="5"/>
  <c r="AF72" i="5"/>
  <c r="AE89" i="5"/>
  <c r="AH115" i="5"/>
  <c r="AF132" i="5"/>
  <c r="AF141" i="5"/>
  <c r="AF149" i="5"/>
  <c r="AD153" i="5"/>
  <c r="AH162" i="5"/>
  <c r="AD168" i="5"/>
  <c r="AG176" i="5"/>
  <c r="AE182" i="5"/>
  <c r="AG191" i="5"/>
  <c r="AG25" i="5"/>
  <c r="AX7" i="5"/>
  <c r="AF12" i="5"/>
  <c r="AQ17" i="5"/>
  <c r="AG23" i="5"/>
  <c r="AG41" i="5"/>
  <c r="AF46" i="5"/>
  <c r="AD74" i="5"/>
  <c r="AD80" i="5"/>
  <c r="AH85" i="5"/>
  <c r="AE95" i="5"/>
  <c r="AE103" i="5"/>
  <c r="AG110" i="5"/>
  <c r="AD115" i="5"/>
  <c r="AF125" i="5"/>
  <c r="AG132" i="5"/>
  <c r="AH140" i="5"/>
  <c r="AD146" i="5"/>
  <c r="AE153" i="5"/>
  <c r="AD161" i="5"/>
  <c r="AF171" i="5"/>
  <c r="AF182" i="5"/>
  <c r="AF192" i="5"/>
  <c r="AF82" i="5"/>
  <c r="AE101" i="5"/>
  <c r="AI7" i="5"/>
  <c r="AH10" i="5"/>
  <c r="AR17" i="5"/>
  <c r="AD30" i="5"/>
  <c r="AH37" i="5"/>
  <c r="AG46" i="5"/>
  <c r="AY55" i="5"/>
  <c r="AH66" i="5"/>
  <c r="AH77" i="5"/>
  <c r="AF95" i="5"/>
  <c r="AG108" i="5"/>
  <c r="AF121" i="5"/>
  <c r="AF126" i="5"/>
  <c r="AF130" i="5"/>
  <c r="AF142" i="5"/>
  <c r="AH154" i="5"/>
  <c r="AD179" i="5"/>
  <c r="AG188" i="5"/>
  <c r="AM41" i="5"/>
  <c r="AI58" i="5"/>
  <c r="AK41" i="5"/>
  <c r="AV27" i="5"/>
  <c r="AQ70" i="5"/>
  <c r="AG33" i="5"/>
  <c r="AK30" i="5"/>
  <c r="AF31" i="5"/>
  <c r="AR30" i="5"/>
  <c r="AN29" i="5"/>
  <c r="AG29" i="5"/>
  <c r="AJ38" i="5"/>
  <c r="AH39" i="5"/>
  <c r="AG51" i="5"/>
  <c r="AE43" i="5"/>
  <c r="AE65" i="5"/>
  <c r="AF55" i="5"/>
  <c r="AE111" i="5"/>
  <c r="AF69" i="5"/>
  <c r="AF71" i="5"/>
  <c r="AE74" i="5"/>
  <c r="AE72" i="5"/>
  <c r="AE84" i="5"/>
  <c r="AE80" i="5"/>
  <c r="AE78" i="5"/>
  <c r="AE94" i="5"/>
  <c r="AF100" i="5"/>
  <c r="AG93" i="5"/>
  <c r="AF108" i="5"/>
  <c r="AE124" i="5"/>
  <c r="AD108" i="5"/>
  <c r="AD112" i="5"/>
  <c r="AG103" i="5"/>
  <c r="AF114" i="5"/>
  <c r="AF116" i="5"/>
  <c r="AD119" i="5"/>
  <c r="AF119" i="5"/>
  <c r="AD125" i="5"/>
  <c r="AE147" i="5"/>
  <c r="AE145" i="5"/>
  <c r="AD148" i="5"/>
  <c r="AE164" i="5"/>
  <c r="AG159" i="5"/>
  <c r="AE163" i="5"/>
  <c r="AE167" i="5"/>
  <c r="AD171" i="5"/>
  <c r="AH172" i="5"/>
  <c r="AE177" i="5"/>
  <c r="AF189" i="5"/>
  <c r="AD184" i="5"/>
  <c r="AF191" i="5"/>
  <c r="AF195" i="5"/>
  <c r="AH55" i="46"/>
  <c r="AF11" i="46"/>
  <c r="AG21" i="46"/>
  <c r="AG9" i="46"/>
  <c r="AG62" i="46"/>
  <c r="AF8" i="46"/>
  <c r="AD26" i="46"/>
  <c r="AD29" i="46"/>
  <c r="AG48" i="46"/>
  <c r="AG70" i="46"/>
  <c r="AF96" i="46"/>
  <c r="AG35" i="46"/>
  <c r="AE51" i="46"/>
  <c r="AF75" i="46"/>
  <c r="AD109" i="46"/>
  <c r="AH30" i="46"/>
  <c r="AE48" i="46"/>
  <c r="AE78" i="46"/>
  <c r="AF102" i="46"/>
  <c r="AF175" i="46"/>
  <c r="AG105" i="46"/>
  <c r="AG125" i="46"/>
  <c r="AG143" i="46"/>
  <c r="AE171" i="46"/>
  <c r="AH218" i="46"/>
  <c r="AG108" i="46"/>
  <c r="AG126" i="46"/>
  <c r="AF147" i="46"/>
  <c r="AE165" i="46"/>
  <c r="AF184" i="46"/>
  <c r="AG106" i="46"/>
  <c r="AH127" i="46"/>
  <c r="AF151" i="46"/>
  <c r="AE177" i="46"/>
  <c r="AF220" i="46"/>
  <c r="AG220" i="46"/>
  <c r="AH196" i="46"/>
  <c r="AH209" i="46"/>
  <c r="AE42" i="5"/>
  <c r="AG194" i="46"/>
  <c r="AE205" i="46"/>
  <c r="AH211" i="46"/>
  <c r="AD221" i="46"/>
  <c r="AD225" i="46"/>
  <c r="AD50" i="5"/>
  <c r="AF38" i="5"/>
  <c r="AE227" i="46"/>
  <c r="AE85" i="5"/>
  <c r="AG172" i="5"/>
  <c r="AD95" i="5"/>
  <c r="AE193" i="5"/>
  <c r="AE107" i="5"/>
  <c r="AE21" i="5"/>
  <c r="AF107" i="5"/>
  <c r="AH130" i="5"/>
  <c r="AE168" i="5"/>
  <c r="AD195" i="5"/>
  <c r="AY17" i="5"/>
  <c r="AH54" i="5"/>
  <c r="AY9" i="5"/>
  <c r="AG13" i="5"/>
  <c r="AG17" i="5"/>
  <c r="AG21" i="5"/>
  <c r="AE33" i="5"/>
  <c r="AE44" i="5"/>
  <c r="AH58" i="5"/>
  <c r="AG71" i="5"/>
  <c r="AE91" i="5"/>
  <c r="AG104" i="5"/>
  <c r="AE115" i="5"/>
  <c r="AG131" i="5"/>
  <c r="AG148" i="5"/>
  <c r="AD157" i="5"/>
  <c r="AE171" i="5"/>
  <c r="AD183" i="5"/>
  <c r="AD191" i="5"/>
  <c r="AE117" i="5"/>
  <c r="AH62" i="5"/>
  <c r="AD59" i="5"/>
  <c r="AF74" i="5"/>
  <c r="AF91" i="5"/>
  <c r="AF105" i="5"/>
  <c r="AG114" i="5"/>
  <c r="AD118" i="5"/>
  <c r="AE138" i="5"/>
  <c r="AF146" i="5"/>
  <c r="AF174" i="5"/>
  <c r="AF167" i="5"/>
  <c r="AR9" i="5"/>
  <c r="AE14" i="5"/>
  <c r="AJ19" i="5"/>
  <c r="AF34" i="5"/>
  <c r="AF93" i="5"/>
  <c r="AF9" i="5"/>
  <c r="AH13" i="5"/>
  <c r="AH21" i="5"/>
  <c r="AG30" i="5"/>
  <c r="AF43" i="5"/>
  <c r="AH8" i="5"/>
  <c r="AI13" i="5"/>
  <c r="AI17" i="5"/>
  <c r="AI21" i="5"/>
  <c r="AF28" i="5"/>
  <c r="AG32" i="5"/>
  <c r="AE49" i="5"/>
  <c r="AG54" i="5"/>
  <c r="AE59" i="5"/>
  <c r="AG69" i="5"/>
  <c r="AF86" i="5"/>
  <c r="AG98" i="5"/>
  <c r="AF113" i="5"/>
  <c r="AG122" i="5"/>
  <c r="AE131" i="5"/>
  <c r="AH137" i="5"/>
  <c r="AF151" i="5"/>
  <c r="AD160" i="5"/>
  <c r="AD170" i="5"/>
  <c r="AH182" i="5"/>
  <c r="AH194" i="5"/>
  <c r="AW7" i="5"/>
  <c r="AE12" i="5"/>
  <c r="AJ17" i="5"/>
  <c r="AF24" i="5"/>
  <c r="AH27" i="5"/>
  <c r="AH32" i="5"/>
  <c r="AH42" i="5"/>
  <c r="AG58" i="5"/>
  <c r="AH69" i="5"/>
  <c r="AH80" i="5"/>
  <c r="AF97" i="5"/>
  <c r="AD116" i="5"/>
  <c r="AF134" i="5"/>
  <c r="AD143" i="5"/>
  <c r="AH150" i="5"/>
  <c r="AD155" i="5"/>
  <c r="AH164" i="5"/>
  <c r="AE172" i="5"/>
  <c r="AF179" i="5"/>
  <c r="AG183" i="5"/>
  <c r="AJ7" i="5"/>
  <c r="AH188" i="5"/>
  <c r="AD8" i="5"/>
  <c r="AQ13" i="5"/>
  <c r="AG19" i="5"/>
  <c r="AO26" i="5"/>
  <c r="AD43" i="5"/>
  <c r="AE62" i="5"/>
  <c r="AG75" i="5"/>
  <c r="AG81" i="5"/>
  <c r="AG88" i="5"/>
  <c r="AG96" i="5"/>
  <c r="AE104" i="5"/>
  <c r="AF111" i="5"/>
  <c r="AE119" i="5"/>
  <c r="AE127" i="5"/>
  <c r="AD133" i="5"/>
  <c r="AE142" i="5"/>
  <c r="AH148" i="5"/>
  <c r="AG156" i="5"/>
  <c r="AE162" i="5"/>
  <c r="AF172" i="5"/>
  <c r="AE186" i="5"/>
  <c r="AD193" i="5"/>
  <c r="AG87" i="5"/>
  <c r="AD156" i="5"/>
  <c r="AY7" i="5"/>
  <c r="AG11" i="5"/>
  <c r="AH19" i="5"/>
  <c r="AD32" i="5"/>
  <c r="AH38" i="5"/>
  <c r="AF48" i="5"/>
  <c r="AE56" i="5"/>
  <c r="AD69" i="5"/>
  <c r="AD86" i="5"/>
  <c r="AE98" i="5"/>
  <c r="AF109" i="5"/>
  <c r="AF122" i="5"/>
  <c r="AF127" i="5"/>
  <c r="AD131" i="5"/>
  <c r="AF147" i="5"/>
  <c r="AE157" i="5"/>
  <c r="AE180" i="5"/>
  <c r="AD189" i="5"/>
  <c r="AN35" i="5"/>
  <c r="AY59" i="5"/>
  <c r="AS36" i="5"/>
  <c r="AV31" i="5"/>
  <c r="AE45" i="5"/>
  <c r="AJ46" i="5"/>
  <c r="AR40" i="5"/>
  <c r="AF23" i="5"/>
  <c r="AG39" i="5"/>
  <c r="AF47" i="5"/>
  <c r="AR26" i="5"/>
  <c r="AW31" i="5"/>
  <c r="AG24" i="5"/>
  <c r="AF25" i="5"/>
  <c r="AF29" i="5"/>
  <c r="AF49" i="5"/>
  <c r="AF37" i="5"/>
  <c r="AO42" i="5"/>
  <c r="AF35" i="5"/>
  <c r="AE41" i="5"/>
  <c r="AF53" i="5"/>
  <c r="AE63" i="5"/>
  <c r="AG72" i="5"/>
  <c r="AH55" i="5"/>
  <c r="AF67" i="5"/>
  <c r="AF77" i="5"/>
  <c r="AF57" i="5"/>
  <c r="AF75" i="5"/>
  <c r="AG74" i="5"/>
  <c r="AE86" i="5"/>
  <c r="AF81" i="5"/>
  <c r="AF79" i="5"/>
  <c r="AE96" i="5"/>
  <c r="AE88" i="5"/>
  <c r="AF102" i="5"/>
  <c r="AG129" i="5"/>
  <c r="AG130" i="5"/>
  <c r="AH111" i="5"/>
  <c r="AE114" i="5"/>
  <c r="AD106" i="5"/>
  <c r="AE116" i="5"/>
  <c r="AF118" i="5"/>
  <c r="AD121" i="5"/>
  <c r="AH120" i="5"/>
  <c r="AG154" i="5"/>
  <c r="AF139" i="5"/>
  <c r="AF152" i="5"/>
  <c r="AG157" i="5"/>
  <c r="AF164" i="5"/>
  <c r="AE160" i="5"/>
  <c r="AG170" i="5"/>
  <c r="AF173" i="5"/>
  <c r="AD175" i="5"/>
  <c r="AH176" i="5"/>
  <c r="AD169" i="5"/>
  <c r="AH179" i="5"/>
  <c r="AH185" i="5"/>
  <c r="AD185" i="5"/>
  <c r="AF185" i="5"/>
  <c r="AH92" i="46"/>
  <c r="AF7" i="46"/>
  <c r="AG64" i="46"/>
  <c r="AN7" i="46"/>
  <c r="AH39" i="46"/>
  <c r="AH84" i="46"/>
  <c r="AD33" i="46"/>
  <c r="AH51" i="46"/>
  <c r="AG78" i="46"/>
  <c r="AG130" i="46"/>
  <c r="AD41" i="46"/>
  <c r="AH53" i="46"/>
  <c r="AH82" i="46"/>
  <c r="AD121" i="46"/>
  <c r="AH35" i="46"/>
  <c r="AH54" i="46"/>
  <c r="AD83" i="46"/>
  <c r="AG123" i="46"/>
  <c r="AD194" i="46"/>
  <c r="AH112" i="46"/>
  <c r="AD131" i="46"/>
  <c r="AF150" i="46"/>
  <c r="AH174" i="46"/>
  <c r="AF6" i="5"/>
  <c r="AF114" i="46"/>
  <c r="AH133" i="46"/>
  <c r="AE153" i="46"/>
  <c r="AH168" i="46"/>
  <c r="AD193" i="46"/>
  <c r="AF112" i="46"/>
  <c r="AD134" i="46"/>
  <c r="AF159" i="46"/>
  <c r="AE183" i="46"/>
  <c r="AH224" i="46"/>
  <c r="AH203" i="46"/>
  <c r="AG217" i="46"/>
  <c r="AD189" i="46"/>
  <c r="AF198" i="46"/>
  <c r="AE208" i="46"/>
  <c r="AD214" i="46"/>
  <c r="AG223" i="46"/>
  <c r="AH225" i="46"/>
  <c r="AE6" i="5"/>
  <c r="AE27" i="5"/>
  <c r="AD93" i="5"/>
  <c r="AH175" i="5"/>
  <c r="AH95" i="5"/>
  <c r="AD62" i="5"/>
  <c r="AG181" i="5"/>
  <c r="AG27" i="5"/>
  <c r="AE110" i="5"/>
  <c r="AG133" i="5"/>
  <c r="AF170" i="5"/>
  <c r="AF8" i="5"/>
  <c r="AD22" i="5"/>
  <c r="AF101" i="5"/>
  <c r="AE10" i="5"/>
  <c r="AF14" i="5"/>
  <c r="AF18" i="5"/>
  <c r="AF22" i="5"/>
  <c r="AG34" i="5"/>
  <c r="AF45" i="5"/>
  <c r="AH60" i="5"/>
  <c r="AH82" i="5"/>
  <c r="AE99" i="5"/>
  <c r="AE105" i="5"/>
  <c r="AD120" i="5"/>
  <c r="AG140" i="5"/>
  <c r="AG150" i="5"/>
  <c r="AH161" i="5"/>
  <c r="AE174" i="5"/>
  <c r="AF186" i="5"/>
  <c r="AF194" i="5"/>
  <c r="AG119" i="5"/>
  <c r="AD65" i="5"/>
  <c r="AD61" i="5"/>
  <c r="AF80" i="5"/>
  <c r="AF99" i="5"/>
  <c r="AE108" i="5"/>
  <c r="AF115" i="5"/>
  <c r="AG124" i="5"/>
  <c r="AG139" i="5"/>
  <c r="AH152" i="5"/>
  <c r="AG182" i="5"/>
  <c r="AE170" i="5"/>
  <c r="AD10" i="5"/>
  <c r="AJ15" i="5"/>
  <c r="AF21" i="5"/>
  <c r="AD37" i="5"/>
  <c r="AE7" i="5"/>
  <c r="AD9" i="5"/>
  <c r="AR15" i="5"/>
  <c r="AR23" i="5"/>
  <c r="AF32" i="5"/>
  <c r="AH44" i="5"/>
  <c r="AG9" i="5"/>
  <c r="AE15" i="5"/>
  <c r="AE19" i="5"/>
  <c r="AE23" i="5"/>
  <c r="AD29" i="5"/>
  <c r="AH46" i="5"/>
  <c r="AH50" i="5"/>
  <c r="AF56" i="5"/>
  <c r="AF60" i="5"/>
  <c r="AH73" i="5"/>
  <c r="AH87" i="5"/>
  <c r="AG99" i="5"/>
  <c r="AH114" i="5"/>
  <c r="AG123" i="5"/>
  <c r="AF133" i="5"/>
  <c r="AH139" i="5"/>
  <c r="AH153" i="5"/>
  <c r="AG164" i="5"/>
  <c r="AG173" i="5"/>
  <c r="AH186" i="5"/>
  <c r="AG195" i="5"/>
  <c r="AH9" i="5"/>
  <c r="AJ13" i="5"/>
  <c r="AF19" i="5"/>
  <c r="AD25" i="5"/>
  <c r="AG28" i="5"/>
  <c r="AD33" i="5"/>
  <c r="AD45" i="5"/>
  <c r="AG60" i="5"/>
  <c r="AH70" i="5"/>
  <c r="AD83" i="5"/>
  <c r="AE100" i="5"/>
  <c r="AE125" i="5"/>
  <c r="AD137" i="5"/>
  <c r="AG145" i="5"/>
  <c r="AG151" i="5"/>
  <c r="AD158" i="5"/>
  <c r="AF166" i="5"/>
  <c r="AH173" i="5"/>
  <c r="AG180" i="5"/>
  <c r="AG187" i="5"/>
  <c r="AH11" i="5"/>
  <c r="AH192" i="5"/>
  <c r="AI9" i="5"/>
  <c r="AG15" i="5"/>
  <c r="AF20" i="5"/>
  <c r="AH28" i="5"/>
  <c r="AF44" i="5"/>
  <c r="AH68" i="5"/>
  <c r="AF78" i="5"/>
  <c r="AE83" i="5"/>
  <c r="AF89" i="5"/>
  <c r="AG97" i="5"/>
  <c r="AD105" i="5"/>
  <c r="AH113" i="5"/>
  <c r="AE121" i="5"/>
  <c r="AE129" i="5"/>
  <c r="AD135" i="5"/>
  <c r="AG143" i="5"/>
  <c r="AG149" i="5"/>
  <c r="AH157" i="5"/>
  <c r="AD165" i="5"/>
  <c r="AD174" i="5"/>
  <c r="AF188" i="5"/>
  <c r="AH195" i="5"/>
  <c r="AE93" i="5"/>
  <c r="AH160" i="5"/>
  <c r="AE8" i="5"/>
  <c r="AR13" i="5"/>
  <c r="AR21" i="5"/>
  <c r="AE35" i="5"/>
  <c r="AG42" i="5"/>
  <c r="AF50" i="5"/>
  <c r="AE58" i="5"/>
  <c r="AD70" i="5"/>
  <c r="AH91" i="5"/>
  <c r="AH99" i="5"/>
  <c r="AD113" i="5"/>
  <c r="AF123" i="5"/>
  <c r="AF128" i="5"/>
  <c r="AH132" i="5"/>
  <c r="AH149" i="5"/>
  <c r="AF159" i="5"/>
  <c r="AE183" i="5"/>
  <c r="AG192" i="5"/>
  <c r="AT23" i="5"/>
  <c r="AJ43" i="5"/>
  <c r="AS32" i="5"/>
  <c r="AJ36" i="5"/>
  <c r="AG47" i="5"/>
  <c r="AJ54" i="5"/>
  <c r="AF27" i="5"/>
  <c r="AK38" i="5"/>
  <c r="AW24" i="5"/>
  <c r="AG31" i="5"/>
  <c r="AF39" i="5"/>
  <c r="AF33" i="5"/>
  <c r="AG37" i="5"/>
  <c r="AG49" i="5"/>
  <c r="AG89" i="5"/>
  <c r="AD39" i="5"/>
  <c r="AF73" i="5"/>
  <c r="AF65" i="5"/>
  <c r="AE69" i="5"/>
  <c r="AE54" i="5"/>
  <c r="AF59" i="5"/>
  <c r="AG76" i="5"/>
  <c r="AE82" i="5"/>
  <c r="AE90" i="5"/>
  <c r="AF85" i="5"/>
  <c r="AE92" i="5"/>
  <c r="AF94" i="5"/>
  <c r="AF90" i="5"/>
  <c r="AG91" i="5"/>
  <c r="AE132" i="5"/>
  <c r="AG136" i="5"/>
  <c r="AF112" i="5"/>
  <c r="AG135" i="5"/>
  <c r="AH109" i="5"/>
  <c r="AE118" i="5"/>
  <c r="AD123" i="5"/>
  <c r="AH124" i="5"/>
  <c r="AH122" i="5"/>
  <c r="AE143" i="5"/>
  <c r="AH138" i="5"/>
  <c r="AF150" i="5"/>
  <c r="AG161" i="5"/>
  <c r="AE169" i="5"/>
  <c r="AH163" i="5"/>
  <c r="AH174" i="5"/>
  <c r="AF165" i="5"/>
  <c r="AF169" i="5"/>
  <c r="AD178" i="5"/>
  <c r="AF177" i="5"/>
  <c r="AH183" i="5"/>
  <c r="AH181" i="5"/>
  <c r="AF187" i="5"/>
  <c r="AF193" i="5"/>
  <c r="AG180" i="46"/>
  <c r="AF86" i="46"/>
  <c r="AF15" i="46"/>
  <c r="AF83" i="46"/>
  <c r="AG87" i="46"/>
  <c r="AG88" i="46"/>
  <c r="AG133" i="46"/>
  <c r="AH117" i="46"/>
  <c r="AF208" i="46"/>
  <c r="AG187" i="46"/>
  <c r="AH205" i="46"/>
  <c r="AF200" i="46"/>
  <c r="AG226" i="46"/>
  <c r="AD71" i="5"/>
  <c r="AH64" i="5"/>
  <c r="AE13" i="5"/>
  <c r="AQ15" i="5"/>
  <c r="AD55" i="5"/>
  <c r="AH106" i="5"/>
  <c r="AE165" i="5"/>
  <c r="AG120" i="5"/>
  <c r="AE102" i="5"/>
  <c r="AH142" i="5"/>
  <c r="AI11" i="5"/>
  <c r="AQ7" i="5"/>
  <c r="AH33" i="5"/>
  <c r="AY19" i="5"/>
  <c r="AE51" i="5"/>
  <c r="AG90" i="5"/>
  <c r="AF135" i="5"/>
  <c r="AD176" i="5"/>
  <c r="AF15" i="5"/>
  <c r="AF40" i="5"/>
  <c r="AD88" i="5"/>
  <c r="AF148" i="5"/>
  <c r="AE175" i="5"/>
  <c r="AH7" i="5"/>
  <c r="AG38" i="5"/>
  <c r="AF84" i="5"/>
  <c r="AD114" i="5"/>
  <c r="AH145" i="5"/>
  <c r="AH180" i="5"/>
  <c r="AG163" i="5"/>
  <c r="AG36" i="5"/>
  <c r="AH74" i="5"/>
  <c r="AF124" i="5"/>
  <c r="AF162" i="5"/>
  <c r="AR36" i="5"/>
  <c r="AO29" i="5"/>
  <c r="AG53" i="5"/>
  <c r="AE76" i="5"/>
  <c r="AF83" i="5"/>
  <c r="AF96" i="5"/>
  <c r="AF104" i="5"/>
  <c r="AG134" i="5"/>
  <c r="AE139" i="5"/>
  <c r="AE156" i="5"/>
  <c r="AD182" i="5"/>
  <c r="AE185" i="5"/>
  <c r="AG122" i="46"/>
  <c r="AH80" i="46"/>
  <c r="AH147" i="46"/>
  <c r="AG174" i="46"/>
  <c r="AG136" i="46"/>
  <c r="AF158" i="46"/>
  <c r="AD138" i="46"/>
  <c r="AD119" i="46"/>
  <c r="AF197" i="46"/>
  <c r="AE209" i="46"/>
  <c r="AE34" i="5"/>
  <c r="AE148" i="5"/>
  <c r="AH126" i="5"/>
  <c r="AH36" i="5"/>
  <c r="AQ19" i="5"/>
  <c r="AD63" i="5"/>
  <c r="AD124" i="5"/>
  <c r="AD177" i="5"/>
  <c r="AD53" i="5"/>
  <c r="AG109" i="5"/>
  <c r="AG153" i="5"/>
  <c r="AF17" i="5"/>
  <c r="AF10" i="5"/>
  <c r="AF7" i="5"/>
  <c r="AH25" i="5"/>
  <c r="AE57" i="5"/>
  <c r="AD107" i="5"/>
  <c r="AF144" i="5"/>
  <c r="AH190" i="5"/>
  <c r="AE20" i="5"/>
  <c r="AG55" i="5"/>
  <c r="AE106" i="5"/>
  <c r="AD152" i="5"/>
  <c r="AD181" i="5"/>
  <c r="AF11" i="5"/>
  <c r="AG45" i="5"/>
  <c r="AD91" i="5"/>
  <c r="AE123" i="5"/>
  <c r="AH151" i="5"/>
  <c r="AE190" i="5"/>
  <c r="AJ9" i="5"/>
  <c r="AG44" i="5"/>
  <c r="AD94" i="5"/>
  <c r="AF129" i="5"/>
  <c r="AE187" i="5"/>
  <c r="AR39" i="5"/>
  <c r="AQ42" i="5"/>
  <c r="AQ23" i="5"/>
  <c r="AH23" i="5"/>
  <c r="AI23" i="5"/>
  <c r="AF63" i="5"/>
  <c r="AE61" i="5"/>
  <c r="AF98" i="5"/>
  <c r="AF92" i="5"/>
  <c r="AH105" i="5"/>
  <c r="AE130" i="5"/>
  <c r="AE141" i="5"/>
  <c r="AG178" i="5"/>
  <c r="AD173" i="5"/>
  <c r="AG190" i="5"/>
  <c r="AG50" i="46"/>
  <c r="AD38" i="46"/>
  <c r="AD45" i="46"/>
  <c r="AD40" i="46"/>
  <c r="AF207" i="46"/>
  <c r="AE179" i="46"/>
  <c r="AE157" i="46"/>
  <c r="AD140" i="46"/>
  <c r="AG215" i="46"/>
  <c r="AG147" i="5"/>
  <c r="AH92" i="5"/>
  <c r="AH141" i="5"/>
  <c r="AH155" i="5"/>
  <c r="AP7" i="5"/>
  <c r="AK25" i="5"/>
  <c r="AG85" i="5"/>
  <c r="AF143" i="5"/>
  <c r="AD187" i="5"/>
  <c r="AF62" i="5"/>
  <c r="AH116" i="5"/>
  <c r="AG185" i="5"/>
  <c r="AE22" i="5"/>
  <c r="AH17" i="5"/>
  <c r="AR11" i="5"/>
  <c r="AH29" i="5"/>
  <c r="AG62" i="5"/>
  <c r="AD117" i="5"/>
  <c r="AH156" i="5"/>
  <c r="AG152" i="5"/>
  <c r="AH26" i="5"/>
  <c r="AE64" i="5"/>
  <c r="AF131" i="5"/>
  <c r="AH159" i="5"/>
  <c r="AH189" i="5"/>
  <c r="AF16" i="5"/>
  <c r="AH71" i="5"/>
  <c r="AD99" i="5"/>
  <c r="AH131" i="5"/>
  <c r="AE159" i="5"/>
  <c r="AH78" i="5"/>
  <c r="AH15" i="5"/>
  <c r="AF52" i="5"/>
  <c r="AF103" i="5"/>
  <c r="AH134" i="5"/>
  <c r="AL23" i="5"/>
  <c r="AE24" i="5"/>
  <c r="AF42" i="5"/>
  <c r="AG40" i="5"/>
  <c r="AH53" i="5"/>
  <c r="AF61" i="5"/>
  <c r="AF87" i="5"/>
  <c r="AH107" i="5"/>
  <c r="AH103" i="5"/>
  <c r="AG138" i="5"/>
  <c r="AG155" i="5"/>
  <c r="AG189" i="5"/>
  <c r="AG186" i="5"/>
  <c r="AE194" i="5"/>
  <c r="AF16" i="46"/>
  <c r="AH56" i="46"/>
  <c r="AH96" i="46"/>
  <c r="AG224" i="46"/>
  <c r="AD122" i="5"/>
  <c r="AD35" i="5"/>
  <c r="AD81" i="5"/>
  <c r="AF26" i="5"/>
  <c r="AG127" i="5"/>
  <c r="AE71" i="5"/>
  <c r="AQ21" i="5"/>
  <c r="AG168" i="5"/>
  <c r="AF120" i="5"/>
  <c r="AF51" i="5"/>
  <c r="AD104" i="5"/>
  <c r="AH170" i="5"/>
  <c r="AN11" i="46"/>
  <c r="AG59" i="46"/>
  <c r="AD175" i="46"/>
  <c r="AY13" i="5"/>
  <c r="AG100" i="5"/>
  <c r="AG125" i="5"/>
  <c r="AY15" i="5"/>
  <c r="AE166" i="5"/>
  <c r="AE140" i="5"/>
  <c r="AD79" i="5"/>
  <c r="AG95" i="5"/>
  <c r="AD150" i="5"/>
  <c r="AO39" i="5"/>
  <c r="AG35" i="5"/>
  <c r="AE67" i="5"/>
  <c r="AE112" i="5"/>
  <c r="AD180" i="5"/>
  <c r="AF20" i="46"/>
  <c r="AG116" i="46"/>
  <c r="AD191" i="46"/>
  <c r="AJ11" i="5"/>
  <c r="AE195" i="5"/>
  <c r="AF76" i="5"/>
  <c r="AH79" i="5"/>
  <c r="AD31" i="5"/>
  <c r="AY21" i="5"/>
  <c r="AH136" i="5"/>
  <c r="AE60" i="5"/>
  <c r="AF106" i="5"/>
  <c r="AD163" i="5"/>
  <c r="AE173" i="5"/>
  <c r="AE109" i="5"/>
  <c r="AF64" i="46"/>
  <c r="AE47" i="5"/>
  <c r="AH24" i="5"/>
  <c r="AD169" i="46"/>
  <c r="AH184" i="5"/>
  <c r="AE11" i="5"/>
  <c r="AU12" i="5"/>
  <c r="AD110" i="5"/>
  <c r="AE152" i="5"/>
  <c r="AH167" i="5"/>
  <c r="AE126" i="5"/>
  <c r="AL38" i="46"/>
  <c r="AU13" i="46"/>
  <c r="AY55" i="46"/>
  <c r="AY80" i="46"/>
  <c r="AY109" i="46"/>
  <c r="AY132" i="46"/>
  <c r="AY173" i="46"/>
  <c r="AY205" i="46"/>
  <c r="AQ47" i="46"/>
  <c r="AQ71" i="46"/>
  <c r="AQ110" i="46"/>
  <c r="AQ137" i="46"/>
  <c r="AQ160" i="46"/>
  <c r="AQ203" i="46"/>
  <c r="AI32" i="46"/>
  <c r="AI78" i="46"/>
  <c r="AI104" i="46"/>
  <c r="AI129" i="46"/>
  <c r="AI157" i="46"/>
  <c r="AI193" i="46"/>
  <c r="AS23" i="46"/>
  <c r="AP16" i="46"/>
  <c r="AP6" i="46"/>
  <c r="AX46" i="46"/>
  <c r="AQ18" i="46"/>
  <c r="AY32" i="46"/>
  <c r="AY78" i="46"/>
  <c r="AY104" i="46"/>
  <c r="AY150" i="46"/>
  <c r="AY155" i="46"/>
  <c r="AY189" i="46"/>
  <c r="AQ24" i="46"/>
  <c r="AQ68" i="46"/>
  <c r="AQ102" i="46"/>
  <c r="AQ131" i="46"/>
  <c r="AQ163" i="46"/>
  <c r="AQ193" i="46"/>
  <c r="AI24" i="46"/>
  <c r="AI70" i="46"/>
  <c r="AI96" i="46"/>
  <c r="AI121" i="46"/>
  <c r="AI165" i="46"/>
  <c r="AI198" i="46"/>
  <c r="AI221" i="46"/>
  <c r="AP14" i="46"/>
  <c r="AI22" i="46"/>
  <c r="AU15" i="46"/>
  <c r="AM9" i="46"/>
  <c r="AY38" i="46"/>
  <c r="AY52" i="46"/>
  <c r="AY61" i="46"/>
  <c r="AY94" i="46"/>
  <c r="AY110" i="46"/>
  <c r="AY124" i="46"/>
  <c r="AY135" i="46"/>
  <c r="AY146" i="46"/>
  <c r="AY168" i="46"/>
  <c r="AY194" i="46"/>
  <c r="AY198" i="46"/>
  <c r="AY215" i="46"/>
  <c r="AQ30" i="46"/>
  <c r="AQ42" i="46"/>
  <c r="AQ74" i="46"/>
  <c r="AQ86" i="46"/>
  <c r="AQ100" i="46"/>
  <c r="AQ113" i="46"/>
  <c r="AQ129" i="46"/>
  <c r="AQ138" i="46"/>
  <c r="AQ161" i="46"/>
  <c r="AQ192" i="46"/>
  <c r="AQ191" i="46"/>
  <c r="AQ211" i="46"/>
  <c r="AQ227" i="46"/>
  <c r="AI53" i="46"/>
  <c r="AI68" i="46"/>
  <c r="AI77" i="46"/>
  <c r="AI95" i="46"/>
  <c r="AI107" i="46"/>
  <c r="AI119" i="46"/>
  <c r="AI147" i="46"/>
  <c r="AI155" i="46"/>
  <c r="AI171" i="46"/>
  <c r="AI185" i="46"/>
  <c r="AI206" i="46"/>
  <c r="AI219" i="46"/>
  <c r="AX25" i="46"/>
  <c r="AX16" i="46"/>
  <c r="AX8" i="46"/>
  <c r="AX40" i="46"/>
  <c r="AX68" i="46"/>
  <c r="AX106" i="46"/>
  <c r="AX83" i="46"/>
  <c r="AX139" i="46"/>
  <c r="AX143" i="46"/>
  <c r="AX138" i="46"/>
  <c r="AX169" i="46"/>
  <c r="AX173" i="46"/>
  <c r="AX187" i="46"/>
  <c r="AX207" i="46"/>
  <c r="AX219" i="46"/>
  <c r="AP41" i="46"/>
  <c r="AP70" i="46"/>
  <c r="AP80" i="46"/>
  <c r="AP83" i="46"/>
  <c r="AP126" i="46"/>
  <c r="AX65" i="46"/>
  <c r="AX102" i="46"/>
  <c r="AX133" i="46"/>
  <c r="AX150" i="46"/>
  <c r="AX190" i="46"/>
  <c r="AX216" i="46"/>
  <c r="AP64" i="46"/>
  <c r="AP85" i="46"/>
  <c r="AP139" i="46"/>
  <c r="AP165" i="46"/>
  <c r="AP191" i="46"/>
  <c r="AP223" i="46"/>
  <c r="AK47" i="46"/>
  <c r="AK85" i="46"/>
  <c r="AK120" i="46"/>
  <c r="AK152" i="46"/>
  <c r="AK181" i="46"/>
  <c r="AK207" i="46"/>
  <c r="AO23" i="46"/>
  <c r="AW6" i="46"/>
  <c r="AW76" i="46"/>
  <c r="AW96" i="46"/>
  <c r="AW124" i="46"/>
  <c r="AW153" i="46"/>
  <c r="AW181" i="46"/>
  <c r="AW224" i="46"/>
  <c r="AO65" i="46"/>
  <c r="AO86" i="46"/>
  <c r="AO120" i="46"/>
  <c r="AO146" i="46"/>
  <c r="AO202" i="46"/>
  <c r="AO218" i="46"/>
  <c r="AV14" i="46"/>
  <c r="AV27" i="46"/>
  <c r="AV71" i="46"/>
  <c r="AV106" i="46"/>
  <c r="AV127" i="46"/>
  <c r="AV164" i="46"/>
  <c r="AV192" i="46"/>
  <c r="AV224" i="46"/>
  <c r="AN58" i="46"/>
  <c r="AU19" i="46"/>
  <c r="AY6" i="46"/>
  <c r="AY72" i="46"/>
  <c r="AY106" i="46"/>
  <c r="AY134" i="46"/>
  <c r="AY184" i="46"/>
  <c r="AY220" i="46"/>
  <c r="AQ46" i="46"/>
  <c r="AQ83" i="46"/>
  <c r="AQ117" i="46"/>
  <c r="AQ157" i="46"/>
  <c r="AQ196" i="46"/>
  <c r="AI34" i="46"/>
  <c r="AI65" i="46"/>
  <c r="AI103" i="46"/>
  <c r="AI172" i="46"/>
  <c r="AI192" i="46"/>
  <c r="AI212" i="46"/>
  <c r="AT17" i="46"/>
  <c r="AX47" i="46"/>
  <c r="AX48" i="46"/>
  <c r="AX59" i="46"/>
  <c r="AX90" i="46"/>
  <c r="AX104" i="46"/>
  <c r="AX111" i="46"/>
  <c r="AX127" i="46"/>
  <c r="AX157" i="46"/>
  <c r="AX168" i="46"/>
  <c r="AX185" i="46"/>
  <c r="AX197" i="46"/>
  <c r="AX222" i="46"/>
  <c r="AP30" i="46"/>
  <c r="AP58" i="46"/>
  <c r="AP69" i="46"/>
  <c r="AP112" i="46"/>
  <c r="AP96" i="46"/>
  <c r="AP111" i="46"/>
  <c r="AP129" i="46"/>
  <c r="AP159" i="46"/>
  <c r="AP170" i="46"/>
  <c r="AP186" i="46"/>
  <c r="AP199" i="46"/>
  <c r="AP212" i="46"/>
  <c r="AK29" i="46"/>
  <c r="AK38" i="46"/>
  <c r="AK58" i="46"/>
  <c r="AK74" i="46"/>
  <c r="AK84" i="46"/>
  <c r="AK111" i="46"/>
  <c r="AK127" i="46"/>
  <c r="AK142" i="46"/>
  <c r="AK162" i="46"/>
  <c r="AK173" i="46"/>
  <c r="AK184" i="46"/>
  <c r="AK215" i="46"/>
  <c r="AK221" i="46"/>
  <c r="AX31" i="46"/>
  <c r="AO18" i="46"/>
  <c r="AO10" i="46"/>
  <c r="AW42" i="46"/>
  <c r="AW52" i="46"/>
  <c r="AW43" i="46"/>
  <c r="AW77" i="46"/>
  <c r="AW91" i="46"/>
  <c r="AW105" i="46"/>
  <c r="AW121" i="46"/>
  <c r="AW138" i="46"/>
  <c r="AW179" i="46"/>
  <c r="AW171" i="46"/>
  <c r="AW197" i="46"/>
  <c r="AW204" i="46"/>
  <c r="AW218" i="46"/>
  <c r="AO29" i="46"/>
  <c r="AO48" i="46"/>
  <c r="AO67" i="46"/>
  <c r="AO98" i="46"/>
  <c r="AO106" i="46"/>
  <c r="AO122" i="46"/>
  <c r="AO137" i="46"/>
  <c r="AO155" i="46"/>
  <c r="AO169" i="46"/>
  <c r="AO188" i="46"/>
  <c r="AO203" i="46"/>
  <c r="AO220" i="46"/>
  <c r="AJ20" i="46"/>
  <c r="AN16" i="46"/>
  <c r="AN8" i="46"/>
  <c r="AV29" i="46"/>
  <c r="AV41" i="46"/>
  <c r="AV73" i="46"/>
  <c r="AV87" i="46"/>
  <c r="AV100" i="46"/>
  <c r="AV116" i="46"/>
  <c r="AV129" i="46"/>
  <c r="AV134" i="46"/>
  <c r="AV158" i="46"/>
  <c r="AV170" i="46"/>
  <c r="AV194" i="46"/>
  <c r="AV208" i="46"/>
  <c r="AV226" i="46"/>
  <c r="AN37" i="46"/>
  <c r="AN53" i="46"/>
  <c r="AN62" i="46"/>
  <c r="AN95" i="46"/>
  <c r="AN108" i="46"/>
  <c r="AN122" i="46"/>
  <c r="AN133" i="46"/>
  <c r="AN142" i="46"/>
  <c r="AN166" i="46"/>
  <c r="AN181" i="46"/>
  <c r="AN201" i="46"/>
  <c r="AN210" i="46"/>
  <c r="AX55" i="46"/>
  <c r="AK23" i="46"/>
  <c r="AU16" i="46"/>
  <c r="AM10" i="46"/>
  <c r="AU33" i="46"/>
  <c r="AU49" i="46"/>
  <c r="AU60" i="46"/>
  <c r="AU91" i="46"/>
  <c r="AU107" i="46"/>
  <c r="AU119" i="46"/>
  <c r="AU149" i="46"/>
  <c r="AU141" i="46"/>
  <c r="AU164" i="46"/>
  <c r="AU185" i="46"/>
  <c r="AU197" i="46"/>
  <c r="AU210" i="46"/>
  <c r="AM25" i="46"/>
  <c r="AX73" i="46"/>
  <c r="AX130" i="46"/>
  <c r="AX148" i="46"/>
  <c r="AX184" i="46"/>
  <c r="AX226" i="46"/>
  <c r="AP56" i="46"/>
  <c r="AP90" i="46"/>
  <c r="AP101" i="46"/>
  <c r="AP157" i="46"/>
  <c r="AP184" i="46"/>
  <c r="AP204" i="46"/>
  <c r="AK28" i="46"/>
  <c r="AK82" i="46"/>
  <c r="AK101" i="46"/>
  <c r="AK126" i="46"/>
  <c r="AK167" i="46"/>
  <c r="AK213" i="46"/>
  <c r="AJ6" i="46"/>
  <c r="AW12" i="46"/>
  <c r="AW81" i="46"/>
  <c r="AW57" i="46"/>
  <c r="AW106" i="46"/>
  <c r="AW143" i="46"/>
  <c r="AW172" i="46"/>
  <c r="AW195" i="46"/>
  <c r="AO34" i="46"/>
  <c r="AO72" i="46"/>
  <c r="AO93" i="46"/>
  <c r="AO121" i="46"/>
  <c r="AO168" i="46"/>
  <c r="AO181" i="46"/>
  <c r="AO219" i="46"/>
  <c r="AV16" i="46"/>
  <c r="AV35" i="46"/>
  <c r="AV60" i="46"/>
  <c r="AV98" i="46"/>
  <c r="AV132" i="46"/>
  <c r="AV156" i="46"/>
  <c r="AV201" i="46"/>
  <c r="AN30" i="46"/>
  <c r="AN51" i="46"/>
  <c r="AN68" i="46"/>
  <c r="AN90" i="46"/>
  <c r="AN105" i="46"/>
  <c r="AM21" i="46"/>
  <c r="AQ8" i="46"/>
  <c r="AY48" i="46"/>
  <c r="AY82" i="46"/>
  <c r="AY103" i="46"/>
  <c r="AY139" i="46"/>
  <c r="AY165" i="46"/>
  <c r="AY208" i="46"/>
  <c r="AY223" i="46"/>
  <c r="AQ54" i="46"/>
  <c r="AQ90" i="46"/>
  <c r="AQ109" i="46"/>
  <c r="AQ147" i="46"/>
  <c r="AQ178" i="46"/>
  <c r="AQ204" i="46"/>
  <c r="AI26" i="46"/>
  <c r="AI64" i="46"/>
  <c r="AI83" i="46"/>
  <c r="AI120" i="46"/>
  <c r="AI136" i="46"/>
  <c r="AI175" i="46"/>
  <c r="AI208" i="46"/>
  <c r="AL46" i="46"/>
  <c r="AT11" i="46"/>
  <c r="AX24" i="46"/>
  <c r="AU17" i="46"/>
  <c r="AM11" i="46"/>
  <c r="AY28" i="46"/>
  <c r="AY42" i="46"/>
  <c r="AY74" i="46"/>
  <c r="AY84" i="46"/>
  <c r="AY100" i="46"/>
  <c r="AY113" i="46"/>
  <c r="AY129" i="46"/>
  <c r="AY136" i="46"/>
  <c r="AY159" i="46"/>
  <c r="AY186" i="46"/>
  <c r="AY210" i="46"/>
  <c r="AY209" i="46"/>
  <c r="AY225" i="46"/>
  <c r="AQ51" i="46"/>
  <c r="AQ64" i="46"/>
  <c r="AQ75" i="46"/>
  <c r="AQ93" i="46"/>
  <c r="AQ103" i="46"/>
  <c r="AQ119" i="46"/>
  <c r="AQ150" i="46"/>
  <c r="AQ151" i="46"/>
  <c r="AQ169" i="46"/>
  <c r="AQ185" i="46"/>
  <c r="AQ208" i="46"/>
  <c r="AQ226" i="46"/>
  <c r="AI43" i="46"/>
  <c r="AI58" i="46"/>
  <c r="AI67" i="46"/>
  <c r="AI85" i="46"/>
  <c r="AI97" i="46"/>
  <c r="AI130" i="46"/>
  <c r="AI137" i="46"/>
  <c r="AI146" i="46"/>
  <c r="AI162" i="46"/>
  <c r="AI184" i="46"/>
  <c r="AI199" i="46"/>
  <c r="AI214" i="46"/>
  <c r="AL40" i="46"/>
  <c r="AL19" i="46"/>
  <c r="AL11" i="46"/>
  <c r="AX30" i="46"/>
  <c r="AX58" i="46"/>
  <c r="AX69" i="46"/>
  <c r="AX96" i="46"/>
  <c r="AX118" i="46"/>
  <c r="AX113" i="46"/>
  <c r="AX129" i="46"/>
  <c r="AX159" i="46"/>
  <c r="AX170" i="46"/>
  <c r="AX186" i="46"/>
  <c r="AX199" i="46"/>
  <c r="AX212" i="46"/>
  <c r="AP32" i="46"/>
  <c r="AP60" i="46"/>
  <c r="AP71" i="46"/>
  <c r="AP100" i="46"/>
  <c r="AP106" i="46"/>
  <c r="AP113" i="46"/>
  <c r="AP131" i="46"/>
  <c r="AP161" i="46"/>
  <c r="AP172" i="46"/>
  <c r="AP188" i="46"/>
  <c r="AP201" i="46"/>
  <c r="AP214" i="46"/>
  <c r="AK31" i="46"/>
  <c r="AK40" i="46"/>
  <c r="AK59" i="46"/>
  <c r="AK76" i="46"/>
  <c r="AK86" i="46"/>
  <c r="AK113" i="46"/>
  <c r="AK129" i="46"/>
  <c r="AK144" i="46"/>
  <c r="AK164" i="46"/>
  <c r="AK175" i="46"/>
  <c r="AK189" i="46"/>
  <c r="AK204" i="46"/>
  <c r="AK214" i="46"/>
  <c r="AT30" i="46"/>
  <c r="AS17" i="46"/>
  <c r="AS9" i="46"/>
  <c r="AW25" i="46"/>
  <c r="AW54" i="46"/>
  <c r="AW45" i="46"/>
  <c r="AW82" i="46"/>
  <c r="AW93" i="46"/>
  <c r="AW107" i="46"/>
  <c r="AW123" i="46"/>
  <c r="AW140" i="46"/>
  <c r="AW152" i="46"/>
  <c r="AW173" i="46"/>
  <c r="AW196" i="46"/>
  <c r="AW206" i="46"/>
  <c r="AW225" i="46"/>
  <c r="AO31" i="46"/>
  <c r="AO50" i="46"/>
  <c r="AO69" i="46"/>
  <c r="AO115" i="46"/>
  <c r="AO108" i="46"/>
  <c r="AO124" i="46"/>
  <c r="AO139" i="46"/>
  <c r="AO157" i="46"/>
  <c r="AO170" i="46"/>
  <c r="AO186" i="46"/>
  <c r="AO199" i="46"/>
  <c r="AO221" i="46"/>
  <c r="AJ16" i="46"/>
  <c r="AR15" i="46"/>
  <c r="AR7" i="46"/>
  <c r="AV31" i="46"/>
  <c r="AV43" i="46"/>
  <c r="AV75" i="46"/>
  <c r="AV89" i="46"/>
  <c r="AV102" i="46"/>
  <c r="AV118" i="46"/>
  <c r="AV131" i="46"/>
  <c r="AV136" i="46"/>
  <c r="AV160" i="46"/>
  <c r="AV172" i="46"/>
  <c r="AV197" i="46"/>
  <c r="AV210" i="46"/>
  <c r="AN26" i="46"/>
  <c r="AN39" i="46"/>
  <c r="AN55" i="46"/>
  <c r="AN64" i="46"/>
  <c r="AN97" i="46"/>
  <c r="AN110" i="46"/>
  <c r="AN124" i="46"/>
  <c r="AN135" i="46"/>
  <c r="AN144" i="46"/>
  <c r="AN180" i="46"/>
  <c r="AN183" i="46"/>
  <c r="AN196" i="46"/>
  <c r="AN212" i="46"/>
  <c r="AL52" i="46"/>
  <c r="AU22" i="46"/>
  <c r="AM16" i="46"/>
  <c r="AY9" i="46"/>
  <c r="AU35" i="46"/>
  <c r="AU51" i="46"/>
  <c r="AU62" i="46"/>
  <c r="AU93" i="46"/>
  <c r="AU109" i="46"/>
  <c r="AU121" i="46"/>
  <c r="AU155" i="46"/>
  <c r="AU143" i="46"/>
  <c r="AU166" i="46"/>
  <c r="AU191" i="46"/>
  <c r="AU205" i="46"/>
  <c r="AU227" i="46"/>
  <c r="AM27" i="46"/>
  <c r="AM43" i="46"/>
  <c r="AM75" i="46"/>
  <c r="AM85" i="46"/>
  <c r="AM101" i="46"/>
  <c r="AM114" i="46"/>
  <c r="AM128" i="46"/>
  <c r="AM135" i="46"/>
  <c r="AM160" i="46"/>
  <c r="AM191" i="46"/>
  <c r="AM188" i="46"/>
  <c r="AM208" i="46"/>
  <c r="AM224" i="46"/>
  <c r="AS32" i="46"/>
  <c r="AS43" i="46"/>
  <c r="AS50" i="46"/>
  <c r="AS87" i="46"/>
  <c r="AS117" i="46"/>
  <c r="AS114" i="46"/>
  <c r="AS128" i="46"/>
  <c r="AS145" i="46"/>
  <c r="AS159" i="46"/>
  <c r="AS183" i="46"/>
  <c r="AS194" i="46"/>
  <c r="AS207" i="46"/>
  <c r="AR20" i="46"/>
  <c r="AJ34" i="46"/>
  <c r="AJ48" i="46"/>
  <c r="AJ59" i="46"/>
  <c r="AJ94" i="46"/>
  <c r="AJ105" i="46"/>
  <c r="AP117" i="46"/>
  <c r="AP148" i="46"/>
  <c r="AP160" i="46"/>
  <c r="AP182" i="46"/>
  <c r="AP198" i="46"/>
  <c r="AP220" i="46"/>
  <c r="AK16" i="46"/>
  <c r="AK26" i="46"/>
  <c r="AK53" i="46"/>
  <c r="AK73" i="46"/>
  <c r="AK91" i="46"/>
  <c r="AK119" i="46"/>
  <c r="AK117" i="46"/>
  <c r="AK132" i="46"/>
  <c r="AK147" i="46"/>
  <c r="AK165" i="46"/>
  <c r="AK187" i="46"/>
  <c r="AK199" i="46"/>
  <c r="AK219" i="46"/>
  <c r="AR8" i="46"/>
  <c r="AS21" i="46"/>
  <c r="AK13" i="46"/>
  <c r="AW30" i="46"/>
  <c r="AW74" i="46"/>
  <c r="AW68" i="46"/>
  <c r="AW79" i="46"/>
  <c r="AW117" i="46"/>
  <c r="AW112" i="46"/>
  <c r="AW122" i="46"/>
  <c r="AW141" i="46"/>
  <c r="AW159" i="46"/>
  <c r="AW170" i="46"/>
  <c r="AW188" i="46"/>
  <c r="AW203" i="46"/>
  <c r="AW216" i="46"/>
  <c r="AO40" i="46"/>
  <c r="AO64" i="46"/>
  <c r="AO47" i="46"/>
  <c r="AO84" i="46"/>
  <c r="AO99" i="46"/>
  <c r="AO107" i="46"/>
  <c r="AO127" i="46"/>
  <c r="AO144" i="46"/>
  <c r="AO156" i="46"/>
  <c r="AO179" i="46"/>
  <c r="AO200" i="46"/>
  <c r="AO206" i="46"/>
  <c r="AO227" i="46"/>
  <c r="AJ19" i="46"/>
  <c r="AJ11" i="46"/>
  <c r="AV36" i="46"/>
  <c r="AV50" i="46"/>
  <c r="AV61" i="46"/>
  <c r="AV74" i="46"/>
  <c r="AV90" i="46"/>
  <c r="AV103" i="46"/>
  <c r="AV117" i="46"/>
  <c r="AV145" i="46"/>
  <c r="AV152" i="46"/>
  <c r="AV169" i="46"/>
  <c r="AV193" i="46"/>
  <c r="AV207" i="46"/>
  <c r="AV221" i="46"/>
  <c r="AN25" i="46"/>
  <c r="AN41" i="46"/>
  <c r="AN71" i="46"/>
  <c r="AN83" i="46"/>
  <c r="AN96" i="46"/>
  <c r="AN111" i="46"/>
  <c r="AN121" i="46"/>
  <c r="AN157" i="46"/>
  <c r="AN155" i="46"/>
  <c r="AN115" i="46"/>
  <c r="AN147" i="46"/>
  <c r="AN165" i="46"/>
  <c r="AN175" i="46"/>
  <c r="AN193" i="46"/>
  <c r="AN209" i="46"/>
  <c r="AN223" i="46"/>
  <c r="AQ33" i="46"/>
  <c r="AM20" i="46"/>
  <c r="AY13" i="46"/>
  <c r="AQ7" i="46"/>
  <c r="AU48" i="46"/>
  <c r="AU63" i="46"/>
  <c r="AU74" i="46"/>
  <c r="AU88" i="46"/>
  <c r="AU102" i="46"/>
  <c r="AU151" i="46"/>
  <c r="AU142" i="46"/>
  <c r="AU173" i="46"/>
  <c r="AU167" i="46"/>
  <c r="AU180" i="46"/>
  <c r="AU196" i="46"/>
  <c r="AU215" i="46"/>
  <c r="AM39" i="46"/>
  <c r="AM55" i="46"/>
  <c r="AM66" i="46"/>
  <c r="AM80" i="46"/>
  <c r="AM113" i="46"/>
  <c r="AM125" i="46"/>
  <c r="AM138" i="46"/>
  <c r="AM147" i="46"/>
  <c r="AM159" i="46"/>
  <c r="AM187" i="46"/>
  <c r="AM201" i="46"/>
  <c r="AM219" i="46"/>
  <c r="AS31" i="46"/>
  <c r="AS59" i="46"/>
  <c r="AS55" i="46"/>
  <c r="AS66" i="46"/>
  <c r="AS98" i="46"/>
  <c r="AS111" i="46"/>
  <c r="AS123" i="46"/>
  <c r="AS142" i="46"/>
  <c r="AS156" i="46"/>
  <c r="AS171" i="46"/>
  <c r="AS187" i="46"/>
  <c r="AS203" i="46"/>
  <c r="AS218" i="46"/>
  <c r="AJ31" i="46"/>
  <c r="AJ47" i="46"/>
  <c r="AJ62" i="46"/>
  <c r="AJ71" i="46"/>
  <c r="AJ85" i="46"/>
  <c r="AJ102" i="46"/>
  <c r="AJ116" i="46"/>
  <c r="AJ146" i="46"/>
  <c r="AJ155" i="46"/>
  <c r="AJ168" i="46"/>
  <c r="AJ190" i="46"/>
  <c r="AJ204" i="46"/>
  <c r="AJ220" i="46"/>
  <c r="AI31" i="46"/>
  <c r="AP17" i="46"/>
  <c r="AP9" i="46"/>
  <c r="AT33" i="46"/>
  <c r="AT65" i="46"/>
  <c r="AT76" i="46"/>
  <c r="AT131" i="46"/>
  <c r="AT129" i="46"/>
  <c r="AT123" i="46"/>
  <c r="AT133" i="46"/>
  <c r="AT166" i="46"/>
  <c r="AT177" i="46"/>
  <c r="AT193" i="46"/>
  <c r="AT206" i="46"/>
  <c r="AT223" i="46"/>
  <c r="AL35" i="46"/>
  <c r="AL67" i="46"/>
  <c r="AL78" i="46"/>
  <c r="AL101" i="46"/>
  <c r="AL125" i="46"/>
  <c r="AL136" i="46"/>
  <c r="AL133" i="46"/>
  <c r="AL166" i="46"/>
  <c r="AQ23" i="46"/>
  <c r="AY8" i="46"/>
  <c r="AY54" i="46"/>
  <c r="AY81" i="46"/>
  <c r="AY126" i="46"/>
  <c r="AY176" i="46"/>
  <c r="AY190" i="46"/>
  <c r="AY217" i="46"/>
  <c r="AQ55" i="46"/>
  <c r="AQ88" i="46"/>
  <c r="AQ107" i="46"/>
  <c r="AQ156" i="46"/>
  <c r="AQ173" i="46"/>
  <c r="AQ205" i="46"/>
  <c r="AI47" i="46"/>
  <c r="AI71" i="46"/>
  <c r="AI101" i="46"/>
  <c r="AI133" i="46"/>
  <c r="AI158" i="46"/>
  <c r="AI203" i="46"/>
  <c r="AX29" i="46"/>
  <c r="AP12" i="46"/>
  <c r="AX26" i="46"/>
  <c r="AI12" i="46"/>
  <c r="AM15" i="46"/>
  <c r="AY47" i="46"/>
  <c r="AY71" i="46"/>
  <c r="AY101" i="46"/>
  <c r="AY145" i="46"/>
  <c r="AY164" i="46"/>
  <c r="AY197" i="46"/>
  <c r="AQ40" i="46"/>
  <c r="AQ63" i="46"/>
  <c r="AQ99" i="46"/>
  <c r="AQ145" i="46"/>
  <c r="AQ170" i="46"/>
  <c r="AQ199" i="46"/>
  <c r="AI40" i="46"/>
  <c r="AI63" i="46"/>
  <c r="AI112" i="46"/>
  <c r="AI141" i="46"/>
  <c r="AI166" i="46"/>
  <c r="AI195" i="46"/>
  <c r="AX53" i="46"/>
  <c r="AP39" i="46"/>
  <c r="AQ20" i="46"/>
  <c r="AI14" i="46"/>
  <c r="AU7" i="46"/>
  <c r="AY45" i="46"/>
  <c r="AY60" i="46"/>
  <c r="AY69" i="46"/>
  <c r="AY87" i="46"/>
  <c r="AY99" i="46"/>
  <c r="AY115" i="46"/>
  <c r="AY143" i="46"/>
  <c r="AY174" i="46"/>
  <c r="AY162" i="46"/>
  <c r="AY181" i="46"/>
  <c r="AY195" i="46"/>
  <c r="AY212" i="46"/>
  <c r="AQ38" i="46"/>
  <c r="AQ50" i="46"/>
  <c r="AQ61" i="46"/>
  <c r="AQ94" i="46"/>
  <c r="AQ108" i="46"/>
  <c r="AQ122" i="46"/>
  <c r="AQ135" i="46"/>
  <c r="AQ146" i="46"/>
  <c r="AQ158" i="46"/>
  <c r="AQ184" i="46"/>
  <c r="AQ202" i="46"/>
  <c r="AQ215" i="46"/>
  <c r="AI30" i="46"/>
  <c r="AI44" i="46"/>
  <c r="AI76" i="46"/>
  <c r="AI86" i="46"/>
  <c r="AI102" i="46"/>
  <c r="AI116" i="46"/>
  <c r="AI127" i="46"/>
  <c r="AI150" i="46"/>
  <c r="AI163" i="46"/>
  <c r="AI186" i="46"/>
  <c r="AI191" i="46"/>
  <c r="AI211" i="46"/>
  <c r="AI227" i="46"/>
  <c r="AX22" i="46"/>
  <c r="AX14" i="46"/>
  <c r="AX6" i="46"/>
  <c r="AX57" i="46"/>
  <c r="AX76" i="46"/>
  <c r="AX86" i="46"/>
  <c r="AX91" i="46"/>
  <c r="AX99" i="46"/>
  <c r="AX115" i="46"/>
  <c r="AX146" i="46"/>
  <c r="AX156" i="46"/>
  <c r="AX182" i="46"/>
  <c r="AX196" i="46"/>
  <c r="AX217" i="46"/>
  <c r="AX227" i="46"/>
  <c r="AP55" i="46"/>
  <c r="AP78" i="46"/>
  <c r="AP88" i="46"/>
  <c r="AP91" i="46"/>
  <c r="AP99" i="46"/>
  <c r="AX80" i="46"/>
  <c r="AX116" i="46"/>
  <c r="AX125" i="46"/>
  <c r="AX166" i="46"/>
  <c r="AX198" i="46"/>
  <c r="AP42" i="46"/>
  <c r="AP59" i="46"/>
  <c r="AP116" i="46"/>
  <c r="AP127" i="46"/>
  <c r="AP162" i="46"/>
  <c r="AP197" i="46"/>
  <c r="AK61" i="46"/>
  <c r="AK71" i="46"/>
  <c r="AK99" i="46"/>
  <c r="AK135" i="46"/>
  <c r="AK160" i="46"/>
  <c r="AK182" i="46"/>
  <c r="AK218" i="46"/>
  <c r="AW18" i="46"/>
  <c r="AW40" i="46"/>
  <c r="AW49" i="46"/>
  <c r="AW98" i="46"/>
  <c r="AW134" i="46"/>
  <c r="AW169" i="46"/>
  <c r="AW194" i="46"/>
  <c r="AO74" i="46"/>
  <c r="AO54" i="46"/>
  <c r="AO85" i="46"/>
  <c r="AO128" i="46"/>
  <c r="AO161" i="46"/>
  <c r="AO190" i="46"/>
  <c r="AO215" i="46"/>
  <c r="AV10" i="46"/>
  <c r="AV44" i="46"/>
  <c r="AV68" i="46"/>
  <c r="AV105" i="46"/>
  <c r="AV139" i="46"/>
  <c r="AV179" i="46"/>
  <c r="AV200" i="46"/>
  <c r="AN38" i="46"/>
  <c r="AN76" i="46"/>
  <c r="AQ16" i="46"/>
  <c r="AY34" i="46"/>
  <c r="AY73" i="46"/>
  <c r="AY111" i="46"/>
  <c r="AY170" i="46"/>
  <c r="AY185" i="46"/>
  <c r="AY216" i="46"/>
  <c r="AQ62" i="46"/>
  <c r="AQ104" i="46"/>
  <c r="AQ154" i="46"/>
  <c r="AQ162" i="46"/>
  <c r="AQ201" i="46"/>
  <c r="AI49" i="46"/>
  <c r="AI90" i="46"/>
  <c r="AI128" i="46"/>
  <c r="AI151" i="46"/>
  <c r="AI187" i="46"/>
  <c r="AK22" i="46"/>
  <c r="AT13" i="46"/>
  <c r="AX28" i="46"/>
  <c r="AX56" i="46"/>
  <c r="AX67" i="46"/>
  <c r="AX110" i="46"/>
  <c r="AX145" i="46"/>
  <c r="AX135" i="46"/>
  <c r="AX134" i="46"/>
  <c r="AX165" i="46"/>
  <c r="AX176" i="46"/>
  <c r="AX192" i="46"/>
  <c r="AX203" i="46"/>
  <c r="AX224" i="46"/>
  <c r="AP38" i="46"/>
  <c r="AP66" i="46"/>
  <c r="AP77" i="46"/>
  <c r="AP79" i="46"/>
  <c r="AP115" i="46"/>
  <c r="AP133" i="46"/>
  <c r="AP136" i="46"/>
  <c r="AP167" i="46"/>
  <c r="AP171" i="46"/>
  <c r="AP194" i="46"/>
  <c r="AP205" i="46"/>
  <c r="AP222" i="46"/>
  <c r="AK37" i="46"/>
  <c r="AK75" i="46"/>
  <c r="AK46" i="46"/>
  <c r="AK80" i="46"/>
  <c r="AK92" i="46"/>
  <c r="AK104" i="46"/>
  <c r="AK134" i="46"/>
  <c r="AK151" i="46"/>
  <c r="AK153" i="46"/>
  <c r="AK174" i="46"/>
  <c r="AK201" i="46"/>
  <c r="AK210" i="46"/>
  <c r="AK224" i="46"/>
  <c r="AS25" i="46"/>
  <c r="AO16" i="46"/>
  <c r="AO8" i="46"/>
  <c r="AW31" i="46"/>
  <c r="AW60" i="46"/>
  <c r="AW51" i="46"/>
  <c r="AW88" i="46"/>
  <c r="AW100" i="46"/>
  <c r="AW113" i="46"/>
  <c r="AW129" i="46"/>
  <c r="AW146" i="46"/>
  <c r="AW158" i="46"/>
  <c r="AW180" i="46"/>
  <c r="AW191" i="46"/>
  <c r="AW213" i="46"/>
  <c r="AO28" i="46"/>
  <c r="AO37" i="46"/>
  <c r="AO56" i="46"/>
  <c r="AO75" i="46"/>
  <c r="AO87" i="46"/>
  <c r="AO114" i="46"/>
  <c r="AO130" i="46"/>
  <c r="AO145" i="46"/>
  <c r="AO163" i="46"/>
  <c r="AO176" i="46"/>
  <c r="AO183" i="46"/>
  <c r="AO207" i="46"/>
  <c r="AO223" i="46"/>
  <c r="AN22" i="46"/>
  <c r="AN14" i="46"/>
  <c r="AN6" i="46"/>
  <c r="AV37" i="46"/>
  <c r="AV49" i="46"/>
  <c r="AV62" i="46"/>
  <c r="AV95" i="46"/>
  <c r="AV108" i="46"/>
  <c r="AV124" i="46"/>
  <c r="AV133" i="46"/>
  <c r="AV142" i="46"/>
  <c r="AV166" i="46"/>
  <c r="AV181" i="46"/>
  <c r="AV203" i="46"/>
  <c r="AV216" i="46"/>
  <c r="AN32" i="46"/>
  <c r="AN46" i="46"/>
  <c r="AN59" i="46"/>
  <c r="AN70" i="46"/>
  <c r="AN84" i="46"/>
  <c r="AN99" i="46"/>
  <c r="AN130" i="46"/>
  <c r="AN141" i="46"/>
  <c r="AN149" i="46"/>
  <c r="AN169" i="46"/>
  <c r="AN187" i="46"/>
  <c r="AN202" i="46"/>
  <c r="AN217" i="46"/>
  <c r="AU36" i="46"/>
  <c r="AQ21" i="46"/>
  <c r="AI15" i="46"/>
  <c r="AU8" i="46"/>
  <c r="AU42" i="46"/>
  <c r="AU57" i="46"/>
  <c r="AU68" i="46"/>
  <c r="AU82" i="46"/>
  <c r="AU96" i="46"/>
  <c r="AU127" i="46"/>
  <c r="AU136" i="46"/>
  <c r="AU169" i="46"/>
  <c r="AU161" i="46"/>
  <c r="AU189" i="46"/>
  <c r="AU225" i="46"/>
  <c r="AU216" i="46"/>
  <c r="AM33" i="46"/>
  <c r="AX88" i="46"/>
  <c r="AX109" i="46"/>
  <c r="AX163" i="46"/>
  <c r="AX189" i="46"/>
  <c r="AX221" i="46"/>
  <c r="AP72" i="46"/>
  <c r="AP130" i="46"/>
  <c r="AP122" i="46"/>
  <c r="AP154" i="46"/>
  <c r="AP192" i="46"/>
  <c r="AP226" i="46"/>
  <c r="AK67" i="46"/>
  <c r="AK79" i="46"/>
  <c r="AK102" i="46"/>
  <c r="AK140" i="46"/>
  <c r="AK172" i="46"/>
  <c r="AK208" i="46"/>
  <c r="AW26" i="46"/>
  <c r="AW8" i="46"/>
  <c r="AW59" i="46"/>
  <c r="AW75" i="46"/>
  <c r="AW103" i="46"/>
  <c r="AW144" i="46"/>
  <c r="AW177" i="46"/>
  <c r="AW212" i="46"/>
  <c r="AO27" i="46"/>
  <c r="AO57" i="46"/>
  <c r="AO96" i="46"/>
  <c r="AO133" i="46"/>
  <c r="AO158" i="46"/>
  <c r="AO195" i="46"/>
  <c r="AK20" i="46"/>
  <c r="AV12" i="46"/>
  <c r="AV52" i="46"/>
  <c r="AV76" i="46"/>
  <c r="AV114" i="46"/>
  <c r="AV147" i="46"/>
  <c r="AV171" i="46"/>
  <c r="AV209" i="46"/>
  <c r="AN27" i="46"/>
  <c r="AN65" i="46"/>
  <c r="AN85" i="46"/>
  <c r="AN98" i="46"/>
  <c r="AN113" i="46"/>
  <c r="AI18" i="46"/>
  <c r="AY26" i="46"/>
  <c r="AY64" i="46"/>
  <c r="AY83" i="46"/>
  <c r="AY120" i="46"/>
  <c r="AY147" i="46"/>
  <c r="AY166" i="46"/>
  <c r="AY200" i="46"/>
  <c r="AQ34" i="46"/>
  <c r="AQ70" i="46"/>
  <c r="AQ91" i="46"/>
  <c r="AQ126" i="46"/>
  <c r="AQ142" i="46"/>
  <c r="AQ180" i="46"/>
  <c r="AQ207" i="46"/>
  <c r="AI41" i="46"/>
  <c r="AI79" i="46"/>
  <c r="AI98" i="46"/>
  <c r="AI115" i="46"/>
  <c r="AI144" i="46"/>
  <c r="AI182" i="46"/>
  <c r="AI215" i="46"/>
  <c r="AL24" i="46"/>
  <c r="AX87" i="46"/>
  <c r="AQ22" i="46"/>
  <c r="AI16" i="46"/>
  <c r="AU9" i="46"/>
  <c r="AY36" i="46"/>
  <c r="AY50" i="46"/>
  <c r="AY59" i="46"/>
  <c r="AY92" i="46"/>
  <c r="AY108" i="46"/>
  <c r="AY122" i="46"/>
  <c r="AY133" i="46"/>
  <c r="AY144" i="46"/>
  <c r="AY167" i="46"/>
  <c r="AY192" i="46"/>
  <c r="AY193" i="46"/>
  <c r="AY213" i="46"/>
  <c r="AQ28" i="46"/>
  <c r="AQ79" i="46"/>
  <c r="AQ72" i="46"/>
  <c r="AQ84" i="46"/>
  <c r="AQ98" i="46"/>
  <c r="AQ111" i="46"/>
  <c r="AQ127" i="46"/>
  <c r="AQ136" i="46"/>
  <c r="AQ159" i="46"/>
  <c r="AQ177" i="46"/>
  <c r="AQ189" i="46"/>
  <c r="AQ209" i="46"/>
  <c r="AQ225" i="46"/>
  <c r="AI51" i="46"/>
  <c r="AI66" i="46"/>
  <c r="AI75" i="46"/>
  <c r="AI93" i="46"/>
  <c r="AI105" i="46"/>
  <c r="AI117" i="46"/>
  <c r="AI145" i="46"/>
  <c r="AI153" i="46"/>
  <c r="AI169" i="46"/>
  <c r="AI183" i="46"/>
  <c r="AI210" i="46"/>
  <c r="AI224" i="46"/>
  <c r="AI27" i="46"/>
  <c r="AL17" i="46"/>
  <c r="AL9" i="46"/>
  <c r="AX38" i="46"/>
  <c r="AX66" i="46"/>
  <c r="AX77" i="46"/>
  <c r="AX81" i="46"/>
  <c r="AX128" i="46"/>
  <c r="AX141" i="46"/>
  <c r="AX136" i="46"/>
  <c r="AX167" i="46"/>
  <c r="AX171" i="46"/>
  <c r="AX194" i="46"/>
  <c r="AX205" i="46"/>
  <c r="AX220" i="46"/>
  <c r="AP40" i="46"/>
  <c r="AP68" i="46"/>
  <c r="AP108" i="46"/>
  <c r="AP81" i="46"/>
  <c r="AP128" i="46"/>
  <c r="AP141" i="46"/>
  <c r="AP138" i="46"/>
  <c r="AP150" i="46"/>
  <c r="AP173" i="46"/>
  <c r="AP187" i="46"/>
  <c r="AP207" i="46"/>
  <c r="AP219" i="46"/>
  <c r="AK39" i="46"/>
  <c r="AK43" i="46"/>
  <c r="AK48" i="46"/>
  <c r="AK81" i="46"/>
  <c r="AK94" i="46"/>
  <c r="AK106" i="46"/>
  <c r="AK122" i="46"/>
  <c r="AK137" i="46"/>
  <c r="AK155" i="46"/>
  <c r="AK176" i="46"/>
  <c r="AK197" i="46"/>
  <c r="AK212" i="46"/>
  <c r="AK226" i="46"/>
  <c r="AV24" i="46"/>
  <c r="AS15" i="46"/>
  <c r="AS7" i="46"/>
  <c r="AW33" i="46"/>
  <c r="AW61" i="46"/>
  <c r="AW53" i="46"/>
  <c r="AW90" i="46"/>
  <c r="AW102" i="46"/>
  <c r="AW119" i="46"/>
  <c r="AW131" i="46"/>
  <c r="AW148" i="46"/>
  <c r="AW160" i="46"/>
  <c r="AW182" i="46"/>
  <c r="AW193" i="46"/>
  <c r="AW214" i="46"/>
  <c r="AO30" i="46"/>
  <c r="AO39" i="46"/>
  <c r="AO70" i="46"/>
  <c r="AO77" i="46"/>
  <c r="AO89" i="46"/>
  <c r="AO116" i="46"/>
  <c r="AO132" i="46"/>
  <c r="AO147" i="46"/>
  <c r="AO165" i="46"/>
  <c r="AO171" i="46"/>
  <c r="AO185" i="46"/>
  <c r="AO209" i="46"/>
  <c r="AO226" i="46"/>
  <c r="AR21" i="46"/>
  <c r="AR13" i="46"/>
  <c r="AV26" i="46"/>
  <c r="AV39" i="46"/>
  <c r="AV51" i="46"/>
  <c r="AV64" i="46"/>
  <c r="AV80" i="46"/>
  <c r="AV110" i="46"/>
  <c r="AV126" i="46"/>
  <c r="AV135" i="46"/>
  <c r="AV144" i="46"/>
  <c r="AV184" i="46"/>
  <c r="AV183" i="46"/>
  <c r="AV196" i="46"/>
  <c r="AV220" i="46"/>
  <c r="AN34" i="46"/>
  <c r="AN48" i="46"/>
  <c r="AN61" i="46"/>
  <c r="AN72" i="46"/>
  <c r="AN86" i="46"/>
  <c r="AN101" i="46"/>
  <c r="AN132" i="46"/>
  <c r="AN143" i="46"/>
  <c r="AN156" i="46"/>
  <c r="AN171" i="46"/>
  <c r="AN189" i="46"/>
  <c r="AN205" i="46"/>
  <c r="AN219" i="46"/>
  <c r="AX35" i="46"/>
  <c r="AI21" i="46"/>
  <c r="AU14" i="46"/>
  <c r="AM8" i="46"/>
  <c r="AU44" i="46"/>
  <c r="AU59" i="46"/>
  <c r="AU70" i="46"/>
  <c r="AU84" i="46"/>
  <c r="AU98" i="46"/>
  <c r="AU129" i="46"/>
  <c r="AU138" i="46"/>
  <c r="AU177" i="46"/>
  <c r="AU163" i="46"/>
  <c r="AU207" i="46"/>
  <c r="AU203" i="46"/>
  <c r="AU221" i="46"/>
  <c r="AM35" i="46"/>
  <c r="AM51" i="46"/>
  <c r="AM62" i="46"/>
  <c r="AM93" i="46"/>
  <c r="AM109" i="46"/>
  <c r="AM121" i="46"/>
  <c r="AM134" i="46"/>
  <c r="AM143" i="46"/>
  <c r="AM169" i="46"/>
  <c r="AM183" i="46"/>
  <c r="AM195" i="46"/>
  <c r="AM214" i="46"/>
  <c r="AS10" i="46"/>
  <c r="AS40" i="46"/>
  <c r="AS51" i="46"/>
  <c r="AS79" i="46"/>
  <c r="AS95" i="46"/>
  <c r="AS107" i="46"/>
  <c r="AS120" i="46"/>
  <c r="AS138" i="46"/>
  <c r="AS152" i="46"/>
  <c r="AS167" i="46"/>
  <c r="AS182" i="46"/>
  <c r="AS200" i="46"/>
  <c r="AS222" i="46"/>
  <c r="AJ27" i="46"/>
  <c r="AJ43" i="46"/>
  <c r="AJ56" i="46"/>
  <c r="AJ67" i="46"/>
  <c r="AJ81" i="46"/>
  <c r="AP107" i="46"/>
  <c r="AP125" i="46"/>
  <c r="AP155" i="46"/>
  <c r="AP169" i="46"/>
  <c r="AP183" i="46"/>
  <c r="AP195" i="46"/>
  <c r="AP210" i="46"/>
  <c r="AK41" i="46"/>
  <c r="AK34" i="46"/>
  <c r="AK77" i="46"/>
  <c r="AK70" i="46"/>
  <c r="AK100" i="46"/>
  <c r="AK107" i="46"/>
  <c r="AK123" i="46"/>
  <c r="AK138" i="46"/>
  <c r="AK158" i="46"/>
  <c r="AK168" i="46"/>
  <c r="AK180" i="46"/>
  <c r="AK202" i="46"/>
  <c r="AK225" i="46"/>
  <c r="AY33" i="46"/>
  <c r="AK19" i="46"/>
  <c r="AK11" i="46"/>
  <c r="AW38" i="46"/>
  <c r="AW48" i="46"/>
  <c r="AW78" i="46"/>
  <c r="AW73" i="46"/>
  <c r="AW87" i="46"/>
  <c r="AW101" i="46"/>
  <c r="AW130" i="46"/>
  <c r="AW151" i="46"/>
  <c r="AW167" i="46"/>
  <c r="AW178" i="46"/>
  <c r="AW192" i="46"/>
  <c r="AW211" i="46"/>
  <c r="AW215" i="46"/>
  <c r="AO25" i="46"/>
  <c r="AO44" i="46"/>
  <c r="AO55" i="46"/>
  <c r="AO92" i="46"/>
  <c r="AO102" i="46"/>
  <c r="AO117" i="46"/>
  <c r="AO150" i="46"/>
  <c r="AO151" i="46"/>
  <c r="AO164" i="46"/>
  <c r="AO191" i="46"/>
  <c r="AO196" i="46"/>
  <c r="AO224" i="46"/>
  <c r="AK6" i="46"/>
  <c r="AJ17" i="46"/>
  <c r="AJ9" i="46"/>
  <c r="AV25" i="46"/>
  <c r="AV59" i="46"/>
  <c r="AV69" i="46"/>
  <c r="AV83" i="46"/>
  <c r="AV96" i="46"/>
  <c r="AV111" i="46"/>
  <c r="AV125" i="46"/>
  <c r="AV151" i="46"/>
  <c r="AV167" i="46"/>
  <c r="AV177" i="46"/>
  <c r="AV190" i="46"/>
  <c r="AV204" i="46"/>
  <c r="AV222" i="46"/>
  <c r="AN33" i="46"/>
  <c r="AN49" i="46"/>
  <c r="AN79" i="46"/>
  <c r="AN91" i="46"/>
  <c r="AN104" i="46"/>
  <c r="AN118" i="46"/>
  <c r="AN129" i="46"/>
  <c r="AN138" i="46"/>
  <c r="AN162" i="46"/>
  <c r="AN123" i="46"/>
  <c r="AN161" i="46"/>
  <c r="AN154" i="46"/>
  <c r="AN168" i="46"/>
  <c r="AN192" i="46"/>
  <c r="AN216" i="46"/>
  <c r="AN224" i="46"/>
  <c r="AI29" i="46"/>
  <c r="AU18" i="46"/>
  <c r="AM12" i="46"/>
  <c r="AU23" i="46"/>
  <c r="AU56" i="46"/>
  <c r="AU71" i="46"/>
  <c r="AU81" i="46"/>
  <c r="AU97" i="46"/>
  <c r="AU110" i="46"/>
  <c r="AU122" i="46"/>
  <c r="AU153" i="46"/>
  <c r="AU154" i="46"/>
  <c r="AU174" i="46"/>
  <c r="AU186" i="46"/>
  <c r="AU209" i="46"/>
  <c r="AU220" i="46"/>
  <c r="AM48" i="46"/>
  <c r="AM63" i="46"/>
  <c r="AM74" i="46"/>
  <c r="AM88" i="46"/>
  <c r="AM102" i="46"/>
  <c r="AM116" i="46"/>
  <c r="AM146" i="46"/>
  <c r="AM175" i="46"/>
  <c r="AM167" i="46"/>
  <c r="AM180" i="46"/>
  <c r="AM200" i="46"/>
  <c r="AM217" i="46"/>
  <c r="AS39" i="46"/>
  <c r="AS62" i="46"/>
  <c r="AS71" i="46"/>
  <c r="AS74" i="46"/>
  <c r="AS90" i="46"/>
  <c r="AS102" i="46"/>
  <c r="AS131" i="46"/>
  <c r="AS151" i="46"/>
  <c r="AS164" i="46"/>
  <c r="AS172" i="46"/>
  <c r="AS189" i="46"/>
  <c r="AS208" i="46"/>
  <c r="AS214" i="46"/>
  <c r="AJ39" i="46"/>
  <c r="AJ55" i="46"/>
  <c r="AJ70" i="46"/>
  <c r="AJ82" i="46"/>
  <c r="AJ93" i="46"/>
  <c r="AJ110" i="46"/>
  <c r="AJ124" i="46"/>
  <c r="AJ158" i="46"/>
  <c r="AJ150" i="46"/>
  <c r="AJ176" i="46"/>
  <c r="AJ187" i="46"/>
  <c r="AJ219" i="46"/>
  <c r="AJ221" i="46"/>
  <c r="AT23" i="46"/>
  <c r="AP15" i="46"/>
  <c r="AP7" i="46"/>
  <c r="AT45" i="46"/>
  <c r="AT73" i="46"/>
  <c r="AT81" i="46"/>
  <c r="AT86" i="46"/>
  <c r="AT146" i="46"/>
  <c r="AT140" i="46"/>
  <c r="AT141" i="46"/>
  <c r="AT153" i="46"/>
  <c r="AT176" i="46"/>
  <c r="AT190" i="46"/>
  <c r="AT216" i="46"/>
  <c r="AT224" i="46"/>
  <c r="AL43" i="46"/>
  <c r="AL75" i="46"/>
  <c r="AL81" i="46"/>
  <c r="AL86" i="46"/>
  <c r="AL100" i="46"/>
  <c r="AL134" i="46"/>
  <c r="AL141" i="46"/>
  <c r="AL155" i="46"/>
  <c r="AI20" i="46"/>
  <c r="AY24" i="46"/>
  <c r="AY70" i="46"/>
  <c r="AY96" i="46"/>
  <c r="AY125" i="46"/>
  <c r="AY163" i="46"/>
  <c r="AY203" i="46"/>
  <c r="AY221" i="46"/>
  <c r="AQ52" i="46"/>
  <c r="AQ89" i="46"/>
  <c r="AQ124" i="46"/>
  <c r="AQ148" i="46"/>
  <c r="AQ188" i="46"/>
  <c r="AQ217" i="46"/>
  <c r="AI46" i="46"/>
  <c r="AI88" i="46"/>
  <c r="AI118" i="46"/>
  <c r="AI154" i="46"/>
  <c r="AI188" i="46"/>
  <c r="AI213" i="46"/>
  <c r="AP22" i="46"/>
  <c r="AP10" i="46"/>
  <c r="AX34" i="46"/>
  <c r="AK27" i="46"/>
  <c r="AQ10" i="46"/>
  <c r="AY46" i="46"/>
  <c r="AY88" i="46"/>
  <c r="AY118" i="46"/>
  <c r="AY140" i="46"/>
  <c r="AY182" i="46"/>
  <c r="AY226" i="46"/>
  <c r="AQ44" i="46"/>
  <c r="AQ80" i="46"/>
  <c r="AQ116" i="46"/>
  <c r="AQ140" i="46"/>
  <c r="AQ194" i="46"/>
  <c r="AQ224" i="46"/>
  <c r="AI55" i="46"/>
  <c r="AI80" i="46"/>
  <c r="AI109" i="46"/>
  <c r="AI134" i="46"/>
  <c r="AI173" i="46"/>
  <c r="AI205" i="46"/>
  <c r="AW24" i="46"/>
  <c r="AU28" i="46"/>
  <c r="AY18" i="46"/>
  <c r="AQ12" i="46"/>
  <c r="AI6" i="46"/>
  <c r="AY53" i="46"/>
  <c r="AY68" i="46"/>
  <c r="AY77" i="46"/>
  <c r="AY95" i="46"/>
  <c r="AY107" i="46"/>
  <c r="AY123" i="46"/>
  <c r="AY152" i="46"/>
  <c r="AY153" i="46"/>
  <c r="AY171" i="46"/>
  <c r="AY196" i="46"/>
  <c r="AY204" i="46"/>
  <c r="AY219" i="46"/>
  <c r="AQ45" i="46"/>
  <c r="AQ58" i="46"/>
  <c r="AQ69" i="46"/>
  <c r="AQ87" i="46"/>
  <c r="AQ97" i="46"/>
  <c r="AQ130" i="46"/>
  <c r="AQ143" i="46"/>
  <c r="AQ176" i="46"/>
  <c r="AQ166" i="46"/>
  <c r="AQ179" i="46"/>
  <c r="AQ197" i="46"/>
  <c r="AQ212" i="46"/>
  <c r="AI38" i="46"/>
  <c r="AI52" i="46"/>
  <c r="AI61" i="46"/>
  <c r="AI94" i="46"/>
  <c r="AI110" i="46"/>
  <c r="AI124" i="46"/>
  <c r="AI174" i="46"/>
  <c r="AI140" i="46"/>
  <c r="AI168" i="46"/>
  <c r="AI190" i="46"/>
  <c r="AI204" i="46"/>
  <c r="AI222" i="46"/>
  <c r="AJ18" i="46"/>
  <c r="AX20" i="46"/>
  <c r="AX12" i="46"/>
  <c r="AX51" i="46"/>
  <c r="AX52" i="46"/>
  <c r="AX63" i="46"/>
  <c r="AX94" i="46"/>
  <c r="AX100" i="46"/>
  <c r="AX107" i="46"/>
  <c r="AX123" i="46"/>
  <c r="AX153" i="46"/>
  <c r="AX164" i="46"/>
  <c r="AX181" i="46"/>
  <c r="AX213" i="46"/>
  <c r="AX210" i="46"/>
  <c r="AP26" i="46"/>
  <c r="AP54" i="46"/>
  <c r="AP65" i="46"/>
  <c r="AP98" i="46"/>
  <c r="AP104" i="46"/>
  <c r="AX54" i="46"/>
  <c r="AX108" i="46"/>
  <c r="AX101" i="46"/>
  <c r="AX140" i="46"/>
  <c r="AX175" i="46"/>
  <c r="AX218" i="46"/>
  <c r="AP36" i="46"/>
  <c r="AP75" i="46"/>
  <c r="AP118" i="46"/>
  <c r="AP134" i="46"/>
  <c r="AP176" i="46"/>
  <c r="AP211" i="46"/>
  <c r="AK60" i="46"/>
  <c r="AK52" i="46"/>
  <c r="AK98" i="46"/>
  <c r="AK133" i="46"/>
  <c r="AK159" i="46"/>
  <c r="AK194" i="46"/>
  <c r="AR18" i="46"/>
  <c r="AW14" i="46"/>
  <c r="AW37" i="46"/>
  <c r="AW67" i="46"/>
  <c r="AW114" i="46"/>
  <c r="AW135" i="46"/>
  <c r="AW164" i="46"/>
  <c r="AW205" i="46"/>
  <c r="AO58" i="46"/>
  <c r="AO49" i="46"/>
  <c r="AO104" i="46"/>
  <c r="AO129" i="46"/>
  <c r="AO166" i="46"/>
  <c r="AO197" i="46"/>
  <c r="AR22" i="46"/>
  <c r="AV6" i="46"/>
  <c r="AV58" i="46"/>
  <c r="AV85" i="46"/>
  <c r="AV113" i="46"/>
  <c r="AV140" i="46"/>
  <c r="AV168" i="46"/>
  <c r="AV206" i="46"/>
  <c r="AN35" i="46"/>
  <c r="AI37" i="46"/>
  <c r="AM13" i="46"/>
  <c r="AY57" i="46"/>
  <c r="AY90" i="46"/>
  <c r="AY128" i="46"/>
  <c r="AY157" i="46"/>
  <c r="AY191" i="46"/>
  <c r="AQ26" i="46"/>
  <c r="AQ78" i="46"/>
  <c r="AQ101" i="46"/>
  <c r="AQ134" i="46"/>
  <c r="AQ175" i="46"/>
  <c r="AQ218" i="46"/>
  <c r="AI56" i="46"/>
  <c r="AI91" i="46"/>
  <c r="AI123" i="46"/>
  <c r="AI167" i="46"/>
  <c r="AI197" i="46"/>
  <c r="AT28" i="46"/>
  <c r="AT9" i="46"/>
  <c r="AX36" i="46"/>
  <c r="AX64" i="46"/>
  <c r="AX75" i="46"/>
  <c r="AX79" i="46"/>
  <c r="AX126" i="46"/>
  <c r="AX137" i="46"/>
  <c r="AX142" i="46"/>
  <c r="AX152" i="46"/>
  <c r="AX178" i="46"/>
  <c r="AX191" i="46"/>
  <c r="AX211" i="46"/>
  <c r="AX223" i="46"/>
  <c r="AP43" i="46"/>
  <c r="AP74" i="46"/>
  <c r="AP84" i="46"/>
  <c r="AP87" i="46"/>
  <c r="AP124" i="46"/>
  <c r="AP145" i="46"/>
  <c r="AP144" i="46"/>
  <c r="AP156" i="46"/>
  <c r="AP178" i="46"/>
  <c r="AP193" i="46"/>
  <c r="AP213" i="46"/>
  <c r="AP225" i="46"/>
  <c r="AK65" i="46"/>
  <c r="AK49" i="46"/>
  <c r="AK54" i="46"/>
  <c r="AK87" i="46"/>
  <c r="AK115" i="46"/>
  <c r="AK112" i="46"/>
  <c r="AK128" i="46"/>
  <c r="AK143" i="46"/>
  <c r="AK161" i="46"/>
  <c r="AK183" i="46"/>
  <c r="AK196" i="46"/>
  <c r="AK209" i="46"/>
  <c r="AR14" i="46"/>
  <c r="AW22" i="46"/>
  <c r="AO14" i="46"/>
  <c r="AO6" i="46"/>
  <c r="AW39" i="46"/>
  <c r="AW64" i="46"/>
  <c r="AW72" i="46"/>
  <c r="AW97" i="46"/>
  <c r="AW108" i="46"/>
  <c r="AW149" i="46"/>
  <c r="AW137" i="46"/>
  <c r="AW155" i="46"/>
  <c r="AW166" i="46"/>
  <c r="AW183" i="46"/>
  <c r="AW199" i="46"/>
  <c r="AW226" i="46"/>
  <c r="AO36" i="46"/>
  <c r="AO62" i="46"/>
  <c r="AO43" i="46"/>
  <c r="AO79" i="46"/>
  <c r="AO95" i="46"/>
  <c r="AO103" i="46"/>
  <c r="AO123" i="46"/>
  <c r="AO140" i="46"/>
  <c r="AO152" i="46"/>
  <c r="AO177" i="46"/>
  <c r="AO192" i="46"/>
  <c r="AO214" i="46"/>
  <c r="AO217" i="46"/>
  <c r="AN20" i="46"/>
  <c r="AN12" i="46"/>
  <c r="AV32" i="46"/>
  <c r="AV46" i="46"/>
  <c r="AV57" i="46"/>
  <c r="AV70" i="46"/>
  <c r="AV86" i="46"/>
  <c r="AV99" i="46"/>
  <c r="AV157" i="46"/>
  <c r="AV141" i="46"/>
  <c r="AV153" i="46"/>
  <c r="AV180" i="46"/>
  <c r="AV189" i="46"/>
  <c r="AV202" i="46"/>
  <c r="AV218" i="46"/>
  <c r="AN40" i="46"/>
  <c r="AN54" i="46"/>
  <c r="AN67" i="46"/>
  <c r="AN78" i="46"/>
  <c r="AN92" i="46"/>
  <c r="AN107" i="46"/>
  <c r="AN117" i="46"/>
  <c r="AN150" i="46"/>
  <c r="AN167" i="46"/>
  <c r="AN177" i="46"/>
  <c r="AN186" i="46"/>
  <c r="AN211" i="46"/>
  <c r="AN225" i="46"/>
  <c r="AM32" i="46"/>
  <c r="AY19" i="46"/>
  <c r="AQ13" i="46"/>
  <c r="AI7" i="46"/>
  <c r="AU50" i="46"/>
  <c r="AU65" i="46"/>
  <c r="AU76" i="46"/>
  <c r="AU90" i="46"/>
  <c r="AU104" i="46"/>
  <c r="AU116" i="46"/>
  <c r="AU144" i="46"/>
  <c r="AU175" i="46"/>
  <c r="AU168" i="46"/>
  <c r="AU182" i="46"/>
  <c r="AU198" i="46"/>
  <c r="AU217" i="46"/>
  <c r="AX62" i="46"/>
  <c r="AX114" i="46"/>
  <c r="AX117" i="46"/>
  <c r="AX158" i="46"/>
  <c r="AX195" i="46"/>
  <c r="AP28" i="46"/>
  <c r="AP67" i="46"/>
  <c r="AP93" i="46"/>
  <c r="AP119" i="46"/>
  <c r="AP168" i="46"/>
  <c r="AP200" i="46"/>
  <c r="AS14" i="46"/>
  <c r="AK55" i="46"/>
  <c r="AK93" i="46"/>
  <c r="AK110" i="46"/>
  <c r="AK141" i="46"/>
  <c r="AK188" i="46"/>
  <c r="AK223" i="46"/>
  <c r="AW20" i="46"/>
  <c r="AW32" i="46"/>
  <c r="AW63" i="46"/>
  <c r="AW94" i="46"/>
  <c r="AW118" i="46"/>
  <c r="AW161" i="46"/>
  <c r="AW187" i="46"/>
  <c r="AW223" i="46"/>
  <c r="AO61" i="46"/>
  <c r="AO81" i="46"/>
  <c r="AO112" i="46"/>
  <c r="AO138" i="46"/>
  <c r="AO174" i="46"/>
  <c r="AO205" i="46"/>
  <c r="AV22" i="46"/>
  <c r="AV8" i="46"/>
  <c r="AV47" i="46"/>
  <c r="AV93" i="46"/>
  <c r="AV122" i="46"/>
  <c r="AV159" i="46"/>
  <c r="AV176" i="46"/>
  <c r="AV214" i="46"/>
  <c r="AN44" i="46"/>
  <c r="AN73" i="46"/>
  <c r="AN93" i="46"/>
  <c r="AN106" i="46"/>
  <c r="AP51" i="46"/>
  <c r="AY14" i="46"/>
  <c r="AY41" i="46"/>
  <c r="AY79" i="46"/>
  <c r="AY98" i="46"/>
  <c r="AY119" i="46"/>
  <c r="AY142" i="46"/>
  <c r="AY175" i="46"/>
  <c r="AY207" i="46"/>
  <c r="AQ41" i="46"/>
  <c r="AQ65" i="46"/>
  <c r="AQ96" i="46"/>
  <c r="AQ125" i="46"/>
  <c r="AQ149" i="46"/>
  <c r="AQ190" i="46"/>
  <c r="AQ222" i="46"/>
  <c r="AI57" i="46"/>
  <c r="AI73" i="46"/>
  <c r="AI114" i="46"/>
  <c r="AI131" i="46"/>
  <c r="AI159" i="46"/>
  <c r="AI181" i="46"/>
  <c r="AI220" i="46"/>
  <c r="AT19" i="46"/>
  <c r="AM40" i="46"/>
  <c r="AY20" i="46"/>
  <c r="AQ14" i="46"/>
  <c r="AI8" i="46"/>
  <c r="AY43" i="46"/>
  <c r="AY58" i="46"/>
  <c r="AY67" i="46"/>
  <c r="AY85" i="46"/>
  <c r="AY97" i="46"/>
  <c r="AY130" i="46"/>
  <c r="AY141" i="46"/>
  <c r="AY172" i="46"/>
  <c r="AY160" i="46"/>
  <c r="AY179" i="46"/>
  <c r="AY202" i="46"/>
  <c r="AY222" i="46"/>
  <c r="AQ36" i="46"/>
  <c r="AQ48" i="46"/>
  <c r="AQ59" i="46"/>
  <c r="AQ92" i="46"/>
  <c r="AQ106" i="46"/>
  <c r="AQ120" i="46"/>
  <c r="AQ133" i="46"/>
  <c r="AQ144" i="46"/>
  <c r="AQ167" i="46"/>
  <c r="AQ182" i="46"/>
  <c r="AQ200" i="46"/>
  <c r="AQ213" i="46"/>
  <c r="AI28" i="46"/>
  <c r="AI42" i="46"/>
  <c r="AI74" i="46"/>
  <c r="AI84" i="46"/>
  <c r="AI100" i="46"/>
  <c r="AI113" i="46"/>
  <c r="AI125" i="46"/>
  <c r="AI176" i="46"/>
  <c r="AI161" i="46"/>
  <c r="AI177" i="46"/>
  <c r="AI189" i="46"/>
  <c r="AI209" i="46"/>
  <c r="AI225" i="46"/>
  <c r="AP23" i="46"/>
  <c r="AL15" i="46"/>
  <c r="AL7" i="46"/>
  <c r="AX44" i="46"/>
  <c r="AX74" i="46"/>
  <c r="AX84" i="46"/>
  <c r="AX89" i="46"/>
  <c r="AX97" i="46"/>
  <c r="AX147" i="46"/>
  <c r="AX144" i="46"/>
  <c r="AX154" i="46"/>
  <c r="AX180" i="46"/>
  <c r="AX193" i="46"/>
  <c r="AX215" i="46"/>
  <c r="AX225" i="46"/>
  <c r="AP57" i="46"/>
  <c r="AP76" i="46"/>
  <c r="AP86" i="46"/>
  <c r="AP89" i="46"/>
  <c r="AP97" i="46"/>
  <c r="AP135" i="46"/>
  <c r="AP146" i="46"/>
  <c r="AP158" i="46"/>
  <c r="AP180" i="46"/>
  <c r="AP196" i="46"/>
  <c r="AP217" i="46"/>
  <c r="AP227" i="46"/>
  <c r="AK24" i="46"/>
  <c r="AK51" i="46"/>
  <c r="AK56" i="46"/>
  <c r="AK89" i="46"/>
  <c r="AK116" i="46"/>
  <c r="AK114" i="46"/>
  <c r="AK130" i="46"/>
  <c r="AK145" i="46"/>
  <c r="AK163" i="46"/>
  <c r="AK185" i="46"/>
  <c r="AK195" i="46"/>
  <c r="AK211" i="46"/>
  <c r="AR10" i="46"/>
  <c r="AO22" i="46"/>
  <c r="AS13" i="46"/>
  <c r="AW28" i="46"/>
  <c r="AW66" i="46"/>
  <c r="AW65" i="46"/>
  <c r="AW80" i="46"/>
  <c r="AW99" i="46"/>
  <c r="AW110" i="46"/>
  <c r="AW120" i="46"/>
  <c r="AW139" i="46"/>
  <c r="AW157" i="46"/>
  <c r="AW168" i="46"/>
  <c r="AW185" i="46"/>
  <c r="AW201" i="46"/>
  <c r="AW219" i="46"/>
  <c r="AO38" i="46"/>
  <c r="AO63" i="46"/>
  <c r="AO45" i="46"/>
  <c r="AO82" i="46"/>
  <c r="AO97" i="46"/>
  <c r="AO105" i="46"/>
  <c r="AO125" i="46"/>
  <c r="AO142" i="46"/>
  <c r="AO154" i="46"/>
  <c r="AO178" i="46"/>
  <c r="AO194" i="46"/>
  <c r="AO204" i="46"/>
  <c r="AO225" i="46"/>
  <c r="AR19" i="46"/>
  <c r="AR11" i="46"/>
  <c r="AV34" i="46"/>
  <c r="AV48" i="46"/>
  <c r="AV79" i="46"/>
  <c r="AV72" i="46"/>
  <c r="AV88" i="46"/>
  <c r="AV101" i="46"/>
  <c r="AV115" i="46"/>
  <c r="AV143" i="46"/>
  <c r="AV161" i="46"/>
  <c r="AV182" i="46"/>
  <c r="AV191" i="46"/>
  <c r="AV205" i="46"/>
  <c r="AV219" i="46"/>
  <c r="AN23" i="46"/>
  <c r="AN56" i="46"/>
  <c r="AN69" i="46"/>
  <c r="AN81" i="46"/>
  <c r="AN94" i="46"/>
  <c r="AN109" i="46"/>
  <c r="AN119" i="46"/>
  <c r="AN153" i="46"/>
  <c r="AN151" i="46"/>
  <c r="AN178" i="46"/>
  <c r="AN188" i="46"/>
  <c r="AN213" i="46"/>
  <c r="AN227" i="46"/>
  <c r="AP31" i="46"/>
  <c r="AQ19" i="46"/>
  <c r="AI13" i="46"/>
  <c r="AU6" i="46"/>
  <c r="AU52" i="46"/>
  <c r="AU67" i="46"/>
  <c r="AU78" i="46"/>
  <c r="AU92" i="46"/>
  <c r="AU106" i="46"/>
  <c r="AU118" i="46"/>
  <c r="AU146" i="46"/>
  <c r="AU150" i="46"/>
  <c r="AU170" i="46"/>
  <c r="AU184" i="46"/>
  <c r="AU200" i="46"/>
  <c r="AU223" i="46"/>
  <c r="AM44" i="46"/>
  <c r="AM59" i="46"/>
  <c r="AM70" i="46"/>
  <c r="AM84" i="46"/>
  <c r="AM98" i="46"/>
  <c r="AM129" i="46"/>
  <c r="AM142" i="46"/>
  <c r="AM171" i="46"/>
  <c r="AM163" i="46"/>
  <c r="AM203" i="46"/>
  <c r="AM196" i="46"/>
  <c r="AM213" i="46"/>
  <c r="AS35" i="46"/>
  <c r="AS60" i="46"/>
  <c r="AS69" i="46"/>
  <c r="AS70" i="46"/>
  <c r="AS86" i="46"/>
  <c r="AS116" i="46"/>
  <c r="AS127" i="46"/>
  <c r="AS146" i="46"/>
  <c r="AS160" i="46"/>
  <c r="AS175" i="46"/>
  <c r="AS190" i="46"/>
  <c r="AS204" i="46"/>
  <c r="AS223" i="46"/>
  <c r="AJ35" i="46"/>
  <c r="AJ51" i="46"/>
  <c r="AJ66" i="46"/>
  <c r="AJ75" i="46"/>
  <c r="AJ89" i="46"/>
  <c r="AP120" i="46"/>
  <c r="AP132" i="46"/>
  <c r="AP163" i="46"/>
  <c r="AP174" i="46"/>
  <c r="AP190" i="46"/>
  <c r="AP215" i="46"/>
  <c r="AP216" i="46"/>
  <c r="AK33" i="46"/>
  <c r="AK62" i="46"/>
  <c r="AK42" i="46"/>
  <c r="AK78" i="46"/>
  <c r="AK88" i="46"/>
  <c r="AK118" i="46"/>
  <c r="AK131" i="46"/>
  <c r="AK146" i="46"/>
  <c r="AK166" i="46"/>
  <c r="AK177" i="46"/>
  <c r="AK191" i="46"/>
  <c r="AK206" i="46"/>
  <c r="AK216" i="46"/>
  <c r="AM28" i="46"/>
  <c r="AK17" i="46"/>
  <c r="AK9" i="46"/>
  <c r="AW27" i="46"/>
  <c r="AW56" i="46"/>
  <c r="AW47" i="46"/>
  <c r="AW84" i="46"/>
  <c r="AW95" i="46"/>
  <c r="AW109" i="46"/>
  <c r="AW125" i="46"/>
  <c r="AW142" i="46"/>
  <c r="AW154" i="46"/>
  <c r="AW175" i="46"/>
  <c r="AW200" i="46"/>
  <c r="AW208" i="46"/>
  <c r="AW227" i="46"/>
  <c r="AO33" i="46"/>
  <c r="AO52" i="46"/>
  <c r="AO71" i="46"/>
  <c r="AO83" i="46"/>
  <c r="AO110" i="46"/>
  <c r="AO126" i="46"/>
  <c r="AO141" i="46"/>
  <c r="AO159" i="46"/>
  <c r="AO172" i="46"/>
  <c r="AO187" i="46"/>
  <c r="AO201" i="46"/>
  <c r="AO216" i="46"/>
  <c r="AJ10" i="46"/>
  <c r="AJ15" i="46"/>
  <c r="AJ7" i="46"/>
  <c r="AV33" i="46"/>
  <c r="AV45" i="46"/>
  <c r="AV77" i="46"/>
  <c r="AV91" i="46"/>
  <c r="AV104" i="46"/>
  <c r="AV120" i="46"/>
  <c r="AV154" i="46"/>
  <c r="AV138" i="46"/>
  <c r="AV162" i="46"/>
  <c r="AV174" i="46"/>
  <c r="AV199" i="46"/>
  <c r="AV213" i="46"/>
  <c r="AN28" i="46"/>
  <c r="AN42" i="46"/>
  <c r="AN57" i="46"/>
  <c r="AN66" i="46"/>
  <c r="AN80" i="46"/>
  <c r="AN112" i="46"/>
  <c r="AN126" i="46"/>
  <c r="AN137" i="46"/>
  <c r="AN146" i="46"/>
  <c r="AN120" i="46"/>
  <c r="AN131" i="46"/>
  <c r="AN140" i="46"/>
  <c r="AN164" i="46"/>
  <c r="AN176" i="46"/>
  <c r="AN199" i="46"/>
  <c r="AN208" i="46"/>
  <c r="AR6" i="46"/>
  <c r="AT24" i="46"/>
  <c r="AI17" i="46"/>
  <c r="AU10" i="46"/>
  <c r="AU31" i="46"/>
  <c r="AU47" i="46"/>
  <c r="AU58" i="46"/>
  <c r="AU89" i="46"/>
  <c r="AU105" i="46"/>
  <c r="AU117" i="46"/>
  <c r="AU130" i="46"/>
  <c r="AU139" i="46"/>
  <c r="AU162" i="46"/>
  <c r="AU183" i="46"/>
  <c r="AU194" i="46"/>
  <c r="AU208" i="46"/>
  <c r="AM23" i="46"/>
  <c r="AM56" i="46"/>
  <c r="AM71" i="46"/>
  <c r="AM81" i="46"/>
  <c r="AM97" i="46"/>
  <c r="AM110" i="46"/>
  <c r="AM124" i="46"/>
  <c r="AM155" i="46"/>
  <c r="AM156" i="46"/>
  <c r="AM174" i="46"/>
  <c r="AM197" i="46"/>
  <c r="AM207" i="46"/>
  <c r="AM220" i="46"/>
  <c r="AS28" i="46"/>
  <c r="AS67" i="46"/>
  <c r="AS46" i="46"/>
  <c r="AS83" i="46"/>
  <c r="AS97" i="46"/>
  <c r="AS110" i="46"/>
  <c r="AS124" i="46"/>
  <c r="AS141" i="46"/>
  <c r="AS155" i="46"/>
  <c r="AS179" i="46"/>
  <c r="AS201" i="46"/>
  <c r="AS213" i="46"/>
  <c r="AS227" i="46"/>
  <c r="AJ30" i="46"/>
  <c r="AJ44" i="46"/>
  <c r="AJ78" i="46"/>
  <c r="AJ90" i="46"/>
  <c r="AJ101" i="46"/>
  <c r="AJ117" i="46"/>
  <c r="AJ132" i="46"/>
  <c r="AJ133" i="46"/>
  <c r="AJ161" i="46"/>
  <c r="AJ173" i="46"/>
  <c r="AJ198" i="46"/>
  <c r="AJ205" i="46"/>
  <c r="AT54" i="46"/>
  <c r="AP21" i="46"/>
  <c r="AP13" i="46"/>
  <c r="AT42" i="46"/>
  <c r="AT49" i="46"/>
  <c r="AT60" i="46"/>
  <c r="AT89" i="46"/>
  <c r="AT94" i="46"/>
  <c r="AT102" i="46"/>
  <c r="AT116" i="46"/>
  <c r="AT150" i="46"/>
  <c r="AY16" i="46"/>
  <c r="AY137" i="46"/>
  <c r="AQ76" i="46"/>
  <c r="AQ198" i="46"/>
  <c r="AI156" i="46"/>
  <c r="AP18" i="46"/>
  <c r="AM7" i="46"/>
  <c r="AY148" i="46"/>
  <c r="AQ81" i="46"/>
  <c r="AQ214" i="46"/>
  <c r="AI149" i="46"/>
  <c r="AM24" i="46"/>
  <c r="AY44" i="46"/>
  <c r="AY116" i="46"/>
  <c r="AY180" i="46"/>
  <c r="AQ53" i="46"/>
  <c r="AQ105" i="46"/>
  <c r="AQ171" i="46"/>
  <c r="AI45" i="46"/>
  <c r="AI99" i="46"/>
  <c r="AI164" i="46"/>
  <c r="AU30" i="46"/>
  <c r="AX60" i="46"/>
  <c r="AX124" i="46"/>
  <c r="AX188" i="46"/>
  <c r="AP62" i="46"/>
  <c r="AX70" i="46"/>
  <c r="AX183" i="46"/>
  <c r="AP109" i="46"/>
  <c r="AK36" i="46"/>
  <c r="AK171" i="46"/>
  <c r="AW50" i="46"/>
  <c r="AW186" i="46"/>
  <c r="AO101" i="46"/>
  <c r="AV18" i="46"/>
  <c r="AV130" i="46"/>
  <c r="AN43" i="46"/>
  <c r="AY91" i="46"/>
  <c r="AQ49" i="46"/>
  <c r="AQ183" i="46"/>
  <c r="AI135" i="46"/>
  <c r="AT7" i="46"/>
  <c r="AX95" i="46"/>
  <c r="AX160" i="46"/>
  <c r="AP46" i="46"/>
  <c r="AP95" i="46"/>
  <c r="AP164" i="46"/>
  <c r="AS8" i="46"/>
  <c r="AK95" i="46"/>
  <c r="AK154" i="46"/>
  <c r="AK217" i="46"/>
  <c r="AW34" i="46"/>
  <c r="AW83" i="46"/>
  <c r="AW163" i="46"/>
  <c r="AW221" i="46"/>
  <c r="AO88" i="46"/>
  <c r="AO148" i="46"/>
  <c r="AO210" i="46"/>
  <c r="AV40" i="46"/>
  <c r="AV94" i="46"/>
  <c r="AV150" i="46"/>
  <c r="AV225" i="46"/>
  <c r="AN87" i="46"/>
  <c r="AN134" i="46"/>
  <c r="AN220" i="46"/>
  <c r="AY11" i="46"/>
  <c r="AU83" i="46"/>
  <c r="AU133" i="46"/>
  <c r="AU211" i="46"/>
  <c r="AX132" i="46"/>
  <c r="AP82" i="46"/>
  <c r="AP203" i="46"/>
  <c r="AK125" i="46"/>
  <c r="AW16" i="46"/>
  <c r="AW127" i="46"/>
  <c r="AO46" i="46"/>
  <c r="AO180" i="46"/>
  <c r="AV63" i="46"/>
  <c r="AV195" i="46"/>
  <c r="AN82" i="46"/>
  <c r="AY49" i="46"/>
  <c r="AY149" i="46"/>
  <c r="AQ73" i="46"/>
  <c r="AQ187" i="46"/>
  <c r="AI111" i="46"/>
  <c r="AI223" i="46"/>
  <c r="AY12" i="46"/>
  <c r="AY75" i="46"/>
  <c r="AY154" i="46"/>
  <c r="AY201" i="46"/>
  <c r="AQ67" i="46"/>
  <c r="AQ141" i="46"/>
  <c r="AQ195" i="46"/>
  <c r="AI59" i="46"/>
  <c r="AI152" i="46"/>
  <c r="AI202" i="46"/>
  <c r="AL13" i="46"/>
  <c r="AX92" i="46"/>
  <c r="AX151" i="46"/>
  <c r="AX208" i="46"/>
  <c r="AP94" i="46"/>
  <c r="AP153" i="46"/>
  <c r="AP208" i="46"/>
  <c r="AK68" i="46"/>
  <c r="AK150" i="46"/>
  <c r="AK200" i="46"/>
  <c r="AS11" i="46"/>
  <c r="AW71" i="46"/>
  <c r="AW147" i="46"/>
  <c r="AW209" i="46"/>
  <c r="AO53" i="46"/>
  <c r="AO134" i="46"/>
  <c r="AO193" i="46"/>
  <c r="AR9" i="46"/>
  <c r="AV81" i="46"/>
  <c r="AV155" i="46"/>
  <c r="AV212" i="46"/>
  <c r="AN77" i="46"/>
  <c r="AN127" i="46"/>
  <c r="AN203" i="46"/>
  <c r="AY17" i="46"/>
  <c r="AU75" i="46"/>
  <c r="AU126" i="46"/>
  <c r="AU190" i="46"/>
  <c r="AM67" i="46"/>
  <c r="AM120" i="46"/>
  <c r="AM184" i="46"/>
  <c r="AS64" i="46"/>
  <c r="AS106" i="46"/>
  <c r="AS176" i="46"/>
  <c r="AJ26" i="46"/>
  <c r="AJ97" i="46"/>
  <c r="AP175" i="46"/>
  <c r="AK63" i="46"/>
  <c r="AK96" i="46"/>
  <c r="AK157" i="46"/>
  <c r="AK227" i="46"/>
  <c r="AW35" i="46"/>
  <c r="AW104" i="46"/>
  <c r="AW162" i="46"/>
  <c r="AO32" i="46"/>
  <c r="AO91" i="46"/>
  <c r="AO167" i="46"/>
  <c r="AO222" i="46"/>
  <c r="AV42" i="46"/>
  <c r="AV112" i="46"/>
  <c r="AV178" i="46"/>
  <c r="AN36" i="46"/>
  <c r="AN88" i="46"/>
  <c r="AN163" i="46"/>
  <c r="AN184" i="46"/>
  <c r="AY37" i="46"/>
  <c r="AU39" i="46"/>
  <c r="AU113" i="46"/>
  <c r="AU159" i="46"/>
  <c r="AM31" i="46"/>
  <c r="AM105" i="46"/>
  <c r="AM164" i="46"/>
  <c r="AK14" i="46"/>
  <c r="AS91" i="46"/>
  <c r="AS150" i="46"/>
  <c r="AS211" i="46"/>
  <c r="AJ63" i="46"/>
  <c r="AJ138" i="46"/>
  <c r="AJ195" i="46"/>
  <c r="AP11" i="46"/>
  <c r="AT109" i="46"/>
  <c r="AT158" i="46"/>
  <c r="AT184" i="46"/>
  <c r="AT213" i="46"/>
  <c r="AL59" i="46"/>
  <c r="AL111" i="46"/>
  <c r="AL117" i="46"/>
  <c r="AL158" i="46"/>
  <c r="AN182" i="46"/>
  <c r="AN185" i="46"/>
  <c r="AN198" i="46"/>
  <c r="AN218" i="46"/>
  <c r="AJ41" i="46"/>
  <c r="AM22" i="46"/>
  <c r="AY15" i="46"/>
  <c r="AQ9" i="46"/>
  <c r="AU37" i="46"/>
  <c r="AU53" i="46"/>
  <c r="AU64" i="46"/>
  <c r="AU95" i="46"/>
  <c r="AU111" i="46"/>
  <c r="AU123" i="46"/>
  <c r="AU132" i="46"/>
  <c r="AU145" i="46"/>
  <c r="AU157" i="46"/>
  <c r="AU193" i="46"/>
  <c r="AM42" i="46"/>
  <c r="AM57" i="46"/>
  <c r="AM68" i="46"/>
  <c r="AM82" i="46"/>
  <c r="AM96" i="46"/>
  <c r="AM127" i="46"/>
  <c r="AM140" i="46"/>
  <c r="AJ113" i="46"/>
  <c r="AJ129" i="46"/>
  <c r="AJ142" i="46"/>
  <c r="AJ145" i="46"/>
  <c r="AJ178" i="46"/>
  <c r="AJ184" i="46"/>
  <c r="AJ199" i="46"/>
  <c r="AJ216" i="46"/>
  <c r="AP33" i="46"/>
  <c r="AL18" i="46"/>
  <c r="AL10" i="46"/>
  <c r="AT29" i="46"/>
  <c r="AT61" i="46"/>
  <c r="AT72" i="46"/>
  <c r="AT138" i="46"/>
  <c r="AT105" i="46"/>
  <c r="AT114" i="46"/>
  <c r="AT128" i="46"/>
  <c r="AT162" i="46"/>
  <c r="AM150" i="46"/>
  <c r="AM168" i="46"/>
  <c r="AM182" i="46"/>
  <c r="AM202" i="46"/>
  <c r="AM225" i="46"/>
  <c r="AS73" i="46"/>
  <c r="AS63" i="46"/>
  <c r="AS80" i="46"/>
  <c r="AS76" i="46"/>
  <c r="AS92" i="46"/>
  <c r="AS104" i="46"/>
  <c r="AS133" i="46"/>
  <c r="AS170" i="46"/>
  <c r="AS166" i="46"/>
  <c r="AS174" i="46"/>
  <c r="AS191" i="46"/>
  <c r="AS210" i="46"/>
  <c r="AS216" i="46"/>
  <c r="AJ24" i="46"/>
  <c r="AJ57" i="46"/>
  <c r="AJ72" i="46"/>
  <c r="AJ84" i="46"/>
  <c r="AJ95" i="46"/>
  <c r="AJ112" i="46"/>
  <c r="AJ126" i="46"/>
  <c r="AJ151" i="46"/>
  <c r="AJ153" i="46"/>
  <c r="AJ179" i="46"/>
  <c r="AJ189" i="46"/>
  <c r="AJ212" i="46"/>
  <c r="AJ223" i="46"/>
  <c r="AT22" i="46"/>
  <c r="AT14" i="46"/>
  <c r="AT6" i="46"/>
  <c r="AT44" i="46"/>
  <c r="AT75" i="46"/>
  <c r="AT83" i="46"/>
  <c r="AT88" i="46"/>
  <c r="AT96" i="46"/>
  <c r="AT144" i="46"/>
  <c r="AT143" i="46"/>
  <c r="AT155" i="46"/>
  <c r="AT179" i="46"/>
  <c r="AT192" i="46"/>
  <c r="AT203" i="46"/>
  <c r="AT226" i="46"/>
  <c r="AL56" i="46"/>
  <c r="AL77" i="46"/>
  <c r="AL83" i="46"/>
  <c r="AL88" i="46"/>
  <c r="AL102" i="46"/>
  <c r="AL116" i="46"/>
  <c r="AL143" i="46"/>
  <c r="AL157" i="46"/>
  <c r="AL181" i="46"/>
  <c r="AL195" i="46"/>
  <c r="AL212" i="46"/>
  <c r="AL227" i="46"/>
  <c r="AR24" i="46"/>
  <c r="AR53" i="46"/>
  <c r="AR70" i="46"/>
  <c r="AR96" i="46"/>
  <c r="AR93" i="46"/>
  <c r="AR110" i="46"/>
  <c r="AR122" i="46"/>
  <c r="AR154" i="46"/>
  <c r="AR166" i="46"/>
  <c r="AR176" i="46"/>
  <c r="AR189" i="46"/>
  <c r="AR213" i="46"/>
  <c r="AR221" i="46"/>
  <c r="AT172" i="46"/>
  <c r="AT186" i="46"/>
  <c r="AT210" i="46"/>
  <c r="AT220" i="46"/>
  <c r="AL39" i="46"/>
  <c r="AU204" i="46"/>
  <c r="AU213" i="46"/>
  <c r="AM37" i="46"/>
  <c r="AM53" i="46"/>
  <c r="AM64" i="46"/>
  <c r="AM95" i="46"/>
  <c r="AM111" i="46"/>
  <c r="AM123" i="46"/>
  <c r="AM136" i="46"/>
  <c r="AM145" i="46"/>
  <c r="AM157" i="46"/>
  <c r="AM185" i="46"/>
  <c r="AM199" i="46"/>
  <c r="AM216" i="46"/>
  <c r="AS29" i="46"/>
  <c r="AS41" i="46"/>
  <c r="AS53" i="46"/>
  <c r="AS82" i="46"/>
  <c r="AS96" i="46"/>
  <c r="AS109" i="46"/>
  <c r="AS121" i="46"/>
  <c r="AS140" i="46"/>
  <c r="AS154" i="46"/>
  <c r="AS169" i="46"/>
  <c r="AS184" i="46"/>
  <c r="AS202" i="46"/>
  <c r="AS217" i="46"/>
  <c r="AJ29" i="46"/>
  <c r="AJ45" i="46"/>
  <c r="AJ60" i="46"/>
  <c r="AJ69" i="46"/>
  <c r="AJ83" i="46"/>
  <c r="AJ100" i="46"/>
  <c r="AJ131" i="46"/>
  <c r="AJ144" i="46"/>
  <c r="AJ147" i="46"/>
  <c r="AJ185" i="46"/>
  <c r="AJ188" i="46"/>
  <c r="AJ201" i="46"/>
  <c r="AJ218" i="46"/>
  <c r="AL32" i="46"/>
  <c r="AX17" i="46"/>
  <c r="AX9" i="46"/>
  <c r="AT31" i="46"/>
  <c r="AT63" i="46"/>
  <c r="AT74" i="46"/>
  <c r="AT113" i="46"/>
  <c r="AT117" i="46"/>
  <c r="AT115" i="46"/>
  <c r="AT130" i="46"/>
  <c r="AT164" i="46"/>
  <c r="AT175" i="46"/>
  <c r="AT191" i="46"/>
  <c r="AT204" i="46"/>
  <c r="AT218" i="46"/>
  <c r="AL33" i="46"/>
  <c r="AL63" i="46"/>
  <c r="AL74" i="46"/>
  <c r="AL113" i="46"/>
  <c r="AL131" i="46"/>
  <c r="AL140" i="46"/>
  <c r="AL142" i="46"/>
  <c r="AL162" i="46"/>
  <c r="AL175" i="46"/>
  <c r="AL191" i="46"/>
  <c r="AL219" i="46"/>
  <c r="AL225" i="46"/>
  <c r="AR27" i="46"/>
  <c r="AR41" i="46"/>
  <c r="AR54" i="46"/>
  <c r="AR67" i="46"/>
  <c r="AR79" i="46"/>
  <c r="AR111" i="46"/>
  <c r="AR127" i="46"/>
  <c r="AR138" i="46"/>
  <c r="AR147" i="46"/>
  <c r="AR179" i="46"/>
  <c r="AR184" i="46"/>
  <c r="AR199" i="46"/>
  <c r="AR214" i="46"/>
  <c r="AY35" i="46"/>
  <c r="AI25" i="46"/>
  <c r="AL49" i="46"/>
  <c r="AL60" i="46"/>
  <c r="AL87" i="46"/>
  <c r="AL92" i="46"/>
  <c r="AL106" i="46"/>
  <c r="AL120" i="46"/>
  <c r="AL147" i="46"/>
  <c r="AL161" i="46"/>
  <c r="AL185" i="46"/>
  <c r="AL199" i="46"/>
  <c r="AL205" i="46"/>
  <c r="AS20" i="46"/>
  <c r="AR28" i="46"/>
  <c r="AR57" i="46"/>
  <c r="AR74" i="46"/>
  <c r="AR82" i="46"/>
  <c r="AR97" i="46"/>
  <c r="AR114" i="46"/>
  <c r="AR126" i="46"/>
  <c r="AR133" i="46"/>
  <c r="AR185" i="46"/>
  <c r="AR169" i="46"/>
  <c r="AR193" i="46"/>
  <c r="AR203" i="46"/>
  <c r="AR225" i="46"/>
  <c r="AL178" i="46"/>
  <c r="AL201" i="46"/>
  <c r="AL207" i="46"/>
  <c r="AS12" i="46"/>
  <c r="AR30" i="46"/>
  <c r="AR42" i="46"/>
  <c r="AR76" i="46"/>
  <c r="AR84" i="46"/>
  <c r="AR99" i="46"/>
  <c r="AR115" i="46"/>
  <c r="AR128" i="46"/>
  <c r="AR135" i="46"/>
  <c r="AR157" i="46"/>
  <c r="AR171" i="46"/>
  <c r="AR196" i="46"/>
  <c r="AR205" i="46"/>
  <c r="AR227" i="46"/>
  <c r="AO59" i="46"/>
  <c r="AQ37" i="46"/>
  <c r="AV7" i="46"/>
  <c r="AM26" i="46"/>
  <c r="AO9" i="46"/>
  <c r="AL42" i="46"/>
  <c r="AL54" i="46"/>
  <c r="AU40" i="46"/>
  <c r="AI39" i="46"/>
  <c r="AP53" i="46"/>
  <c r="AV13" i="46"/>
  <c r="AQ27" i="46"/>
  <c r="AW21" i="46"/>
  <c r="AX41" i="46"/>
  <c r="AS27" i="5"/>
  <c r="AX9" i="5"/>
  <c r="AT45" i="5"/>
  <c r="AT75" i="5"/>
  <c r="AT111" i="5"/>
  <c r="AT143" i="5"/>
  <c r="AT176" i="5"/>
  <c r="AL35" i="5"/>
  <c r="AL85" i="5"/>
  <c r="AL119" i="5"/>
  <c r="AL149" i="5"/>
  <c r="AL179" i="5"/>
  <c r="AM42" i="5"/>
  <c r="AM78" i="5"/>
  <c r="AM112" i="5"/>
  <c r="AM143" i="5"/>
  <c r="AM170" i="5"/>
  <c r="AS22" i="5"/>
  <c r="AS39" i="5"/>
  <c r="AS71" i="5"/>
  <c r="AS119" i="5"/>
  <c r="AS112" i="5"/>
  <c r="AS161" i="5"/>
  <c r="AS195" i="5"/>
  <c r="AK71" i="5"/>
  <c r="AK101" i="5"/>
  <c r="AK112" i="5"/>
  <c r="AK163" i="5"/>
  <c r="AK195" i="5"/>
  <c r="AN13" i="5"/>
  <c r="AR52" i="5"/>
  <c r="AR103" i="5"/>
  <c r="AR110" i="5"/>
  <c r="AR143" i="5"/>
  <c r="AR190" i="5"/>
  <c r="AJ44" i="5"/>
  <c r="AJ88" i="5"/>
  <c r="AJ108" i="5"/>
  <c r="AJ139" i="5"/>
  <c r="AJ177" i="5"/>
  <c r="AV35" i="5"/>
  <c r="AU15" i="5"/>
  <c r="AY30" i="5"/>
  <c r="AY81" i="5"/>
  <c r="AY106" i="5"/>
  <c r="AY140" i="5"/>
  <c r="AY174" i="5"/>
  <c r="AQ35" i="5"/>
  <c r="AQ46" i="5"/>
  <c r="AQ100" i="5"/>
  <c r="AQ136" i="5"/>
  <c r="AQ172" i="5"/>
  <c r="AI31" i="5"/>
  <c r="AI81" i="5"/>
  <c r="AI94" i="5"/>
  <c r="AI142" i="5"/>
  <c r="AI174" i="5"/>
  <c r="AU67" i="5"/>
  <c r="AU61" i="5"/>
  <c r="AU111" i="5"/>
  <c r="AU121" i="5"/>
  <c r="AU157" i="5"/>
  <c r="AT15" i="5"/>
  <c r="AX43" i="5"/>
  <c r="AX75" i="5"/>
  <c r="AX97" i="5"/>
  <c r="AX135" i="5"/>
  <c r="AX172" i="5"/>
  <c r="AP35" i="5"/>
  <c r="AP69" i="5"/>
  <c r="AP96" i="5"/>
  <c r="AP132" i="5"/>
  <c r="AP163" i="5"/>
  <c r="AP193" i="5"/>
  <c r="AN61" i="5"/>
  <c r="AN86" i="5"/>
  <c r="AN123" i="5"/>
  <c r="AN153" i="5"/>
  <c r="AN189" i="5"/>
  <c r="AO20" i="5"/>
  <c r="AW6" i="5"/>
  <c r="AW93" i="5"/>
  <c r="AW103" i="5"/>
  <c r="AW113" i="5"/>
  <c r="AW162" i="5"/>
  <c r="AW194" i="5"/>
  <c r="AO58" i="5"/>
  <c r="AO126" i="5"/>
  <c r="AO115" i="5"/>
  <c r="AO158" i="5"/>
  <c r="AO194" i="5"/>
  <c r="AV48" i="5"/>
  <c r="AV74" i="5"/>
  <c r="AV115" i="5"/>
  <c r="AV146" i="5"/>
  <c r="AV182" i="5"/>
  <c r="AK26" i="5"/>
  <c r="AP9" i="5"/>
  <c r="AT47" i="5"/>
  <c r="AT77" i="5"/>
  <c r="AT113" i="5"/>
  <c r="AT145" i="5"/>
  <c r="AT180" i="5"/>
  <c r="AL37" i="5"/>
  <c r="AL72" i="5"/>
  <c r="AL92" i="5"/>
  <c r="AL132" i="5"/>
  <c r="AL166" i="5"/>
  <c r="AN18" i="5"/>
  <c r="AM59" i="5"/>
  <c r="AM77" i="5"/>
  <c r="AM128" i="5"/>
  <c r="AM149" i="5"/>
  <c r="AM181" i="5"/>
  <c r="AK18" i="5"/>
  <c r="AS37" i="5"/>
  <c r="AS76" i="5"/>
  <c r="AS124" i="5"/>
  <c r="AS153" i="5"/>
  <c r="AS170" i="5"/>
  <c r="AK35" i="5"/>
  <c r="AK74" i="5"/>
  <c r="AK102" i="5"/>
  <c r="AK138" i="5"/>
  <c r="AK181" i="5"/>
  <c r="AO33" i="5"/>
  <c r="AJ8" i="5"/>
  <c r="AR62" i="5"/>
  <c r="AR87" i="5"/>
  <c r="AR128" i="5"/>
  <c r="AR157" i="5"/>
  <c r="AR180" i="5"/>
  <c r="AJ62" i="5"/>
  <c r="AJ87" i="5"/>
  <c r="AJ126" i="5"/>
  <c r="AJ155" i="5"/>
  <c r="AY40" i="46"/>
  <c r="AY178" i="46"/>
  <c r="AQ132" i="46"/>
  <c r="AQ221" i="46"/>
  <c r="AI142" i="46"/>
  <c r="AP8" i="46"/>
  <c r="AY62" i="46"/>
  <c r="AY183" i="46"/>
  <c r="AQ115" i="46"/>
  <c r="AI54" i="46"/>
  <c r="AI180" i="46"/>
  <c r="AM17" i="46"/>
  <c r="AY76" i="46"/>
  <c r="AY131" i="46"/>
  <c r="AY187" i="46"/>
  <c r="AQ66" i="46"/>
  <c r="AQ121" i="46"/>
  <c r="AQ206" i="46"/>
  <c r="AI60" i="46"/>
  <c r="AI132" i="46"/>
  <c r="AI196" i="46"/>
  <c r="AX18" i="46"/>
  <c r="AX71" i="46"/>
  <c r="AX131" i="46"/>
  <c r="AX201" i="46"/>
  <c r="AP73" i="46"/>
  <c r="AX85" i="46"/>
  <c r="AX204" i="46"/>
  <c r="AP149" i="46"/>
  <c r="AK72" i="46"/>
  <c r="AK203" i="46"/>
  <c r="AW86" i="46"/>
  <c r="AW210" i="46"/>
  <c r="AO143" i="46"/>
  <c r="AV30" i="46"/>
  <c r="AV163" i="46"/>
  <c r="AY22" i="46"/>
  <c r="AY156" i="46"/>
  <c r="AQ82" i="46"/>
  <c r="AQ223" i="46"/>
  <c r="AI178" i="46"/>
  <c r="AX45" i="46"/>
  <c r="AX103" i="46"/>
  <c r="AX177" i="46"/>
  <c r="AP50" i="46"/>
  <c r="AP103" i="46"/>
  <c r="AP179" i="46"/>
  <c r="AK30" i="46"/>
  <c r="AK103" i="46"/>
  <c r="AK178" i="46"/>
  <c r="AT56" i="46"/>
  <c r="AW44" i="46"/>
  <c r="AW116" i="46"/>
  <c r="AW174" i="46"/>
  <c r="AO66" i="46"/>
  <c r="AO119" i="46"/>
  <c r="AO160" i="46"/>
  <c r="AS18" i="46"/>
  <c r="AV54" i="46"/>
  <c r="AV107" i="46"/>
  <c r="AV173" i="46"/>
  <c r="AN29" i="46"/>
  <c r="AN100" i="46"/>
  <c r="AN158" i="46"/>
  <c r="AN226" i="46"/>
  <c r="AU25" i="46"/>
  <c r="AU99" i="46"/>
  <c r="AU156" i="46"/>
  <c r="AU222" i="46"/>
  <c r="AX174" i="46"/>
  <c r="AP147" i="46"/>
  <c r="AK35" i="46"/>
  <c r="AK169" i="46"/>
  <c r="AW29" i="46"/>
  <c r="AW156" i="46"/>
  <c r="AO94" i="46"/>
  <c r="AO208" i="46"/>
  <c r="AV84" i="46"/>
  <c r="AV223" i="46"/>
  <c r="AN114" i="46"/>
  <c r="AY65" i="46"/>
  <c r="AY177" i="46"/>
  <c r="AQ112" i="46"/>
  <c r="AQ216" i="46"/>
  <c r="AI143" i="46"/>
  <c r="AT15" i="46"/>
  <c r="AQ6" i="46"/>
  <c r="AY93" i="46"/>
  <c r="AY151" i="46"/>
  <c r="AY224" i="46"/>
  <c r="AQ85" i="46"/>
  <c r="AQ174" i="46"/>
  <c r="AQ220" i="46"/>
  <c r="AI92" i="46"/>
  <c r="AI138" i="46"/>
  <c r="AI217" i="46"/>
  <c r="AX49" i="46"/>
  <c r="AX98" i="46"/>
  <c r="AX162" i="46"/>
  <c r="AP45" i="46"/>
  <c r="AP102" i="46"/>
  <c r="AP166" i="46"/>
  <c r="AS6" i="46"/>
  <c r="AK97" i="46"/>
  <c r="AK156" i="46"/>
  <c r="AK222" i="46"/>
  <c r="AW36" i="46"/>
  <c r="AW85" i="46"/>
  <c r="AW165" i="46"/>
  <c r="AW220" i="46"/>
  <c r="AO90" i="46"/>
  <c r="AO149" i="46"/>
  <c r="AO212" i="46"/>
  <c r="AV23" i="46"/>
  <c r="AV97" i="46"/>
  <c r="AV165" i="46"/>
  <c r="AV227" i="46"/>
  <c r="AN89" i="46"/>
  <c r="AN136" i="46"/>
  <c r="AN204" i="46"/>
  <c r="AQ11" i="46"/>
  <c r="AU85" i="46"/>
  <c r="AU135" i="46"/>
  <c r="AU219" i="46"/>
  <c r="AM78" i="46"/>
  <c r="AM149" i="46"/>
  <c r="AM209" i="46"/>
  <c r="AS42" i="46"/>
  <c r="AS132" i="46"/>
  <c r="AS193" i="46"/>
  <c r="AJ58" i="46"/>
  <c r="AP143" i="46"/>
  <c r="AP189" i="46"/>
  <c r="AK45" i="46"/>
  <c r="AK108" i="46"/>
  <c r="AK179" i="46"/>
  <c r="AY23" i="46"/>
  <c r="AW62" i="46"/>
  <c r="AW115" i="46"/>
  <c r="AW184" i="46"/>
  <c r="AO60" i="46"/>
  <c r="AO118" i="46"/>
  <c r="AO173" i="46"/>
  <c r="AJ21" i="46"/>
  <c r="AV53" i="46"/>
  <c r="AV128" i="46"/>
  <c r="AV185" i="46"/>
  <c r="AN50" i="46"/>
  <c r="AN103" i="46"/>
  <c r="AN128" i="46"/>
  <c r="AN195" i="46"/>
  <c r="AY21" i="46"/>
  <c r="AU55" i="46"/>
  <c r="AU125" i="46"/>
  <c r="AU187" i="46"/>
  <c r="AM47" i="46"/>
  <c r="AM117" i="46"/>
  <c r="AM179" i="46"/>
  <c r="AS36" i="46"/>
  <c r="AS103" i="46"/>
  <c r="AS163" i="46"/>
  <c r="AJ12" i="46"/>
  <c r="AJ98" i="46"/>
  <c r="AJ141" i="46"/>
  <c r="AJ213" i="46"/>
  <c r="AT25" i="46"/>
  <c r="AT103" i="46"/>
  <c r="AT161" i="46"/>
  <c r="AT199" i="46"/>
  <c r="AL48" i="46"/>
  <c r="AL62" i="46"/>
  <c r="AL94" i="46"/>
  <c r="AL122" i="46"/>
  <c r="AL163" i="46"/>
  <c r="AN173" i="46"/>
  <c r="AN191" i="46"/>
  <c r="AN207" i="46"/>
  <c r="AN221" i="46"/>
  <c r="AT34" i="46"/>
  <c r="AU20" i="46"/>
  <c r="AM14" i="46"/>
  <c r="AY7" i="46"/>
  <c r="AU46" i="46"/>
  <c r="AU61" i="46"/>
  <c r="AU72" i="46"/>
  <c r="AU86" i="46"/>
  <c r="AU100" i="46"/>
  <c r="AU131" i="46"/>
  <c r="AU140" i="46"/>
  <c r="AU171" i="46"/>
  <c r="AU165" i="46"/>
  <c r="AU178" i="46"/>
  <c r="AM50" i="46"/>
  <c r="AM65" i="46"/>
  <c r="AM76" i="46"/>
  <c r="AM90" i="46"/>
  <c r="AM104" i="46"/>
  <c r="AM118" i="46"/>
  <c r="AM148" i="46"/>
  <c r="AJ106" i="46"/>
  <c r="AJ120" i="46"/>
  <c r="AJ149" i="46"/>
  <c r="AJ166" i="46"/>
  <c r="AJ172" i="46"/>
  <c r="AJ194" i="46"/>
  <c r="AJ208" i="46"/>
  <c r="AJ224" i="46"/>
  <c r="AK25" i="46"/>
  <c r="AL16" i="46"/>
  <c r="AL8" i="46"/>
  <c r="AT37" i="46"/>
  <c r="AT69" i="46"/>
  <c r="AT107" i="46"/>
  <c r="AT82" i="46"/>
  <c r="AT127" i="46"/>
  <c r="AT134" i="46"/>
  <c r="AT137" i="46"/>
  <c r="AT149" i="46"/>
  <c r="AM158" i="46"/>
  <c r="AM176" i="46"/>
  <c r="AM186" i="46"/>
  <c r="AM206" i="46"/>
  <c r="AM222" i="46"/>
  <c r="AS30" i="46"/>
  <c r="AS75" i="46"/>
  <c r="AS48" i="46"/>
  <c r="AS85" i="46"/>
  <c r="AS99" i="46"/>
  <c r="AS112" i="46"/>
  <c r="AS126" i="46"/>
  <c r="AS143" i="46"/>
  <c r="AS157" i="46"/>
  <c r="AS181" i="46"/>
  <c r="AS192" i="46"/>
  <c r="AS205" i="46"/>
  <c r="AR23" i="46"/>
  <c r="AJ32" i="46"/>
  <c r="AJ46" i="46"/>
  <c r="AJ80" i="46"/>
  <c r="AJ92" i="46"/>
  <c r="AJ103" i="46"/>
  <c r="AJ119" i="46"/>
  <c r="AJ160" i="46"/>
  <c r="AJ135" i="46"/>
  <c r="AJ163" i="46"/>
  <c r="AJ175" i="46"/>
  <c r="AJ200" i="46"/>
  <c r="AJ207" i="46"/>
  <c r="AX43" i="46"/>
  <c r="AT20" i="46"/>
  <c r="AT12" i="46"/>
  <c r="AT46" i="46"/>
  <c r="AT51" i="46"/>
  <c r="AT62" i="46"/>
  <c r="AT91" i="46"/>
  <c r="AT101" i="46"/>
  <c r="AT104" i="46"/>
  <c r="AT118" i="46"/>
  <c r="AT152" i="46"/>
  <c r="AT163" i="46"/>
  <c r="AT178" i="46"/>
  <c r="AT201" i="46"/>
  <c r="AT211" i="46"/>
  <c r="AL50" i="46"/>
  <c r="AL53" i="46"/>
  <c r="AL64" i="46"/>
  <c r="AL91" i="46"/>
  <c r="AL103" i="46"/>
  <c r="AL110" i="46"/>
  <c r="AL124" i="46"/>
  <c r="AL152" i="46"/>
  <c r="AL165" i="46"/>
  <c r="AL180" i="46"/>
  <c r="AL196" i="46"/>
  <c r="AL209" i="46"/>
  <c r="AK10" i="46"/>
  <c r="AR32" i="46"/>
  <c r="AR44" i="46"/>
  <c r="AR78" i="46"/>
  <c r="AR86" i="46"/>
  <c r="AR101" i="46"/>
  <c r="AR117" i="46"/>
  <c r="AR130" i="46"/>
  <c r="AR137" i="46"/>
  <c r="AR159" i="46"/>
  <c r="AR173" i="46"/>
  <c r="AR198" i="46"/>
  <c r="AR207" i="46"/>
  <c r="AW17" i="46"/>
  <c r="AT181" i="46"/>
  <c r="AT194" i="46"/>
  <c r="AT205" i="46"/>
  <c r="AT227" i="46"/>
  <c r="AL28" i="46"/>
  <c r="AU202" i="46"/>
  <c r="AU218" i="46"/>
  <c r="AM46" i="46"/>
  <c r="AM61" i="46"/>
  <c r="AM72" i="46"/>
  <c r="AM86" i="46"/>
  <c r="AM100" i="46"/>
  <c r="AM131" i="46"/>
  <c r="AM144" i="46"/>
  <c r="AM173" i="46"/>
  <c r="AM165" i="46"/>
  <c r="AM178" i="46"/>
  <c r="AM198" i="46"/>
  <c r="AM215" i="46"/>
  <c r="AS37" i="46"/>
  <c r="AS61" i="46"/>
  <c r="AS77" i="46"/>
  <c r="AS72" i="46"/>
  <c r="AS88" i="46"/>
  <c r="AS119" i="46"/>
  <c r="AS129" i="46"/>
  <c r="AS148" i="46"/>
  <c r="AS162" i="46"/>
  <c r="AS177" i="46"/>
  <c r="AS186" i="46"/>
  <c r="AS206" i="46"/>
  <c r="AS219" i="46"/>
  <c r="AJ37" i="46"/>
  <c r="AJ53" i="46"/>
  <c r="AJ68" i="46"/>
  <c r="AJ77" i="46"/>
  <c r="AJ91" i="46"/>
  <c r="AJ108" i="46"/>
  <c r="AJ122" i="46"/>
  <c r="AJ152" i="46"/>
  <c r="AJ154" i="46"/>
  <c r="AJ174" i="46"/>
  <c r="AJ196" i="46"/>
  <c r="AJ210" i="46"/>
  <c r="AJ226" i="46"/>
  <c r="AP24" i="46"/>
  <c r="AX15" i="46"/>
  <c r="AX7" i="46"/>
  <c r="AT39" i="46"/>
  <c r="AT71" i="46"/>
  <c r="AT79" i="46"/>
  <c r="AT84" i="46"/>
  <c r="AT125" i="46"/>
  <c r="AT142" i="46"/>
  <c r="AT139" i="46"/>
  <c r="AT151" i="46"/>
  <c r="AT174" i="46"/>
  <c r="AT188" i="46"/>
  <c r="AT214" i="46"/>
  <c r="AT222" i="46"/>
  <c r="AL44" i="46"/>
  <c r="AL71" i="46"/>
  <c r="AL129" i="46"/>
  <c r="AL82" i="46"/>
  <c r="AL96" i="46"/>
  <c r="AL146" i="46"/>
  <c r="AL137" i="46"/>
  <c r="AL151" i="46"/>
  <c r="AL174" i="46"/>
  <c r="AL190" i="46"/>
  <c r="AL208" i="46"/>
  <c r="AL222" i="46"/>
  <c r="AR35" i="46"/>
  <c r="AR47" i="46"/>
  <c r="AR64" i="46"/>
  <c r="AR75" i="46"/>
  <c r="AR87" i="46"/>
  <c r="AR104" i="46"/>
  <c r="AR116" i="46"/>
  <c r="AR146" i="46"/>
  <c r="AR164" i="46"/>
  <c r="AR170" i="46"/>
  <c r="AR192" i="46"/>
  <c r="AR208" i="46"/>
  <c r="AR222" i="46"/>
  <c r="AU24" i="46"/>
  <c r="AT38" i="46"/>
  <c r="AL57" i="46"/>
  <c r="AL68" i="46"/>
  <c r="AL95" i="46"/>
  <c r="AL107" i="46"/>
  <c r="AL114" i="46"/>
  <c r="AL128" i="46"/>
  <c r="AL156" i="46"/>
  <c r="AL169" i="46"/>
  <c r="AL184" i="46"/>
  <c r="AL200" i="46"/>
  <c r="AL213" i="46"/>
  <c r="AJ14" i="46"/>
  <c r="AR36" i="46"/>
  <c r="AR48" i="46"/>
  <c r="AR61" i="46"/>
  <c r="AR90" i="46"/>
  <c r="AR105" i="46"/>
  <c r="AR121" i="46"/>
  <c r="AR153" i="46"/>
  <c r="AR141" i="46"/>
  <c r="AR163" i="46"/>
  <c r="AR177" i="46"/>
  <c r="AR202" i="46"/>
  <c r="AR211" i="46"/>
  <c r="AO19" i="46"/>
  <c r="AL187" i="46"/>
  <c r="AL202" i="46"/>
  <c r="AL215" i="46"/>
  <c r="AR12" i="46"/>
  <c r="AR38" i="46"/>
  <c r="AR50" i="46"/>
  <c r="AR63" i="46"/>
  <c r="AR92" i="46"/>
  <c r="AR107" i="46"/>
  <c r="AR123" i="46"/>
  <c r="AR134" i="46"/>
  <c r="AR143" i="46"/>
  <c r="AR165" i="46"/>
  <c r="AR180" i="46"/>
  <c r="AR195" i="46"/>
  <c r="AR212" i="46"/>
  <c r="AI35" i="46"/>
  <c r="AN15" i="46"/>
  <c r="AX23" i="46"/>
  <c r="AY31" i="46"/>
  <c r="AI33" i="46"/>
  <c r="AX39" i="46"/>
  <c r="AW19" i="46"/>
  <c r="AM30" i="46"/>
  <c r="AU38" i="46"/>
  <c r="AO15" i="46"/>
  <c r="AL23" i="46"/>
  <c r="AV9" i="46"/>
  <c r="AQ29" i="46"/>
  <c r="AV15" i="46"/>
  <c r="AP29" i="46"/>
  <c r="AX21" i="5"/>
  <c r="AT28" i="5"/>
  <c r="AT62" i="5"/>
  <c r="AT91" i="5"/>
  <c r="AT118" i="5"/>
  <c r="AT156" i="5"/>
  <c r="AT186" i="5"/>
  <c r="AL52" i="5"/>
  <c r="AL97" i="5"/>
  <c r="AL133" i="5"/>
  <c r="AL152" i="5"/>
  <c r="AL194" i="5"/>
  <c r="AM58" i="5"/>
  <c r="AM75" i="5"/>
  <c r="AM110" i="5"/>
  <c r="AM165" i="5"/>
  <c r="AM179" i="5"/>
  <c r="AS18" i="5"/>
  <c r="AS35" i="5"/>
  <c r="AS74" i="5"/>
  <c r="AS132" i="5"/>
  <c r="AS139" i="5"/>
  <c r="AS167" i="5"/>
  <c r="AK33" i="5"/>
  <c r="AK75" i="5"/>
  <c r="AK100" i="5"/>
  <c r="AK136" i="5"/>
  <c r="AK185" i="5"/>
  <c r="AR34" i="5"/>
  <c r="AR8" i="5"/>
  <c r="AR60" i="5"/>
  <c r="AR85" i="5"/>
  <c r="AR126" i="5"/>
  <c r="AR155" i="5"/>
  <c r="AR178" i="5"/>
  <c r="AJ53" i="5"/>
  <c r="AJ85" i="5"/>
  <c r="AJ124" i="5"/>
  <c r="AJ154" i="5"/>
  <c r="AJ188" i="5"/>
  <c r="AQ22" i="5"/>
  <c r="AI8" i="5"/>
  <c r="AY41" i="5"/>
  <c r="AY108" i="5"/>
  <c r="AY117" i="5"/>
  <c r="AY141" i="5"/>
  <c r="AY185" i="5"/>
  <c r="AQ36" i="5"/>
  <c r="AQ87" i="5"/>
  <c r="AQ112" i="5"/>
  <c r="AQ157" i="5"/>
  <c r="AQ170" i="5"/>
  <c r="AI28" i="5"/>
  <c r="AI108" i="5"/>
  <c r="AI110" i="5"/>
  <c r="AI144" i="5"/>
  <c r="AI171" i="5"/>
  <c r="AU29" i="5"/>
  <c r="AU66" i="5"/>
  <c r="AU105" i="5"/>
  <c r="AU137" i="5"/>
  <c r="AU174" i="5"/>
  <c r="AP10" i="5"/>
  <c r="AX46" i="5"/>
  <c r="AX74" i="5"/>
  <c r="AX112" i="5"/>
  <c r="AX142" i="5"/>
  <c r="AX173" i="5"/>
  <c r="AP36" i="5"/>
  <c r="AP68" i="5"/>
  <c r="AP93" i="5"/>
  <c r="AP127" i="5"/>
  <c r="AP161" i="5"/>
  <c r="AN69" i="5"/>
  <c r="AN87" i="5"/>
  <c r="AN114" i="5"/>
  <c r="AN150" i="5"/>
  <c r="AN157" i="5"/>
  <c r="AN192" i="5"/>
  <c r="AO16" i="5"/>
  <c r="AW38" i="5"/>
  <c r="AW70" i="5"/>
  <c r="AW138" i="5"/>
  <c r="AW137" i="5"/>
  <c r="AW179" i="5"/>
  <c r="AO36" i="5"/>
  <c r="AO73" i="5"/>
  <c r="AO133" i="5"/>
  <c r="AO139" i="5"/>
  <c r="AO170" i="5"/>
  <c r="AV12" i="5"/>
  <c r="AV61" i="5"/>
  <c r="AV98" i="5"/>
  <c r="AV133" i="5"/>
  <c r="AV162" i="5"/>
  <c r="AV189" i="5"/>
  <c r="AP21" i="5"/>
  <c r="AT30" i="5"/>
  <c r="AT64" i="5"/>
  <c r="AT93" i="5"/>
  <c r="AT127" i="5"/>
  <c r="AT160" i="5"/>
  <c r="AT188" i="5"/>
  <c r="AL54" i="5"/>
  <c r="AL71" i="5"/>
  <c r="AL105" i="5"/>
  <c r="AL148" i="5"/>
  <c r="AL174" i="5"/>
  <c r="AM32" i="5"/>
  <c r="AM47" i="5"/>
  <c r="AM126" i="5"/>
  <c r="AM119" i="5"/>
  <c r="AM152" i="5"/>
  <c r="AM187" i="5"/>
  <c r="AK14" i="5"/>
  <c r="AS43" i="5"/>
  <c r="AS77" i="5"/>
  <c r="AS117" i="5"/>
  <c r="AS151" i="5"/>
  <c r="AS184" i="5"/>
  <c r="AK49" i="5"/>
  <c r="AK77" i="5"/>
  <c r="AK117" i="5"/>
  <c r="AK153" i="5"/>
  <c r="AK183" i="5"/>
  <c r="AV17" i="5"/>
  <c r="AR42" i="5"/>
  <c r="AR90" i="5"/>
  <c r="AR113" i="5"/>
  <c r="AR125" i="5"/>
  <c r="AR160" i="5"/>
  <c r="AJ48" i="5"/>
  <c r="AJ80" i="5"/>
  <c r="AJ113" i="5"/>
  <c r="AJ121" i="5"/>
  <c r="AJ158" i="5"/>
  <c r="AY63" i="46"/>
  <c r="AY206" i="46"/>
  <c r="AQ123" i="46"/>
  <c r="AI62" i="46"/>
  <c r="AI179" i="46"/>
  <c r="AX42" i="46"/>
  <c r="AY89" i="46"/>
  <c r="AY214" i="46"/>
  <c r="AQ168" i="46"/>
  <c r="AI81" i="46"/>
  <c r="AI226" i="46"/>
  <c r="AY10" i="46"/>
  <c r="AY86" i="46"/>
  <c r="AY138" i="46"/>
  <c r="AY211" i="46"/>
  <c r="AQ77" i="46"/>
  <c r="AQ152" i="46"/>
  <c r="AQ210" i="46"/>
  <c r="AI69" i="46"/>
  <c r="AI139" i="46"/>
  <c r="AI201" i="46"/>
  <c r="AX10" i="46"/>
  <c r="AX112" i="46"/>
  <c r="AX161" i="46"/>
  <c r="AX214" i="46"/>
  <c r="AP114" i="46"/>
  <c r="AX122" i="46"/>
  <c r="AP48" i="46"/>
  <c r="AP185" i="46"/>
  <c r="AK109" i="46"/>
  <c r="AU32" i="46"/>
  <c r="AW111" i="46"/>
  <c r="AO35" i="46"/>
  <c r="AO175" i="46"/>
  <c r="AV55" i="46"/>
  <c r="AV187" i="46"/>
  <c r="AI10" i="46"/>
  <c r="AY158" i="46"/>
  <c r="AQ118" i="46"/>
  <c r="AI72" i="46"/>
  <c r="AI207" i="46"/>
  <c r="AX72" i="46"/>
  <c r="AX119" i="46"/>
  <c r="AX200" i="46"/>
  <c r="AP61" i="46"/>
  <c r="AP121" i="46"/>
  <c r="AP202" i="46"/>
  <c r="AK57" i="46"/>
  <c r="AK136" i="46"/>
  <c r="AK186" i="46"/>
  <c r="AO20" i="46"/>
  <c r="AW58" i="46"/>
  <c r="AW126" i="46"/>
  <c r="AW189" i="46"/>
  <c r="AO68" i="46"/>
  <c r="AO111" i="46"/>
  <c r="AO182" i="46"/>
  <c r="AN18" i="46"/>
  <c r="AV65" i="46"/>
  <c r="AV121" i="46"/>
  <c r="AV186" i="46"/>
  <c r="AN45" i="46"/>
  <c r="AN152" i="46"/>
  <c r="AN170" i="46"/>
  <c r="AX27" i="46"/>
  <c r="AU41" i="46"/>
  <c r="AU112" i="46"/>
  <c r="AU176" i="46"/>
  <c r="AX78" i="46"/>
  <c r="AX209" i="46"/>
  <c r="AP142" i="46"/>
  <c r="AK44" i="46"/>
  <c r="AK193" i="46"/>
  <c r="AW41" i="46"/>
  <c r="AW202" i="46"/>
  <c r="AO109" i="46"/>
  <c r="AV20" i="46"/>
  <c r="AV119" i="46"/>
  <c r="AN52" i="46"/>
  <c r="AY25" i="46"/>
  <c r="AY114" i="46"/>
  <c r="AY218" i="46"/>
  <c r="AQ139" i="46"/>
  <c r="AI48" i="46"/>
  <c r="AI160" i="46"/>
  <c r="AY29" i="46"/>
  <c r="AY51" i="46"/>
  <c r="AY105" i="46"/>
  <c r="AY169" i="46"/>
  <c r="AQ43" i="46"/>
  <c r="AQ114" i="46"/>
  <c r="AQ164" i="46"/>
  <c r="AI36" i="46"/>
  <c r="AI108" i="46"/>
  <c r="AI170" i="46"/>
  <c r="AJ22" i="46"/>
  <c r="AX50" i="46"/>
  <c r="AX105" i="46"/>
  <c r="AX179" i="46"/>
  <c r="AP52" i="46"/>
  <c r="AP105" i="46"/>
  <c r="AP181" i="46"/>
  <c r="AK32" i="46"/>
  <c r="AK105" i="46"/>
  <c r="AK170" i="46"/>
  <c r="AO42" i="46"/>
  <c r="AW46" i="46"/>
  <c r="AW133" i="46"/>
  <c r="AW176" i="46"/>
  <c r="AO41" i="46"/>
  <c r="AO100" i="46"/>
  <c r="AO162" i="46"/>
  <c r="AS16" i="46"/>
  <c r="AV56" i="46"/>
  <c r="AV109" i="46"/>
  <c r="AV175" i="46"/>
  <c r="AN31" i="46"/>
  <c r="AN102" i="46"/>
  <c r="AN160" i="46"/>
  <c r="AK18" i="46"/>
  <c r="AU27" i="46"/>
  <c r="AU101" i="46"/>
  <c r="AU158" i="46"/>
  <c r="AU224" i="46"/>
  <c r="AM92" i="46"/>
  <c r="AM152" i="46"/>
  <c r="AM227" i="46"/>
  <c r="AS78" i="46"/>
  <c r="AS137" i="46"/>
  <c r="AS221" i="46"/>
  <c r="AJ74" i="46"/>
  <c r="AP140" i="46"/>
  <c r="AP209" i="46"/>
  <c r="AK50" i="46"/>
  <c r="AK124" i="46"/>
  <c r="AK192" i="46"/>
  <c r="AK15" i="46"/>
  <c r="AW55" i="46"/>
  <c r="AW132" i="46"/>
  <c r="AW198" i="46"/>
  <c r="AO78" i="46"/>
  <c r="AO135" i="46"/>
  <c r="AO189" i="46"/>
  <c r="AJ13" i="46"/>
  <c r="AV66" i="46"/>
  <c r="AV137" i="46"/>
  <c r="AV198" i="46"/>
  <c r="AN63" i="46"/>
  <c r="AN159" i="46"/>
  <c r="AN139" i="46"/>
  <c r="AN200" i="46"/>
  <c r="AQ15" i="46"/>
  <c r="AU66" i="46"/>
  <c r="AU134" i="46"/>
  <c r="AU201" i="46"/>
  <c r="AM58" i="46"/>
  <c r="AM132" i="46"/>
  <c r="AM192" i="46"/>
  <c r="AS47" i="46"/>
  <c r="AS118" i="46"/>
  <c r="AS195" i="46"/>
  <c r="AJ38" i="46"/>
  <c r="AJ109" i="46"/>
  <c r="AJ181" i="46"/>
  <c r="AT36" i="46"/>
  <c r="AT57" i="46"/>
  <c r="AT110" i="46"/>
  <c r="AT169" i="46"/>
  <c r="AT200" i="46"/>
  <c r="AL27" i="46"/>
  <c r="AL70" i="46"/>
  <c r="AL115" i="46"/>
  <c r="AL130" i="46"/>
  <c r="AL171" i="46"/>
  <c r="AN179" i="46"/>
  <c r="AN190" i="46"/>
  <c r="AN214" i="46"/>
  <c r="AN222" i="46"/>
  <c r="AL30" i="46"/>
  <c r="AI19" i="46"/>
  <c r="AU12" i="46"/>
  <c r="AM6" i="46"/>
  <c r="AU54" i="46"/>
  <c r="AU69" i="46"/>
  <c r="AU79" i="46"/>
  <c r="AU94" i="46"/>
  <c r="AU108" i="46"/>
  <c r="AU120" i="46"/>
  <c r="AU148" i="46"/>
  <c r="AU152" i="46"/>
  <c r="AU172" i="46"/>
  <c r="AU195" i="46"/>
  <c r="AM41" i="46"/>
  <c r="AM73" i="46"/>
  <c r="AM83" i="46"/>
  <c r="AM99" i="46"/>
  <c r="AM112" i="46"/>
  <c r="AM126" i="46"/>
  <c r="AM133" i="46"/>
  <c r="AJ114" i="46"/>
  <c r="AJ128" i="46"/>
  <c r="AJ156" i="46"/>
  <c r="AJ157" i="46"/>
  <c r="AJ169" i="46"/>
  <c r="AJ191" i="46"/>
  <c r="AJ217" i="46"/>
  <c r="AJ225" i="46"/>
  <c r="AL22" i="46"/>
  <c r="AL14" i="46"/>
  <c r="AL6" i="46"/>
  <c r="AT43" i="46"/>
  <c r="AT77" i="46"/>
  <c r="AT85" i="46"/>
  <c r="AT90" i="46"/>
  <c r="AT98" i="46"/>
  <c r="AT136" i="46"/>
  <c r="AT145" i="46"/>
  <c r="AT157" i="46"/>
  <c r="AM166" i="46"/>
  <c r="AM181" i="46"/>
  <c r="AM194" i="46"/>
  <c r="AM212" i="46"/>
  <c r="AK12" i="46"/>
  <c r="AS38" i="46"/>
  <c r="AS49" i="46"/>
  <c r="AS56" i="46"/>
  <c r="AS93" i="46"/>
  <c r="AS105" i="46"/>
  <c r="AS136" i="46"/>
  <c r="AS134" i="46"/>
  <c r="AS149" i="46"/>
  <c r="AS165" i="46"/>
  <c r="AS180" i="46"/>
  <c r="AS198" i="46"/>
  <c r="AS225" i="46"/>
  <c r="AJ25" i="46"/>
  <c r="AJ40" i="46"/>
  <c r="AJ54" i="46"/>
  <c r="AJ65" i="46"/>
  <c r="AJ79" i="46"/>
  <c r="AJ111" i="46"/>
  <c r="AJ127" i="46"/>
  <c r="AJ140" i="46"/>
  <c r="AJ143" i="46"/>
  <c r="AJ183" i="46"/>
  <c r="AJ182" i="46"/>
  <c r="AJ197" i="46"/>
  <c r="AJ214" i="46"/>
  <c r="AQ35" i="46"/>
  <c r="AT18" i="46"/>
  <c r="AT10" i="46"/>
  <c r="AT27" i="46"/>
  <c r="AT59" i="46"/>
  <c r="AT70" i="46"/>
  <c r="AT111" i="46"/>
  <c r="AT99" i="46"/>
  <c r="AT112" i="46"/>
  <c r="AT126" i="46"/>
  <c r="AT160" i="46"/>
  <c r="AT171" i="46"/>
  <c r="AT187" i="46"/>
  <c r="AT202" i="46"/>
  <c r="AT215" i="46"/>
  <c r="AL29" i="46"/>
  <c r="AL61" i="46"/>
  <c r="AL72" i="46"/>
  <c r="AL97" i="46"/>
  <c r="AL119" i="46"/>
  <c r="AL121" i="46"/>
  <c r="AL132" i="46"/>
  <c r="AL160" i="46"/>
  <c r="AL173" i="46"/>
  <c r="AL189" i="46"/>
  <c r="AL214" i="46"/>
  <c r="AL217" i="46"/>
  <c r="AR25" i="46"/>
  <c r="AR40" i="46"/>
  <c r="AR52" i="46"/>
  <c r="AR65" i="46"/>
  <c r="AR94" i="46"/>
  <c r="AR109" i="46"/>
  <c r="AR125" i="46"/>
  <c r="AR136" i="46"/>
  <c r="AR145" i="46"/>
  <c r="AR167" i="46"/>
  <c r="AR182" i="46"/>
  <c r="AR197" i="46"/>
  <c r="AR219" i="46"/>
  <c r="AT165" i="46"/>
  <c r="AT180" i="46"/>
  <c r="AT196" i="46"/>
  <c r="AT225" i="46"/>
  <c r="AL41" i="46"/>
  <c r="AN19" i="46"/>
  <c r="AU206" i="46"/>
  <c r="AU226" i="46"/>
  <c r="AM54" i="46"/>
  <c r="AM69" i="46"/>
  <c r="AM79" i="46"/>
  <c r="AM94" i="46"/>
  <c r="AM108" i="46"/>
  <c r="AM122" i="46"/>
  <c r="AM151" i="46"/>
  <c r="AM154" i="46"/>
  <c r="AM172" i="46"/>
  <c r="AM205" i="46"/>
  <c r="AM211" i="46"/>
  <c r="AM218" i="46"/>
  <c r="AS26" i="46"/>
  <c r="AS65" i="46"/>
  <c r="AS44" i="46"/>
  <c r="AS81" i="46"/>
  <c r="AS100" i="46"/>
  <c r="AS108" i="46"/>
  <c r="AS122" i="46"/>
  <c r="AS139" i="46"/>
  <c r="AS153" i="46"/>
  <c r="AS178" i="46"/>
  <c r="AS196" i="46"/>
  <c r="AS215" i="46"/>
  <c r="AS226" i="46"/>
  <c r="AJ28" i="46"/>
  <c r="AJ42" i="46"/>
  <c r="AJ76" i="46"/>
  <c r="AJ88" i="46"/>
  <c r="AJ99" i="46"/>
  <c r="AJ115" i="46"/>
  <c r="AJ130" i="46"/>
  <c r="AJ162" i="46"/>
  <c r="AJ159" i="46"/>
  <c r="AJ171" i="46"/>
  <c r="AJ193" i="46"/>
  <c r="AJ203" i="46"/>
  <c r="AJ227" i="46"/>
  <c r="AX21" i="46"/>
  <c r="AX13" i="46"/>
  <c r="AT52" i="46"/>
  <c r="AT47" i="46"/>
  <c r="AT58" i="46"/>
  <c r="AT87" i="46"/>
  <c r="AT92" i="46"/>
  <c r="AT100" i="46"/>
  <c r="AT132" i="46"/>
  <c r="AT147" i="46"/>
  <c r="AT159" i="46"/>
  <c r="AT183" i="46"/>
  <c r="AT197" i="46"/>
  <c r="AT207" i="46"/>
  <c r="AL45" i="46"/>
  <c r="AL47" i="46"/>
  <c r="AL58" i="46"/>
  <c r="AL85" i="46"/>
  <c r="AL90" i="46"/>
  <c r="AL104" i="46"/>
  <c r="AL118" i="46"/>
  <c r="AL145" i="46"/>
  <c r="AL159" i="46"/>
  <c r="AL183" i="46"/>
  <c r="AL197" i="46"/>
  <c r="AL203" i="46"/>
  <c r="AS22" i="46"/>
  <c r="AR26" i="46"/>
  <c r="AR55" i="46"/>
  <c r="AR72" i="46"/>
  <c r="AR98" i="46"/>
  <c r="AR95" i="46"/>
  <c r="AR112" i="46"/>
  <c r="AR124" i="46"/>
  <c r="AR160" i="46"/>
  <c r="AR155" i="46"/>
  <c r="AR178" i="46"/>
  <c r="AR191" i="46"/>
  <c r="AR217" i="46"/>
  <c r="AR223" i="46"/>
  <c r="AQ39" i="46"/>
  <c r="AP37" i="46"/>
  <c r="AL65" i="46"/>
  <c r="AL76" i="46"/>
  <c r="AL99" i="46"/>
  <c r="AL127" i="46"/>
  <c r="AL144" i="46"/>
  <c r="AL168" i="46"/>
  <c r="AL164" i="46"/>
  <c r="AL177" i="46"/>
  <c r="AL193" i="46"/>
  <c r="AL223" i="46"/>
  <c r="AL218" i="46"/>
  <c r="AR29" i="46"/>
  <c r="AR58" i="46"/>
  <c r="AR56" i="46"/>
  <c r="AR69" i="46"/>
  <c r="AR81" i="46"/>
  <c r="AR113" i="46"/>
  <c r="AR129" i="46"/>
  <c r="AR140" i="46"/>
  <c r="AR150" i="46"/>
  <c r="AR181" i="46"/>
  <c r="AR186" i="46"/>
  <c r="AR201" i="46"/>
  <c r="AR216" i="46"/>
  <c r="AT32" i="46"/>
  <c r="AL186" i="46"/>
  <c r="AL204" i="46"/>
  <c r="AL221" i="46"/>
  <c r="AR31" i="46"/>
  <c r="AR43" i="46"/>
  <c r="AR60" i="46"/>
  <c r="AR71" i="46"/>
  <c r="AR83" i="46"/>
  <c r="AR100" i="46"/>
  <c r="AR131" i="46"/>
  <c r="AR142" i="46"/>
  <c r="AR152" i="46"/>
  <c r="AR183" i="46"/>
  <c r="AR188" i="46"/>
  <c r="AR204" i="46"/>
  <c r="AR218" i="46"/>
  <c r="AO21" i="46"/>
  <c r="AW11" i="46"/>
  <c r="AW15" i="46"/>
  <c r="AU26" i="46"/>
  <c r="AO17" i="46"/>
  <c r="AT41" i="46"/>
  <c r="AL36" i="46"/>
  <c r="AN21" i="46"/>
  <c r="AQ25" i="46"/>
  <c r="AX33" i="46"/>
  <c r="AW13" i="46"/>
  <c r="AY27" i="46"/>
  <c r="AM34" i="46"/>
  <c r="AO11" i="46"/>
  <c r="AL26" i="46"/>
  <c r="AX17" i="5"/>
  <c r="AT25" i="5"/>
  <c r="AT59" i="5"/>
  <c r="AT108" i="5"/>
  <c r="AT122" i="5"/>
  <c r="AT158" i="5"/>
  <c r="AT193" i="5"/>
  <c r="AL69" i="5"/>
  <c r="AL90" i="5"/>
  <c r="AL130" i="5"/>
  <c r="AL164" i="5"/>
  <c r="AM30" i="5"/>
  <c r="AM65" i="5"/>
  <c r="AM114" i="5"/>
  <c r="AM139" i="5"/>
  <c r="AM150" i="5"/>
  <c r="AM194" i="5"/>
  <c r="AS14" i="5"/>
  <c r="AS72" i="5"/>
  <c r="AS90" i="5"/>
  <c r="AS115" i="5"/>
  <c r="AS150" i="5"/>
  <c r="AS180" i="5"/>
  <c r="AK47" i="5"/>
  <c r="AK88" i="5"/>
  <c r="AK115" i="5"/>
  <c r="AK152" i="5"/>
  <c r="AK187" i="5"/>
  <c r="AJ22" i="5"/>
  <c r="AJ6" i="5"/>
  <c r="AR86" i="5"/>
  <c r="AR105" i="5"/>
  <c r="AR123" i="5"/>
  <c r="AR158" i="5"/>
  <c r="AR195" i="5"/>
  <c r="AJ72" i="5"/>
  <c r="AJ109" i="5"/>
  <c r="AJ149" i="5"/>
  <c r="AJ156" i="5"/>
  <c r="AJ193" i="5"/>
  <c r="AY20" i="5"/>
  <c r="AQ6" i="5"/>
  <c r="AY46" i="5"/>
  <c r="AY80" i="5"/>
  <c r="AY119" i="5"/>
  <c r="AY165" i="5"/>
  <c r="AY187" i="5"/>
  <c r="AQ43" i="5"/>
  <c r="AQ78" i="5"/>
  <c r="AQ114" i="5"/>
  <c r="AQ152" i="5"/>
  <c r="AQ182" i="5"/>
  <c r="AI61" i="5"/>
  <c r="AI91" i="5"/>
  <c r="AI114" i="5"/>
  <c r="AI164" i="5"/>
  <c r="AI182" i="5"/>
  <c r="AU42" i="5"/>
  <c r="AU80" i="5"/>
  <c r="AU98" i="5"/>
  <c r="AU162" i="5"/>
  <c r="AU191" i="5"/>
  <c r="AX27" i="5"/>
  <c r="AX61" i="5"/>
  <c r="AX88" i="5"/>
  <c r="AX117" i="5"/>
  <c r="AX162" i="5"/>
  <c r="AX185" i="5"/>
  <c r="AP49" i="5"/>
  <c r="AP83" i="5"/>
  <c r="AP122" i="5"/>
  <c r="AP143" i="5"/>
  <c r="AP181" i="5"/>
  <c r="AN34" i="5"/>
  <c r="AN64" i="5"/>
  <c r="AN97" i="5"/>
  <c r="AN134" i="5"/>
  <c r="AN177" i="5"/>
  <c r="AS30" i="5"/>
  <c r="AO12" i="5"/>
  <c r="AW46" i="5"/>
  <c r="AW87" i="5"/>
  <c r="AW118" i="5"/>
  <c r="AW151" i="5"/>
  <c r="AW182" i="5"/>
  <c r="AO44" i="5"/>
  <c r="AO87" i="5"/>
  <c r="AO118" i="5"/>
  <c r="AO154" i="5"/>
  <c r="AO175" i="5"/>
  <c r="AV32" i="5"/>
  <c r="AV87" i="5"/>
  <c r="AV95" i="5"/>
  <c r="AV130" i="5"/>
  <c r="AV167" i="5"/>
  <c r="AM22" i="5"/>
  <c r="AP17" i="5"/>
  <c r="AT27" i="5"/>
  <c r="AT61" i="5"/>
  <c r="AT88" i="5"/>
  <c r="AT124" i="5"/>
  <c r="AT162" i="5"/>
  <c r="AT195" i="5"/>
  <c r="AL58" i="5"/>
  <c r="AL87" i="5"/>
  <c r="AL125" i="5"/>
  <c r="AL151" i="5"/>
  <c r="AL181" i="5"/>
  <c r="AM27" i="5"/>
  <c r="AM92" i="5"/>
  <c r="AM93" i="5"/>
  <c r="AM135" i="5"/>
  <c r="AM164" i="5"/>
  <c r="AO27" i="5"/>
  <c r="AK10" i="5"/>
  <c r="AS58" i="5"/>
  <c r="AS91" i="5"/>
  <c r="AS120" i="5"/>
  <c r="AS160" i="5"/>
  <c r="AS187" i="5"/>
  <c r="AK64" i="5"/>
  <c r="AK121" i="5"/>
  <c r="AK125" i="5"/>
  <c r="AK162" i="5"/>
  <c r="AK189" i="5"/>
  <c r="AN15" i="5"/>
  <c r="AR33" i="5"/>
  <c r="AR63" i="5"/>
  <c r="AR115" i="5"/>
  <c r="AR142" i="5"/>
  <c r="AR174" i="5"/>
  <c r="AJ33" i="5"/>
  <c r="AJ61" i="5"/>
  <c r="AJ98" i="5"/>
  <c r="AJ137" i="5"/>
  <c r="AJ167" i="5"/>
  <c r="AY112" i="46"/>
  <c r="AQ32" i="46"/>
  <c r="AQ155" i="46"/>
  <c r="AI89" i="46"/>
  <c r="AI218" i="46"/>
  <c r="AU21" i="46"/>
  <c r="AY117" i="46"/>
  <c r="AQ60" i="46"/>
  <c r="AQ181" i="46"/>
  <c r="AI126" i="46"/>
  <c r="AP20" i="46"/>
  <c r="AY30" i="46"/>
  <c r="AY102" i="46"/>
  <c r="AY161" i="46"/>
  <c r="AY227" i="46"/>
  <c r="AQ95" i="46"/>
  <c r="AQ153" i="46"/>
  <c r="AQ219" i="46"/>
  <c r="AI87" i="46"/>
  <c r="AI148" i="46"/>
  <c r="AI216" i="46"/>
  <c r="AX32" i="46"/>
  <c r="AX120" i="46"/>
  <c r="AX172" i="46"/>
  <c r="AP34" i="46"/>
  <c r="AP137" i="46"/>
  <c r="AX155" i="46"/>
  <c r="AP110" i="46"/>
  <c r="AP224" i="46"/>
  <c r="AK148" i="46"/>
  <c r="AW10" i="46"/>
  <c r="AW136" i="46"/>
  <c r="AO73" i="46"/>
  <c r="AO213" i="46"/>
  <c r="AV92" i="46"/>
  <c r="AV217" i="46"/>
  <c r="AY56" i="46"/>
  <c r="AY199" i="46"/>
  <c r="AQ172" i="46"/>
  <c r="AI106" i="46"/>
  <c r="AT21" i="46"/>
  <c r="AX82" i="46"/>
  <c r="AX149" i="46"/>
  <c r="AX206" i="46"/>
  <c r="AP92" i="46"/>
  <c r="AP151" i="46"/>
  <c r="AP206" i="46"/>
  <c r="AK66" i="46"/>
  <c r="AK149" i="46"/>
  <c r="AK198" i="46"/>
  <c r="AO12" i="46"/>
  <c r="AW69" i="46"/>
  <c r="AW145" i="46"/>
  <c r="AW207" i="46"/>
  <c r="AO51" i="46"/>
  <c r="AO131" i="46"/>
  <c r="AO198" i="46"/>
  <c r="AN10" i="46"/>
  <c r="AV78" i="46"/>
  <c r="AV149" i="46"/>
  <c r="AV211" i="46"/>
  <c r="AN75" i="46"/>
  <c r="AN125" i="46"/>
  <c r="AN194" i="46"/>
  <c r="AM18" i="46"/>
  <c r="AU73" i="46"/>
  <c r="AU124" i="46"/>
  <c r="AU188" i="46"/>
  <c r="AX93" i="46"/>
  <c r="AP44" i="46"/>
  <c r="AP177" i="46"/>
  <c r="AK90" i="46"/>
  <c r="AK220" i="46"/>
  <c r="AW89" i="46"/>
  <c r="AW217" i="46"/>
  <c r="AO153" i="46"/>
  <c r="AV38" i="46"/>
  <c r="AV148" i="46"/>
  <c r="AN60" i="46"/>
  <c r="AU11" i="46"/>
  <c r="AY127" i="46"/>
  <c r="AQ57" i="46"/>
  <c r="AQ165" i="46"/>
  <c r="AI82" i="46"/>
  <c r="AI200" i="46"/>
  <c r="AM19" i="46"/>
  <c r="AY66" i="46"/>
  <c r="AY121" i="46"/>
  <c r="AY188" i="46"/>
  <c r="AQ56" i="46"/>
  <c r="AQ128" i="46"/>
  <c r="AQ186" i="46"/>
  <c r="AI50" i="46"/>
  <c r="AI122" i="46"/>
  <c r="AI194" i="46"/>
  <c r="AL21" i="46"/>
  <c r="AX61" i="46"/>
  <c r="AX121" i="46"/>
  <c r="AX202" i="46"/>
  <c r="AP63" i="46"/>
  <c r="AP123" i="46"/>
  <c r="AP218" i="46"/>
  <c r="AK69" i="46"/>
  <c r="AK121" i="46"/>
  <c r="AK190" i="46"/>
  <c r="AS19" i="46"/>
  <c r="AW70" i="46"/>
  <c r="AW128" i="46"/>
  <c r="AW190" i="46"/>
  <c r="AO76" i="46"/>
  <c r="AO113" i="46"/>
  <c r="AO184" i="46"/>
  <c r="AR17" i="46"/>
  <c r="AV67" i="46"/>
  <c r="AV123" i="46"/>
  <c r="AV188" i="46"/>
  <c r="AN47" i="46"/>
  <c r="AN116" i="46"/>
  <c r="AN172" i="46"/>
  <c r="AT26" i="46"/>
  <c r="AU43" i="46"/>
  <c r="AU114" i="46"/>
  <c r="AU179" i="46"/>
  <c r="AM52" i="46"/>
  <c r="AM106" i="46"/>
  <c r="AM170" i="46"/>
  <c r="AS24" i="46"/>
  <c r="AS94" i="46"/>
  <c r="AS168" i="46"/>
  <c r="AS224" i="46"/>
  <c r="AJ86" i="46"/>
  <c r="AP152" i="46"/>
  <c r="AP221" i="46"/>
  <c r="AK83" i="46"/>
  <c r="AK139" i="46"/>
  <c r="AK205" i="46"/>
  <c r="AK7" i="46"/>
  <c r="AW92" i="46"/>
  <c r="AW150" i="46"/>
  <c r="AW222" i="46"/>
  <c r="AO80" i="46"/>
  <c r="AO136" i="46"/>
  <c r="AO211" i="46"/>
  <c r="AV28" i="46"/>
  <c r="AV82" i="46"/>
  <c r="AV146" i="46"/>
  <c r="AV215" i="46"/>
  <c r="AN74" i="46"/>
  <c r="AN145" i="46"/>
  <c r="AN148" i="46"/>
  <c r="AN215" i="46"/>
  <c r="AI9" i="46"/>
  <c r="AU80" i="46"/>
  <c r="AU147" i="46"/>
  <c r="AU214" i="46"/>
  <c r="AM89" i="46"/>
  <c r="AM139" i="46"/>
  <c r="AM221" i="46"/>
  <c r="AS54" i="46"/>
  <c r="AS135" i="46"/>
  <c r="AS199" i="46"/>
  <c r="AJ52" i="46"/>
  <c r="AJ125" i="46"/>
  <c r="AJ180" i="46"/>
  <c r="AP19" i="46"/>
  <c r="AT68" i="46"/>
  <c r="AT124" i="46"/>
  <c r="AT185" i="46"/>
  <c r="AT209" i="46"/>
  <c r="AL51" i="46"/>
  <c r="AL89" i="46"/>
  <c r="AN174" i="46"/>
  <c r="AP25" i="46"/>
  <c r="AU45" i="46"/>
  <c r="AU115" i="46"/>
  <c r="AU181" i="46"/>
  <c r="AM91" i="46"/>
  <c r="AM141" i="46"/>
  <c r="AJ165" i="46"/>
  <c r="AY39" i="46"/>
  <c r="AT53" i="46"/>
  <c r="AT106" i="46"/>
  <c r="AM161" i="46"/>
  <c r="AS33" i="46"/>
  <c r="AS84" i="46"/>
  <c r="AS158" i="46"/>
  <c r="AS220" i="46"/>
  <c r="AJ73" i="46"/>
  <c r="AJ148" i="46"/>
  <c r="AJ206" i="46"/>
  <c r="AT8" i="46"/>
  <c r="AT80" i="46"/>
  <c r="AT168" i="46"/>
  <c r="AT219" i="46"/>
  <c r="AL80" i="46"/>
  <c r="AL149" i="46"/>
  <c r="AL220" i="46"/>
  <c r="AR73" i="46"/>
  <c r="AR144" i="46"/>
  <c r="AR206" i="46"/>
  <c r="AT212" i="46"/>
  <c r="AU212" i="46"/>
  <c r="AM87" i="46"/>
  <c r="AM137" i="46"/>
  <c r="AM210" i="46"/>
  <c r="AS52" i="46"/>
  <c r="AS130" i="46"/>
  <c r="AS197" i="46"/>
  <c r="AJ50" i="46"/>
  <c r="AJ123" i="46"/>
  <c r="AJ186" i="46"/>
  <c r="AX19" i="46"/>
  <c r="AT66" i="46"/>
  <c r="AT122" i="46"/>
  <c r="AT198" i="46"/>
  <c r="AL66" i="46"/>
  <c r="AL126" i="46"/>
  <c r="AL198" i="46"/>
  <c r="AR46" i="46"/>
  <c r="AR119" i="46"/>
  <c r="AR175" i="46"/>
  <c r="AM36" i="46"/>
  <c r="AL84" i="46"/>
  <c r="AL153" i="46"/>
  <c r="AL224" i="46"/>
  <c r="AR77" i="46"/>
  <c r="AR148" i="46"/>
  <c r="AR210" i="46"/>
  <c r="AL216" i="46"/>
  <c r="AR68" i="46"/>
  <c r="AR120" i="46"/>
  <c r="AR187" i="46"/>
  <c r="AW7" i="46"/>
  <c r="AP49" i="46"/>
  <c r="AP35" i="46"/>
  <c r="AO7" i="46"/>
  <c r="AT76" i="5"/>
  <c r="AL36" i="5"/>
  <c r="AL172" i="5"/>
  <c r="AM133" i="5"/>
  <c r="AS56" i="5"/>
  <c r="AS191" i="5"/>
  <c r="AK158" i="5"/>
  <c r="AR61" i="5"/>
  <c r="AJ31" i="5"/>
  <c r="AJ165" i="5"/>
  <c r="AY73" i="5"/>
  <c r="AY192" i="5"/>
  <c r="AQ164" i="5"/>
  <c r="AI124" i="5"/>
  <c r="AU81" i="5"/>
  <c r="AX28" i="5"/>
  <c r="AX155" i="5"/>
  <c r="AP118" i="5"/>
  <c r="AN92" i="5"/>
  <c r="AJ24" i="5"/>
  <c r="AW122" i="5"/>
  <c r="AO89" i="5"/>
  <c r="AV49" i="5"/>
  <c r="AV170" i="5"/>
  <c r="AT78" i="5"/>
  <c r="AL38" i="5"/>
  <c r="AL154" i="5"/>
  <c r="AM120" i="5"/>
  <c r="AS54" i="5"/>
  <c r="AS163" i="5"/>
  <c r="AK114" i="5"/>
  <c r="AR70" i="5"/>
  <c r="AR179" i="5"/>
  <c r="AJ141" i="5"/>
  <c r="AU14" i="5"/>
  <c r="AY18" i="5"/>
  <c r="AY66" i="5"/>
  <c r="AY75" i="5"/>
  <c r="AY90" i="5"/>
  <c r="AY126" i="5"/>
  <c r="AY156" i="5"/>
  <c r="AY194" i="5"/>
  <c r="AQ57" i="5"/>
  <c r="AQ80" i="5"/>
  <c r="AQ116" i="5"/>
  <c r="AQ154" i="5"/>
  <c r="AQ184" i="5"/>
  <c r="AI39" i="5"/>
  <c r="AI75" i="5"/>
  <c r="AI99" i="5"/>
  <c r="AI148" i="5"/>
  <c r="AI175" i="5"/>
  <c r="AU39" i="5"/>
  <c r="AU47" i="5"/>
  <c r="AU89" i="5"/>
  <c r="AU123" i="5"/>
  <c r="AU159" i="5"/>
  <c r="AU193" i="5"/>
  <c r="AX29" i="5"/>
  <c r="AX63" i="5"/>
  <c r="AX90" i="5"/>
  <c r="AX126" i="5"/>
  <c r="AX157" i="5"/>
  <c r="AX187" i="5"/>
  <c r="AP51" i="5"/>
  <c r="AP85" i="5"/>
  <c r="AP104" i="5"/>
  <c r="AP145" i="5"/>
  <c r="AP185" i="5"/>
  <c r="AN36" i="5"/>
  <c r="AN66" i="5"/>
  <c r="AN99" i="5"/>
  <c r="AN136" i="5"/>
  <c r="AN166" i="5"/>
  <c r="AV29" i="5"/>
  <c r="AW8" i="5"/>
  <c r="AW63" i="5"/>
  <c r="AW90" i="5"/>
  <c r="AW123" i="5"/>
  <c r="AW161" i="5"/>
  <c r="AW190" i="5"/>
  <c r="AO61" i="5"/>
  <c r="AO90" i="5"/>
  <c r="AO119" i="5"/>
  <c r="AO159" i="5"/>
  <c r="AO187" i="5"/>
  <c r="AV50" i="5"/>
  <c r="AV76" i="5"/>
  <c r="AV117" i="5"/>
  <c r="AV149" i="5"/>
  <c r="AV184" i="5"/>
  <c r="AT173" i="5"/>
  <c r="AL24" i="5"/>
  <c r="AL60" i="5"/>
  <c r="AL104" i="5"/>
  <c r="AL114" i="5"/>
  <c r="AL153" i="5"/>
  <c r="AL183" i="5"/>
  <c r="AM29" i="5"/>
  <c r="AM62" i="5"/>
  <c r="AM95" i="5"/>
  <c r="AM137" i="5"/>
  <c r="AM171" i="5"/>
  <c r="AS34" i="5"/>
  <c r="AW9" i="5"/>
  <c r="AS60" i="5"/>
  <c r="AS93" i="5"/>
  <c r="AS121" i="5"/>
  <c r="AS164" i="5"/>
  <c r="AS186" i="5"/>
  <c r="AK66" i="5"/>
  <c r="AK89" i="5"/>
  <c r="AK131" i="5"/>
  <c r="AK156" i="5"/>
  <c r="AK188" i="5"/>
  <c r="AO24" i="5"/>
  <c r="AJ10" i="5"/>
  <c r="AR54" i="5"/>
  <c r="AR91" i="5"/>
  <c r="AR130" i="5"/>
  <c r="AR159" i="5"/>
  <c r="AR182" i="5"/>
  <c r="AJ64" i="5"/>
  <c r="AJ99" i="5"/>
  <c r="AJ128" i="5"/>
  <c r="AJ157" i="5"/>
  <c r="AJ180" i="5"/>
  <c r="AI20" i="5"/>
  <c r="AU11" i="5"/>
  <c r="AY45" i="5"/>
  <c r="AY93" i="5"/>
  <c r="AY101" i="5"/>
  <c r="AY145" i="5"/>
  <c r="AY181" i="5"/>
  <c r="AQ40" i="5"/>
  <c r="AQ65" i="5"/>
  <c r="AQ109" i="5"/>
  <c r="AQ139" i="5"/>
  <c r="AQ169" i="5"/>
  <c r="AI35" i="5"/>
  <c r="AI46" i="5"/>
  <c r="AI107" i="5"/>
  <c r="AI128" i="5"/>
  <c r="AI155" i="5"/>
  <c r="AI192" i="5"/>
  <c r="AU33" i="5"/>
  <c r="AU70" i="5"/>
  <c r="AU114" i="5"/>
  <c r="AU145" i="5"/>
  <c r="AU166" i="5"/>
  <c r="AW29" i="5"/>
  <c r="AT9" i="5"/>
  <c r="AX47" i="5"/>
  <c r="AX79" i="5"/>
  <c r="AX101" i="5"/>
  <c r="AX139" i="5"/>
  <c r="AX179" i="5"/>
  <c r="AP24" i="5"/>
  <c r="AP56" i="5"/>
  <c r="AP100" i="5"/>
  <c r="AP136" i="5"/>
  <c r="AP151" i="5"/>
  <c r="AP186" i="5"/>
  <c r="AN98" i="5"/>
  <c r="AN89" i="5"/>
  <c r="AN127" i="5"/>
  <c r="AN156" i="5"/>
  <c r="AN181" i="5"/>
  <c r="AK15" i="5"/>
  <c r="AW39" i="5"/>
  <c r="AW75" i="5"/>
  <c r="AW106" i="5"/>
  <c r="AW141" i="5"/>
  <c r="AW168" i="5"/>
  <c r="AO49" i="5"/>
  <c r="AO75" i="5"/>
  <c r="AO106" i="5"/>
  <c r="AO150" i="5"/>
  <c r="AO166" i="5"/>
  <c r="AV36" i="5"/>
  <c r="AV54" i="5"/>
  <c r="AV99" i="5"/>
  <c r="AV134" i="5"/>
  <c r="AV166" i="5"/>
  <c r="AL53" i="5"/>
  <c r="AU45" i="5"/>
  <c r="AL12" i="5"/>
  <c r="AT48" i="5"/>
  <c r="AT82" i="5"/>
  <c r="AT125" i="5"/>
  <c r="AT142" i="5"/>
  <c r="AT178" i="5"/>
  <c r="AL25" i="5"/>
  <c r="AL59" i="5"/>
  <c r="AL103" i="5"/>
  <c r="AL120" i="5"/>
  <c r="AL161" i="5"/>
  <c r="AL191" i="5"/>
  <c r="AM31" i="5"/>
  <c r="AM64" i="5"/>
  <c r="AM97" i="5"/>
  <c r="AM141" i="5"/>
  <c r="AM175" i="5"/>
  <c r="AV33" i="5"/>
  <c r="AO13" i="5"/>
  <c r="AS47" i="5"/>
  <c r="AS81" i="5"/>
  <c r="AS133" i="5"/>
  <c r="AS154" i="5"/>
  <c r="AS173" i="5"/>
  <c r="AK53" i="5"/>
  <c r="AK81" i="5"/>
  <c r="AK134" i="5"/>
  <c r="AK143" i="5"/>
  <c r="AK173" i="5"/>
  <c r="AN19" i="5"/>
  <c r="AR37" i="5"/>
  <c r="AR67" i="5"/>
  <c r="AR107" i="5"/>
  <c r="AR146" i="5"/>
  <c r="AR169" i="5"/>
  <c r="AJ37" i="5"/>
  <c r="AJ65" i="5"/>
  <c r="AJ102" i="5"/>
  <c r="AJ142" i="5"/>
  <c r="AJ172" i="5"/>
  <c r="AM6" i="5"/>
  <c r="AM11" i="5"/>
  <c r="AY36" i="5"/>
  <c r="AY79" i="5"/>
  <c r="AY111" i="5"/>
  <c r="AY137" i="5"/>
  <c r="AY170" i="5"/>
  <c r="AQ26" i="5"/>
  <c r="AQ52" i="5"/>
  <c r="AQ90" i="5"/>
  <c r="AQ126" i="5"/>
  <c r="AQ156" i="5"/>
  <c r="AQ194" i="5"/>
  <c r="AI83" i="5"/>
  <c r="AI80" i="5"/>
  <c r="AI125" i="5"/>
  <c r="AI154" i="5"/>
  <c r="AI189" i="5"/>
  <c r="AU41" i="5"/>
  <c r="AU51" i="5"/>
  <c r="AU93" i="5"/>
  <c r="AU127" i="5"/>
  <c r="AU163" i="5"/>
  <c r="AK28" i="5"/>
  <c r="AL9" i="5"/>
  <c r="AX49" i="5"/>
  <c r="AX81" i="5"/>
  <c r="AX109" i="5"/>
  <c r="AX141" i="5"/>
  <c r="AX164" i="5"/>
  <c r="AP26" i="5"/>
  <c r="AP58" i="5"/>
  <c r="AP102" i="5"/>
  <c r="AP138" i="5"/>
  <c r="AP153" i="5"/>
  <c r="AP188" i="5"/>
  <c r="AN48" i="5"/>
  <c r="AN76" i="5"/>
  <c r="AN113" i="5"/>
  <c r="AN148" i="5"/>
  <c r="AN193" i="5"/>
  <c r="AW22" i="5"/>
  <c r="AW45" i="5"/>
  <c r="AW60" i="5"/>
  <c r="AW131" i="5"/>
  <c r="AW128" i="5"/>
  <c r="AW164" i="5"/>
  <c r="AO43" i="5"/>
  <c r="AO64" i="5"/>
  <c r="AO97" i="5"/>
  <c r="AL108" i="46"/>
  <c r="AN197" i="46"/>
  <c r="AQ17" i="46"/>
  <c r="AU77" i="46"/>
  <c r="AU128" i="46"/>
  <c r="AU192" i="46"/>
  <c r="AM107" i="46"/>
  <c r="AJ121" i="46"/>
  <c r="AJ177" i="46"/>
  <c r="AL20" i="46"/>
  <c r="AT64" i="46"/>
  <c r="AT120" i="46"/>
  <c r="AM189" i="46"/>
  <c r="AS58" i="46"/>
  <c r="AS113" i="46"/>
  <c r="AS173" i="46"/>
  <c r="AJ33" i="46"/>
  <c r="AJ87" i="46"/>
  <c r="AJ164" i="46"/>
  <c r="AJ222" i="46"/>
  <c r="AT35" i="46"/>
  <c r="AT119" i="46"/>
  <c r="AT170" i="46"/>
  <c r="AL37" i="46"/>
  <c r="AL123" i="46"/>
  <c r="AL172" i="46"/>
  <c r="AR33" i="46"/>
  <c r="AR85" i="46"/>
  <c r="AR162" i="46"/>
  <c r="AR220" i="46"/>
  <c r="AT217" i="46"/>
  <c r="AM29" i="46"/>
  <c r="AM103" i="46"/>
  <c r="AM162" i="46"/>
  <c r="AM226" i="46"/>
  <c r="AS89" i="46"/>
  <c r="AS147" i="46"/>
  <c r="AS209" i="46"/>
  <c r="AJ61" i="46"/>
  <c r="AJ136" i="46"/>
  <c r="AJ215" i="46"/>
  <c r="AX11" i="46"/>
  <c r="AT95" i="46"/>
  <c r="AT156" i="46"/>
  <c r="AT221" i="46"/>
  <c r="AL93" i="46"/>
  <c r="AL154" i="46"/>
  <c r="AL211" i="46"/>
  <c r="AR59" i="46"/>
  <c r="AR158" i="46"/>
  <c r="AR200" i="46"/>
  <c r="AL34" i="46"/>
  <c r="AL98" i="46"/>
  <c r="AL176" i="46"/>
  <c r="AR37" i="46"/>
  <c r="AR89" i="46"/>
  <c r="AR149" i="46"/>
  <c r="AR224" i="46"/>
  <c r="AL226" i="46"/>
  <c r="AR80" i="46"/>
  <c r="AR151" i="46"/>
  <c r="AR215" i="46"/>
  <c r="AV11" i="46"/>
  <c r="AP27" i="46"/>
  <c r="AW9" i="46"/>
  <c r="AO24" i="46"/>
  <c r="AT102" i="5"/>
  <c r="AL86" i="5"/>
  <c r="AM25" i="5"/>
  <c r="AM163" i="5"/>
  <c r="AS89" i="5"/>
  <c r="AK62" i="5"/>
  <c r="AK186" i="5"/>
  <c r="AR109" i="5"/>
  <c r="AJ59" i="5"/>
  <c r="AU16" i="5"/>
  <c r="AY88" i="5"/>
  <c r="AQ60" i="5"/>
  <c r="AQ188" i="5"/>
  <c r="AI151" i="5"/>
  <c r="AU115" i="5"/>
  <c r="AX60" i="5"/>
  <c r="AX190" i="5"/>
  <c r="AP150" i="5"/>
  <c r="AN107" i="5"/>
  <c r="AK9" i="5"/>
  <c r="AW157" i="5"/>
  <c r="AO135" i="5"/>
  <c r="AV66" i="5"/>
  <c r="AI60" i="5"/>
  <c r="AT104" i="5"/>
  <c r="AL55" i="5"/>
  <c r="AL187" i="5"/>
  <c r="AM147" i="5"/>
  <c r="AS57" i="5"/>
  <c r="AK46" i="5"/>
  <c r="AK164" i="5"/>
  <c r="AR93" i="5"/>
  <c r="AJ70" i="5"/>
  <c r="AJ186" i="5"/>
  <c r="AK34" i="5"/>
  <c r="AM15" i="5"/>
  <c r="AY32" i="5"/>
  <c r="AY85" i="5"/>
  <c r="AY129" i="5"/>
  <c r="AY133" i="5"/>
  <c r="AY173" i="5"/>
  <c r="AQ37" i="5"/>
  <c r="AQ48" i="5"/>
  <c r="AQ113" i="5"/>
  <c r="AQ122" i="5"/>
  <c r="AQ168" i="5"/>
  <c r="AQ190" i="5"/>
  <c r="AI62" i="5"/>
  <c r="AI76" i="5"/>
  <c r="AI116" i="5"/>
  <c r="AI150" i="5"/>
  <c r="AI184" i="5"/>
  <c r="AU31" i="5"/>
  <c r="AU68" i="5"/>
  <c r="AU110" i="5"/>
  <c r="AU141" i="5"/>
  <c r="AU176" i="5"/>
  <c r="AX20" i="5"/>
  <c r="AX30" i="5"/>
  <c r="AX62" i="5"/>
  <c r="AX111" i="5"/>
  <c r="AX121" i="5"/>
  <c r="AX159" i="5"/>
  <c r="AX192" i="5"/>
  <c r="AP55" i="5"/>
  <c r="AP82" i="5"/>
  <c r="AP120" i="5"/>
  <c r="AP152" i="5"/>
  <c r="AP178" i="5"/>
  <c r="AN55" i="5"/>
  <c r="AN90" i="5"/>
  <c r="AN109" i="5"/>
  <c r="AN144" i="5"/>
  <c r="AN191" i="5"/>
  <c r="AS23" i="5"/>
  <c r="AO6" i="5"/>
  <c r="AW56" i="5"/>
  <c r="AW139" i="5"/>
  <c r="AW115" i="5"/>
  <c r="AW169" i="5"/>
  <c r="AO71" i="5"/>
  <c r="AO60" i="5"/>
  <c r="AO122" i="5"/>
  <c r="AO117" i="5"/>
  <c r="AO160" i="5"/>
  <c r="AV40" i="5"/>
  <c r="AV72" i="5"/>
  <c r="AV90" i="5"/>
  <c r="AV135" i="5"/>
  <c r="AV155" i="5"/>
  <c r="AV186" i="5"/>
  <c r="AT167" i="5"/>
  <c r="AL39" i="5"/>
  <c r="AL57" i="5"/>
  <c r="AL101" i="5"/>
  <c r="AL137" i="5"/>
  <c r="AL157" i="5"/>
  <c r="AL189" i="5"/>
  <c r="AM46" i="5"/>
  <c r="AM71" i="5"/>
  <c r="AM106" i="5"/>
  <c r="AM140" i="5"/>
  <c r="AM172" i="5"/>
  <c r="AW21" i="5"/>
  <c r="AS42" i="5"/>
  <c r="AS59" i="5"/>
  <c r="AS94" i="5"/>
  <c r="AS116" i="5"/>
  <c r="AS182" i="5"/>
  <c r="AK48" i="5"/>
  <c r="AK59" i="5"/>
  <c r="AK120" i="5"/>
  <c r="AK116" i="5"/>
  <c r="AK166" i="5"/>
  <c r="AM18" i="5"/>
  <c r="AV19" i="5"/>
  <c r="AR66" i="5"/>
  <c r="AR97" i="5"/>
  <c r="AR92" i="5"/>
  <c r="AR127" i="5"/>
  <c r="AR162" i="5"/>
  <c r="AJ39" i="5"/>
  <c r="AJ89" i="5"/>
  <c r="AJ115" i="5"/>
  <c r="AJ123" i="5"/>
  <c r="AJ160" i="5"/>
  <c r="AU10" i="5"/>
  <c r="AQ18" i="5"/>
  <c r="AY25" i="5"/>
  <c r="AY50" i="5"/>
  <c r="AY84" i="5"/>
  <c r="AY123" i="5"/>
  <c r="AY161" i="5"/>
  <c r="AY191" i="5"/>
  <c r="AQ47" i="5"/>
  <c r="AQ125" i="5"/>
  <c r="AQ101" i="5"/>
  <c r="AQ143" i="5"/>
  <c r="AQ179" i="5"/>
  <c r="AI32" i="5"/>
  <c r="AI73" i="5"/>
  <c r="AI98" i="5"/>
  <c r="AI133" i="5"/>
  <c r="AI177" i="5"/>
  <c r="AV22" i="5"/>
  <c r="AU46" i="5"/>
  <c r="AU107" i="5"/>
  <c r="AU102" i="5"/>
  <c r="AU142" i="5"/>
  <c r="AU180" i="5"/>
  <c r="AP20" i="5"/>
  <c r="AT7" i="5"/>
  <c r="AX50" i="5"/>
  <c r="AX78" i="5"/>
  <c r="AX116" i="5"/>
  <c r="AX146" i="5"/>
  <c r="AX177" i="5"/>
  <c r="AP53" i="5"/>
  <c r="AP71" i="5"/>
  <c r="AP97" i="5"/>
  <c r="AP131" i="5"/>
  <c r="AP167" i="5"/>
  <c r="AN47" i="5"/>
  <c r="AN77" i="5"/>
  <c r="AN108" i="5"/>
  <c r="AN122" i="5"/>
  <c r="AN161" i="5"/>
  <c r="AS40" i="5"/>
  <c r="AS11" i="5"/>
  <c r="AW50" i="5"/>
  <c r="AW88" i="5"/>
  <c r="AW119" i="5"/>
  <c r="AW149" i="5"/>
  <c r="AW185" i="5"/>
  <c r="AO48" i="5"/>
  <c r="AO78" i="5"/>
  <c r="AO127" i="5"/>
  <c r="AO142" i="5"/>
  <c r="AO186" i="5"/>
  <c r="AV41" i="5"/>
  <c r="AV70" i="5"/>
  <c r="AV103" i="5"/>
  <c r="AV152" i="5"/>
  <c r="AV174" i="5"/>
  <c r="AU172" i="5"/>
  <c r="AW33" i="5"/>
  <c r="AL8" i="5"/>
  <c r="AT51" i="5"/>
  <c r="AT81" i="5"/>
  <c r="AT117" i="5"/>
  <c r="AT149" i="5"/>
  <c r="AT177" i="5"/>
  <c r="AL42" i="5"/>
  <c r="AL76" i="5"/>
  <c r="AL96" i="5"/>
  <c r="AL136" i="5"/>
  <c r="AL173" i="5"/>
  <c r="AN8" i="5"/>
  <c r="AM48" i="5"/>
  <c r="AM74" i="5"/>
  <c r="AM111" i="5"/>
  <c r="AM142" i="5"/>
  <c r="AM176" i="5"/>
  <c r="AJ26" i="5"/>
  <c r="AO9" i="5"/>
  <c r="AS62" i="5"/>
  <c r="AS95" i="5"/>
  <c r="AS135" i="5"/>
  <c r="AS155" i="5"/>
  <c r="AS189" i="5"/>
  <c r="AK68" i="5"/>
  <c r="AK91" i="5"/>
  <c r="AK132" i="5"/>
  <c r="AK160" i="5"/>
  <c r="AK191" i="5"/>
  <c r="AR14" i="5"/>
  <c r="AR47" i="5"/>
  <c r="AR75" i="5"/>
  <c r="AR116" i="5"/>
  <c r="AR153" i="5"/>
  <c r="AR183" i="5"/>
  <c r="AJ58" i="5"/>
  <c r="AJ75" i="5"/>
  <c r="AJ114" i="5"/>
  <c r="AJ145" i="5"/>
  <c r="AJ194" i="5"/>
  <c r="AI18" i="5"/>
  <c r="AU9" i="5"/>
  <c r="AY47" i="5"/>
  <c r="AY91" i="5"/>
  <c r="AY109" i="5"/>
  <c r="AY147" i="5"/>
  <c r="AY183" i="5"/>
  <c r="AQ68" i="5"/>
  <c r="AQ67" i="5"/>
  <c r="AQ115" i="5"/>
  <c r="AQ142" i="5"/>
  <c r="AQ171" i="5"/>
  <c r="AI37" i="5"/>
  <c r="AI48" i="5"/>
  <c r="AI112" i="5"/>
  <c r="AI130" i="5"/>
  <c r="AI166" i="5"/>
  <c r="AI194" i="5"/>
  <c r="AU35" i="5"/>
  <c r="AU71" i="5"/>
  <c r="AU116" i="5"/>
  <c r="AU134" i="5"/>
  <c r="AU168" i="5"/>
  <c r="AX22" i="5"/>
  <c r="AL7" i="5"/>
  <c r="AX52" i="5"/>
  <c r="AX80" i="5"/>
  <c r="AX118" i="5"/>
  <c r="AX148" i="5"/>
  <c r="AX181" i="5"/>
  <c r="AP39" i="5"/>
  <c r="AP73" i="5"/>
  <c r="AP99" i="5"/>
  <c r="AP133" i="5"/>
  <c r="AP174" i="5"/>
  <c r="AN25" i="5"/>
  <c r="AN63" i="5"/>
  <c r="AN100" i="5"/>
  <c r="AN129" i="5"/>
  <c r="AN158" i="5"/>
  <c r="AN183" i="5"/>
  <c r="AW18" i="5"/>
  <c r="AW47" i="5"/>
  <c r="AW77" i="5"/>
  <c r="AW108" i="5"/>
  <c r="AW143" i="5"/>
  <c r="AW171" i="5"/>
  <c r="AO40" i="5"/>
  <c r="AO77" i="5"/>
  <c r="AO108" i="5"/>
  <c r="AL150" i="46"/>
  <c r="AN206" i="46"/>
  <c r="AI11" i="46"/>
  <c r="AU87" i="46"/>
  <c r="AU137" i="46"/>
  <c r="AM49" i="46"/>
  <c r="AM119" i="46"/>
  <c r="AJ134" i="46"/>
  <c r="AJ202" i="46"/>
  <c r="AL12" i="46"/>
  <c r="AT93" i="46"/>
  <c r="AT154" i="46"/>
  <c r="AM204" i="46"/>
  <c r="AS57" i="46"/>
  <c r="AS125" i="46"/>
  <c r="AS188" i="46"/>
  <c r="AJ49" i="46"/>
  <c r="AJ104" i="46"/>
  <c r="AJ170" i="46"/>
  <c r="AO26" i="46"/>
  <c r="AT67" i="46"/>
  <c r="AT121" i="46"/>
  <c r="AT195" i="46"/>
  <c r="AL69" i="46"/>
  <c r="AL138" i="46"/>
  <c r="AL188" i="46"/>
  <c r="AR45" i="46"/>
  <c r="AR102" i="46"/>
  <c r="AR168" i="46"/>
  <c r="AT173" i="46"/>
  <c r="AL31" i="46"/>
  <c r="AM45" i="46"/>
  <c r="AM115" i="46"/>
  <c r="AM193" i="46"/>
  <c r="AS34" i="46"/>
  <c r="AS101" i="46"/>
  <c r="AS161" i="46"/>
  <c r="AR16" i="46"/>
  <c r="AJ96" i="46"/>
  <c r="AJ139" i="46"/>
  <c r="AJ211" i="46"/>
  <c r="AT50" i="46"/>
  <c r="AT97" i="46"/>
  <c r="AT167" i="46"/>
  <c r="AL25" i="46"/>
  <c r="AL105" i="46"/>
  <c r="AL167" i="46"/>
  <c r="AK8" i="46"/>
  <c r="AR88" i="46"/>
  <c r="AR139" i="46"/>
  <c r="AR209" i="46"/>
  <c r="AL73" i="46"/>
  <c r="AL148" i="46"/>
  <c r="AL192" i="46"/>
  <c r="AR49" i="46"/>
  <c r="AR106" i="46"/>
  <c r="AR172" i="46"/>
  <c r="AL179" i="46"/>
  <c r="AR39" i="46"/>
  <c r="AR91" i="46"/>
  <c r="AR156" i="46"/>
  <c r="AR226" i="46"/>
  <c r="AQ31" i="46"/>
  <c r="AV17" i="46"/>
  <c r="AU34" i="46"/>
  <c r="AX13" i="5"/>
  <c r="AT138" i="5"/>
  <c r="AL121" i="5"/>
  <c r="AM80" i="5"/>
  <c r="AS28" i="5"/>
  <c r="AS134" i="5"/>
  <c r="AK92" i="5"/>
  <c r="AV15" i="5"/>
  <c r="AR140" i="5"/>
  <c r="AJ96" i="5"/>
  <c r="AM17" i="5"/>
  <c r="AY124" i="5"/>
  <c r="AQ110" i="5"/>
  <c r="AI53" i="5"/>
  <c r="AU8" i="5"/>
  <c r="AU156" i="5"/>
  <c r="AX103" i="5"/>
  <c r="AP52" i="5"/>
  <c r="AP183" i="5"/>
  <c r="AN142" i="5"/>
  <c r="AW61" i="5"/>
  <c r="AW188" i="5"/>
  <c r="AO155" i="5"/>
  <c r="AV108" i="5"/>
  <c r="AP13" i="5"/>
  <c r="AT148" i="5"/>
  <c r="AL99" i="5"/>
  <c r="AM44" i="5"/>
  <c r="AM173" i="5"/>
  <c r="AS131" i="5"/>
  <c r="AK57" i="5"/>
  <c r="AN6" i="5"/>
  <c r="AR112" i="5"/>
  <c r="AJ91" i="5"/>
  <c r="AJ178" i="5"/>
  <c r="AI22" i="5"/>
  <c r="AU13" i="5"/>
  <c r="AY43" i="5"/>
  <c r="AY89" i="5"/>
  <c r="AY99" i="5"/>
  <c r="AY143" i="5"/>
  <c r="AY179" i="5"/>
  <c r="AQ38" i="5"/>
  <c r="AQ63" i="5"/>
  <c r="AQ102" i="5"/>
  <c r="AQ138" i="5"/>
  <c r="AQ176" i="5"/>
  <c r="AI33" i="5"/>
  <c r="AI85" i="5"/>
  <c r="AI119" i="5"/>
  <c r="AI126" i="5"/>
  <c r="AI153" i="5"/>
  <c r="AI190" i="5"/>
  <c r="AU44" i="5"/>
  <c r="AU78" i="5"/>
  <c r="AU100" i="5"/>
  <c r="AU140" i="5"/>
  <c r="AU178" i="5"/>
  <c r="AL15" i="5"/>
  <c r="AX45" i="5"/>
  <c r="AX77" i="5"/>
  <c r="AX99" i="5"/>
  <c r="AX137" i="5"/>
  <c r="AX176" i="5"/>
  <c r="AP37" i="5"/>
  <c r="AP54" i="5"/>
  <c r="AP98" i="5"/>
  <c r="AP134" i="5"/>
  <c r="AP149" i="5"/>
  <c r="AP195" i="5"/>
  <c r="AN83" i="5"/>
  <c r="AN88" i="5"/>
  <c r="AN125" i="5"/>
  <c r="AN154" i="5"/>
  <c r="AN179" i="5"/>
  <c r="AS19" i="5"/>
  <c r="AW42" i="5"/>
  <c r="AW71" i="5"/>
  <c r="AW104" i="5"/>
  <c r="AW153" i="5"/>
  <c r="AW166" i="5"/>
  <c r="AO38" i="5"/>
  <c r="AO76" i="5"/>
  <c r="AO104" i="5"/>
  <c r="AO137" i="5"/>
  <c r="AO190" i="5"/>
  <c r="AV34" i="5"/>
  <c r="AV94" i="5"/>
  <c r="AV97" i="5"/>
  <c r="AV132" i="5"/>
  <c r="AV173" i="5"/>
  <c r="AU20" i="5"/>
  <c r="AT184" i="5"/>
  <c r="AL40" i="5"/>
  <c r="AL74" i="5"/>
  <c r="AL94" i="5"/>
  <c r="AL134" i="5"/>
  <c r="AL168" i="5"/>
  <c r="AV14" i="5"/>
  <c r="AM60" i="5"/>
  <c r="AM79" i="5"/>
  <c r="AM113" i="5"/>
  <c r="AM151" i="5"/>
  <c r="AM183" i="5"/>
  <c r="AW17" i="5"/>
  <c r="AS41" i="5"/>
  <c r="AS78" i="5"/>
  <c r="AS103" i="5"/>
  <c r="AS148" i="5"/>
  <c r="AS172" i="5"/>
  <c r="AK37" i="5"/>
  <c r="AK76" i="5"/>
  <c r="AK133" i="5"/>
  <c r="AK149" i="5"/>
  <c r="AK170" i="5"/>
  <c r="AN44" i="5"/>
  <c r="AN17" i="5"/>
  <c r="AR35" i="5"/>
  <c r="AR65" i="5"/>
  <c r="AR117" i="5"/>
  <c r="AR144" i="5"/>
  <c r="AR188" i="5"/>
  <c r="AJ35" i="5"/>
  <c r="AJ63" i="5"/>
  <c r="AJ100" i="5"/>
  <c r="AJ140" i="5"/>
  <c r="AJ169" i="5"/>
  <c r="AN33" i="5"/>
  <c r="AY16" i="5"/>
  <c r="AY40" i="5"/>
  <c r="AY61" i="5"/>
  <c r="AY92" i="5"/>
  <c r="AY128" i="5"/>
  <c r="AY158" i="5"/>
  <c r="AQ44" i="5"/>
  <c r="AQ59" i="5"/>
  <c r="AQ82" i="5"/>
  <c r="AQ118" i="5"/>
  <c r="AQ155" i="5"/>
  <c r="AQ187" i="5"/>
  <c r="AI41" i="5"/>
  <c r="AI113" i="5"/>
  <c r="AI101" i="5"/>
  <c r="AI163" i="5"/>
  <c r="AI179" i="5"/>
  <c r="AU28" i="5"/>
  <c r="AU72" i="5"/>
  <c r="AU85" i="5"/>
  <c r="AU122" i="5"/>
  <c r="AU148" i="5"/>
  <c r="AU188" i="5"/>
  <c r="AT17" i="5"/>
  <c r="AX31" i="5"/>
  <c r="AX65" i="5"/>
  <c r="AX92" i="5"/>
  <c r="AX128" i="5"/>
  <c r="AX161" i="5"/>
  <c r="AX189" i="5"/>
  <c r="AP40" i="5"/>
  <c r="AP87" i="5"/>
  <c r="AP106" i="5"/>
  <c r="AP147" i="5"/>
  <c r="AP169" i="5"/>
  <c r="AN38" i="5"/>
  <c r="AN68" i="5"/>
  <c r="AN101" i="5"/>
  <c r="AN138" i="5"/>
  <c r="AN168" i="5"/>
  <c r="AK23" i="5"/>
  <c r="AO8" i="5"/>
  <c r="AW65" i="5"/>
  <c r="AW92" i="5"/>
  <c r="AW127" i="5"/>
  <c r="AW155" i="5"/>
  <c r="AW187" i="5"/>
  <c r="AO63" i="5"/>
  <c r="AO92" i="5"/>
  <c r="AO130" i="5"/>
  <c r="AO163" i="5"/>
  <c r="AO189" i="5"/>
  <c r="AV52" i="5"/>
  <c r="AV78" i="5"/>
  <c r="AV121" i="5"/>
  <c r="AV151" i="5"/>
  <c r="AV193" i="5"/>
  <c r="AT20" i="5"/>
  <c r="AL20" i="5"/>
  <c r="AT34" i="5"/>
  <c r="AT68" i="5"/>
  <c r="AT97" i="5"/>
  <c r="AT131" i="5"/>
  <c r="AT152" i="5"/>
  <c r="AT192" i="5"/>
  <c r="AL43" i="5"/>
  <c r="AL75" i="5"/>
  <c r="AL109" i="5"/>
  <c r="AL139" i="5"/>
  <c r="AL180" i="5"/>
  <c r="AM16" i="5"/>
  <c r="AM61" i="5"/>
  <c r="AM81" i="5"/>
  <c r="AM115" i="5"/>
  <c r="AM153" i="5"/>
  <c r="AM185" i="5"/>
  <c r="AO21" i="5"/>
  <c r="AS44" i="5"/>
  <c r="AS61" i="5"/>
  <c r="AS96" i="5"/>
  <c r="AS118" i="5"/>
  <c r="AS166" i="5"/>
  <c r="AK39" i="5"/>
  <c r="AK61" i="5"/>
  <c r="AK127" i="5"/>
  <c r="AK118" i="5"/>
  <c r="AK168" i="5"/>
  <c r="AM14" i="5"/>
  <c r="AJ12" i="5"/>
  <c r="AR64" i="5"/>
  <c r="AR99" i="5"/>
  <c r="AR132" i="5"/>
  <c r="AR161" i="5"/>
  <c r="AR184" i="5"/>
  <c r="AJ86" i="5"/>
  <c r="AJ95" i="5"/>
  <c r="AJ130" i="5"/>
  <c r="AJ159" i="5"/>
  <c r="AJ182" i="5"/>
  <c r="AQ16" i="5"/>
  <c r="AY27" i="5"/>
  <c r="AY52" i="5"/>
  <c r="AY86" i="5"/>
  <c r="AY127" i="5"/>
  <c r="AY164" i="5"/>
  <c r="AY193" i="5"/>
  <c r="AQ49" i="5"/>
  <c r="AQ111" i="5"/>
  <c r="AQ103" i="5"/>
  <c r="AQ145" i="5"/>
  <c r="AQ181" i="5"/>
  <c r="AI34" i="5"/>
  <c r="AI77" i="5"/>
  <c r="AI100" i="5"/>
  <c r="AI135" i="5"/>
  <c r="AI173" i="5"/>
  <c r="AV18" i="5"/>
  <c r="AU48" i="5"/>
  <c r="AU90" i="5"/>
  <c r="AU104" i="5"/>
  <c r="AU144" i="5"/>
  <c r="AU182" i="5"/>
  <c r="AL17" i="5"/>
  <c r="AX33" i="5"/>
  <c r="AX67" i="5"/>
  <c r="AX94" i="5"/>
  <c r="AX130" i="5"/>
  <c r="AX149" i="5"/>
  <c r="AX191" i="5"/>
  <c r="AP42" i="5"/>
  <c r="AP105" i="5"/>
  <c r="AP108" i="5"/>
  <c r="AP140" i="5"/>
  <c r="AP171" i="5"/>
  <c r="AN24" i="5"/>
  <c r="AN54" i="5"/>
  <c r="AN116" i="5"/>
  <c r="AN124" i="5"/>
  <c r="AN163" i="5"/>
  <c r="AR38" i="5"/>
  <c r="AW14" i="5"/>
  <c r="AW52" i="5"/>
  <c r="AW78" i="5"/>
  <c r="AW124" i="5"/>
  <c r="AW154" i="5"/>
  <c r="AW172" i="5"/>
  <c r="AO50" i="5"/>
  <c r="AO80" i="5"/>
  <c r="AO136" i="5"/>
  <c r="AL170" i="46"/>
  <c r="AJ8" i="46"/>
  <c r="AU29" i="46"/>
  <c r="AU103" i="46"/>
  <c r="AU160" i="46"/>
  <c r="AM60" i="46"/>
  <c r="AM153" i="46"/>
  <c r="AJ137" i="46"/>
  <c r="AJ209" i="46"/>
  <c r="AT48" i="46"/>
  <c r="AT148" i="46"/>
  <c r="AM177" i="46"/>
  <c r="AM223" i="46"/>
  <c r="AS68" i="46"/>
  <c r="AS144" i="46"/>
  <c r="AS212" i="46"/>
  <c r="AJ64" i="46"/>
  <c r="AJ118" i="46"/>
  <c r="AJ192" i="46"/>
  <c r="AT16" i="46"/>
  <c r="AT78" i="46"/>
  <c r="AT135" i="46"/>
  <c r="AT208" i="46"/>
  <c r="AL109" i="46"/>
  <c r="AL135" i="46"/>
  <c r="AL206" i="46"/>
  <c r="AR62" i="46"/>
  <c r="AR132" i="46"/>
  <c r="AR190" i="46"/>
  <c r="AT189" i="46"/>
  <c r="AU199" i="46"/>
  <c r="AM77" i="46"/>
  <c r="AM130" i="46"/>
  <c r="AM190" i="46"/>
  <c r="AS45" i="46"/>
  <c r="AS115" i="46"/>
  <c r="AS185" i="46"/>
  <c r="AJ36" i="46"/>
  <c r="AJ107" i="46"/>
  <c r="AJ167" i="46"/>
  <c r="AX37" i="46"/>
  <c r="AT55" i="46"/>
  <c r="AT108" i="46"/>
  <c r="AT182" i="46"/>
  <c r="AL55" i="46"/>
  <c r="AL112" i="46"/>
  <c r="AL182" i="46"/>
  <c r="AR34" i="46"/>
  <c r="AR103" i="46"/>
  <c r="AR161" i="46"/>
  <c r="AP47" i="46"/>
  <c r="AL79" i="46"/>
  <c r="AL139" i="46"/>
  <c r="AL210" i="46"/>
  <c r="AR66" i="46"/>
  <c r="AR118" i="46"/>
  <c r="AR194" i="46"/>
  <c r="AL194" i="46"/>
  <c r="AR51" i="46"/>
  <c r="AR108" i="46"/>
  <c r="AR174" i="46"/>
  <c r="AK21" i="46"/>
  <c r="AO13" i="46"/>
  <c r="AM38" i="46"/>
  <c r="AK64" i="46"/>
  <c r="AT42" i="5"/>
  <c r="AT169" i="5"/>
  <c r="AL146" i="5"/>
  <c r="AM91" i="5"/>
  <c r="AS10" i="5"/>
  <c r="AS156" i="5"/>
  <c r="AK124" i="5"/>
  <c r="AR31" i="5"/>
  <c r="AR167" i="5"/>
  <c r="AJ135" i="5"/>
  <c r="AY37" i="5"/>
  <c r="AY154" i="5"/>
  <c r="AQ120" i="5"/>
  <c r="AI117" i="5"/>
  <c r="AU88" i="5"/>
  <c r="AP18" i="5"/>
  <c r="AX119" i="5"/>
  <c r="AP80" i="5"/>
  <c r="AN42" i="5"/>
  <c r="AN176" i="5"/>
  <c r="AW91" i="5"/>
  <c r="AO59" i="5"/>
  <c r="AO176" i="5"/>
  <c r="AV145" i="5"/>
  <c r="AT44" i="5"/>
  <c r="AT165" i="5"/>
  <c r="AL135" i="5"/>
  <c r="AM76" i="5"/>
  <c r="AK22" i="5"/>
  <c r="AS114" i="5"/>
  <c r="AK103" i="5"/>
  <c r="AR10" i="5"/>
  <c r="AR145" i="5"/>
  <c r="AJ110" i="5"/>
  <c r="AJ195" i="5"/>
  <c r="AQ20" i="5"/>
  <c r="AI6" i="5"/>
  <c r="AY48" i="5"/>
  <c r="AY82" i="5"/>
  <c r="AY125" i="5"/>
  <c r="AY157" i="5"/>
  <c r="AY189" i="5"/>
  <c r="AQ45" i="5"/>
  <c r="AQ93" i="5"/>
  <c r="AQ99" i="5"/>
  <c r="AQ141" i="5"/>
  <c r="AQ173" i="5"/>
  <c r="AI30" i="5"/>
  <c r="AI71" i="5"/>
  <c r="AI96" i="5"/>
  <c r="AI146" i="5"/>
  <c r="AI170" i="5"/>
  <c r="AU26" i="5"/>
  <c r="AU55" i="5"/>
  <c r="AU83" i="5"/>
  <c r="AU117" i="5"/>
  <c r="AU160" i="5"/>
  <c r="AU186" i="5"/>
  <c r="AX12" i="5"/>
  <c r="AX48" i="5"/>
  <c r="AX76" i="5"/>
  <c r="AX114" i="5"/>
  <c r="AX144" i="5"/>
  <c r="AX175" i="5"/>
  <c r="AP38" i="5"/>
  <c r="AP70" i="5"/>
  <c r="AP95" i="5"/>
  <c r="AP129" i="5"/>
  <c r="AP165" i="5"/>
  <c r="AN43" i="5"/>
  <c r="AN79" i="5"/>
  <c r="AN104" i="5"/>
  <c r="AN120" i="5"/>
  <c r="AN159" i="5"/>
  <c r="AN194" i="5"/>
  <c r="AS15" i="5"/>
  <c r="AW48" i="5"/>
  <c r="AW89" i="5"/>
  <c r="AW132" i="5"/>
  <c r="AW150" i="5"/>
  <c r="AW189" i="5"/>
  <c r="AO46" i="5"/>
  <c r="AO91" i="5"/>
  <c r="AO120" i="5"/>
  <c r="AO140" i="5"/>
  <c r="AO177" i="5"/>
  <c r="AV65" i="5"/>
  <c r="AV68" i="5"/>
  <c r="AV119" i="5"/>
  <c r="AV147" i="5"/>
  <c r="AV172" i="5"/>
  <c r="AT150" i="5"/>
  <c r="AT190" i="5"/>
  <c r="AL41" i="5"/>
  <c r="AL73" i="5"/>
  <c r="AL107" i="5"/>
  <c r="AL155" i="5"/>
  <c r="AL176" i="5"/>
  <c r="AM34" i="5"/>
  <c r="AM49" i="5"/>
  <c r="AM104" i="5"/>
  <c r="AM121" i="5"/>
  <c r="AM154" i="5"/>
  <c r="AM189" i="5"/>
  <c r="AW13" i="5"/>
  <c r="AS45" i="5"/>
  <c r="AS79" i="5"/>
  <c r="AS126" i="5"/>
  <c r="AS149" i="5"/>
  <c r="AS171" i="5"/>
  <c r="AK51" i="5"/>
  <c r="AK79" i="5"/>
  <c r="AK119" i="5"/>
  <c r="AK141" i="5"/>
  <c r="AK171" i="5"/>
  <c r="AJ32" i="5"/>
  <c r="AR12" i="5"/>
  <c r="AR95" i="5"/>
  <c r="AR73" i="5"/>
  <c r="AR114" i="5"/>
  <c r="AR147" i="5"/>
  <c r="AR181" i="5"/>
  <c r="AJ56" i="5"/>
  <c r="AJ73" i="5"/>
  <c r="AJ112" i="5"/>
  <c r="AJ143" i="5"/>
  <c r="AJ192" i="5"/>
  <c r="AM24" i="5"/>
  <c r="AM13" i="5"/>
  <c r="AY34" i="5"/>
  <c r="AY87" i="5"/>
  <c r="AY103" i="5"/>
  <c r="AY135" i="5"/>
  <c r="AY167" i="5"/>
  <c r="AQ24" i="5"/>
  <c r="AQ50" i="5"/>
  <c r="AQ88" i="5"/>
  <c r="AQ124" i="5"/>
  <c r="AQ165" i="5"/>
  <c r="AQ192" i="5"/>
  <c r="AI64" i="5"/>
  <c r="AI78" i="5"/>
  <c r="AI118" i="5"/>
  <c r="AI152" i="5"/>
  <c r="AI187" i="5"/>
  <c r="AU65" i="5"/>
  <c r="AU49" i="5"/>
  <c r="AU91" i="5"/>
  <c r="AU125" i="5"/>
  <c r="AU161" i="5"/>
  <c r="AU195" i="5"/>
  <c r="AP12" i="5"/>
  <c r="AX32" i="5"/>
  <c r="AX64" i="5"/>
  <c r="AX105" i="5"/>
  <c r="AX123" i="5"/>
  <c r="AX163" i="5"/>
  <c r="AX194" i="5"/>
  <c r="AP57" i="5"/>
  <c r="AP84" i="5"/>
  <c r="AP113" i="5"/>
  <c r="AP154" i="5"/>
  <c r="AP180" i="5"/>
  <c r="AN46" i="5"/>
  <c r="AN74" i="5"/>
  <c r="AN111" i="5"/>
  <c r="AN146" i="5"/>
  <c r="AN195" i="5"/>
  <c r="AK19" i="5"/>
  <c r="AW40" i="5"/>
  <c r="AW58" i="5"/>
  <c r="AW130" i="5"/>
  <c r="AW117" i="5"/>
  <c r="AW183" i="5"/>
  <c r="AO41" i="5"/>
  <c r="AO62" i="5"/>
  <c r="AO95" i="5"/>
  <c r="AO131" i="5"/>
  <c r="AO162" i="5"/>
  <c r="AV45" i="5"/>
  <c r="AV75" i="5"/>
  <c r="AV100" i="5"/>
  <c r="AV137" i="5"/>
  <c r="AV157" i="5"/>
  <c r="AV188" i="5"/>
  <c r="AT147" i="5"/>
  <c r="AL16" i="5"/>
  <c r="AT31" i="5"/>
  <c r="AT65" i="5"/>
  <c r="AT92" i="5"/>
  <c r="AT128" i="5"/>
  <c r="AT164" i="5"/>
  <c r="AL26" i="5"/>
  <c r="AL62" i="5"/>
  <c r="AL108" i="5"/>
  <c r="AL116" i="5"/>
  <c r="AL159" i="5"/>
  <c r="AL185" i="5"/>
  <c r="AM36" i="5"/>
  <c r="AM51" i="5"/>
  <c r="AM108" i="5"/>
  <c r="AM123" i="5"/>
  <c r="AM169" i="5"/>
  <c r="AM191" i="5"/>
  <c r="AO17" i="5"/>
  <c r="AS48" i="5"/>
  <c r="AS80" i="5"/>
  <c r="AS105" i="5"/>
  <c r="AS152" i="5"/>
  <c r="AS174" i="5"/>
  <c r="AK52" i="5"/>
  <c r="AK78" i="5"/>
  <c r="AK105" i="5"/>
  <c r="AK142" i="5"/>
  <c r="AK172" i="5"/>
  <c r="AV21" i="5"/>
  <c r="AR44" i="5"/>
  <c r="AR80" i="5"/>
  <c r="AR94" i="5"/>
  <c r="AR129" i="5"/>
  <c r="AR166" i="5"/>
  <c r="AJ40" i="5"/>
  <c r="AJ78" i="5"/>
  <c r="AJ117" i="5"/>
  <c r="AJ125" i="5"/>
  <c r="AJ162" i="5"/>
  <c r="AV10" i="5"/>
  <c r="AY14" i="5"/>
  <c r="AY42" i="5"/>
  <c r="AY63" i="5"/>
  <c r="AY94" i="5"/>
  <c r="AY130" i="5"/>
  <c r="AY160" i="5"/>
  <c r="AQ25" i="5"/>
  <c r="AQ61" i="5"/>
  <c r="AQ84" i="5"/>
  <c r="AQ121" i="5"/>
  <c r="AQ159" i="5"/>
  <c r="AQ189" i="5"/>
  <c r="AI43" i="5"/>
  <c r="AI89" i="5"/>
  <c r="AI103" i="5"/>
  <c r="AI141" i="5"/>
  <c r="AI181" i="5"/>
  <c r="AU30" i="5"/>
  <c r="AU56" i="5"/>
  <c r="AU87" i="5"/>
  <c r="AU128" i="5"/>
  <c r="AU150" i="5"/>
  <c r="AU190" i="5"/>
  <c r="AX14" i="5"/>
  <c r="AX34" i="5"/>
  <c r="AX66" i="5"/>
  <c r="AX120" i="5"/>
  <c r="AX125" i="5"/>
  <c r="AX174" i="5"/>
  <c r="AP25" i="5"/>
  <c r="AP59" i="5"/>
  <c r="AP86" i="5"/>
  <c r="AP115" i="5"/>
  <c r="AP156" i="5"/>
  <c r="AP182" i="5"/>
  <c r="AN49" i="5"/>
  <c r="AN70" i="5"/>
  <c r="AN103" i="5"/>
  <c r="AN141" i="5"/>
  <c r="AN173" i="5"/>
  <c r="AJ28" i="5"/>
  <c r="AK11" i="5"/>
  <c r="AW67" i="5"/>
  <c r="AW94" i="5"/>
  <c r="AW134" i="5"/>
  <c r="AW159" i="5"/>
  <c r="AW186" i="5"/>
  <c r="AO65" i="5"/>
  <c r="AO94" i="5"/>
  <c r="AO105" i="5"/>
  <c r="AO164" i="5"/>
  <c r="AO188" i="5"/>
  <c r="AV53" i="5"/>
  <c r="AV80" i="5"/>
  <c r="AV123" i="5"/>
  <c r="AV153" i="5"/>
  <c r="AV187" i="5"/>
  <c r="AT12" i="5"/>
  <c r="AT46" i="5"/>
  <c r="AT80" i="5"/>
  <c r="AT112" i="5"/>
  <c r="AX23" i="5"/>
  <c r="AT6" i="5"/>
  <c r="AT106" i="5"/>
  <c r="AT83" i="5"/>
  <c r="AT123" i="5"/>
  <c r="AT151" i="5"/>
  <c r="AT179" i="5"/>
  <c r="AL44" i="5"/>
  <c r="AL78" i="5"/>
  <c r="AL98" i="5"/>
  <c r="AL138" i="5"/>
  <c r="AL165" i="5"/>
  <c r="AV6" i="5"/>
  <c r="AM50" i="5"/>
  <c r="AM90" i="5"/>
  <c r="AM98" i="5"/>
  <c r="AM144" i="5"/>
  <c r="AM178" i="5"/>
  <c r="AR24" i="5"/>
  <c r="AS8" i="5"/>
  <c r="AS64" i="5"/>
  <c r="AS97" i="5"/>
  <c r="AS137" i="5"/>
  <c r="AS158" i="5"/>
  <c r="AS190" i="5"/>
  <c r="AK70" i="5"/>
  <c r="AK93" i="5"/>
  <c r="AK140" i="5"/>
  <c r="AK155" i="5"/>
  <c r="AK190" i="5"/>
  <c r="AR16" i="5"/>
  <c r="AR41" i="5"/>
  <c r="AR69" i="5"/>
  <c r="AR120" i="5"/>
  <c r="AR151" i="5"/>
  <c r="AR171" i="5"/>
  <c r="AJ45" i="5"/>
  <c r="AJ67" i="5"/>
  <c r="AJ111" i="5"/>
  <c r="AJ144" i="5"/>
  <c r="AJ176" i="5"/>
  <c r="AU23" i="5"/>
  <c r="AM9" i="5"/>
  <c r="AY38" i="5"/>
  <c r="AY71" i="5"/>
  <c r="AY113" i="5"/>
  <c r="AY142" i="5"/>
  <c r="AY172" i="5"/>
  <c r="AQ28" i="5"/>
  <c r="AQ66" i="5"/>
  <c r="AQ92" i="5"/>
  <c r="AQ128" i="5"/>
  <c r="AQ158" i="5"/>
  <c r="AI40" i="5"/>
  <c r="AI66" i="5"/>
  <c r="AI82" i="5"/>
  <c r="AI131" i="5"/>
  <c r="AI168" i="5"/>
  <c r="AI191" i="5"/>
  <c r="AU43" i="5"/>
  <c r="AU63" i="5"/>
  <c r="AU95" i="5"/>
  <c r="AU129" i="5"/>
  <c r="AU164" i="5"/>
  <c r="AS38" i="5"/>
  <c r="AP14" i="5"/>
  <c r="AX51" i="5"/>
  <c r="AX83" i="5"/>
  <c r="AX104" i="5"/>
  <c r="AX143" i="5"/>
  <c r="AX166" i="5"/>
  <c r="AP28" i="5"/>
  <c r="AP60" i="5"/>
  <c r="AP109" i="5"/>
  <c r="AP119" i="5"/>
  <c r="AP158" i="5"/>
  <c r="AP190" i="5"/>
  <c r="AN50" i="5"/>
  <c r="AN78" i="5"/>
  <c r="AN115" i="5"/>
  <c r="AN152" i="5"/>
  <c r="AN178" i="5"/>
  <c r="AO18" i="5"/>
  <c r="AW49" i="5"/>
  <c r="AW79" i="5"/>
  <c r="AW110" i="5"/>
  <c r="AW145" i="5"/>
  <c r="AW173" i="5"/>
  <c r="AO51" i="5"/>
  <c r="AO79" i="5"/>
  <c r="AO110" i="5"/>
  <c r="AO143" i="5"/>
  <c r="AO180" i="5"/>
  <c r="AV42" i="5"/>
  <c r="AV58" i="5"/>
  <c r="AV110" i="5"/>
  <c r="AV138" i="5"/>
  <c r="AV171" i="5"/>
  <c r="AI188" i="5"/>
  <c r="AP19" i="5"/>
  <c r="AT38" i="5"/>
  <c r="AT53" i="5"/>
  <c r="AT101" i="5"/>
  <c r="AT135" i="5"/>
  <c r="AT155" i="5"/>
  <c r="AT187" i="5"/>
  <c r="AL47" i="5"/>
  <c r="AL79" i="5"/>
  <c r="AL113" i="5"/>
  <c r="AL143" i="5"/>
  <c r="AL177" i="5"/>
  <c r="AM45" i="5"/>
  <c r="AM82" i="5"/>
  <c r="AM118" i="5"/>
  <c r="AM127" i="5"/>
  <c r="AM157" i="5"/>
  <c r="AM195" i="5"/>
  <c r="AK12" i="5"/>
  <c r="AS51" i="5"/>
  <c r="AS85" i="5"/>
  <c r="AS123" i="5"/>
  <c r="AS143" i="5"/>
  <c r="AS177" i="5"/>
  <c r="AK56" i="5"/>
  <c r="AK85" i="5"/>
  <c r="AK130" i="5"/>
  <c r="AK147" i="5"/>
  <c r="AK177" i="5"/>
  <c r="AN23" i="5"/>
  <c r="AN7" i="5"/>
  <c r="AR71" i="5"/>
  <c r="AR89" i="5"/>
  <c r="AR136" i="5"/>
  <c r="AR164" i="5"/>
  <c r="AR189" i="5"/>
  <c r="AJ82" i="5"/>
  <c r="AJ101" i="5"/>
  <c r="AJ134" i="5"/>
  <c r="AJ163" i="5"/>
  <c r="AJ187" i="5"/>
  <c r="AU21" i="5"/>
  <c r="AM7" i="5"/>
  <c r="AY51" i="5"/>
  <c r="AY74" i="5"/>
  <c r="AY114" i="5"/>
  <c r="AY148" i="5"/>
  <c r="AY180" i="5"/>
  <c r="AQ71" i="5"/>
  <c r="AQ79" i="5"/>
  <c r="AQ104" i="5"/>
  <c r="AQ133" i="5"/>
  <c r="AQ167" i="5"/>
  <c r="AI44" i="5"/>
  <c r="AI52" i="5"/>
  <c r="AI88" i="5"/>
  <c r="AI134" i="5"/>
  <c r="AI158" i="5"/>
  <c r="AN12" i="5"/>
  <c r="AU54" i="5"/>
  <c r="AU84" i="5"/>
  <c r="AU109" i="5"/>
  <c r="AU138" i="5"/>
  <c r="AU175" i="5"/>
  <c r="AS25" i="5"/>
  <c r="AX8" i="5"/>
  <c r="AX40" i="5"/>
  <c r="AX85" i="5"/>
  <c r="AX106" i="5"/>
  <c r="AX145" i="5"/>
  <c r="AX168" i="5"/>
  <c r="AP30" i="5"/>
  <c r="AP62" i="5"/>
  <c r="AP107" i="5"/>
  <c r="AP121" i="5"/>
  <c r="AP162" i="5"/>
  <c r="AP192" i="5"/>
  <c r="AN52" i="5"/>
  <c r="AN80" i="5"/>
  <c r="AN117" i="5"/>
  <c r="AN164" i="5"/>
  <c r="AN180" i="5"/>
  <c r="AS21" i="5"/>
  <c r="AW32" i="5"/>
  <c r="AW64" i="5"/>
  <c r="AW97" i="5"/>
  <c r="AW120" i="5"/>
  <c r="AW181" i="5"/>
  <c r="AO30" i="5"/>
  <c r="AO68" i="5"/>
  <c r="AO101" i="5"/>
  <c r="AO132" i="5"/>
  <c r="AO167" i="5"/>
  <c r="AV20" i="5"/>
  <c r="AV73" i="5"/>
  <c r="AV84" i="5"/>
  <c r="AV127" i="5"/>
  <c r="AV156" i="5"/>
  <c r="AV181" i="5"/>
  <c r="AJ30" i="5"/>
  <c r="AT10" i="5"/>
  <c r="AT41" i="5"/>
  <c r="AT71" i="5"/>
  <c r="AT107" i="5"/>
  <c r="AT139" i="5"/>
  <c r="AT172" i="5"/>
  <c r="AL31" i="5"/>
  <c r="AL65" i="5"/>
  <c r="AL123" i="5"/>
  <c r="AL126" i="5"/>
  <c r="AL175" i="5"/>
  <c r="AN37" i="5"/>
  <c r="AM56" i="5"/>
  <c r="AM96" i="5"/>
  <c r="AM102" i="5"/>
  <c r="AM156" i="5"/>
  <c r="AM182" i="5"/>
  <c r="AW19" i="5"/>
  <c r="AS31" i="5"/>
  <c r="AS67" i="5"/>
  <c r="AS102" i="5"/>
  <c r="AS136" i="5"/>
  <c r="AS169" i="5"/>
  <c r="AK29" i="5"/>
  <c r="AK67" i="5"/>
  <c r="AK96" i="5"/>
  <c r="AK126" i="5"/>
  <c r="AK167" i="5"/>
  <c r="AI56" i="5"/>
  <c r="AV11" i="5"/>
  <c r="AR56" i="5"/>
  <c r="AR81" i="5"/>
  <c r="AR122" i="5"/>
  <c r="AR152" i="5"/>
  <c r="AR194" i="5"/>
  <c r="AJ49" i="5"/>
  <c r="AJ81" i="5"/>
  <c r="AJ120" i="5"/>
  <c r="AJ150" i="5"/>
  <c r="AJ183" i="5"/>
  <c r="AK27" i="5"/>
  <c r="AQ10" i="5"/>
  <c r="AY68" i="5"/>
  <c r="AY95" i="5"/>
  <c r="AY110" i="5"/>
  <c r="AY159" i="5"/>
  <c r="AY171" i="5"/>
  <c r="AQ32" i="5"/>
  <c r="AQ81" i="5"/>
  <c r="AQ96" i="5"/>
  <c r="AQ132" i="5"/>
  <c r="AQ162" i="5"/>
  <c r="AI27" i="5"/>
  <c r="AI55" i="5"/>
  <c r="AI86" i="5"/>
  <c r="AI120" i="5"/>
  <c r="AI161" i="5"/>
  <c r="AI195" i="5"/>
  <c r="AU25" i="5"/>
  <c r="AU62" i="5"/>
  <c r="AU99" i="5"/>
  <c r="AU133" i="5"/>
  <c r="AU170" i="5"/>
  <c r="AO35" i="5"/>
  <c r="AP8" i="5"/>
  <c r="AX42" i="5"/>
  <c r="AX87" i="5"/>
  <c r="AX108" i="5"/>
  <c r="AX147" i="5"/>
  <c r="AX169" i="5"/>
  <c r="AP32" i="5"/>
  <c r="AP64" i="5"/>
  <c r="AP89" i="5"/>
  <c r="AP123" i="5"/>
  <c r="AP172" i="5"/>
  <c r="AP194" i="5"/>
  <c r="AN57" i="5"/>
  <c r="AN82" i="5"/>
  <c r="AN139" i="5"/>
  <c r="AN149" i="5"/>
  <c r="AN182" i="5"/>
  <c r="AK17" i="5"/>
  <c r="AW54" i="5"/>
  <c r="AW83" i="5"/>
  <c r="AW114" i="5"/>
  <c r="AW152" i="5"/>
  <c r="AW177" i="5"/>
  <c r="AO45" i="5"/>
  <c r="AO83" i="5"/>
  <c r="AO114" i="5"/>
  <c r="AO147" i="5"/>
  <c r="AO171" i="5"/>
  <c r="AV28" i="5"/>
  <c r="AV81" i="5"/>
  <c r="AV91" i="5"/>
  <c r="AV126" i="5"/>
  <c r="AV164" i="5"/>
  <c r="AL56" i="5"/>
  <c r="AT129" i="5"/>
  <c r="AL14" i="5"/>
  <c r="AT40" i="5"/>
  <c r="AT74" i="5"/>
  <c r="AT100" i="5"/>
  <c r="AT136" i="5"/>
  <c r="AT175" i="5"/>
  <c r="AL34" i="5"/>
  <c r="AL70" i="5"/>
  <c r="AL95" i="5"/>
  <c r="AL131" i="5"/>
  <c r="AL150" i="5"/>
  <c r="AL192" i="5"/>
  <c r="AM57" i="5"/>
  <c r="AM73" i="5"/>
  <c r="AM105" i="5"/>
  <c r="AM160" i="5"/>
  <c r="AM184" i="5"/>
  <c r="AO19" i="5"/>
  <c r="AS33" i="5"/>
  <c r="AS69" i="5"/>
  <c r="AS104" i="5"/>
  <c r="AS138" i="5"/>
  <c r="AS165" i="5"/>
  <c r="AK31" i="5"/>
  <c r="AK69" i="5"/>
  <c r="AK98" i="5"/>
  <c r="AK139" i="5"/>
  <c r="AK169" i="5"/>
  <c r="AW35" i="5"/>
  <c r="AV13" i="5"/>
  <c r="AR50" i="5"/>
  <c r="AR76" i="5"/>
  <c r="AR108" i="5"/>
  <c r="AR141" i="5"/>
  <c r="AR177" i="5"/>
  <c r="AJ41" i="5"/>
  <c r="AJ103" i="5"/>
  <c r="AJ106" i="5"/>
  <c r="AJ153" i="5"/>
  <c r="AJ175" i="5"/>
  <c r="AW37" i="5"/>
  <c r="AU17" i="5"/>
  <c r="AY35" i="5"/>
  <c r="AY62" i="5"/>
  <c r="AY112" i="5"/>
  <c r="AY122" i="5"/>
  <c r="AY168" i="5"/>
  <c r="AY190" i="5"/>
  <c r="AQ58" i="5"/>
  <c r="AQ76" i="5"/>
  <c r="AQ127" i="5"/>
  <c r="AQ150" i="5"/>
  <c r="AQ180" i="5"/>
  <c r="AI59" i="5"/>
  <c r="AI69" i="5"/>
  <c r="AI105" i="5"/>
  <c r="AI140" i="5"/>
  <c r="AI176" i="5"/>
  <c r="AM10" i="5"/>
  <c r="AU53" i="5"/>
  <c r="AU79" i="5"/>
  <c r="AU113" i="5"/>
  <c r="AU153" i="5"/>
  <c r="AU183" i="5"/>
  <c r="AL21" i="5"/>
  <c r="AX25" i="5"/>
  <c r="AX59" i="5"/>
  <c r="AX107" i="5"/>
  <c r="AX115" i="5"/>
  <c r="AX158" i="5"/>
  <c r="AX184" i="5"/>
  <c r="AP47" i="5"/>
  <c r="AP81" i="5"/>
  <c r="AP111" i="5"/>
  <c r="AP141" i="5"/>
  <c r="AP168" i="5"/>
  <c r="AN32" i="5"/>
  <c r="AN62" i="5"/>
  <c r="AN95" i="5"/>
  <c r="AN132" i="5"/>
  <c r="AN175" i="5"/>
  <c r="AW51" i="5"/>
  <c r="AW12" i="5"/>
  <c r="AW44" i="5"/>
  <c r="AW85" i="5"/>
  <c r="AW116" i="5"/>
  <c r="AW148" i="5"/>
  <c r="AW178" i="5"/>
  <c r="AO55" i="5"/>
  <c r="AO85" i="5"/>
  <c r="AO116" i="5"/>
  <c r="AO149" i="5"/>
  <c r="AO173" i="5"/>
  <c r="AV30" i="5"/>
  <c r="AV85" i="5"/>
  <c r="AV93" i="5"/>
  <c r="AV128" i="5"/>
  <c r="AV165" i="5"/>
  <c r="AO124" i="5"/>
  <c r="AO165" i="5"/>
  <c r="AV63" i="5"/>
  <c r="AV102" i="5"/>
  <c r="AV104" i="5"/>
  <c r="AV120" i="5"/>
  <c r="AV159" i="5"/>
  <c r="AV190" i="5"/>
  <c r="AT8" i="5"/>
  <c r="AT49" i="5"/>
  <c r="AT79" i="5"/>
  <c r="AT140" i="5"/>
  <c r="AX19" i="5"/>
  <c r="AT36" i="5"/>
  <c r="AT70" i="5"/>
  <c r="AT99" i="5"/>
  <c r="AT133" i="5"/>
  <c r="AT154" i="5"/>
  <c r="AT194" i="5"/>
  <c r="AL45" i="5"/>
  <c r="AL77" i="5"/>
  <c r="AL111" i="5"/>
  <c r="AL141" i="5"/>
  <c r="AL184" i="5"/>
  <c r="AM8" i="5"/>
  <c r="AM88" i="5"/>
  <c r="AM83" i="5"/>
  <c r="AM117" i="5"/>
  <c r="AM158" i="5"/>
  <c r="AM186" i="5"/>
  <c r="AS20" i="5"/>
  <c r="AS46" i="5"/>
  <c r="AS63" i="5"/>
  <c r="AS98" i="5"/>
  <c r="AS129" i="5"/>
  <c r="AS168" i="5"/>
  <c r="AK40" i="5"/>
  <c r="AK63" i="5"/>
  <c r="AK128" i="5"/>
  <c r="AK122" i="5"/>
  <c r="AK179" i="5"/>
  <c r="AM69" i="5"/>
  <c r="AJ14" i="5"/>
  <c r="AR49" i="5"/>
  <c r="AR77" i="5"/>
  <c r="AR118" i="5"/>
  <c r="AR148" i="5"/>
  <c r="AR185" i="5"/>
  <c r="AJ60" i="5"/>
  <c r="AJ77" i="5"/>
  <c r="AJ116" i="5"/>
  <c r="AJ147" i="5"/>
  <c r="AJ179" i="5"/>
  <c r="AI16" i="5"/>
  <c r="AU7" i="5"/>
  <c r="AY49" i="5"/>
  <c r="AY72" i="5"/>
  <c r="AY131" i="5"/>
  <c r="AY155" i="5"/>
  <c r="AY178" i="5"/>
  <c r="AQ53" i="5"/>
  <c r="AQ69" i="5"/>
  <c r="AQ117" i="5"/>
  <c r="AQ146" i="5"/>
  <c r="AQ175" i="5"/>
  <c r="AI42" i="5"/>
  <c r="AI50" i="5"/>
  <c r="AI127" i="5"/>
  <c r="AI132" i="5"/>
  <c r="AI156" i="5"/>
  <c r="AV16" i="5"/>
  <c r="AU37" i="5"/>
  <c r="AU82" i="5"/>
  <c r="AU118" i="5"/>
  <c r="AU136" i="5"/>
  <c r="AU171" i="5"/>
  <c r="AW26" i="5"/>
  <c r="AT11" i="5"/>
  <c r="AX53" i="5"/>
  <c r="AX82" i="5"/>
  <c r="AX124" i="5"/>
  <c r="AX150" i="5"/>
  <c r="AX178" i="5"/>
  <c r="AP41" i="5"/>
  <c r="AP75" i="5"/>
  <c r="AP101" i="5"/>
  <c r="AP135" i="5"/>
  <c r="AP170" i="5"/>
  <c r="AN22" i="5"/>
  <c r="AN53" i="5"/>
  <c r="AN110" i="5"/>
  <c r="AN131" i="5"/>
  <c r="AN160" i="5"/>
  <c r="AN185" i="5"/>
  <c r="AO14" i="5"/>
  <c r="AW53" i="5"/>
  <c r="AW80" i="5"/>
  <c r="AW125" i="5"/>
  <c r="AW140" i="5"/>
  <c r="AW174" i="5"/>
  <c r="AO52" i="5"/>
  <c r="AO82" i="5"/>
  <c r="AO121" i="5"/>
  <c r="AO146" i="5"/>
  <c r="AO179" i="5"/>
  <c r="AV51" i="5"/>
  <c r="AV79" i="5"/>
  <c r="AV107" i="5"/>
  <c r="AV150" i="5"/>
  <c r="AV191" i="5"/>
  <c r="AT126" i="5"/>
  <c r="AP15" i="5"/>
  <c r="AT35" i="5"/>
  <c r="AT69" i="5"/>
  <c r="AT96" i="5"/>
  <c r="AT132" i="5"/>
  <c r="AT168" i="5"/>
  <c r="AL30" i="5"/>
  <c r="AL66" i="5"/>
  <c r="AL91" i="5"/>
  <c r="AL127" i="5"/>
  <c r="AL158" i="5"/>
  <c r="AL188" i="5"/>
  <c r="AM35" i="5"/>
  <c r="AM68" i="5"/>
  <c r="AM101" i="5"/>
  <c r="AM134" i="5"/>
  <c r="AM177" i="5"/>
  <c r="AN31" i="5"/>
  <c r="AK8" i="5"/>
  <c r="AS66" i="5"/>
  <c r="AS99" i="5"/>
  <c r="AS106" i="5"/>
  <c r="AS162" i="5"/>
  <c r="AS192" i="5"/>
  <c r="AK90" i="5"/>
  <c r="AK95" i="5"/>
  <c r="AK106" i="5"/>
  <c r="AK157" i="5"/>
  <c r="AK192" i="5"/>
  <c r="AR18" i="5"/>
  <c r="AR25" i="5"/>
  <c r="AR55" i="5"/>
  <c r="AR98" i="5"/>
  <c r="AR133" i="5"/>
  <c r="AR172" i="5"/>
  <c r="AJ25" i="5"/>
  <c r="AJ76" i="5"/>
  <c r="AJ107" i="5"/>
  <c r="AJ129" i="5"/>
  <c r="AJ174" i="5"/>
  <c r="AK44" i="5"/>
  <c r="AI14" i="5"/>
  <c r="AY31" i="5"/>
  <c r="AY58" i="5"/>
  <c r="AY121" i="5"/>
  <c r="AY144" i="5"/>
  <c r="AY151" i="5"/>
  <c r="AY186" i="5"/>
  <c r="AQ55" i="5"/>
  <c r="AQ72" i="5"/>
  <c r="AQ123" i="5"/>
  <c r="AQ161" i="5"/>
  <c r="AQ185" i="5"/>
  <c r="AI38" i="5"/>
  <c r="AI65" i="5"/>
  <c r="AI106" i="5"/>
  <c r="AI159" i="5"/>
  <c r="AI169" i="5"/>
  <c r="AU22" i="5"/>
  <c r="AU52" i="5"/>
  <c r="AU75" i="5"/>
  <c r="AU158" i="5"/>
  <c r="AU149" i="5"/>
  <c r="AU179" i="5"/>
  <c r="AL19" i="5"/>
  <c r="AX6" i="5"/>
  <c r="AX55" i="5"/>
  <c r="AX84" i="5"/>
  <c r="AX122" i="5"/>
  <c r="AX152" i="5"/>
  <c r="AX180" i="5"/>
  <c r="AP43" i="5"/>
  <c r="AP77" i="5"/>
  <c r="AP103" i="5"/>
  <c r="AP137" i="5"/>
  <c r="AP164" i="5"/>
  <c r="AN20" i="5"/>
  <c r="AN65" i="5"/>
  <c r="AN94" i="5"/>
  <c r="AN133" i="5"/>
  <c r="AN162" i="5"/>
  <c r="AN186" i="5"/>
  <c r="AS17" i="5"/>
  <c r="AW76" i="5"/>
  <c r="AW81" i="5"/>
  <c r="AW112" i="5"/>
  <c r="AW147" i="5"/>
  <c r="AW175" i="5"/>
  <c r="AO53" i="5"/>
  <c r="AO81" i="5"/>
  <c r="AO112" i="5"/>
  <c r="AO145" i="5"/>
  <c r="AO185" i="5"/>
  <c r="AV26" i="5"/>
  <c r="AV89" i="5"/>
  <c r="AV106" i="5"/>
  <c r="AV124" i="5"/>
  <c r="AV163" i="5"/>
  <c r="AV194" i="5"/>
  <c r="AT22" i="5"/>
  <c r="AT24" i="5"/>
  <c r="AT58" i="5"/>
  <c r="AT87" i="5"/>
  <c r="AT114" i="5"/>
  <c r="AT157" i="5"/>
  <c r="AT183" i="5"/>
  <c r="AL48" i="5"/>
  <c r="AL82" i="5"/>
  <c r="AL102" i="5"/>
  <c r="AL142" i="5"/>
  <c r="AL169" i="5"/>
  <c r="AM26" i="5"/>
  <c r="AM63" i="5"/>
  <c r="AM87" i="5"/>
  <c r="AM124" i="5"/>
  <c r="AM167" i="5"/>
  <c r="AM190" i="5"/>
  <c r="AW15" i="5"/>
  <c r="AS53" i="5"/>
  <c r="AS86" i="5"/>
  <c r="AS111" i="5"/>
  <c r="AS144" i="5"/>
  <c r="AS185" i="5"/>
  <c r="AK43" i="5"/>
  <c r="AK84" i="5"/>
  <c r="AK111" i="5"/>
  <c r="AK154" i="5"/>
  <c r="AK180" i="5"/>
  <c r="AN27" i="5"/>
  <c r="AN9" i="5"/>
  <c r="AR82" i="5"/>
  <c r="AR101" i="5"/>
  <c r="AR138" i="5"/>
  <c r="AR170" i="5"/>
  <c r="AR191" i="5"/>
  <c r="AJ84" i="5"/>
  <c r="AJ90" i="5"/>
  <c r="AJ136" i="5"/>
  <c r="AJ166" i="5"/>
  <c r="AJ189" i="5"/>
  <c r="AM21" i="5"/>
  <c r="AY8" i="5"/>
  <c r="AY70" i="5"/>
  <c r="AY76" i="5"/>
  <c r="AY116" i="5"/>
  <c r="AY150" i="5"/>
  <c r="AY182" i="5"/>
  <c r="AQ39" i="5"/>
  <c r="AQ77" i="5"/>
  <c r="AQ108" i="5"/>
  <c r="AQ135" i="5"/>
  <c r="AQ174" i="5"/>
  <c r="AI24" i="5"/>
  <c r="AI70" i="5"/>
  <c r="AI90" i="5"/>
  <c r="AI136" i="5"/>
  <c r="AI160" i="5"/>
  <c r="AN10" i="5"/>
  <c r="AU69" i="5"/>
  <c r="AU86" i="5"/>
  <c r="AU108" i="5"/>
  <c r="AU139" i="5"/>
  <c r="AU169" i="5"/>
  <c r="AT21" i="5"/>
  <c r="AP6" i="5"/>
  <c r="AX57" i="5"/>
  <c r="AX86" i="5"/>
  <c r="AX113" i="5"/>
  <c r="AX154" i="5"/>
  <c r="AX182" i="5"/>
  <c r="AP45" i="5"/>
  <c r="AP79" i="5"/>
  <c r="AP124" i="5"/>
  <c r="AP139" i="5"/>
  <c r="AP166" i="5"/>
  <c r="AN41" i="5"/>
  <c r="AN81" i="5"/>
  <c r="AN96" i="5"/>
  <c r="AN135" i="5"/>
  <c r="AN165" i="5"/>
  <c r="AN188" i="5"/>
  <c r="AK13" i="5"/>
  <c r="AW57" i="5"/>
  <c r="AW84" i="5"/>
  <c r="AW136" i="5"/>
  <c r="AW144" i="5"/>
  <c r="AW180" i="5"/>
  <c r="AO74" i="5"/>
  <c r="AO86" i="5"/>
  <c r="AO134" i="5"/>
  <c r="AO148" i="5"/>
  <c r="AO172" i="5"/>
  <c r="AV44" i="5"/>
  <c r="AV62" i="5"/>
  <c r="AV116" i="5"/>
  <c r="AV141" i="5"/>
  <c r="AV169" i="5"/>
  <c r="AU185" i="5"/>
  <c r="AW28" i="5"/>
  <c r="AL10" i="5"/>
  <c r="AT43" i="5"/>
  <c r="AT73" i="5"/>
  <c r="AT109" i="5"/>
  <c r="AT141" i="5"/>
  <c r="AT174" i="5"/>
  <c r="AL33" i="5"/>
  <c r="AL67" i="5"/>
  <c r="AL88" i="5"/>
  <c r="AL128" i="5"/>
  <c r="AL171" i="5"/>
  <c r="AM28" i="5"/>
  <c r="AM53" i="5"/>
  <c r="AM109" i="5"/>
  <c r="AM132" i="5"/>
  <c r="AM148" i="5"/>
  <c r="AM192" i="5"/>
  <c r="AO15" i="5"/>
  <c r="AS55" i="5"/>
  <c r="AS92" i="5"/>
  <c r="AS113" i="5"/>
  <c r="AS146" i="5"/>
  <c r="AS188" i="5"/>
  <c r="AK45" i="5"/>
  <c r="AK86" i="5"/>
  <c r="AK113" i="5"/>
  <c r="AK148" i="5"/>
  <c r="AK184" i="5"/>
  <c r="AW25" i="5"/>
  <c r="AN11" i="5"/>
  <c r="AR58" i="5"/>
  <c r="AR83" i="5"/>
  <c r="AR124" i="5"/>
  <c r="AR154" i="5"/>
  <c r="AR186" i="5"/>
  <c r="AJ51" i="5"/>
  <c r="AJ83" i="5"/>
  <c r="AJ122" i="5"/>
  <c r="AJ152" i="5"/>
  <c r="AJ185" i="5"/>
  <c r="AV25" i="5"/>
  <c r="AI10" i="5"/>
  <c r="AY28" i="5"/>
  <c r="AY83" i="5"/>
  <c r="AY102" i="5"/>
  <c r="AY138" i="5"/>
  <c r="AY169" i="5"/>
  <c r="AQ33" i="5"/>
  <c r="AQ75" i="5"/>
  <c r="AQ105" i="5"/>
  <c r="AQ140" i="5"/>
  <c r="AQ153" i="5"/>
  <c r="AQ186" i="5"/>
  <c r="AI51" i="5"/>
  <c r="AI72" i="5"/>
  <c r="AI129" i="5"/>
  <c r="AI165" i="5"/>
  <c r="AI180" i="5"/>
  <c r="AU38" i="5"/>
  <c r="AU60" i="5"/>
  <c r="AU106" i="5"/>
  <c r="AU119" i="5"/>
  <c r="AU155" i="5"/>
  <c r="AU189" i="5"/>
  <c r="AX18" i="5"/>
  <c r="AX26" i="5"/>
  <c r="AX58" i="5"/>
  <c r="AX102" i="5"/>
  <c r="AX138" i="5"/>
  <c r="AX160" i="5"/>
  <c r="AX188" i="5"/>
  <c r="AP50" i="5"/>
  <c r="AP78" i="5"/>
  <c r="AP116" i="5"/>
  <c r="AP148" i="5"/>
  <c r="AP179" i="5"/>
  <c r="AN39" i="5"/>
  <c r="AN75" i="5"/>
  <c r="AN105" i="5"/>
  <c r="AN140" i="5"/>
  <c r="AN174" i="5"/>
  <c r="AO25" i="5"/>
  <c r="AS9" i="5"/>
  <c r="AW59" i="5"/>
  <c r="AW86" i="5"/>
  <c r="AW126" i="5"/>
  <c r="AW146" i="5"/>
  <c r="AW184" i="5"/>
  <c r="AO57" i="5"/>
  <c r="AO88" i="5"/>
  <c r="AO129" i="5"/>
  <c r="AO152" i="5"/>
  <c r="AO174" i="5"/>
  <c r="AV47" i="5"/>
  <c r="AV64" i="5"/>
  <c r="AV118" i="5"/>
  <c r="AV143" i="5"/>
  <c r="AV177" i="5"/>
  <c r="AO141" i="5"/>
  <c r="AO168" i="5"/>
  <c r="AV38" i="5"/>
  <c r="AV56" i="5"/>
  <c r="AV101" i="5"/>
  <c r="AV136" i="5"/>
  <c r="AV168" i="5"/>
  <c r="AI74" i="5"/>
  <c r="AT32" i="5"/>
  <c r="AT66" i="5"/>
  <c r="AT95" i="5"/>
  <c r="AW41" i="5"/>
  <c r="AX15" i="5"/>
  <c r="AT33" i="5"/>
  <c r="AT67" i="5"/>
  <c r="AT94" i="5"/>
  <c r="AT130" i="5"/>
  <c r="AT166" i="5"/>
  <c r="AL28" i="5"/>
  <c r="AL64" i="5"/>
  <c r="AL89" i="5"/>
  <c r="AL118" i="5"/>
  <c r="AL163" i="5"/>
  <c r="AL186" i="5"/>
  <c r="AM38" i="5"/>
  <c r="AM67" i="5"/>
  <c r="AM116" i="5"/>
  <c r="AM125" i="5"/>
  <c r="AM155" i="5"/>
  <c r="AM193" i="5"/>
  <c r="AS16" i="5"/>
  <c r="AS50" i="5"/>
  <c r="AS82" i="5"/>
  <c r="AS107" i="5"/>
  <c r="AS140" i="5"/>
  <c r="AS176" i="5"/>
  <c r="AK42" i="5"/>
  <c r="AK80" i="5"/>
  <c r="AK107" i="5"/>
  <c r="AK144" i="5"/>
  <c r="AK174" i="5"/>
  <c r="AV23" i="5"/>
  <c r="AV7" i="5"/>
  <c r="AR74" i="5"/>
  <c r="AR88" i="5"/>
  <c r="AR134" i="5"/>
  <c r="AR163" i="5"/>
  <c r="AR187" i="5"/>
  <c r="AJ66" i="5"/>
  <c r="AJ97" i="5"/>
  <c r="AJ132" i="5"/>
  <c r="AJ161" i="5"/>
  <c r="AJ184" i="5"/>
  <c r="AQ14" i="5"/>
  <c r="AY29" i="5"/>
  <c r="AY56" i="5"/>
  <c r="AY104" i="5"/>
  <c r="AY139" i="5"/>
  <c r="AY149" i="5"/>
  <c r="AY195" i="5"/>
  <c r="AQ51" i="5"/>
  <c r="AQ89" i="5"/>
  <c r="AQ106" i="5"/>
  <c r="AQ147" i="5"/>
  <c r="AQ183" i="5"/>
  <c r="AI36" i="5"/>
  <c r="AI63" i="5"/>
  <c r="AI102" i="5"/>
  <c r="AI137" i="5"/>
  <c r="AI167" i="5"/>
  <c r="AU24" i="5"/>
  <c r="AU50" i="5"/>
  <c r="AU73" i="5"/>
  <c r="AU124" i="5"/>
  <c r="AU146" i="5"/>
  <c r="AU184" i="5"/>
  <c r="AP22" i="5"/>
  <c r="AX35" i="5"/>
  <c r="AX69" i="5"/>
  <c r="AX96" i="5"/>
  <c r="AX132" i="5"/>
  <c r="AX151" i="5"/>
  <c r="AX193" i="5"/>
  <c r="AP44" i="5"/>
  <c r="AP72" i="5"/>
  <c r="AP110" i="5"/>
  <c r="AP142" i="5"/>
  <c r="AP173" i="5"/>
  <c r="AN26" i="5"/>
  <c r="AN56" i="5"/>
  <c r="AN118" i="5"/>
  <c r="AN126" i="5"/>
  <c r="AN167" i="5"/>
  <c r="AO37" i="5"/>
  <c r="AW10" i="5"/>
  <c r="AW69" i="5"/>
  <c r="AW96" i="5"/>
  <c r="AW105" i="5"/>
  <c r="AW163" i="5"/>
  <c r="AW191" i="5"/>
  <c r="AO67" i="5"/>
  <c r="AO96" i="5"/>
  <c r="AO107" i="5"/>
  <c r="AO182" i="5"/>
  <c r="AO191" i="5"/>
  <c r="AV55" i="5"/>
  <c r="AV82" i="5"/>
  <c r="AV125" i="5"/>
  <c r="AV154" i="5"/>
  <c r="AV179" i="5"/>
  <c r="AO31" i="5"/>
  <c r="AP11" i="5"/>
  <c r="AT52" i="5"/>
  <c r="AT86" i="5"/>
  <c r="AT105" i="5"/>
  <c r="AT146" i="5"/>
  <c r="AT170" i="5"/>
  <c r="AL29" i="5"/>
  <c r="AL63" i="5"/>
  <c r="AL106" i="5"/>
  <c r="AL124" i="5"/>
  <c r="AL160" i="5"/>
  <c r="AL195" i="5"/>
  <c r="AM52" i="5"/>
  <c r="AM94" i="5"/>
  <c r="AM100" i="5"/>
  <c r="AM146" i="5"/>
  <c r="AM180" i="5"/>
  <c r="AK20" i="5"/>
  <c r="AS29" i="5"/>
  <c r="AS65" i="5"/>
  <c r="AS100" i="5"/>
  <c r="AS130" i="5"/>
  <c r="AS178" i="5"/>
  <c r="AK50" i="5"/>
  <c r="AK65" i="5"/>
  <c r="AK94" i="5"/>
  <c r="AK123" i="5"/>
  <c r="AK165" i="5"/>
  <c r="AY57" i="5"/>
  <c r="AJ16" i="5"/>
  <c r="AR48" i="5"/>
  <c r="AR78" i="5"/>
  <c r="AR104" i="5"/>
  <c r="AR149" i="5"/>
  <c r="AR173" i="5"/>
  <c r="AJ52" i="5"/>
  <c r="AJ69" i="5"/>
  <c r="AJ105" i="5"/>
  <c r="AJ146" i="5"/>
  <c r="AJ171" i="5"/>
  <c r="AO28" i="5"/>
  <c r="AQ12" i="5"/>
  <c r="AY24" i="5"/>
  <c r="AY67" i="5"/>
  <c r="AY98" i="5"/>
  <c r="AY134" i="5"/>
  <c r="AY177" i="5"/>
  <c r="AQ29" i="5"/>
  <c r="AQ54" i="5"/>
  <c r="AQ95" i="5"/>
  <c r="AQ119" i="5"/>
  <c r="AQ149" i="5"/>
  <c r="AQ193" i="5"/>
  <c r="AI47" i="5"/>
  <c r="AI97" i="5"/>
  <c r="AI109" i="5"/>
  <c r="AI145" i="5"/>
  <c r="AI185" i="5"/>
  <c r="AU34" i="5"/>
  <c r="AU58" i="5"/>
  <c r="AU96" i="5"/>
  <c r="AU130" i="5"/>
  <c r="AU154" i="5"/>
  <c r="AU194" i="5"/>
  <c r="AX16" i="5"/>
  <c r="AX37" i="5"/>
  <c r="AX54" i="5"/>
  <c r="AX98" i="5"/>
  <c r="AX134" i="5"/>
  <c r="AX153" i="5"/>
  <c r="AX195" i="5"/>
  <c r="AP46" i="5"/>
  <c r="AP74" i="5"/>
  <c r="AP112" i="5"/>
  <c r="AP144" i="5"/>
  <c r="AP175" i="5"/>
  <c r="AN28" i="5"/>
  <c r="AN58" i="5"/>
  <c r="AN91" i="5"/>
  <c r="AN128" i="5"/>
  <c r="AN169" i="5"/>
  <c r="AK36" i="5"/>
  <c r="AS13" i="5"/>
  <c r="AW55" i="5"/>
  <c r="AW82" i="5"/>
  <c r="AW133" i="5"/>
  <c r="AW142" i="5"/>
  <c r="AW176" i="5"/>
  <c r="AO54" i="5"/>
  <c r="AO84" i="5"/>
  <c r="AO128" i="5"/>
  <c r="AO153" i="5"/>
  <c r="AO183" i="5"/>
  <c r="AV39" i="5"/>
  <c r="AV60" i="5"/>
  <c r="AV114" i="5"/>
  <c r="AV139" i="5"/>
  <c r="AV175" i="5"/>
  <c r="AQ73" i="5"/>
  <c r="AT18" i="5"/>
  <c r="AT39" i="5"/>
  <c r="AT55" i="5"/>
  <c r="AT110" i="5"/>
  <c r="AT137" i="5"/>
  <c r="AT159" i="5"/>
  <c r="AT189" i="5"/>
  <c r="AL49" i="5"/>
  <c r="AL81" i="5"/>
  <c r="AL115" i="5"/>
  <c r="AL145" i="5"/>
  <c r="AL178" i="5"/>
  <c r="AM39" i="5"/>
  <c r="AM84" i="5"/>
  <c r="AM122" i="5"/>
  <c r="AM129" i="5"/>
  <c r="AM159" i="5"/>
  <c r="AR68" i="5"/>
  <c r="AW11" i="5"/>
  <c r="AS73" i="5"/>
  <c r="AS87" i="5"/>
  <c r="AS127" i="5"/>
  <c r="AS145" i="5"/>
  <c r="AS179" i="5"/>
  <c r="AK58" i="5"/>
  <c r="AK87" i="5"/>
  <c r="AK135" i="5"/>
  <c r="AK150" i="5"/>
  <c r="AK178" i="5"/>
  <c r="AR20" i="5"/>
  <c r="AR27" i="5"/>
  <c r="AR57" i="5"/>
  <c r="AR100" i="5"/>
  <c r="AR135" i="5"/>
  <c r="AR176" i="5"/>
  <c r="AJ27" i="5"/>
  <c r="AJ55" i="5"/>
  <c r="AJ92" i="5"/>
  <c r="AJ131" i="5"/>
  <c r="AJ170" i="5"/>
  <c r="AM20" i="5"/>
  <c r="AU19" i="5"/>
  <c r="AY33" i="5"/>
  <c r="AY60" i="5"/>
  <c r="AY107" i="5"/>
  <c r="AY120" i="5"/>
  <c r="AY153" i="5"/>
  <c r="AY188" i="5"/>
  <c r="AQ56" i="5"/>
  <c r="AQ74" i="5"/>
  <c r="AQ144" i="5"/>
  <c r="AQ148" i="5"/>
  <c r="AQ178" i="5"/>
  <c r="AI57" i="5"/>
  <c r="AI67" i="5"/>
  <c r="AI111" i="5"/>
  <c r="AI139" i="5"/>
  <c r="AI172" i="5"/>
  <c r="AM12" i="5"/>
  <c r="AU112" i="5"/>
  <c r="AU77" i="5"/>
  <c r="AU126" i="5"/>
  <c r="AU151" i="5"/>
  <c r="AU181" i="5"/>
  <c r="AP16" i="5"/>
  <c r="AX24" i="5"/>
  <c r="AX56" i="5"/>
  <c r="AX100" i="5"/>
  <c r="AX136" i="5"/>
  <c r="AX156" i="5"/>
  <c r="AX186" i="5"/>
  <c r="AP48" i="5"/>
  <c r="AP76" i="5"/>
  <c r="AP114" i="5"/>
  <c r="AP146" i="5"/>
  <c r="AP177" i="5"/>
  <c r="AN30" i="5"/>
  <c r="AN60" i="5"/>
  <c r="AN93" i="5"/>
  <c r="AN130" i="5"/>
  <c r="AN171" i="5"/>
  <c r="AU6" i="5"/>
  <c r="AS7" i="5"/>
  <c r="AW72" i="5"/>
  <c r="AW100" i="5"/>
  <c r="AW109" i="5"/>
  <c r="AW158" i="5"/>
  <c r="AW195" i="5"/>
  <c r="AO93" i="5"/>
  <c r="AO100" i="5"/>
  <c r="AO111" i="5"/>
  <c r="AO161" i="5"/>
  <c r="AO195" i="5"/>
  <c r="AV69" i="5"/>
  <c r="AV96" i="5"/>
  <c r="AV111" i="5"/>
  <c r="AV142" i="5"/>
  <c r="AV178" i="5"/>
  <c r="AI54" i="5"/>
  <c r="AL22" i="5"/>
  <c r="AT26" i="5"/>
  <c r="AT60" i="5"/>
  <c r="AT89" i="5"/>
  <c r="AT116" i="5"/>
  <c r="AT161" i="5"/>
  <c r="AT185" i="5"/>
  <c r="AL50" i="5"/>
  <c r="AL84" i="5"/>
  <c r="AL110" i="5"/>
  <c r="AL144" i="5"/>
  <c r="AL170" i="5"/>
  <c r="AM55" i="5"/>
  <c r="AM86" i="5"/>
  <c r="AM89" i="5"/>
  <c r="AM131" i="5"/>
  <c r="AM161" i="5"/>
  <c r="AR45" i="5"/>
  <c r="AO11" i="5"/>
  <c r="AS75" i="5"/>
  <c r="AS88" i="5"/>
  <c r="AS128" i="5"/>
  <c r="AS147" i="5"/>
  <c r="AS183" i="5"/>
  <c r="AK60" i="5"/>
  <c r="AK104" i="5"/>
  <c r="AK137" i="5"/>
  <c r="AK151" i="5"/>
  <c r="AK182" i="5"/>
  <c r="AR22" i="5"/>
  <c r="AR6" i="5"/>
  <c r="AR84" i="5"/>
  <c r="AR111" i="5"/>
  <c r="AR121" i="5"/>
  <c r="AR156" i="5"/>
  <c r="AR193" i="5"/>
  <c r="AJ68" i="5"/>
  <c r="AJ93" i="5"/>
  <c r="AJ138" i="5"/>
  <c r="AJ164" i="5"/>
  <c r="AJ191" i="5"/>
  <c r="AY22" i="5"/>
  <c r="AQ8" i="5"/>
  <c r="AY39" i="5"/>
  <c r="AY97" i="5"/>
  <c r="AY115" i="5"/>
  <c r="AY163" i="5"/>
  <c r="AY175" i="5"/>
  <c r="AQ34" i="5"/>
  <c r="AQ85" i="5"/>
  <c r="AQ98" i="5"/>
  <c r="AQ134" i="5"/>
  <c r="AQ166" i="5"/>
  <c r="AI29" i="5"/>
  <c r="AI68" i="5"/>
  <c r="AI115" i="5"/>
  <c r="AI122" i="5"/>
  <c r="AI149" i="5"/>
  <c r="AI186" i="5"/>
  <c r="AU27" i="5"/>
  <c r="AU64" i="5"/>
  <c r="AU101" i="5"/>
  <c r="AU135" i="5"/>
  <c r="AU173" i="5"/>
  <c r="AJ34" i="5"/>
  <c r="AL13" i="5"/>
  <c r="AX41" i="5"/>
  <c r="AX73" i="5"/>
  <c r="AX95" i="5"/>
  <c r="AX133" i="5"/>
  <c r="AX170" i="5"/>
  <c r="AP33" i="5"/>
  <c r="AP67" i="5"/>
  <c r="AP94" i="5"/>
  <c r="AP130" i="5"/>
  <c r="AP159" i="5"/>
  <c r="AP191" i="5"/>
  <c r="AN59" i="5"/>
  <c r="AN84" i="5"/>
  <c r="AN121" i="5"/>
  <c r="AN151" i="5"/>
  <c r="AN184" i="5"/>
  <c r="AW20" i="5"/>
  <c r="AK7" i="5"/>
  <c r="AW74" i="5"/>
  <c r="AW102" i="5"/>
  <c r="AW111" i="5"/>
  <c r="AW160" i="5"/>
  <c r="AW192" i="5"/>
  <c r="AO56" i="5"/>
  <c r="AO102" i="5"/>
  <c r="AO113" i="5"/>
  <c r="AO156" i="5"/>
  <c r="AO192" i="5"/>
  <c r="AV46" i="5"/>
  <c r="AV88" i="5"/>
  <c r="AV113" i="5"/>
  <c r="AV144" i="5"/>
  <c r="AV180" i="5"/>
  <c r="AO144" i="5"/>
  <c r="AO184" i="5"/>
  <c r="AV43" i="5"/>
  <c r="AV71" i="5"/>
  <c r="AV105" i="5"/>
  <c r="AV148" i="5"/>
  <c r="AV176" i="5"/>
  <c r="AS24" i="5"/>
  <c r="AT29" i="5"/>
  <c r="AT63" i="5"/>
  <c r="AT90" i="5"/>
  <c r="AR32" i="5"/>
  <c r="AX11" i="5"/>
  <c r="AT50" i="5"/>
  <c r="AT84" i="5"/>
  <c r="AT103" i="5"/>
  <c r="AT144" i="5"/>
  <c r="AT182" i="5"/>
  <c r="AL27" i="5"/>
  <c r="AL61" i="5"/>
  <c r="AL112" i="5"/>
  <c r="AL122" i="5"/>
  <c r="AL156" i="5"/>
  <c r="AL193" i="5"/>
  <c r="AM33" i="5"/>
  <c r="AM66" i="5"/>
  <c r="AM99" i="5"/>
  <c r="AM145" i="5"/>
  <c r="AM174" i="5"/>
  <c r="AK32" i="5"/>
  <c r="AS12" i="5"/>
  <c r="AS49" i="5"/>
  <c r="AS83" i="5"/>
  <c r="AS122" i="5"/>
  <c r="AS141" i="5"/>
  <c r="AS175" i="5"/>
  <c r="AK55" i="5"/>
  <c r="AK83" i="5"/>
  <c r="AK129" i="5"/>
  <c r="AK145" i="5"/>
  <c r="AK175" i="5"/>
  <c r="AN21" i="5"/>
  <c r="AR46" i="5"/>
  <c r="AR53" i="5"/>
  <c r="AR96" i="5"/>
  <c r="AR131" i="5"/>
  <c r="AR168" i="5"/>
  <c r="AJ50" i="5"/>
  <c r="AJ71" i="5"/>
  <c r="AJ119" i="5"/>
  <c r="AJ127" i="5"/>
  <c r="AJ168" i="5"/>
  <c r="AY53" i="5"/>
  <c r="AY12" i="5"/>
  <c r="AY44" i="5"/>
  <c r="AY65" i="5"/>
  <c r="AY96" i="5"/>
  <c r="AY132" i="5"/>
  <c r="AY162" i="5"/>
  <c r="AQ27" i="5"/>
  <c r="AQ62" i="5"/>
  <c r="AQ86" i="5"/>
  <c r="AQ129" i="5"/>
  <c r="AQ163" i="5"/>
  <c r="AQ191" i="5"/>
  <c r="AI45" i="5"/>
  <c r="AI95" i="5"/>
  <c r="AI104" i="5"/>
  <c r="AI143" i="5"/>
  <c r="AI183" i="5"/>
  <c r="AU32" i="5"/>
  <c r="AU57" i="5"/>
  <c r="AU94" i="5"/>
  <c r="AU120" i="5"/>
  <c r="AU152" i="5"/>
  <c r="AU192" i="5"/>
  <c r="AT19" i="5"/>
  <c r="AX36" i="5"/>
  <c r="AX68" i="5"/>
  <c r="AX89" i="5"/>
  <c r="AX127" i="5"/>
  <c r="AX183" i="5"/>
  <c r="AP27" i="5"/>
  <c r="AP61" i="5"/>
  <c r="AP88" i="5"/>
  <c r="AP117" i="5"/>
  <c r="AP160" i="5"/>
  <c r="AP184" i="5"/>
  <c r="AN40" i="5"/>
  <c r="AN72" i="5"/>
  <c r="AN112" i="5"/>
  <c r="AN143" i="5"/>
  <c r="AN187" i="5"/>
  <c r="AO22" i="5"/>
  <c r="AW30" i="5"/>
  <c r="AW62" i="5"/>
  <c r="AW95" i="5"/>
  <c r="AW135" i="5"/>
  <c r="AW165" i="5"/>
  <c r="AO47" i="5"/>
  <c r="AO66" i="5"/>
  <c r="AO99" i="5"/>
  <c r="AO125" i="5"/>
  <c r="AO181" i="5"/>
  <c r="AV24" i="5"/>
  <c r="AV83" i="5"/>
  <c r="AV112" i="5"/>
  <c r="AV122" i="5"/>
  <c r="AV161" i="5"/>
  <c r="AV192" i="5"/>
  <c r="AP23" i="5"/>
  <c r="AL6" i="5"/>
  <c r="AT56" i="5"/>
  <c r="AT85" i="5"/>
  <c r="AT121" i="5"/>
  <c r="AT153" i="5"/>
  <c r="AT181" i="5"/>
  <c r="AL46" i="5"/>
  <c r="AL80" i="5"/>
  <c r="AL100" i="5"/>
  <c r="AL140" i="5"/>
  <c r="AL167" i="5"/>
  <c r="AM43" i="5"/>
  <c r="AM54" i="5"/>
  <c r="AM85" i="5"/>
  <c r="AM130" i="5"/>
  <c r="AM162" i="5"/>
  <c r="AM188" i="5"/>
  <c r="AK16" i="5"/>
  <c r="AS52" i="5"/>
  <c r="AS84" i="5"/>
  <c r="AS109" i="5"/>
  <c r="AS142" i="5"/>
  <c r="AS181" i="5"/>
  <c r="AK54" i="5"/>
  <c r="AK82" i="5"/>
  <c r="AK109" i="5"/>
  <c r="AK146" i="5"/>
  <c r="AK176" i="5"/>
  <c r="AR28" i="5"/>
  <c r="AV9" i="5"/>
  <c r="AR51" i="5"/>
  <c r="AR79" i="5"/>
  <c r="AR119" i="5"/>
  <c r="AR150" i="5"/>
  <c r="AR192" i="5"/>
  <c r="AJ47" i="5"/>
  <c r="AJ79" i="5"/>
  <c r="AJ118" i="5"/>
  <c r="AJ151" i="5"/>
  <c r="AJ181" i="5"/>
  <c r="AM23" i="5"/>
  <c r="AY10" i="5"/>
  <c r="AY64" i="5"/>
  <c r="AY77" i="5"/>
  <c r="AY105" i="5"/>
  <c r="AY146" i="5"/>
  <c r="AY176" i="5"/>
  <c r="AQ30" i="5"/>
  <c r="AQ83" i="5"/>
  <c r="AQ94" i="5"/>
  <c r="AQ130" i="5"/>
  <c r="AQ160" i="5"/>
  <c r="AI25" i="5"/>
  <c r="AI87" i="5"/>
  <c r="AI84" i="5"/>
  <c r="AI123" i="5"/>
  <c r="AI157" i="5"/>
  <c r="AI193" i="5"/>
  <c r="AU76" i="5"/>
  <c r="AU74" i="5"/>
  <c r="AU97" i="5"/>
  <c r="AU131" i="5"/>
  <c r="AU165" i="5"/>
  <c r="AV37" i="5"/>
  <c r="AL11" i="5"/>
  <c r="AX38" i="5"/>
  <c r="AX70" i="5"/>
  <c r="AX91" i="5"/>
  <c r="AX129" i="5"/>
  <c r="AX165" i="5"/>
  <c r="AP29" i="5"/>
  <c r="AP63" i="5"/>
  <c r="AP90" i="5"/>
  <c r="AP126" i="5"/>
  <c r="AP155" i="5"/>
  <c r="AP187" i="5"/>
  <c r="AN51" i="5"/>
  <c r="AN73" i="5"/>
  <c r="AN106" i="5"/>
  <c r="AN145" i="5"/>
  <c r="AN170" i="5"/>
  <c r="AS26" i="5"/>
  <c r="AO10" i="5"/>
  <c r="AW73" i="5"/>
  <c r="AW98" i="5"/>
  <c r="AW107" i="5"/>
  <c r="AW156" i="5"/>
  <c r="AW193" i="5"/>
  <c r="AO69" i="5"/>
  <c r="AO98" i="5"/>
  <c r="AO109" i="5"/>
  <c r="AO157" i="5"/>
  <c r="AO193" i="5"/>
  <c r="AV67" i="5"/>
  <c r="AV77" i="5"/>
  <c r="AV109" i="5"/>
  <c r="AV140" i="5"/>
  <c r="AV195" i="5"/>
  <c r="AT115" i="5"/>
  <c r="AT14" i="5"/>
  <c r="AT37" i="5"/>
  <c r="AT72" i="5"/>
  <c r="AT98" i="5"/>
  <c r="AT134" i="5"/>
  <c r="AT171" i="5"/>
  <c r="AL32" i="5"/>
  <c r="AL68" i="5"/>
  <c r="AL93" i="5"/>
  <c r="AL129" i="5"/>
  <c r="AL162" i="5"/>
  <c r="AL190" i="5"/>
  <c r="AM37" i="5"/>
  <c r="AM70" i="5"/>
  <c r="AM103" i="5"/>
  <c r="AM136" i="5"/>
  <c r="AM166" i="5"/>
  <c r="AW23" i="5"/>
  <c r="AS6" i="5"/>
  <c r="AS68" i="5"/>
  <c r="AS101" i="5"/>
  <c r="AS108" i="5"/>
  <c r="AS157" i="5"/>
  <c r="AS194" i="5"/>
  <c r="AK72" i="5"/>
  <c r="AK97" i="5"/>
  <c r="AK108" i="5"/>
  <c r="AK159" i="5"/>
  <c r="AK194" i="5"/>
  <c r="AJ18" i="5"/>
  <c r="AR43" i="5"/>
  <c r="AR72" i="5"/>
  <c r="AR106" i="5"/>
  <c r="AR139" i="5"/>
  <c r="AR175" i="5"/>
  <c r="AJ42" i="5"/>
  <c r="AJ74" i="5"/>
  <c r="AJ104" i="5"/>
  <c r="AJ148" i="5"/>
  <c r="AJ173" i="5"/>
  <c r="AW43" i="5"/>
  <c r="AI12" i="5"/>
  <c r="AY26" i="5"/>
  <c r="AY69" i="5"/>
  <c r="AY100" i="5"/>
  <c r="AY136" i="5"/>
  <c r="AY166" i="5"/>
  <c r="AQ31" i="5"/>
  <c r="AQ64" i="5"/>
  <c r="AQ97" i="5"/>
  <c r="AQ131" i="5"/>
  <c r="AQ151" i="5"/>
  <c r="AQ195" i="5"/>
  <c r="AI49" i="5"/>
  <c r="AI93" i="5"/>
  <c r="AI121" i="5"/>
  <c r="AI147" i="5"/>
  <c r="AI178" i="5"/>
  <c r="AU36" i="5"/>
  <c r="AU59" i="5"/>
  <c r="AU103" i="5"/>
  <c r="AU147" i="5"/>
  <c r="AU167" i="5"/>
  <c r="AU187" i="5"/>
  <c r="AT13" i="5"/>
  <c r="AX39" i="5"/>
  <c r="AX71" i="5"/>
  <c r="AX93" i="5"/>
  <c r="AX131" i="5"/>
  <c r="AX167" i="5"/>
  <c r="AP31" i="5"/>
  <c r="AP65" i="5"/>
  <c r="AP92" i="5"/>
  <c r="AP128" i="5"/>
  <c r="AP176" i="5"/>
  <c r="AP189" i="5"/>
  <c r="AN45" i="5"/>
  <c r="AN71" i="5"/>
  <c r="AN119" i="5"/>
  <c r="AN147" i="5"/>
  <c r="AN172" i="5"/>
  <c r="AK21" i="5"/>
  <c r="AW34" i="5"/>
  <c r="AW66" i="5"/>
  <c r="AW99" i="5"/>
  <c r="AW121" i="5"/>
  <c r="AW167" i="5"/>
  <c r="AO32" i="5"/>
  <c r="AO70" i="5"/>
  <c r="AO103" i="5"/>
  <c r="AO138" i="5"/>
  <c r="AO169" i="5"/>
  <c r="AN16" i="5"/>
  <c r="AV57" i="5"/>
  <c r="AV86" i="5"/>
  <c r="AV129" i="5"/>
  <c r="AV158" i="5"/>
  <c r="AV183" i="5"/>
  <c r="AT16" i="5"/>
  <c r="AL18" i="5"/>
  <c r="AT54" i="5"/>
  <c r="AT57" i="5"/>
  <c r="AT119" i="5"/>
  <c r="AT120" i="5"/>
  <c r="AT163" i="5"/>
  <c r="AT191" i="5"/>
  <c r="AL51" i="5"/>
  <c r="AL83" i="5"/>
  <c r="AL117" i="5"/>
  <c r="AL147" i="5"/>
  <c r="AL182" i="5"/>
  <c r="AM40" i="5"/>
  <c r="AM72" i="5"/>
  <c r="AM107" i="5"/>
  <c r="AM138" i="5"/>
  <c r="AM168" i="5"/>
  <c r="AO23" i="5"/>
  <c r="AK6" i="5"/>
  <c r="AS70" i="5"/>
  <c r="AS125" i="5"/>
  <c r="AS110" i="5"/>
  <c r="AS159" i="5"/>
  <c r="AS193" i="5"/>
  <c r="AK73" i="5"/>
  <c r="AK99" i="5"/>
  <c r="AK110" i="5"/>
  <c r="AK161" i="5"/>
  <c r="AK193" i="5"/>
  <c r="AJ20" i="5"/>
  <c r="AR29" i="5"/>
  <c r="AR59" i="5"/>
  <c r="AR102" i="5"/>
  <c r="AR137" i="5"/>
  <c r="AR165" i="5"/>
  <c r="AJ29" i="5"/>
  <c r="AJ57" i="5"/>
  <c r="AJ94" i="5"/>
  <c r="AJ133" i="5"/>
  <c r="AJ190" i="5"/>
  <c r="AU18" i="5"/>
  <c r="AM19" i="5"/>
  <c r="AY6" i="5"/>
  <c r="AY54" i="5"/>
  <c r="AY78" i="5"/>
  <c r="AY118" i="5"/>
  <c r="AY152" i="5"/>
  <c r="AY184" i="5"/>
  <c r="AQ41" i="5"/>
  <c r="AQ91" i="5"/>
  <c r="AQ107" i="5"/>
  <c r="AQ137" i="5"/>
  <c r="AQ177" i="5"/>
  <c r="AI26" i="5"/>
  <c r="AI79" i="5"/>
  <c r="AI92" i="5"/>
  <c r="AI138" i="5"/>
  <c r="AI162" i="5"/>
  <c r="AV8" i="5"/>
  <c r="AU40" i="5"/>
  <c r="AU92" i="5"/>
  <c r="AU132" i="5"/>
  <c r="AU143" i="5"/>
  <c r="AU177" i="5"/>
  <c r="AK24" i="5"/>
  <c r="AX10" i="5"/>
  <c r="AX44" i="5"/>
  <c r="AX72" i="5"/>
  <c r="AX110" i="5"/>
  <c r="AX140" i="5"/>
  <c r="AX171" i="5"/>
  <c r="AP34" i="5"/>
  <c r="AP66" i="5"/>
  <c r="AP91" i="5"/>
  <c r="AP125" i="5"/>
  <c r="AP157" i="5"/>
  <c r="AN67" i="5"/>
  <c r="AN85" i="5"/>
  <c r="AN102" i="5"/>
  <c r="AN137" i="5"/>
  <c r="AN155" i="5"/>
  <c r="AN190" i="5"/>
  <c r="AW16" i="5"/>
  <c r="AW36" i="5"/>
  <c r="AW68" i="5"/>
  <c r="AW101" i="5"/>
  <c r="AW129" i="5"/>
  <c r="AW170" i="5"/>
  <c r="AO34" i="5"/>
  <c r="AO72" i="5"/>
  <c r="AO123" i="5"/>
  <c r="AO151" i="5"/>
  <c r="AO178" i="5"/>
  <c r="AN14" i="5"/>
  <c r="AV59" i="5"/>
  <c r="AV92" i="5"/>
  <c r="AV131" i="5"/>
  <c r="AV160" i="5"/>
  <c r="AV185" i="5"/>
  <c r="H30" i="15"/>
  <c r="Q41" i="15" s="1"/>
  <c r="B84" i="43"/>
  <c r="C16" i="43" s="1"/>
  <c r="C14" i="8"/>
  <c r="C15" i="8"/>
  <c r="C12" i="8"/>
  <c r="E15" i="8"/>
  <c r="K30" i="15"/>
  <c r="I41" i="15" s="1"/>
  <c r="U30" i="15"/>
  <c r="U41" i="15" s="1"/>
  <c r="C101" i="8"/>
  <c r="C107" i="8" s="1"/>
  <c r="C12" i="9"/>
  <c r="B94" i="9"/>
  <c r="C18" i="9" s="1"/>
  <c r="F42" i="12"/>
  <c r="F39" i="12"/>
  <c r="G39" i="12" s="1"/>
  <c r="F41" i="12"/>
  <c r="F43" i="12"/>
  <c r="D64" i="6"/>
  <c r="D65" i="6" s="1"/>
  <c r="D67" i="6" s="1"/>
  <c r="C13" i="6" s="1"/>
  <c r="D68" i="6" s="1"/>
  <c r="P30" i="15"/>
  <c r="O41" i="15" s="1"/>
  <c r="G30" i="15"/>
  <c r="L41" i="15" s="1"/>
  <c r="T30" i="15"/>
  <c r="T41" i="15" s="1"/>
  <c r="E17" i="41"/>
  <c r="C17" i="41"/>
  <c r="G46" i="12"/>
  <c r="G44" i="12"/>
  <c r="I106" i="12" s="1"/>
  <c r="S106" i="12" s="1"/>
  <c r="G45" i="12"/>
  <c r="G43" i="12"/>
  <c r="G38" i="12"/>
  <c r="I107" i="12" s="1"/>
  <c r="S107" i="12" s="1"/>
  <c r="G40" i="12"/>
  <c r="G41" i="12"/>
  <c r="I37" i="12"/>
  <c r="K37" i="12"/>
  <c r="K38" i="12" s="1"/>
  <c r="I108" i="12" s="1"/>
  <c r="S108" i="12" s="1"/>
  <c r="G42" i="12"/>
  <c r="I105" i="12" s="1"/>
  <c r="H37" i="12"/>
  <c r="G47" i="12"/>
  <c r="I109" i="12" s="1"/>
  <c r="S109" i="12" s="1"/>
  <c r="N30" i="15"/>
  <c r="M41" i="15" s="1"/>
  <c r="C17" i="8"/>
  <c r="E17" i="8"/>
  <c r="B32" i="44"/>
  <c r="B33" i="44" s="1"/>
  <c r="C69" i="7"/>
  <c r="C70" i="7" s="1"/>
  <c r="K42" i="15"/>
  <c r="M31" i="15"/>
  <c r="O31" i="15"/>
  <c r="P42" i="15"/>
  <c r="Q31" i="15"/>
  <c r="J42" i="15"/>
  <c r="L31" i="15"/>
  <c r="R42" i="15"/>
  <c r="R31" i="15"/>
  <c r="Q42" i="15"/>
  <c r="H31" i="15"/>
  <c r="S30" i="15"/>
  <c r="S41" i="15" s="1"/>
  <c r="J31" i="15"/>
  <c r="H42" i="15"/>
  <c r="N31" i="15"/>
  <c r="M42" i="15"/>
  <c r="Q30" i="15"/>
  <c r="P41" i="15" s="1"/>
  <c r="F42" i="15"/>
  <c r="I31" i="15"/>
  <c r="I30" i="15"/>
  <c r="F41" i="15" s="1"/>
  <c r="B60" i="39"/>
  <c r="S42" i="15"/>
  <c r="S31" i="15"/>
  <c r="B85" i="39"/>
  <c r="B87" i="39" s="1"/>
  <c r="B76" i="39"/>
  <c r="B68" i="39" s="1"/>
  <c r="C127" i="39" s="1"/>
  <c r="B65" i="39"/>
  <c r="B66" i="39"/>
  <c r="C125" i="39" s="1"/>
  <c r="C65" i="36"/>
  <c r="C66" i="36"/>
  <c r="C67" i="36"/>
  <c r="C64" i="36"/>
  <c r="C68" i="36"/>
  <c r="O42" i="15"/>
  <c r="P31" i="15"/>
  <c r="F31" i="15"/>
  <c r="G42" i="15"/>
  <c r="U42" i="15"/>
  <c r="U31" i="15"/>
  <c r="M30" i="15"/>
  <c r="K41" i="15" s="1"/>
  <c r="T31" i="15"/>
  <c r="T42" i="15"/>
  <c r="J30" i="15"/>
  <c r="H41" i="15" s="1"/>
  <c r="C14" i="41"/>
  <c r="E14" i="41"/>
  <c r="B127" i="41"/>
  <c r="B57" i="8"/>
  <c r="B58" i="8" s="1"/>
  <c r="B59" i="8" s="1"/>
  <c r="B50" i="8" s="1"/>
  <c r="B117" i="8" s="1"/>
  <c r="C109" i="41"/>
  <c r="B148" i="41"/>
  <c r="C108" i="41"/>
  <c r="C107" i="41"/>
  <c r="L42" i="15"/>
  <c r="G31" i="15"/>
  <c r="F30" i="15"/>
  <c r="G41" i="15" s="1"/>
  <c r="K31" i="15"/>
  <c r="C104" i="8" l="1"/>
  <c r="C105" i="8"/>
  <c r="C108" i="8"/>
  <c r="C106" i="8"/>
  <c r="G15" i="6"/>
  <c r="C15" i="6"/>
  <c r="C111" i="41"/>
  <c r="C117" i="41" s="1"/>
  <c r="K47" i="12"/>
  <c r="I110" i="12" s="1"/>
  <c r="S110" i="12" s="1"/>
  <c r="C110" i="8"/>
  <c r="C111" i="8" s="1"/>
  <c r="B155" i="8" s="1"/>
  <c r="C118" i="41"/>
  <c r="C114" i="41"/>
  <c r="C113" i="8"/>
  <c r="B139" i="8"/>
  <c r="B141" i="8" s="1"/>
  <c r="E16" i="39"/>
  <c r="C16" i="39"/>
  <c r="H47" i="12"/>
  <c r="I69" i="12" s="1"/>
  <c r="S69" i="12" s="1"/>
  <c r="L37" i="12"/>
  <c r="L38" i="12" s="1"/>
  <c r="I68" i="12" s="1"/>
  <c r="S68" i="12" s="1"/>
  <c r="J37" i="12"/>
  <c r="H38" i="12"/>
  <c r="I67" i="12" s="1"/>
  <c r="S67" i="12" s="1"/>
  <c r="H42" i="12"/>
  <c r="I65" i="12" s="1"/>
  <c r="H46" i="12"/>
  <c r="H44" i="12"/>
  <c r="H40" i="12"/>
  <c r="H41" i="12"/>
  <c r="H43" i="12"/>
  <c r="H45" i="12"/>
  <c r="H39" i="12"/>
  <c r="I66" i="12" s="1"/>
  <c r="S66" i="12" s="1"/>
  <c r="C106" i="39"/>
  <c r="C107" i="39"/>
  <c r="C108" i="39"/>
  <c r="B147" i="39"/>
  <c r="S105" i="12"/>
  <c r="L113" i="12"/>
  <c r="K113" i="12"/>
  <c r="M113" i="12"/>
  <c r="J113" i="12"/>
  <c r="N113" i="12"/>
  <c r="P113" i="12"/>
  <c r="O113" i="12"/>
  <c r="D107" i="7"/>
  <c r="C19" i="7" s="1"/>
  <c r="C73" i="7"/>
  <c r="C75" i="7" s="1"/>
  <c r="D106" i="7" s="1"/>
  <c r="D90" i="7"/>
  <c r="D92" i="7" s="1"/>
  <c r="C18" i="7" s="1"/>
  <c r="C14" i="39"/>
  <c r="E14" i="39"/>
  <c r="B38" i="44"/>
  <c r="C18" i="44" s="1"/>
  <c r="B34" i="44"/>
  <c r="B37" i="44" s="1"/>
  <c r="C13" i="8"/>
  <c r="E13" i="8"/>
  <c r="C70" i="36"/>
  <c r="C71" i="36" s="1"/>
  <c r="B39" i="36"/>
  <c r="B44" i="36" s="1"/>
  <c r="C79" i="36" s="1"/>
  <c r="C14" i="36" s="1"/>
  <c r="B52" i="39"/>
  <c r="C126" i="39" s="1"/>
  <c r="C13" i="41"/>
  <c r="E13" i="41"/>
  <c r="I39" i="12"/>
  <c r="I42" i="12"/>
  <c r="I40" i="12"/>
  <c r="I41" i="12"/>
  <c r="I46" i="12"/>
  <c r="I44" i="12"/>
  <c r="I47" i="12"/>
  <c r="I43" i="12"/>
  <c r="M37" i="12"/>
  <c r="M38" i="12" s="1"/>
  <c r="I38" i="12"/>
  <c r="I45" i="12"/>
  <c r="BU195" i="47" l="1"/>
  <c r="BQ195" i="47"/>
  <c r="BM195" i="47"/>
  <c r="BI195" i="47"/>
  <c r="BE195" i="47"/>
  <c r="BA195" i="47"/>
  <c r="BU194" i="47"/>
  <c r="BQ194" i="47"/>
  <c r="BM194" i="47"/>
  <c r="BI194" i="47"/>
  <c r="BE194" i="47"/>
  <c r="BA194" i="47"/>
  <c r="BU193" i="47"/>
  <c r="BQ193" i="47"/>
  <c r="BM193" i="47"/>
  <c r="BI193" i="47"/>
  <c r="BE193" i="47"/>
  <c r="BA193" i="47"/>
  <c r="BU192" i="47"/>
  <c r="BQ192" i="47"/>
  <c r="BM192" i="47"/>
  <c r="BI192" i="47"/>
  <c r="BE192" i="47"/>
  <c r="BA192" i="47"/>
  <c r="BU191" i="47"/>
  <c r="BQ191" i="47"/>
  <c r="BM191" i="47"/>
  <c r="BI191" i="47"/>
  <c r="BE191" i="47"/>
  <c r="BA191" i="47"/>
  <c r="BU190" i="47"/>
  <c r="BQ190" i="47"/>
  <c r="BM190" i="47"/>
  <c r="BI190" i="47"/>
  <c r="BE190" i="47"/>
  <c r="BS195" i="47"/>
  <c r="BO195" i="47"/>
  <c r="BK195" i="47"/>
  <c r="BG195" i="47"/>
  <c r="BC195" i="47"/>
  <c r="BR195" i="47"/>
  <c r="BN195" i="47"/>
  <c r="BJ195" i="47"/>
  <c r="BF195" i="47"/>
  <c r="BB195" i="47"/>
  <c r="BR194" i="47"/>
  <c r="BN194" i="47"/>
  <c r="BJ194" i="47"/>
  <c r="BF194" i="47"/>
  <c r="BB194" i="47"/>
  <c r="BR193" i="47"/>
  <c r="BN193" i="47"/>
  <c r="BJ193" i="47"/>
  <c r="BF193" i="47"/>
  <c r="BB193" i="47"/>
  <c r="BR192" i="47"/>
  <c r="BN192" i="47"/>
  <c r="BJ192" i="47"/>
  <c r="BF192" i="47"/>
  <c r="BB192" i="47"/>
  <c r="BT195" i="47"/>
  <c r="BD195" i="47"/>
  <c r="BP194" i="47"/>
  <c r="BH194" i="47"/>
  <c r="AZ194" i="47"/>
  <c r="BS193" i="47"/>
  <c r="BK193" i="47"/>
  <c r="BC193" i="47"/>
  <c r="BT192" i="47"/>
  <c r="BL192" i="47"/>
  <c r="BD192" i="47"/>
  <c r="BP191" i="47"/>
  <c r="BK191" i="47"/>
  <c r="BF191" i="47"/>
  <c r="AZ191" i="47"/>
  <c r="BP190" i="47"/>
  <c r="BK190" i="47"/>
  <c r="BF190" i="47"/>
  <c r="BA190" i="47"/>
  <c r="BU189" i="47"/>
  <c r="BQ189" i="47"/>
  <c r="BM189" i="47"/>
  <c r="BI189" i="47"/>
  <c r="BE189" i="47"/>
  <c r="BA189" i="47"/>
  <c r="BU188" i="47"/>
  <c r="BQ188" i="47"/>
  <c r="BM188" i="47"/>
  <c r="BI188" i="47"/>
  <c r="BE188" i="47"/>
  <c r="BA188" i="47"/>
  <c r="BU187" i="47"/>
  <c r="BQ187" i="47"/>
  <c r="BM187" i="47"/>
  <c r="BI187" i="47"/>
  <c r="BE187" i="47"/>
  <c r="BA187" i="47"/>
  <c r="BU186" i="47"/>
  <c r="BQ186" i="47"/>
  <c r="BM186" i="47"/>
  <c r="BI186" i="47"/>
  <c r="BE186" i="47"/>
  <c r="BA186" i="47"/>
  <c r="BP195" i="47"/>
  <c r="AZ195" i="47"/>
  <c r="BO194" i="47"/>
  <c r="BG194" i="47"/>
  <c r="BL195" i="47"/>
  <c r="BT194" i="47"/>
  <c r="BL194" i="47"/>
  <c r="BD194" i="47"/>
  <c r="BO193" i="47"/>
  <c r="BG193" i="47"/>
  <c r="BP192" i="47"/>
  <c r="BH192" i="47"/>
  <c r="AZ192" i="47"/>
  <c r="BS191" i="47"/>
  <c r="BN191" i="47"/>
  <c r="BH191" i="47"/>
  <c r="BC191" i="47"/>
  <c r="BS190" i="47"/>
  <c r="BN190" i="47"/>
  <c r="BH190" i="47"/>
  <c r="BC190" i="47"/>
  <c r="BS189" i="47"/>
  <c r="BO189" i="47"/>
  <c r="BK189" i="47"/>
  <c r="BG189" i="47"/>
  <c r="BC189" i="47"/>
  <c r="BS188" i="47"/>
  <c r="BO188" i="47"/>
  <c r="BK188" i="47"/>
  <c r="BG188" i="47"/>
  <c r="BC188" i="47"/>
  <c r="BH195" i="47"/>
  <c r="BS194" i="47"/>
  <c r="BK194" i="47"/>
  <c r="BC194" i="47"/>
  <c r="BT193" i="47"/>
  <c r="BL193" i="47"/>
  <c r="BD193" i="47"/>
  <c r="BO192" i="47"/>
  <c r="BG192" i="47"/>
  <c r="BR191" i="47"/>
  <c r="BL191" i="47"/>
  <c r="BG191" i="47"/>
  <c r="BB191" i="47"/>
  <c r="BR190" i="47"/>
  <c r="BL190" i="47"/>
  <c r="BG190" i="47"/>
  <c r="BB190" i="47"/>
  <c r="BR189" i="47"/>
  <c r="BN189" i="47"/>
  <c r="BJ189" i="47"/>
  <c r="BF189" i="47"/>
  <c r="BB189" i="47"/>
  <c r="BR188" i="47"/>
  <c r="BN188" i="47"/>
  <c r="BJ188" i="47"/>
  <c r="BF188" i="47"/>
  <c r="BB188" i="47"/>
  <c r="BR187" i="47"/>
  <c r="BN187" i="47"/>
  <c r="BJ187" i="47"/>
  <c r="BF187" i="47"/>
  <c r="BB187" i="47"/>
  <c r="BP193" i="47"/>
  <c r="BS192" i="47"/>
  <c r="BT191" i="47"/>
  <c r="BD190" i="47"/>
  <c r="BP189" i="47"/>
  <c r="AZ189" i="47"/>
  <c r="BL188" i="47"/>
  <c r="BO187" i="47"/>
  <c r="BG187" i="47"/>
  <c r="BR186" i="47"/>
  <c r="BL186" i="47"/>
  <c r="BG186" i="47"/>
  <c r="BB186" i="47"/>
  <c r="BU185" i="47"/>
  <c r="BQ185" i="47"/>
  <c r="BM185" i="47"/>
  <c r="BI185" i="47"/>
  <c r="BE185" i="47"/>
  <c r="BA185" i="47"/>
  <c r="BU184" i="47"/>
  <c r="BQ184" i="47"/>
  <c r="BM184" i="47"/>
  <c r="BI184" i="47"/>
  <c r="BE184" i="47"/>
  <c r="BA184" i="47"/>
  <c r="BU183" i="47"/>
  <c r="BQ183" i="47"/>
  <c r="BM183" i="47"/>
  <c r="BI183" i="47"/>
  <c r="BE183" i="47"/>
  <c r="BA183" i="47"/>
  <c r="BH193" i="47"/>
  <c r="BK192" i="47"/>
  <c r="BO191" i="47"/>
  <c r="BT190" i="47"/>
  <c r="AZ190" i="47"/>
  <c r="BL189" i="47"/>
  <c r="BH188" i="47"/>
  <c r="BT187" i="47"/>
  <c r="BL187" i="47"/>
  <c r="BD187" i="47"/>
  <c r="BP186" i="47"/>
  <c r="BK186" i="47"/>
  <c r="BF186" i="47"/>
  <c r="AZ186" i="47"/>
  <c r="BT185" i="47"/>
  <c r="BP185" i="47"/>
  <c r="BL185" i="47"/>
  <c r="BH185" i="47"/>
  <c r="BD185" i="47"/>
  <c r="AZ185" i="47"/>
  <c r="BT184" i="47"/>
  <c r="BP184" i="47"/>
  <c r="BL184" i="47"/>
  <c r="BH184" i="47"/>
  <c r="BD184" i="47"/>
  <c r="AZ184" i="47"/>
  <c r="BT183" i="47"/>
  <c r="BP183" i="47"/>
  <c r="BL183" i="47"/>
  <c r="BH183" i="47"/>
  <c r="BD183" i="47"/>
  <c r="AZ183" i="47"/>
  <c r="BO190" i="47"/>
  <c r="BH189" i="47"/>
  <c r="BP188" i="47"/>
  <c r="BS187" i="47"/>
  <c r="AZ193" i="47"/>
  <c r="BC192" i="47"/>
  <c r="BJ191" i="47"/>
  <c r="BJ190" i="47"/>
  <c r="BD189" i="47"/>
  <c r="BD188" i="47"/>
  <c r="BP187" i="47"/>
  <c r="AZ187" i="47"/>
  <c r="BO186" i="47"/>
  <c r="BD186" i="47"/>
  <c r="BN185" i="47"/>
  <c r="BF185" i="47"/>
  <c r="BO184" i="47"/>
  <c r="BG184" i="47"/>
  <c r="BR183" i="47"/>
  <c r="BJ183" i="47"/>
  <c r="BB183" i="47"/>
  <c r="BT182" i="47"/>
  <c r="BP182" i="47"/>
  <c r="BL182" i="47"/>
  <c r="BH182" i="47"/>
  <c r="BD182" i="47"/>
  <c r="AZ182" i="47"/>
  <c r="BT181" i="47"/>
  <c r="BP181" i="47"/>
  <c r="BL181" i="47"/>
  <c r="BH181" i="47"/>
  <c r="BD181" i="47"/>
  <c r="AZ181" i="47"/>
  <c r="BT180" i="47"/>
  <c r="BP180" i="47"/>
  <c r="BL180" i="47"/>
  <c r="BH180" i="47"/>
  <c r="BD180" i="47"/>
  <c r="AZ180" i="47"/>
  <c r="BT179" i="47"/>
  <c r="BP179" i="47"/>
  <c r="BL179" i="47"/>
  <c r="BH179" i="47"/>
  <c r="BD179" i="47"/>
  <c r="AZ179" i="47"/>
  <c r="BD191" i="47"/>
  <c r="AZ188" i="47"/>
  <c r="BK187" i="47"/>
  <c r="BN186" i="47"/>
  <c r="BC186" i="47"/>
  <c r="BS185" i="47"/>
  <c r="BK185" i="47"/>
  <c r="BC185" i="47"/>
  <c r="BN184" i="47"/>
  <c r="BF184" i="47"/>
  <c r="BO183" i="47"/>
  <c r="BG183" i="47"/>
  <c r="BS182" i="47"/>
  <c r="BO182" i="47"/>
  <c r="BK182" i="47"/>
  <c r="BG182" i="47"/>
  <c r="BC182" i="47"/>
  <c r="BS181" i="47"/>
  <c r="BO181" i="47"/>
  <c r="BK181" i="47"/>
  <c r="BG181" i="47"/>
  <c r="BC181" i="47"/>
  <c r="BS180" i="47"/>
  <c r="BO180" i="47"/>
  <c r="BK180" i="47"/>
  <c r="BG180" i="47"/>
  <c r="BC180" i="47"/>
  <c r="BH186" i="47"/>
  <c r="BR185" i="47"/>
  <c r="BB185" i="47"/>
  <c r="BS184" i="47"/>
  <c r="BC184" i="47"/>
  <c r="BS183" i="47"/>
  <c r="BC183" i="47"/>
  <c r="BQ182" i="47"/>
  <c r="BI182" i="47"/>
  <c r="BA182" i="47"/>
  <c r="BU181" i="47"/>
  <c r="BM181" i="47"/>
  <c r="BE181" i="47"/>
  <c r="BQ180" i="47"/>
  <c r="BI180" i="47"/>
  <c r="BA180" i="47"/>
  <c r="BS179" i="47"/>
  <c r="BN179" i="47"/>
  <c r="BI179" i="47"/>
  <c r="BC179" i="47"/>
  <c r="BU178" i="47"/>
  <c r="BQ178" i="47"/>
  <c r="BM178" i="47"/>
  <c r="BI178" i="47"/>
  <c r="BE178" i="47"/>
  <c r="BA178" i="47"/>
  <c r="BU177" i="47"/>
  <c r="BQ177" i="47"/>
  <c r="BM177" i="47"/>
  <c r="BI177" i="47"/>
  <c r="BE177" i="47"/>
  <c r="BA177" i="47"/>
  <c r="BU176" i="47"/>
  <c r="BQ176" i="47"/>
  <c r="BM176" i="47"/>
  <c r="BI176" i="47"/>
  <c r="BE176" i="47"/>
  <c r="BA176" i="47"/>
  <c r="BU175" i="47"/>
  <c r="BQ175" i="47"/>
  <c r="BM175" i="47"/>
  <c r="BI175" i="47"/>
  <c r="BE175" i="47"/>
  <c r="BA175" i="47"/>
  <c r="BU174" i="47"/>
  <c r="BQ174" i="47"/>
  <c r="BM174" i="47"/>
  <c r="BI174" i="47"/>
  <c r="BE174" i="47"/>
  <c r="BA174" i="47"/>
  <c r="BU173" i="47"/>
  <c r="BQ173" i="47"/>
  <c r="BM173" i="47"/>
  <c r="BI173" i="47"/>
  <c r="BE173" i="47"/>
  <c r="BA173" i="47"/>
  <c r="BU172" i="47"/>
  <c r="BQ172" i="47"/>
  <c r="BM172" i="47"/>
  <c r="BI172" i="47"/>
  <c r="BE172" i="47"/>
  <c r="BA172" i="47"/>
  <c r="BT189" i="47"/>
  <c r="BT188" i="47"/>
  <c r="BH187" i="47"/>
  <c r="BT186" i="47"/>
  <c r="BO185" i="47"/>
  <c r="BR184" i="47"/>
  <c r="BB184" i="47"/>
  <c r="BN183" i="47"/>
  <c r="BN182" i="47"/>
  <c r="BF182" i="47"/>
  <c r="BR181" i="47"/>
  <c r="BJ181" i="47"/>
  <c r="BB181" i="47"/>
  <c r="BN180" i="47"/>
  <c r="BF180" i="47"/>
  <c r="BR179" i="47"/>
  <c r="BM179" i="47"/>
  <c r="BG179" i="47"/>
  <c r="BB179" i="47"/>
  <c r="BT178" i="47"/>
  <c r="BP178" i="47"/>
  <c r="BL178" i="47"/>
  <c r="BH178" i="47"/>
  <c r="BD178" i="47"/>
  <c r="AZ178" i="47"/>
  <c r="BT177" i="47"/>
  <c r="BP177" i="47"/>
  <c r="BL177" i="47"/>
  <c r="BH177" i="47"/>
  <c r="BD177" i="47"/>
  <c r="AZ177" i="47"/>
  <c r="BT176" i="47"/>
  <c r="BP176" i="47"/>
  <c r="BL176" i="47"/>
  <c r="BH176" i="47"/>
  <c r="BD176" i="47"/>
  <c r="AZ176" i="47"/>
  <c r="BT175" i="47"/>
  <c r="BP175" i="47"/>
  <c r="BL175" i="47"/>
  <c r="BH175" i="47"/>
  <c r="BD175" i="47"/>
  <c r="AZ175" i="47"/>
  <c r="BT174" i="47"/>
  <c r="BP174" i="47"/>
  <c r="BL174" i="47"/>
  <c r="BH174" i="47"/>
  <c r="BD174" i="47"/>
  <c r="AZ174" i="47"/>
  <c r="BT173" i="47"/>
  <c r="BP173" i="47"/>
  <c r="BL173" i="47"/>
  <c r="BH173" i="47"/>
  <c r="BD173" i="47"/>
  <c r="AZ173" i="47"/>
  <c r="BT172" i="47"/>
  <c r="BJ186" i="47"/>
  <c r="BG185" i="47"/>
  <c r="BJ184" i="47"/>
  <c r="BF183" i="47"/>
  <c r="BR182" i="47"/>
  <c r="BJ182" i="47"/>
  <c r="BB182" i="47"/>
  <c r="BN181" i="47"/>
  <c r="BF181" i="47"/>
  <c r="BR180" i="47"/>
  <c r="BJ180" i="47"/>
  <c r="BB180" i="47"/>
  <c r="BU179" i="47"/>
  <c r="BO179" i="47"/>
  <c r="BJ179" i="47"/>
  <c r="BE179" i="47"/>
  <c r="BR178" i="47"/>
  <c r="BN178" i="47"/>
  <c r="BJ178" i="47"/>
  <c r="BF178" i="47"/>
  <c r="BB178" i="47"/>
  <c r="BR177" i="47"/>
  <c r="BN177" i="47"/>
  <c r="BJ177" i="47"/>
  <c r="BF177" i="47"/>
  <c r="BB177" i="47"/>
  <c r="BR176" i="47"/>
  <c r="BN176" i="47"/>
  <c r="BJ176" i="47"/>
  <c r="BF176" i="47"/>
  <c r="BB176" i="47"/>
  <c r="BR175" i="47"/>
  <c r="BN175" i="47"/>
  <c r="BJ175" i="47"/>
  <c r="BF175" i="47"/>
  <c r="BB175" i="47"/>
  <c r="BR174" i="47"/>
  <c r="BN174" i="47"/>
  <c r="BJ174" i="47"/>
  <c r="BF174" i="47"/>
  <c r="BB174" i="47"/>
  <c r="BR173" i="47"/>
  <c r="BN173" i="47"/>
  <c r="BJ173" i="47"/>
  <c r="BF173" i="47"/>
  <c r="BB173" i="47"/>
  <c r="BR172" i="47"/>
  <c r="BN172" i="47"/>
  <c r="BJ172" i="47"/>
  <c r="BF172" i="47"/>
  <c r="BB172" i="47"/>
  <c r="BR171" i="47"/>
  <c r="BN171" i="47"/>
  <c r="BJ171" i="47"/>
  <c r="BF171" i="47"/>
  <c r="BB171" i="47"/>
  <c r="BR170" i="47"/>
  <c r="BS186" i="47"/>
  <c r="BU182" i="47"/>
  <c r="BM180" i="47"/>
  <c r="BA179" i="47"/>
  <c r="BS178" i="47"/>
  <c r="BC178" i="47"/>
  <c r="BK177" i="47"/>
  <c r="BG176" i="47"/>
  <c r="BS175" i="47"/>
  <c r="BC175" i="47"/>
  <c r="BO174" i="47"/>
  <c r="BK173" i="47"/>
  <c r="BL172" i="47"/>
  <c r="BD172" i="47"/>
  <c r="BQ171" i="47"/>
  <c r="BL171" i="47"/>
  <c r="BG171" i="47"/>
  <c r="BA171" i="47"/>
  <c r="BJ185" i="47"/>
  <c r="BM182" i="47"/>
  <c r="BQ181" i="47"/>
  <c r="BE180" i="47"/>
  <c r="BQ179" i="47"/>
  <c r="BO178" i="47"/>
  <c r="BG177" i="47"/>
  <c r="BS176" i="47"/>
  <c r="BC176" i="47"/>
  <c r="BO175" i="47"/>
  <c r="BK174" i="47"/>
  <c r="BG173" i="47"/>
  <c r="BS172" i="47"/>
  <c r="BK172" i="47"/>
  <c r="BC172" i="47"/>
  <c r="BU171" i="47"/>
  <c r="BP171" i="47"/>
  <c r="BK171" i="47"/>
  <c r="BE171" i="47"/>
  <c r="AZ171" i="47"/>
  <c r="BQ170" i="47"/>
  <c r="BM170" i="47"/>
  <c r="BI170" i="47"/>
  <c r="BE170" i="47"/>
  <c r="BA170" i="47"/>
  <c r="BU169" i="47"/>
  <c r="BQ169" i="47"/>
  <c r="BM169" i="47"/>
  <c r="BI169" i="47"/>
  <c r="BE169" i="47"/>
  <c r="BA169" i="47"/>
  <c r="BU168" i="47"/>
  <c r="BQ168" i="47"/>
  <c r="BM168" i="47"/>
  <c r="BI168" i="47"/>
  <c r="BE168" i="47"/>
  <c r="BA168" i="47"/>
  <c r="BU167" i="47"/>
  <c r="BQ167" i="47"/>
  <c r="BM167" i="47"/>
  <c r="BI167" i="47"/>
  <c r="BE167" i="47"/>
  <c r="BA167" i="47"/>
  <c r="BU166" i="47"/>
  <c r="BQ166" i="47"/>
  <c r="BM166" i="47"/>
  <c r="BI166" i="47"/>
  <c r="BE166" i="47"/>
  <c r="BA166" i="47"/>
  <c r="BU165" i="47"/>
  <c r="BQ165" i="47"/>
  <c r="BM165" i="47"/>
  <c r="BI165" i="47"/>
  <c r="BE165" i="47"/>
  <c r="BA165" i="47"/>
  <c r="BU164" i="47"/>
  <c r="BQ164" i="47"/>
  <c r="BM164" i="47"/>
  <c r="BI164" i="47"/>
  <c r="BE164" i="47"/>
  <c r="BA164" i="47"/>
  <c r="BU163" i="47"/>
  <c r="BQ163" i="47"/>
  <c r="BK184" i="47"/>
  <c r="BE182" i="47"/>
  <c r="BI181" i="47"/>
  <c r="BK179" i="47"/>
  <c r="BK178" i="47"/>
  <c r="BS177" i="47"/>
  <c r="BC177" i="47"/>
  <c r="BO176" i="47"/>
  <c r="BK175" i="47"/>
  <c r="BG174" i="47"/>
  <c r="BS173" i="47"/>
  <c r="BC173" i="47"/>
  <c r="BP172" i="47"/>
  <c r="BH172" i="47"/>
  <c r="AZ172" i="47"/>
  <c r="BT171" i="47"/>
  <c r="BO171" i="47"/>
  <c r="BI171" i="47"/>
  <c r="BD171" i="47"/>
  <c r="BU170" i="47"/>
  <c r="BP170" i="47"/>
  <c r="BL170" i="47"/>
  <c r="BH170" i="47"/>
  <c r="BD170" i="47"/>
  <c r="AZ170" i="47"/>
  <c r="BT169" i="47"/>
  <c r="BP169" i="47"/>
  <c r="BL169" i="47"/>
  <c r="BH169" i="47"/>
  <c r="BD169" i="47"/>
  <c r="AZ169" i="47"/>
  <c r="BT168" i="47"/>
  <c r="BP168" i="47"/>
  <c r="BL168" i="47"/>
  <c r="BH168" i="47"/>
  <c r="BD168" i="47"/>
  <c r="AZ168" i="47"/>
  <c r="BT167" i="47"/>
  <c r="BP167" i="47"/>
  <c r="BL167" i="47"/>
  <c r="BH167" i="47"/>
  <c r="BD167" i="47"/>
  <c r="AZ167" i="47"/>
  <c r="BT166" i="47"/>
  <c r="BP166" i="47"/>
  <c r="BL166" i="47"/>
  <c r="BH166" i="47"/>
  <c r="BD166" i="47"/>
  <c r="AZ166" i="47"/>
  <c r="BT165" i="47"/>
  <c r="BP165" i="47"/>
  <c r="BL165" i="47"/>
  <c r="BH165" i="47"/>
  <c r="BD165" i="47"/>
  <c r="AZ165" i="47"/>
  <c r="BT164" i="47"/>
  <c r="BP164" i="47"/>
  <c r="BL164" i="47"/>
  <c r="BH164" i="47"/>
  <c r="BD164" i="47"/>
  <c r="AZ164" i="47"/>
  <c r="BT163" i="47"/>
  <c r="BP163" i="47"/>
  <c r="BA181" i="47"/>
  <c r="BU180" i="47"/>
  <c r="BG178" i="47"/>
  <c r="BK176" i="47"/>
  <c r="BG175" i="47"/>
  <c r="BS174" i="47"/>
  <c r="BH171" i="47"/>
  <c r="BT170" i="47"/>
  <c r="BK170" i="47"/>
  <c r="BC170" i="47"/>
  <c r="BN169" i="47"/>
  <c r="BF169" i="47"/>
  <c r="BO168" i="47"/>
  <c r="BG168" i="47"/>
  <c r="BR167" i="47"/>
  <c r="BJ167" i="47"/>
  <c r="BB167" i="47"/>
  <c r="BS166" i="47"/>
  <c r="BK166" i="47"/>
  <c r="BC166" i="47"/>
  <c r="BN165" i="47"/>
  <c r="BF165" i="47"/>
  <c r="BO164" i="47"/>
  <c r="BG164" i="47"/>
  <c r="BR163" i="47"/>
  <c r="BL163" i="47"/>
  <c r="BH163" i="47"/>
  <c r="BD163" i="47"/>
  <c r="AZ163" i="47"/>
  <c r="BT162" i="47"/>
  <c r="BP162" i="47"/>
  <c r="BL162" i="47"/>
  <c r="BH162" i="47"/>
  <c r="BD162" i="47"/>
  <c r="AZ162" i="47"/>
  <c r="BT161" i="47"/>
  <c r="BP161" i="47"/>
  <c r="BL161" i="47"/>
  <c r="BH161" i="47"/>
  <c r="BD161" i="47"/>
  <c r="AZ161" i="47"/>
  <c r="BT160" i="47"/>
  <c r="BP160" i="47"/>
  <c r="BL160" i="47"/>
  <c r="BH160" i="47"/>
  <c r="BD160" i="47"/>
  <c r="AZ160" i="47"/>
  <c r="BT159" i="47"/>
  <c r="BP159" i="47"/>
  <c r="BL159" i="47"/>
  <c r="BH159" i="47"/>
  <c r="BD159" i="47"/>
  <c r="AZ159" i="47"/>
  <c r="BT158" i="47"/>
  <c r="BP158" i="47"/>
  <c r="BL158" i="47"/>
  <c r="BH158" i="47"/>
  <c r="BD158" i="47"/>
  <c r="AZ158" i="47"/>
  <c r="BT157" i="47"/>
  <c r="BP157" i="47"/>
  <c r="BL157" i="47"/>
  <c r="BH157" i="47"/>
  <c r="BD157" i="47"/>
  <c r="AZ157" i="47"/>
  <c r="BT156" i="47"/>
  <c r="BC187" i="47"/>
  <c r="BF179" i="47"/>
  <c r="BC174" i="47"/>
  <c r="BO173" i="47"/>
  <c r="BC171" i="47"/>
  <c r="BS170" i="47"/>
  <c r="BJ170" i="47"/>
  <c r="BB170" i="47"/>
  <c r="BS169" i="47"/>
  <c r="BK169" i="47"/>
  <c r="BC169" i="47"/>
  <c r="BN168" i="47"/>
  <c r="BF168" i="47"/>
  <c r="BO167" i="47"/>
  <c r="BG167" i="47"/>
  <c r="BR166" i="47"/>
  <c r="BJ166" i="47"/>
  <c r="BB166" i="47"/>
  <c r="BS165" i="47"/>
  <c r="BK165" i="47"/>
  <c r="BC165" i="47"/>
  <c r="BN164" i="47"/>
  <c r="BF164" i="47"/>
  <c r="BO163" i="47"/>
  <c r="BK163" i="47"/>
  <c r="BG163" i="47"/>
  <c r="BC163" i="47"/>
  <c r="BS162" i="47"/>
  <c r="BO162" i="47"/>
  <c r="BK162" i="47"/>
  <c r="BG162" i="47"/>
  <c r="BC162" i="47"/>
  <c r="BS161" i="47"/>
  <c r="BO161" i="47"/>
  <c r="BK161" i="47"/>
  <c r="BG161" i="47"/>
  <c r="BC161" i="47"/>
  <c r="BS160" i="47"/>
  <c r="BO160" i="47"/>
  <c r="BK160" i="47"/>
  <c r="BG160" i="47"/>
  <c r="BC160" i="47"/>
  <c r="BS159" i="47"/>
  <c r="BO159" i="47"/>
  <c r="BK159" i="47"/>
  <c r="BG159" i="47"/>
  <c r="BC159" i="47"/>
  <c r="BS158" i="47"/>
  <c r="BO158" i="47"/>
  <c r="BK158" i="47"/>
  <c r="BG158" i="47"/>
  <c r="BC158" i="47"/>
  <c r="BS157" i="47"/>
  <c r="BO157" i="47"/>
  <c r="BK157" i="47"/>
  <c r="BG157" i="47"/>
  <c r="BC157" i="47"/>
  <c r="BS156" i="47"/>
  <c r="BO156" i="47"/>
  <c r="BK156" i="47"/>
  <c r="BG156" i="47"/>
  <c r="BC156" i="47"/>
  <c r="BS155" i="47"/>
  <c r="BO155" i="47"/>
  <c r="BK155" i="47"/>
  <c r="BG155" i="47"/>
  <c r="BC155" i="47"/>
  <c r="BS154" i="47"/>
  <c r="BO154" i="47"/>
  <c r="BK154" i="47"/>
  <c r="BG154" i="47"/>
  <c r="BC154" i="47"/>
  <c r="BO177" i="47"/>
  <c r="BG172" i="47"/>
  <c r="BM171" i="47"/>
  <c r="BN170" i="47"/>
  <c r="BF170" i="47"/>
  <c r="BO169" i="47"/>
  <c r="BG169" i="47"/>
  <c r="BR168" i="47"/>
  <c r="BJ168" i="47"/>
  <c r="BB168" i="47"/>
  <c r="BS167" i="47"/>
  <c r="BK167" i="47"/>
  <c r="BC167" i="47"/>
  <c r="BN166" i="47"/>
  <c r="BF166" i="47"/>
  <c r="BO165" i="47"/>
  <c r="BG165" i="47"/>
  <c r="BR164" i="47"/>
  <c r="BJ164" i="47"/>
  <c r="BB164" i="47"/>
  <c r="BS163" i="47"/>
  <c r="BM163" i="47"/>
  <c r="BI163" i="47"/>
  <c r="BE163" i="47"/>
  <c r="BA163" i="47"/>
  <c r="BU162" i="47"/>
  <c r="BQ162" i="47"/>
  <c r="BM162" i="47"/>
  <c r="BI162" i="47"/>
  <c r="BE162" i="47"/>
  <c r="BA162" i="47"/>
  <c r="BU161" i="47"/>
  <c r="BQ161" i="47"/>
  <c r="BM161" i="47"/>
  <c r="BI161" i="47"/>
  <c r="BE161" i="47"/>
  <c r="BA161" i="47"/>
  <c r="BU160" i="47"/>
  <c r="BQ160" i="47"/>
  <c r="BM160" i="47"/>
  <c r="BI160" i="47"/>
  <c r="BE160" i="47"/>
  <c r="BA160" i="47"/>
  <c r="BU159" i="47"/>
  <c r="BQ159" i="47"/>
  <c r="BM159" i="47"/>
  <c r="BI159" i="47"/>
  <c r="BE159" i="47"/>
  <c r="BA159" i="47"/>
  <c r="BU158" i="47"/>
  <c r="BQ158" i="47"/>
  <c r="BM158" i="47"/>
  <c r="BI158" i="47"/>
  <c r="BE158" i="47"/>
  <c r="BA158" i="47"/>
  <c r="BU157" i="47"/>
  <c r="BQ157" i="47"/>
  <c r="BM157" i="47"/>
  <c r="BI157" i="47"/>
  <c r="BE157" i="47"/>
  <c r="BA157" i="47"/>
  <c r="BU156" i="47"/>
  <c r="BQ156" i="47"/>
  <c r="BM156" i="47"/>
  <c r="BI156" i="47"/>
  <c r="BE156" i="47"/>
  <c r="BA156" i="47"/>
  <c r="BU155" i="47"/>
  <c r="BQ155" i="47"/>
  <c r="BM155" i="47"/>
  <c r="BI155" i="47"/>
  <c r="BE155" i="47"/>
  <c r="BA155" i="47"/>
  <c r="BU154" i="47"/>
  <c r="BQ154" i="47"/>
  <c r="BM154" i="47"/>
  <c r="BI154" i="47"/>
  <c r="BE154" i="47"/>
  <c r="BA154" i="47"/>
  <c r="BU153" i="47"/>
  <c r="BQ153" i="47"/>
  <c r="BM153" i="47"/>
  <c r="BI153" i="47"/>
  <c r="BE153" i="47"/>
  <c r="BA153" i="47"/>
  <c r="BU152" i="47"/>
  <c r="BQ152" i="47"/>
  <c r="BM152" i="47"/>
  <c r="BI152" i="47"/>
  <c r="BE152" i="47"/>
  <c r="BA152" i="47"/>
  <c r="BU151" i="47"/>
  <c r="BQ151" i="47"/>
  <c r="BM151" i="47"/>
  <c r="BI151" i="47"/>
  <c r="BE151" i="47"/>
  <c r="BA151" i="47"/>
  <c r="BO170" i="47"/>
  <c r="BC168" i="47"/>
  <c r="BF167" i="47"/>
  <c r="BG166" i="47"/>
  <c r="BR165" i="47"/>
  <c r="BF163" i="47"/>
  <c r="BR162" i="47"/>
  <c r="BB162" i="47"/>
  <c r="BN161" i="47"/>
  <c r="BJ160" i="47"/>
  <c r="BF159" i="47"/>
  <c r="BR158" i="47"/>
  <c r="BB158" i="47"/>
  <c r="BN157" i="47"/>
  <c r="BN156" i="47"/>
  <c r="BF156" i="47"/>
  <c r="BR155" i="47"/>
  <c r="BJ155" i="47"/>
  <c r="BB155" i="47"/>
  <c r="BN154" i="47"/>
  <c r="BF154" i="47"/>
  <c r="BT153" i="47"/>
  <c r="BO153" i="47"/>
  <c r="BJ153" i="47"/>
  <c r="BD153" i="47"/>
  <c r="BT152" i="47"/>
  <c r="BO152" i="47"/>
  <c r="BJ152" i="47"/>
  <c r="BD152" i="47"/>
  <c r="BT151" i="47"/>
  <c r="BO151" i="47"/>
  <c r="BJ151" i="47"/>
  <c r="BD151" i="47"/>
  <c r="BT150" i="47"/>
  <c r="BP150" i="47"/>
  <c r="BL150" i="47"/>
  <c r="BH150" i="47"/>
  <c r="BD150" i="47"/>
  <c r="AZ150" i="47"/>
  <c r="BT149" i="47"/>
  <c r="BP149" i="47"/>
  <c r="BL149" i="47"/>
  <c r="BH149" i="47"/>
  <c r="BD149" i="47"/>
  <c r="AZ149" i="47"/>
  <c r="BT148" i="47"/>
  <c r="BP148" i="47"/>
  <c r="BL148" i="47"/>
  <c r="BH148" i="47"/>
  <c r="BD148" i="47"/>
  <c r="AZ148" i="47"/>
  <c r="BT147" i="47"/>
  <c r="BP147" i="47"/>
  <c r="BL147" i="47"/>
  <c r="BH147" i="47"/>
  <c r="BD147" i="47"/>
  <c r="AZ147" i="47"/>
  <c r="BT146" i="47"/>
  <c r="BP146" i="47"/>
  <c r="BL146" i="47"/>
  <c r="BH146" i="47"/>
  <c r="BD146" i="47"/>
  <c r="AZ146" i="47"/>
  <c r="BT145" i="47"/>
  <c r="BP145" i="47"/>
  <c r="BL145" i="47"/>
  <c r="BH145" i="47"/>
  <c r="BD145" i="47"/>
  <c r="AZ145" i="47"/>
  <c r="BT144" i="47"/>
  <c r="BP144" i="47"/>
  <c r="BL144" i="47"/>
  <c r="BH144" i="47"/>
  <c r="BD144" i="47"/>
  <c r="AZ144" i="47"/>
  <c r="BT143" i="47"/>
  <c r="BP143" i="47"/>
  <c r="BL143" i="47"/>
  <c r="BH143" i="47"/>
  <c r="BD143" i="47"/>
  <c r="AZ143" i="47"/>
  <c r="BT142" i="47"/>
  <c r="BP142" i="47"/>
  <c r="BL142" i="47"/>
  <c r="BH142" i="47"/>
  <c r="BD142" i="47"/>
  <c r="AZ142" i="47"/>
  <c r="BK183" i="47"/>
  <c r="BS171" i="47"/>
  <c r="BG170" i="47"/>
  <c r="BR169" i="47"/>
  <c r="BJ165" i="47"/>
  <c r="BS164" i="47"/>
  <c r="BB163" i="47"/>
  <c r="BN162" i="47"/>
  <c r="BJ161" i="47"/>
  <c r="BF160" i="47"/>
  <c r="BR159" i="47"/>
  <c r="BB159" i="47"/>
  <c r="BN158" i="47"/>
  <c r="BJ157" i="47"/>
  <c r="BL156" i="47"/>
  <c r="BD156" i="47"/>
  <c r="BP155" i="47"/>
  <c r="BH155" i="47"/>
  <c r="AZ155" i="47"/>
  <c r="BT154" i="47"/>
  <c r="BL154" i="47"/>
  <c r="BD154" i="47"/>
  <c r="BS153" i="47"/>
  <c r="BN153" i="47"/>
  <c r="BH153" i="47"/>
  <c r="BC153" i="47"/>
  <c r="BS152" i="47"/>
  <c r="BN152" i="47"/>
  <c r="BH152" i="47"/>
  <c r="BC152" i="47"/>
  <c r="BS151" i="47"/>
  <c r="BN151" i="47"/>
  <c r="BH151" i="47"/>
  <c r="BC151" i="47"/>
  <c r="BS150" i="47"/>
  <c r="BO150" i="47"/>
  <c r="BK150" i="47"/>
  <c r="BG150" i="47"/>
  <c r="BC150" i="47"/>
  <c r="BS149" i="47"/>
  <c r="BO149" i="47"/>
  <c r="BK149" i="47"/>
  <c r="BG149" i="47"/>
  <c r="BC149" i="47"/>
  <c r="BS148" i="47"/>
  <c r="BO148" i="47"/>
  <c r="BK148" i="47"/>
  <c r="BG148" i="47"/>
  <c r="BC148" i="47"/>
  <c r="BS147" i="47"/>
  <c r="BO147" i="47"/>
  <c r="BK147" i="47"/>
  <c r="BG147" i="47"/>
  <c r="BC147" i="47"/>
  <c r="BS146" i="47"/>
  <c r="BO146" i="47"/>
  <c r="BK146" i="47"/>
  <c r="BG146" i="47"/>
  <c r="BC146" i="47"/>
  <c r="BB169" i="47"/>
  <c r="BK168" i="47"/>
  <c r="BN167" i="47"/>
  <c r="BO166" i="47"/>
  <c r="BC164" i="47"/>
  <c r="BJ163" i="47"/>
  <c r="BF162" i="47"/>
  <c r="BR161" i="47"/>
  <c r="BB161" i="47"/>
  <c r="BN160" i="47"/>
  <c r="BJ159" i="47"/>
  <c r="BF158" i="47"/>
  <c r="BR157" i="47"/>
  <c r="BB157" i="47"/>
  <c r="BP156" i="47"/>
  <c r="BH156" i="47"/>
  <c r="AZ156" i="47"/>
  <c r="BT155" i="47"/>
  <c r="BL155" i="47"/>
  <c r="BD155" i="47"/>
  <c r="BP154" i="47"/>
  <c r="BH154" i="47"/>
  <c r="AZ154" i="47"/>
  <c r="BP153" i="47"/>
  <c r="BK153" i="47"/>
  <c r="BF153" i="47"/>
  <c r="AZ153" i="47"/>
  <c r="BP152" i="47"/>
  <c r="BK152" i="47"/>
  <c r="BF152" i="47"/>
  <c r="AZ152" i="47"/>
  <c r="BP151" i="47"/>
  <c r="BK151" i="47"/>
  <c r="BF151" i="47"/>
  <c r="AZ151" i="47"/>
  <c r="BU150" i="47"/>
  <c r="BQ150" i="47"/>
  <c r="BM150" i="47"/>
  <c r="BI150" i="47"/>
  <c r="BE150" i="47"/>
  <c r="BA150" i="47"/>
  <c r="BU149" i="47"/>
  <c r="BQ149" i="47"/>
  <c r="BM149" i="47"/>
  <c r="BI149" i="47"/>
  <c r="BE149" i="47"/>
  <c r="BA149" i="47"/>
  <c r="BU148" i="47"/>
  <c r="BQ148" i="47"/>
  <c r="BM148" i="47"/>
  <c r="BI148" i="47"/>
  <c r="BE148" i="47"/>
  <c r="BA148" i="47"/>
  <c r="BU147" i="47"/>
  <c r="BQ147" i="47"/>
  <c r="BM147" i="47"/>
  <c r="BI147" i="47"/>
  <c r="BE147" i="47"/>
  <c r="BA147" i="47"/>
  <c r="BU146" i="47"/>
  <c r="BQ146" i="47"/>
  <c r="BM146" i="47"/>
  <c r="BI146" i="47"/>
  <c r="BE146" i="47"/>
  <c r="BA146" i="47"/>
  <c r="BU145" i="47"/>
  <c r="BQ145" i="47"/>
  <c r="BM145" i="47"/>
  <c r="BI145" i="47"/>
  <c r="BE145" i="47"/>
  <c r="BA145" i="47"/>
  <c r="BU144" i="47"/>
  <c r="BQ144" i="47"/>
  <c r="BM144" i="47"/>
  <c r="BI144" i="47"/>
  <c r="BE144" i="47"/>
  <c r="BA144" i="47"/>
  <c r="BU143" i="47"/>
  <c r="BQ143" i="47"/>
  <c r="BM143" i="47"/>
  <c r="BI143" i="47"/>
  <c r="BE143" i="47"/>
  <c r="BA143" i="47"/>
  <c r="BU142" i="47"/>
  <c r="BQ142" i="47"/>
  <c r="BM142" i="47"/>
  <c r="BI142" i="47"/>
  <c r="BE142" i="47"/>
  <c r="BA142" i="47"/>
  <c r="BU141" i="47"/>
  <c r="BQ141" i="47"/>
  <c r="BM141" i="47"/>
  <c r="BI141" i="47"/>
  <c r="BE141" i="47"/>
  <c r="BA141" i="47"/>
  <c r="BU140" i="47"/>
  <c r="BQ140" i="47"/>
  <c r="BM140" i="47"/>
  <c r="BI140" i="47"/>
  <c r="BE140" i="47"/>
  <c r="BA140" i="47"/>
  <c r="BU139" i="47"/>
  <c r="BQ139" i="47"/>
  <c r="BM139" i="47"/>
  <c r="BI139" i="47"/>
  <c r="BE139" i="47"/>
  <c r="BA139" i="47"/>
  <c r="BU138" i="47"/>
  <c r="BQ138" i="47"/>
  <c r="BM138" i="47"/>
  <c r="BI138" i="47"/>
  <c r="BE138" i="47"/>
  <c r="BA138" i="47"/>
  <c r="BU137" i="47"/>
  <c r="BQ137" i="47"/>
  <c r="BM137" i="47"/>
  <c r="BI137" i="47"/>
  <c r="BE137" i="47"/>
  <c r="BA137" i="47"/>
  <c r="BU136" i="47"/>
  <c r="BQ136" i="47"/>
  <c r="BM136" i="47"/>
  <c r="BI136" i="47"/>
  <c r="BE136" i="47"/>
  <c r="BA136" i="47"/>
  <c r="BU135" i="47"/>
  <c r="BQ135" i="47"/>
  <c r="BM135" i="47"/>
  <c r="BI135" i="47"/>
  <c r="BE135" i="47"/>
  <c r="BA135" i="47"/>
  <c r="BO172" i="47"/>
  <c r="BK164" i="47"/>
  <c r="BN163" i="47"/>
  <c r="BB160" i="47"/>
  <c r="BR156" i="47"/>
  <c r="BF155" i="47"/>
  <c r="BB154" i="47"/>
  <c r="BL153" i="47"/>
  <c r="BG152" i="47"/>
  <c r="BB151" i="47"/>
  <c r="BJ150" i="47"/>
  <c r="BF149" i="47"/>
  <c r="BR148" i="47"/>
  <c r="BB148" i="47"/>
  <c r="BN147" i="47"/>
  <c r="BJ146" i="47"/>
  <c r="BO145" i="47"/>
  <c r="BG145" i="47"/>
  <c r="BJ169" i="47"/>
  <c r="BS168" i="47"/>
  <c r="BB165" i="47"/>
  <c r="BJ162" i="47"/>
  <c r="BN159" i="47"/>
  <c r="BJ156" i="47"/>
  <c r="BG153" i="47"/>
  <c r="BB152" i="47"/>
  <c r="BR151" i="47"/>
  <c r="BF150" i="47"/>
  <c r="BR149" i="47"/>
  <c r="BB149" i="47"/>
  <c r="BN148" i="47"/>
  <c r="BJ147" i="47"/>
  <c r="BF146" i="47"/>
  <c r="BN145" i="47"/>
  <c r="BF145" i="47"/>
  <c r="BO144" i="47"/>
  <c r="BG144" i="47"/>
  <c r="BR143" i="47"/>
  <c r="BJ143" i="47"/>
  <c r="BB143" i="47"/>
  <c r="BS142" i="47"/>
  <c r="BK142" i="47"/>
  <c r="BC142" i="47"/>
  <c r="BT141" i="47"/>
  <c r="BO141" i="47"/>
  <c r="BJ141" i="47"/>
  <c r="BD141" i="47"/>
  <c r="BT140" i="47"/>
  <c r="BO140" i="47"/>
  <c r="BJ140" i="47"/>
  <c r="BD140" i="47"/>
  <c r="BT139" i="47"/>
  <c r="BO139" i="47"/>
  <c r="BJ139" i="47"/>
  <c r="BD139" i="47"/>
  <c r="BT138" i="47"/>
  <c r="BO138" i="47"/>
  <c r="BJ138" i="47"/>
  <c r="BD138" i="47"/>
  <c r="BT137" i="47"/>
  <c r="BO137" i="47"/>
  <c r="BJ137" i="47"/>
  <c r="BD137" i="47"/>
  <c r="BT136" i="47"/>
  <c r="BO136" i="47"/>
  <c r="BJ136" i="47"/>
  <c r="BD136" i="47"/>
  <c r="BT135" i="47"/>
  <c r="BO135" i="47"/>
  <c r="BJ135" i="47"/>
  <c r="BD135" i="47"/>
  <c r="BU134" i="47"/>
  <c r="BQ134" i="47"/>
  <c r="BM134" i="47"/>
  <c r="BI134" i="47"/>
  <c r="BE134" i="47"/>
  <c r="BA134" i="47"/>
  <c r="BF161" i="47"/>
  <c r="BJ158" i="47"/>
  <c r="BB156" i="47"/>
  <c r="BR154" i="47"/>
  <c r="BB153" i="47"/>
  <c r="BR152" i="47"/>
  <c r="BL151" i="47"/>
  <c r="BR150" i="47"/>
  <c r="BB150" i="47"/>
  <c r="BN149" i="47"/>
  <c r="BJ148" i="47"/>
  <c r="BF147" i="47"/>
  <c r="BR146" i="47"/>
  <c r="BB146" i="47"/>
  <c r="BS145" i="47"/>
  <c r="BK145" i="47"/>
  <c r="BC145" i="47"/>
  <c r="BN144" i="47"/>
  <c r="BF144" i="47"/>
  <c r="BO143" i="47"/>
  <c r="BG143" i="47"/>
  <c r="BR142" i="47"/>
  <c r="BJ142" i="47"/>
  <c r="BB142" i="47"/>
  <c r="BS141" i="47"/>
  <c r="BN141" i="47"/>
  <c r="BH141" i="47"/>
  <c r="BC141" i="47"/>
  <c r="BS140" i="47"/>
  <c r="BN140" i="47"/>
  <c r="BH140" i="47"/>
  <c r="BC140" i="47"/>
  <c r="BS139" i="47"/>
  <c r="BN139" i="47"/>
  <c r="BH139" i="47"/>
  <c r="BC139" i="47"/>
  <c r="BS138" i="47"/>
  <c r="BN138" i="47"/>
  <c r="BH138" i="47"/>
  <c r="BC138" i="47"/>
  <c r="BS137" i="47"/>
  <c r="BN137" i="47"/>
  <c r="BH137" i="47"/>
  <c r="BC137" i="47"/>
  <c r="BS136" i="47"/>
  <c r="BN136" i="47"/>
  <c r="BH136" i="47"/>
  <c r="BC136" i="47"/>
  <c r="BS135" i="47"/>
  <c r="BN135" i="47"/>
  <c r="BH135" i="47"/>
  <c r="BC135" i="47"/>
  <c r="BT134" i="47"/>
  <c r="BP134" i="47"/>
  <c r="BL134" i="47"/>
  <c r="BH134" i="47"/>
  <c r="BD134" i="47"/>
  <c r="AZ134" i="47"/>
  <c r="BT133" i="47"/>
  <c r="BP133" i="47"/>
  <c r="BR160" i="47"/>
  <c r="BJ154" i="47"/>
  <c r="BJ149" i="47"/>
  <c r="BN146" i="47"/>
  <c r="BK144" i="47"/>
  <c r="BK143" i="47"/>
  <c r="BF142" i="47"/>
  <c r="BP141" i="47"/>
  <c r="BF141" i="47"/>
  <c r="BK140" i="47"/>
  <c r="AZ140" i="47"/>
  <c r="BP139" i="47"/>
  <c r="BF139" i="47"/>
  <c r="BK138" i="47"/>
  <c r="AZ138" i="47"/>
  <c r="BP137" i="47"/>
  <c r="BF137" i="47"/>
  <c r="BK136" i="47"/>
  <c r="AZ136" i="47"/>
  <c r="BP135" i="47"/>
  <c r="BF135" i="47"/>
  <c r="BS134" i="47"/>
  <c r="BK134" i="47"/>
  <c r="BC134" i="47"/>
  <c r="BS133" i="47"/>
  <c r="BN133" i="47"/>
  <c r="BJ133" i="47"/>
  <c r="BF133" i="47"/>
  <c r="BB133" i="47"/>
  <c r="BR132" i="47"/>
  <c r="BN132" i="47"/>
  <c r="BJ132" i="47"/>
  <c r="BF132" i="47"/>
  <c r="BB132" i="47"/>
  <c r="BR131" i="47"/>
  <c r="BN131" i="47"/>
  <c r="BJ131" i="47"/>
  <c r="BF131" i="47"/>
  <c r="BB131" i="47"/>
  <c r="BR130" i="47"/>
  <c r="BN130" i="47"/>
  <c r="BJ130" i="47"/>
  <c r="BF130" i="47"/>
  <c r="BB130" i="47"/>
  <c r="BR129" i="47"/>
  <c r="BN129" i="47"/>
  <c r="BJ129" i="47"/>
  <c r="BF129" i="47"/>
  <c r="BB129" i="47"/>
  <c r="BR128" i="47"/>
  <c r="BN128" i="47"/>
  <c r="BJ128" i="47"/>
  <c r="BF128" i="47"/>
  <c r="BB128" i="47"/>
  <c r="BR127" i="47"/>
  <c r="BN127" i="47"/>
  <c r="BJ127" i="47"/>
  <c r="BF127" i="47"/>
  <c r="BB127" i="47"/>
  <c r="BR126" i="47"/>
  <c r="BN126" i="47"/>
  <c r="BJ126" i="47"/>
  <c r="BF126" i="47"/>
  <c r="BB126" i="47"/>
  <c r="BR125" i="47"/>
  <c r="BN125" i="47"/>
  <c r="BJ125" i="47"/>
  <c r="BF125" i="47"/>
  <c r="BB125" i="47"/>
  <c r="BR124" i="47"/>
  <c r="BN124" i="47"/>
  <c r="BJ124" i="47"/>
  <c r="BF124" i="47"/>
  <c r="BB124" i="47"/>
  <c r="BR123" i="47"/>
  <c r="BN123" i="47"/>
  <c r="BJ123" i="47"/>
  <c r="BF123" i="47"/>
  <c r="BB123" i="47"/>
  <c r="BR122" i="47"/>
  <c r="BN122" i="47"/>
  <c r="BJ122" i="47"/>
  <c r="BF122" i="47"/>
  <c r="BB122" i="47"/>
  <c r="BR121" i="47"/>
  <c r="BN121" i="47"/>
  <c r="BJ121" i="47"/>
  <c r="BF121" i="47"/>
  <c r="BB121" i="47"/>
  <c r="BR120" i="47"/>
  <c r="BN120" i="47"/>
  <c r="BJ120" i="47"/>
  <c r="BF120" i="47"/>
  <c r="BB120" i="47"/>
  <c r="BR119" i="47"/>
  <c r="BN119" i="47"/>
  <c r="BJ119" i="47"/>
  <c r="BF119" i="47"/>
  <c r="BB119" i="47"/>
  <c r="BR118" i="47"/>
  <c r="BN118" i="47"/>
  <c r="BJ118" i="47"/>
  <c r="BF118" i="47"/>
  <c r="BB118" i="47"/>
  <c r="BF157" i="47"/>
  <c r="BF148" i="47"/>
  <c r="BR145" i="47"/>
  <c r="BJ144" i="47"/>
  <c r="BF143" i="47"/>
  <c r="BO142" i="47"/>
  <c r="BL141" i="47"/>
  <c r="BB141" i="47"/>
  <c r="BR140" i="47"/>
  <c r="BG140" i="47"/>
  <c r="BL139" i="47"/>
  <c r="BB139" i="47"/>
  <c r="BR138" i="47"/>
  <c r="BG138" i="47"/>
  <c r="BL137" i="47"/>
  <c r="BB137" i="47"/>
  <c r="BR136" i="47"/>
  <c r="BG136" i="47"/>
  <c r="BL135" i="47"/>
  <c r="BB135" i="47"/>
  <c r="BR134" i="47"/>
  <c r="BJ134" i="47"/>
  <c r="BB134" i="47"/>
  <c r="BR133" i="47"/>
  <c r="BM133" i="47"/>
  <c r="BI133" i="47"/>
  <c r="BE133" i="47"/>
  <c r="BA133" i="47"/>
  <c r="BU132" i="47"/>
  <c r="BQ132" i="47"/>
  <c r="BM132" i="47"/>
  <c r="BI132" i="47"/>
  <c r="BE132" i="47"/>
  <c r="BA132" i="47"/>
  <c r="BU131" i="47"/>
  <c r="BQ131" i="47"/>
  <c r="BM131" i="47"/>
  <c r="BI131" i="47"/>
  <c r="BE131" i="47"/>
  <c r="BA131" i="47"/>
  <c r="BU130" i="47"/>
  <c r="BQ130" i="47"/>
  <c r="BM130" i="47"/>
  <c r="BI130" i="47"/>
  <c r="BE130" i="47"/>
  <c r="BA130" i="47"/>
  <c r="BU129" i="47"/>
  <c r="BQ129" i="47"/>
  <c r="BM129" i="47"/>
  <c r="BI129" i="47"/>
  <c r="BE129" i="47"/>
  <c r="BA129" i="47"/>
  <c r="BU128" i="47"/>
  <c r="BQ128" i="47"/>
  <c r="BM128" i="47"/>
  <c r="BI128" i="47"/>
  <c r="BE128" i="47"/>
  <c r="BA128" i="47"/>
  <c r="BU127" i="47"/>
  <c r="BQ127" i="47"/>
  <c r="BM127" i="47"/>
  <c r="BI127" i="47"/>
  <c r="BE127" i="47"/>
  <c r="BA127" i="47"/>
  <c r="BU126" i="47"/>
  <c r="BQ126" i="47"/>
  <c r="BM126" i="47"/>
  <c r="BI126" i="47"/>
  <c r="BE126" i="47"/>
  <c r="BA126" i="47"/>
  <c r="BU125" i="47"/>
  <c r="BQ125" i="47"/>
  <c r="BM125" i="47"/>
  <c r="BI125" i="47"/>
  <c r="BE125" i="47"/>
  <c r="BA125" i="47"/>
  <c r="BU124" i="47"/>
  <c r="BQ124" i="47"/>
  <c r="BM124" i="47"/>
  <c r="BI124" i="47"/>
  <c r="BE124" i="47"/>
  <c r="BA124" i="47"/>
  <c r="BU123" i="47"/>
  <c r="BQ123" i="47"/>
  <c r="BM123" i="47"/>
  <c r="BI123" i="47"/>
  <c r="BE123" i="47"/>
  <c r="BA123" i="47"/>
  <c r="BU122" i="47"/>
  <c r="BQ122" i="47"/>
  <c r="BM122" i="47"/>
  <c r="BI122" i="47"/>
  <c r="BE122" i="47"/>
  <c r="BA122" i="47"/>
  <c r="BU121" i="47"/>
  <c r="BQ121" i="47"/>
  <c r="BM121" i="47"/>
  <c r="BI121" i="47"/>
  <c r="BE121" i="47"/>
  <c r="BA121" i="47"/>
  <c r="BU120" i="47"/>
  <c r="BQ120" i="47"/>
  <c r="BM120" i="47"/>
  <c r="BI120" i="47"/>
  <c r="BE120" i="47"/>
  <c r="BA120" i="47"/>
  <c r="BU119" i="47"/>
  <c r="BQ119" i="47"/>
  <c r="BM119" i="47"/>
  <c r="BI119" i="47"/>
  <c r="BE119" i="47"/>
  <c r="BA119" i="47"/>
  <c r="BU118" i="47"/>
  <c r="BQ118" i="47"/>
  <c r="BM118" i="47"/>
  <c r="BI118" i="47"/>
  <c r="BE118" i="47"/>
  <c r="BA118" i="47"/>
  <c r="BU117" i="47"/>
  <c r="BQ117" i="47"/>
  <c r="BM117" i="47"/>
  <c r="BI117" i="47"/>
  <c r="BE117" i="47"/>
  <c r="BA117" i="47"/>
  <c r="BR153" i="47"/>
  <c r="BN150" i="47"/>
  <c r="BB147" i="47"/>
  <c r="BB145" i="47"/>
  <c r="BR144" i="47"/>
  <c r="BB144" i="47"/>
  <c r="BN143" i="47"/>
  <c r="BG142" i="47"/>
  <c r="BR141" i="47"/>
  <c r="BG141" i="47"/>
  <c r="BL140" i="47"/>
  <c r="BB140" i="47"/>
  <c r="BR139" i="47"/>
  <c r="BG139" i="47"/>
  <c r="BL138" i="47"/>
  <c r="BB138" i="47"/>
  <c r="BR137" i="47"/>
  <c r="BG137" i="47"/>
  <c r="BL136" i="47"/>
  <c r="BB136" i="47"/>
  <c r="BR135" i="47"/>
  <c r="BG135" i="47"/>
  <c r="BN134" i="47"/>
  <c r="BF134" i="47"/>
  <c r="BU133" i="47"/>
  <c r="BO133" i="47"/>
  <c r="BK133" i="47"/>
  <c r="BG133" i="47"/>
  <c r="BC133" i="47"/>
  <c r="BS132" i="47"/>
  <c r="BO132" i="47"/>
  <c r="BK132" i="47"/>
  <c r="BG132" i="47"/>
  <c r="BC132" i="47"/>
  <c r="BS131" i="47"/>
  <c r="BO131" i="47"/>
  <c r="BK131" i="47"/>
  <c r="BG131" i="47"/>
  <c r="BC131" i="47"/>
  <c r="BS130" i="47"/>
  <c r="BO130" i="47"/>
  <c r="BK130" i="47"/>
  <c r="BG130" i="47"/>
  <c r="BC130" i="47"/>
  <c r="BS129" i="47"/>
  <c r="BO129" i="47"/>
  <c r="BK129" i="47"/>
  <c r="BG129" i="47"/>
  <c r="BC129" i="47"/>
  <c r="BS128" i="47"/>
  <c r="BO128" i="47"/>
  <c r="BK128" i="47"/>
  <c r="BG128" i="47"/>
  <c r="BC128" i="47"/>
  <c r="BS127" i="47"/>
  <c r="BO127" i="47"/>
  <c r="BK127" i="47"/>
  <c r="BG127" i="47"/>
  <c r="BC127" i="47"/>
  <c r="BS126" i="47"/>
  <c r="BO126" i="47"/>
  <c r="BK126" i="47"/>
  <c r="BG126" i="47"/>
  <c r="BC126" i="47"/>
  <c r="BS125" i="47"/>
  <c r="BO125" i="47"/>
  <c r="BK125" i="47"/>
  <c r="BG125" i="47"/>
  <c r="BC125" i="47"/>
  <c r="BS124" i="47"/>
  <c r="BO124" i="47"/>
  <c r="BK124" i="47"/>
  <c r="BG124" i="47"/>
  <c r="BC124" i="47"/>
  <c r="BS123" i="47"/>
  <c r="BO123" i="47"/>
  <c r="BK123" i="47"/>
  <c r="BG123" i="47"/>
  <c r="BC123" i="47"/>
  <c r="BS122" i="47"/>
  <c r="BO122" i="47"/>
  <c r="BK122" i="47"/>
  <c r="BG122" i="47"/>
  <c r="BC122" i="47"/>
  <c r="BS121" i="47"/>
  <c r="BO121" i="47"/>
  <c r="BK121" i="47"/>
  <c r="BG121" i="47"/>
  <c r="BC121" i="47"/>
  <c r="BS120" i="47"/>
  <c r="BO120" i="47"/>
  <c r="BS143" i="47"/>
  <c r="BK141" i="47"/>
  <c r="BK139" i="47"/>
  <c r="BK137" i="47"/>
  <c r="BK135" i="47"/>
  <c r="BG134" i="47"/>
  <c r="BH133" i="47"/>
  <c r="BP132" i="47"/>
  <c r="AZ132" i="47"/>
  <c r="BH131" i="47"/>
  <c r="BP130" i="47"/>
  <c r="AZ130" i="47"/>
  <c r="BL129" i="47"/>
  <c r="BH128" i="47"/>
  <c r="BT127" i="47"/>
  <c r="BD127" i="47"/>
  <c r="BP126" i="47"/>
  <c r="AZ126" i="47"/>
  <c r="BL125" i="47"/>
  <c r="BH124" i="47"/>
  <c r="BT123" i="47"/>
  <c r="BD123" i="47"/>
  <c r="BP122" i="47"/>
  <c r="AZ122" i="47"/>
  <c r="BL121" i="47"/>
  <c r="BK120" i="47"/>
  <c r="BC120" i="47"/>
  <c r="BT119" i="47"/>
  <c r="BL119" i="47"/>
  <c r="BD119" i="47"/>
  <c r="BO118" i="47"/>
  <c r="BG118" i="47"/>
  <c r="BS117" i="47"/>
  <c r="BN117" i="47"/>
  <c r="BH117" i="47"/>
  <c r="BC117" i="47"/>
  <c r="BT116" i="47"/>
  <c r="BP116" i="47"/>
  <c r="BL116" i="47"/>
  <c r="BH116" i="47"/>
  <c r="BD116" i="47"/>
  <c r="AZ116" i="47"/>
  <c r="BT115" i="47"/>
  <c r="BP115" i="47"/>
  <c r="BL115" i="47"/>
  <c r="BH115" i="47"/>
  <c r="BD115" i="47"/>
  <c r="AZ115" i="47"/>
  <c r="BT114" i="47"/>
  <c r="BP114" i="47"/>
  <c r="BL114" i="47"/>
  <c r="BH114" i="47"/>
  <c r="BD114" i="47"/>
  <c r="AZ114" i="47"/>
  <c r="BT113" i="47"/>
  <c r="BP113" i="47"/>
  <c r="BL113" i="47"/>
  <c r="BH113" i="47"/>
  <c r="BD113" i="47"/>
  <c r="AZ113" i="47"/>
  <c r="BT112" i="47"/>
  <c r="BP112" i="47"/>
  <c r="BL112" i="47"/>
  <c r="BH112" i="47"/>
  <c r="BD112" i="47"/>
  <c r="AZ112" i="47"/>
  <c r="BT111" i="47"/>
  <c r="BP111" i="47"/>
  <c r="BL111" i="47"/>
  <c r="BH111" i="47"/>
  <c r="BD111" i="47"/>
  <c r="AZ111" i="47"/>
  <c r="BT110" i="47"/>
  <c r="BP110" i="47"/>
  <c r="BL110" i="47"/>
  <c r="BH110" i="47"/>
  <c r="BD110" i="47"/>
  <c r="AZ110" i="47"/>
  <c r="BT109" i="47"/>
  <c r="BP109" i="47"/>
  <c r="BL109" i="47"/>
  <c r="BH109" i="47"/>
  <c r="BD109" i="47"/>
  <c r="AZ109" i="47"/>
  <c r="BT108" i="47"/>
  <c r="BP108" i="47"/>
  <c r="BL108" i="47"/>
  <c r="BH108" i="47"/>
  <c r="BD108" i="47"/>
  <c r="AZ108" i="47"/>
  <c r="BT107" i="47"/>
  <c r="BP107" i="47"/>
  <c r="BL107" i="47"/>
  <c r="BH107" i="47"/>
  <c r="BD107" i="47"/>
  <c r="AZ107" i="47"/>
  <c r="BT106" i="47"/>
  <c r="BP106" i="47"/>
  <c r="BL106" i="47"/>
  <c r="BH106" i="47"/>
  <c r="BD106" i="47"/>
  <c r="AZ106" i="47"/>
  <c r="BT105" i="47"/>
  <c r="BP105" i="47"/>
  <c r="BL105" i="47"/>
  <c r="BH105" i="47"/>
  <c r="BD105" i="47"/>
  <c r="AZ105" i="47"/>
  <c r="BT104" i="47"/>
  <c r="BP104" i="47"/>
  <c r="BL104" i="47"/>
  <c r="BH104" i="47"/>
  <c r="BD104" i="47"/>
  <c r="AZ104" i="47"/>
  <c r="BT103" i="47"/>
  <c r="BP103" i="47"/>
  <c r="BL103" i="47"/>
  <c r="BH103" i="47"/>
  <c r="BD103" i="47"/>
  <c r="AZ103" i="47"/>
  <c r="BT102" i="47"/>
  <c r="BP102" i="47"/>
  <c r="BL102" i="47"/>
  <c r="BH102" i="47"/>
  <c r="BD102" i="47"/>
  <c r="AZ102" i="47"/>
  <c r="BT101" i="47"/>
  <c r="BP101" i="47"/>
  <c r="BL101" i="47"/>
  <c r="BH101" i="47"/>
  <c r="BD101" i="47"/>
  <c r="AZ101" i="47"/>
  <c r="BT100" i="47"/>
  <c r="BP100" i="47"/>
  <c r="BL100" i="47"/>
  <c r="BH100" i="47"/>
  <c r="BD100" i="47"/>
  <c r="AZ100" i="47"/>
  <c r="BR147" i="47"/>
  <c r="BC143" i="47"/>
  <c r="AZ141" i="47"/>
  <c r="BP140" i="47"/>
  <c r="AZ139" i="47"/>
  <c r="BP138" i="47"/>
  <c r="AZ137" i="47"/>
  <c r="BP136" i="47"/>
  <c r="AZ135" i="47"/>
  <c r="BD133" i="47"/>
  <c r="BL132" i="47"/>
  <c r="BT131" i="47"/>
  <c r="BD131" i="47"/>
  <c r="BL130" i="47"/>
  <c r="BH129" i="47"/>
  <c r="BT128" i="47"/>
  <c r="BD128" i="47"/>
  <c r="BP127" i="47"/>
  <c r="AZ127" i="47"/>
  <c r="BL126" i="47"/>
  <c r="BH125" i="47"/>
  <c r="BT124" i="47"/>
  <c r="BD124" i="47"/>
  <c r="BP123" i="47"/>
  <c r="AZ123" i="47"/>
  <c r="BL122" i="47"/>
  <c r="BH121" i="47"/>
  <c r="BT120" i="47"/>
  <c r="BH120" i="47"/>
  <c r="AZ120" i="47"/>
  <c r="BS119" i="47"/>
  <c r="BK119" i="47"/>
  <c r="BC119" i="47"/>
  <c r="BT118" i="47"/>
  <c r="BL118" i="47"/>
  <c r="BD118" i="47"/>
  <c r="BR117" i="47"/>
  <c r="BL117" i="47"/>
  <c r="BG117" i="47"/>
  <c r="BB117" i="47"/>
  <c r="BS116" i="47"/>
  <c r="BO116" i="47"/>
  <c r="BK116" i="47"/>
  <c r="BG116" i="47"/>
  <c r="BC116" i="47"/>
  <c r="BS115" i="47"/>
  <c r="BO115" i="47"/>
  <c r="BK115" i="47"/>
  <c r="BG115" i="47"/>
  <c r="BC115" i="47"/>
  <c r="BS114" i="47"/>
  <c r="BO114" i="47"/>
  <c r="BK114" i="47"/>
  <c r="BG114" i="47"/>
  <c r="BC114" i="47"/>
  <c r="BS113" i="47"/>
  <c r="BO113" i="47"/>
  <c r="BK113" i="47"/>
  <c r="BG113" i="47"/>
  <c r="BC113" i="47"/>
  <c r="BS112" i="47"/>
  <c r="BO112" i="47"/>
  <c r="BK112" i="47"/>
  <c r="BG112" i="47"/>
  <c r="BC112" i="47"/>
  <c r="BS111" i="47"/>
  <c r="BO111" i="47"/>
  <c r="BK111" i="47"/>
  <c r="BG111" i="47"/>
  <c r="BC111" i="47"/>
  <c r="BS110" i="47"/>
  <c r="BO110" i="47"/>
  <c r="BK110" i="47"/>
  <c r="BG110" i="47"/>
  <c r="BC110" i="47"/>
  <c r="BS109" i="47"/>
  <c r="BO109" i="47"/>
  <c r="BK109" i="47"/>
  <c r="BG109" i="47"/>
  <c r="BC109" i="47"/>
  <c r="BS108" i="47"/>
  <c r="BO108" i="47"/>
  <c r="BK108" i="47"/>
  <c r="BG108" i="47"/>
  <c r="BC108" i="47"/>
  <c r="BS107" i="47"/>
  <c r="BO107" i="47"/>
  <c r="BK107" i="47"/>
  <c r="BG107" i="47"/>
  <c r="BC107" i="47"/>
  <c r="BS106" i="47"/>
  <c r="BO106" i="47"/>
  <c r="BK106" i="47"/>
  <c r="BG106" i="47"/>
  <c r="BC106" i="47"/>
  <c r="BS105" i="47"/>
  <c r="BO105" i="47"/>
  <c r="BN155" i="47"/>
  <c r="BL152" i="47"/>
  <c r="BC144" i="47"/>
  <c r="BO134" i="47"/>
  <c r="BL133" i="47"/>
  <c r="BT132" i="47"/>
  <c r="BD132" i="47"/>
  <c r="BL131" i="47"/>
  <c r="BT130" i="47"/>
  <c r="BD130" i="47"/>
  <c r="BP129" i="47"/>
  <c r="AZ129" i="47"/>
  <c r="BL128" i="47"/>
  <c r="BH127" i="47"/>
  <c r="BT126" i="47"/>
  <c r="BD126" i="47"/>
  <c r="BP125" i="47"/>
  <c r="AZ125" i="47"/>
  <c r="BL124" i="47"/>
  <c r="BH123" i="47"/>
  <c r="BT122" i="47"/>
  <c r="BD122" i="47"/>
  <c r="BP121" i="47"/>
  <c r="AZ121" i="47"/>
  <c r="BL120" i="47"/>
  <c r="BD120" i="47"/>
  <c r="BO119" i="47"/>
  <c r="BG119" i="47"/>
  <c r="BP118" i="47"/>
  <c r="BH118" i="47"/>
  <c r="AZ118" i="47"/>
  <c r="BT117" i="47"/>
  <c r="BO117" i="47"/>
  <c r="BJ117" i="47"/>
  <c r="BD117" i="47"/>
  <c r="BU116" i="47"/>
  <c r="BQ116" i="47"/>
  <c r="BM116" i="47"/>
  <c r="BI116" i="47"/>
  <c r="BE116" i="47"/>
  <c r="BA116" i="47"/>
  <c r="BU115" i="47"/>
  <c r="BQ115" i="47"/>
  <c r="BM115" i="47"/>
  <c r="BI115" i="47"/>
  <c r="BE115" i="47"/>
  <c r="BA115" i="47"/>
  <c r="BU114" i="47"/>
  <c r="BQ114" i="47"/>
  <c r="BM114" i="47"/>
  <c r="BI114" i="47"/>
  <c r="BE114" i="47"/>
  <c r="BA114" i="47"/>
  <c r="BU113" i="47"/>
  <c r="BQ113" i="47"/>
  <c r="BM113" i="47"/>
  <c r="BI113" i="47"/>
  <c r="BE113" i="47"/>
  <c r="BA113" i="47"/>
  <c r="BU112" i="47"/>
  <c r="BQ112" i="47"/>
  <c r="BM112" i="47"/>
  <c r="BI112" i="47"/>
  <c r="BE112" i="47"/>
  <c r="BA112" i="47"/>
  <c r="BU111" i="47"/>
  <c r="BQ111" i="47"/>
  <c r="BM111" i="47"/>
  <c r="BI111" i="47"/>
  <c r="BE111" i="47"/>
  <c r="BA111" i="47"/>
  <c r="BU110" i="47"/>
  <c r="BQ110" i="47"/>
  <c r="BM110" i="47"/>
  <c r="BI110" i="47"/>
  <c r="BE110" i="47"/>
  <c r="BA110" i="47"/>
  <c r="BU109" i="47"/>
  <c r="BQ109" i="47"/>
  <c r="BM109" i="47"/>
  <c r="BI109" i="47"/>
  <c r="BE109" i="47"/>
  <c r="BA109" i="47"/>
  <c r="BU108" i="47"/>
  <c r="BQ108" i="47"/>
  <c r="BM108" i="47"/>
  <c r="BI108" i="47"/>
  <c r="BE108" i="47"/>
  <c r="BA108" i="47"/>
  <c r="BU107" i="47"/>
  <c r="BQ107" i="47"/>
  <c r="BM107" i="47"/>
  <c r="BI107" i="47"/>
  <c r="BE107" i="47"/>
  <c r="BA107" i="47"/>
  <c r="BU106" i="47"/>
  <c r="BQ106" i="47"/>
  <c r="BM106" i="47"/>
  <c r="BI106" i="47"/>
  <c r="BE106" i="47"/>
  <c r="BA106" i="47"/>
  <c r="BU105" i="47"/>
  <c r="BQ105" i="47"/>
  <c r="BM105" i="47"/>
  <c r="BI105" i="47"/>
  <c r="BE105" i="47"/>
  <c r="BA105" i="47"/>
  <c r="BU104" i="47"/>
  <c r="BQ104" i="47"/>
  <c r="BM104" i="47"/>
  <c r="BI104" i="47"/>
  <c r="BE104" i="47"/>
  <c r="BA104" i="47"/>
  <c r="BU103" i="47"/>
  <c r="BQ103" i="47"/>
  <c r="BM103" i="47"/>
  <c r="BI103" i="47"/>
  <c r="BE103" i="47"/>
  <c r="BA103" i="47"/>
  <c r="BU102" i="47"/>
  <c r="BQ102" i="47"/>
  <c r="BM102" i="47"/>
  <c r="BI102" i="47"/>
  <c r="BE102" i="47"/>
  <c r="BA102" i="47"/>
  <c r="BU101" i="47"/>
  <c r="BQ101" i="47"/>
  <c r="BM101" i="47"/>
  <c r="BI101" i="47"/>
  <c r="BE101" i="47"/>
  <c r="BA101" i="47"/>
  <c r="BU100" i="47"/>
  <c r="BQ100" i="47"/>
  <c r="BM100" i="47"/>
  <c r="BI100" i="47"/>
  <c r="BE100" i="47"/>
  <c r="BA100" i="47"/>
  <c r="BU99" i="47"/>
  <c r="BQ99" i="47"/>
  <c r="BM99" i="47"/>
  <c r="BI99" i="47"/>
  <c r="BE99" i="47"/>
  <c r="BA99" i="47"/>
  <c r="BU98" i="47"/>
  <c r="BQ98" i="47"/>
  <c r="BM98" i="47"/>
  <c r="BI98" i="47"/>
  <c r="BE98" i="47"/>
  <c r="BA98" i="47"/>
  <c r="BU97" i="47"/>
  <c r="BQ97" i="47"/>
  <c r="BM97" i="47"/>
  <c r="BI97" i="47"/>
  <c r="BE97" i="47"/>
  <c r="BA97" i="47"/>
  <c r="BU96" i="47"/>
  <c r="BQ96" i="47"/>
  <c r="BM96" i="47"/>
  <c r="BI96" i="47"/>
  <c r="BE96" i="47"/>
  <c r="BA96" i="47"/>
  <c r="BU95" i="47"/>
  <c r="BQ95" i="47"/>
  <c r="BM95" i="47"/>
  <c r="BI95" i="47"/>
  <c r="BE95" i="47"/>
  <c r="BA95" i="47"/>
  <c r="BU94" i="47"/>
  <c r="BQ94" i="47"/>
  <c r="BM94" i="47"/>
  <c r="BI94" i="47"/>
  <c r="BE94" i="47"/>
  <c r="BA94" i="47"/>
  <c r="BU93" i="47"/>
  <c r="BQ93" i="47"/>
  <c r="BM93" i="47"/>
  <c r="BI93" i="47"/>
  <c r="BE93" i="47"/>
  <c r="BA93" i="47"/>
  <c r="BU92" i="47"/>
  <c r="BQ92" i="47"/>
  <c r="BM92" i="47"/>
  <c r="BI92" i="47"/>
  <c r="BE92" i="47"/>
  <c r="BA92" i="47"/>
  <c r="BU91" i="47"/>
  <c r="BQ91" i="47"/>
  <c r="BM91" i="47"/>
  <c r="BI91" i="47"/>
  <c r="BE91" i="47"/>
  <c r="BJ145" i="47"/>
  <c r="BS144" i="47"/>
  <c r="BP131" i="47"/>
  <c r="BH130" i="47"/>
  <c r="BT129" i="47"/>
  <c r="AZ124" i="47"/>
  <c r="BL123" i="47"/>
  <c r="BH122" i="47"/>
  <c r="BT121" i="47"/>
  <c r="AZ117" i="47"/>
  <c r="BN116" i="47"/>
  <c r="BJ115" i="47"/>
  <c r="BF114" i="47"/>
  <c r="BR113" i="47"/>
  <c r="BB113" i="47"/>
  <c r="BN112" i="47"/>
  <c r="BJ111" i="47"/>
  <c r="BF110" i="47"/>
  <c r="BR109" i="47"/>
  <c r="BB109" i="47"/>
  <c r="BN108" i="47"/>
  <c r="BJ107" i="47"/>
  <c r="BF106" i="47"/>
  <c r="BR105" i="47"/>
  <c r="BG105" i="47"/>
  <c r="BR104" i="47"/>
  <c r="BJ104" i="47"/>
  <c r="BB104" i="47"/>
  <c r="BS103" i="47"/>
  <c r="BK103" i="47"/>
  <c r="BC103" i="47"/>
  <c r="BN102" i="47"/>
  <c r="BF102" i="47"/>
  <c r="BO101" i="47"/>
  <c r="BG101" i="47"/>
  <c r="BR100" i="47"/>
  <c r="BJ100" i="47"/>
  <c r="BB100" i="47"/>
  <c r="BP99" i="47"/>
  <c r="BK99" i="47"/>
  <c r="BF99" i="47"/>
  <c r="AZ99" i="47"/>
  <c r="BP98" i="47"/>
  <c r="BK98" i="47"/>
  <c r="BF98" i="47"/>
  <c r="AZ98" i="47"/>
  <c r="BP97" i="47"/>
  <c r="BK97" i="47"/>
  <c r="BF97" i="47"/>
  <c r="AZ97" i="47"/>
  <c r="BP96" i="47"/>
  <c r="BK96" i="47"/>
  <c r="BF96" i="47"/>
  <c r="AZ96" i="47"/>
  <c r="BP95" i="47"/>
  <c r="BK95" i="47"/>
  <c r="BF95" i="47"/>
  <c r="AZ95" i="47"/>
  <c r="BP94" i="47"/>
  <c r="BK94" i="47"/>
  <c r="BF94" i="47"/>
  <c r="AZ94" i="47"/>
  <c r="BP93" i="47"/>
  <c r="BK93" i="47"/>
  <c r="BF93" i="47"/>
  <c r="AZ93" i="47"/>
  <c r="BP92" i="47"/>
  <c r="BK92" i="47"/>
  <c r="BF92" i="47"/>
  <c r="AZ92" i="47"/>
  <c r="BP91" i="47"/>
  <c r="BK91" i="47"/>
  <c r="BF91" i="47"/>
  <c r="BA91" i="47"/>
  <c r="BU90" i="47"/>
  <c r="BQ90" i="47"/>
  <c r="BM90" i="47"/>
  <c r="BI90" i="47"/>
  <c r="BE90" i="47"/>
  <c r="BA90" i="47"/>
  <c r="BU89" i="47"/>
  <c r="BQ89" i="47"/>
  <c r="BM89" i="47"/>
  <c r="BI89" i="47"/>
  <c r="BE89" i="47"/>
  <c r="BA89" i="47"/>
  <c r="BU88" i="47"/>
  <c r="BQ88" i="47"/>
  <c r="BM88" i="47"/>
  <c r="BI88" i="47"/>
  <c r="BE88" i="47"/>
  <c r="BA88" i="47"/>
  <c r="BU87" i="47"/>
  <c r="BQ87" i="47"/>
  <c r="BM87" i="47"/>
  <c r="BI87" i="47"/>
  <c r="BE87" i="47"/>
  <c r="BA87" i="47"/>
  <c r="BU86" i="47"/>
  <c r="BQ86" i="47"/>
  <c r="BM86" i="47"/>
  <c r="BI86" i="47"/>
  <c r="BE86" i="47"/>
  <c r="BA86" i="47"/>
  <c r="BU85" i="47"/>
  <c r="BQ85" i="47"/>
  <c r="BM85" i="47"/>
  <c r="BI85" i="47"/>
  <c r="BE85" i="47"/>
  <c r="BA85" i="47"/>
  <c r="BU84" i="47"/>
  <c r="BQ84" i="47"/>
  <c r="BM84" i="47"/>
  <c r="BI84" i="47"/>
  <c r="BE84" i="47"/>
  <c r="BA84" i="47"/>
  <c r="BU83" i="47"/>
  <c r="BQ83" i="47"/>
  <c r="BM83" i="47"/>
  <c r="BI83" i="47"/>
  <c r="BE83" i="47"/>
  <c r="BA83" i="47"/>
  <c r="BU82" i="47"/>
  <c r="BQ82" i="47"/>
  <c r="BM82" i="47"/>
  <c r="BI82" i="47"/>
  <c r="BE82" i="47"/>
  <c r="BA82" i="47"/>
  <c r="BU81" i="47"/>
  <c r="BQ81" i="47"/>
  <c r="BM81" i="47"/>
  <c r="BI81" i="47"/>
  <c r="BE81" i="47"/>
  <c r="BA81" i="47"/>
  <c r="BU80" i="47"/>
  <c r="BQ80" i="47"/>
  <c r="BM80" i="47"/>
  <c r="BI80" i="47"/>
  <c r="BE80" i="47"/>
  <c r="BA80" i="47"/>
  <c r="BU79" i="47"/>
  <c r="BQ79" i="47"/>
  <c r="BM79" i="47"/>
  <c r="BI79" i="47"/>
  <c r="BE79" i="47"/>
  <c r="BA79" i="47"/>
  <c r="BU78" i="47"/>
  <c r="BQ78" i="47"/>
  <c r="BM78" i="47"/>
  <c r="BI78" i="47"/>
  <c r="BE78" i="47"/>
  <c r="BA78" i="47"/>
  <c r="BU77" i="47"/>
  <c r="BQ77" i="47"/>
  <c r="BM77" i="47"/>
  <c r="BI77" i="47"/>
  <c r="BE77" i="47"/>
  <c r="BA77" i="47"/>
  <c r="BU76" i="47"/>
  <c r="BQ76" i="47"/>
  <c r="BM76" i="47"/>
  <c r="BI76" i="47"/>
  <c r="BE76" i="47"/>
  <c r="BA76" i="47"/>
  <c r="BU75" i="47"/>
  <c r="BQ75" i="47"/>
  <c r="BM75" i="47"/>
  <c r="BI75" i="47"/>
  <c r="BE75" i="47"/>
  <c r="BA75" i="47"/>
  <c r="BU74" i="47"/>
  <c r="BQ74" i="47"/>
  <c r="BM74" i="47"/>
  <c r="BI74" i="47"/>
  <c r="BE74" i="47"/>
  <c r="BA74" i="47"/>
  <c r="BQ133" i="47"/>
  <c r="BH132" i="47"/>
  <c r="AZ131" i="47"/>
  <c r="BD129" i="47"/>
  <c r="BP128" i="47"/>
  <c r="BD121" i="47"/>
  <c r="BP120" i="47"/>
  <c r="BP119" i="47"/>
  <c r="BS118" i="47"/>
  <c r="BP117" i="47"/>
  <c r="BJ116" i="47"/>
  <c r="BF115" i="47"/>
  <c r="BR114" i="47"/>
  <c r="BB114" i="47"/>
  <c r="BN113" i="47"/>
  <c r="BJ112" i="47"/>
  <c r="BF111" i="47"/>
  <c r="BR110" i="47"/>
  <c r="BB110" i="47"/>
  <c r="BN109" i="47"/>
  <c r="BJ108" i="47"/>
  <c r="BF107" i="47"/>
  <c r="BR106" i="47"/>
  <c r="BB106" i="47"/>
  <c r="BN105" i="47"/>
  <c r="BF105" i="47"/>
  <c r="BO104" i="47"/>
  <c r="BG104" i="47"/>
  <c r="BR103" i="47"/>
  <c r="BJ103" i="47"/>
  <c r="BB103" i="47"/>
  <c r="BS102" i="47"/>
  <c r="BK102" i="47"/>
  <c r="BC102" i="47"/>
  <c r="BN101" i="47"/>
  <c r="BF101" i="47"/>
  <c r="BO100" i="47"/>
  <c r="BG100" i="47"/>
  <c r="BT99" i="47"/>
  <c r="BO99" i="47"/>
  <c r="BJ99" i="47"/>
  <c r="BD99" i="47"/>
  <c r="BT98" i="47"/>
  <c r="BO98" i="47"/>
  <c r="BJ98" i="47"/>
  <c r="BD98" i="47"/>
  <c r="BT97" i="47"/>
  <c r="BO97" i="47"/>
  <c r="BJ97" i="47"/>
  <c r="BD97" i="47"/>
  <c r="BT96" i="47"/>
  <c r="BO96" i="47"/>
  <c r="BJ96" i="47"/>
  <c r="BD96" i="47"/>
  <c r="BT95" i="47"/>
  <c r="BO95" i="47"/>
  <c r="BJ95" i="47"/>
  <c r="BD95" i="47"/>
  <c r="BT94" i="47"/>
  <c r="BO94" i="47"/>
  <c r="BJ94" i="47"/>
  <c r="BD94" i="47"/>
  <c r="BT93" i="47"/>
  <c r="BO93" i="47"/>
  <c r="BJ93" i="47"/>
  <c r="BD93" i="47"/>
  <c r="BT92" i="47"/>
  <c r="BO92" i="47"/>
  <c r="BJ92" i="47"/>
  <c r="BD92" i="47"/>
  <c r="BT91" i="47"/>
  <c r="BO91" i="47"/>
  <c r="BJ91" i="47"/>
  <c r="BD91" i="47"/>
  <c r="AZ91" i="47"/>
  <c r="BT90" i="47"/>
  <c r="BP90" i="47"/>
  <c r="BL90" i="47"/>
  <c r="BH90" i="47"/>
  <c r="BD90" i="47"/>
  <c r="AZ90" i="47"/>
  <c r="BT89" i="47"/>
  <c r="BP89" i="47"/>
  <c r="BL89" i="47"/>
  <c r="BH89" i="47"/>
  <c r="BD89" i="47"/>
  <c r="AZ89" i="47"/>
  <c r="BT88" i="47"/>
  <c r="BP88" i="47"/>
  <c r="BL88" i="47"/>
  <c r="BH88" i="47"/>
  <c r="BD88" i="47"/>
  <c r="AZ88" i="47"/>
  <c r="BT87" i="47"/>
  <c r="BP87" i="47"/>
  <c r="BL87" i="47"/>
  <c r="BH87" i="47"/>
  <c r="BD87" i="47"/>
  <c r="AZ87" i="47"/>
  <c r="BT86" i="47"/>
  <c r="BP86" i="47"/>
  <c r="BL86" i="47"/>
  <c r="BH86" i="47"/>
  <c r="BD86" i="47"/>
  <c r="AZ86" i="47"/>
  <c r="BT85" i="47"/>
  <c r="BP85" i="47"/>
  <c r="BL85" i="47"/>
  <c r="BH85" i="47"/>
  <c r="BD85" i="47"/>
  <c r="AZ85" i="47"/>
  <c r="BT84" i="47"/>
  <c r="BP84" i="47"/>
  <c r="BL84" i="47"/>
  <c r="BH84" i="47"/>
  <c r="BD84" i="47"/>
  <c r="AZ84" i="47"/>
  <c r="BT83" i="47"/>
  <c r="BP83" i="47"/>
  <c r="BL83" i="47"/>
  <c r="BH83" i="47"/>
  <c r="BD83" i="47"/>
  <c r="AZ83" i="47"/>
  <c r="BT82" i="47"/>
  <c r="BP82" i="47"/>
  <c r="BL82" i="47"/>
  <c r="BH82" i="47"/>
  <c r="BD82" i="47"/>
  <c r="AZ82" i="47"/>
  <c r="BT81" i="47"/>
  <c r="BP81" i="47"/>
  <c r="BL81" i="47"/>
  <c r="BH81" i="47"/>
  <c r="BD81" i="47"/>
  <c r="AZ81" i="47"/>
  <c r="BT80" i="47"/>
  <c r="BP80" i="47"/>
  <c r="BL80" i="47"/>
  <c r="BH80" i="47"/>
  <c r="BD80" i="47"/>
  <c r="AZ80" i="47"/>
  <c r="BT79" i="47"/>
  <c r="BP79" i="47"/>
  <c r="BL79" i="47"/>
  <c r="BH79" i="47"/>
  <c r="BD79" i="47"/>
  <c r="AZ79" i="47"/>
  <c r="BT78" i="47"/>
  <c r="BP78" i="47"/>
  <c r="BL78" i="47"/>
  <c r="BH78" i="47"/>
  <c r="BD78" i="47"/>
  <c r="AZ78" i="47"/>
  <c r="BT77" i="47"/>
  <c r="BP77" i="47"/>
  <c r="BL77" i="47"/>
  <c r="BH77" i="47"/>
  <c r="BD77" i="47"/>
  <c r="AZ133" i="47"/>
  <c r="AZ128" i="47"/>
  <c r="BL127" i="47"/>
  <c r="BH126" i="47"/>
  <c r="BT125" i="47"/>
  <c r="BG120" i="47"/>
  <c r="BH119" i="47"/>
  <c r="BK118" i="47"/>
  <c r="BK117" i="47"/>
  <c r="BF116" i="47"/>
  <c r="BR115" i="47"/>
  <c r="BB115" i="47"/>
  <c r="BN114" i="47"/>
  <c r="BJ113" i="47"/>
  <c r="BF112" i="47"/>
  <c r="BR111" i="47"/>
  <c r="BB111" i="47"/>
  <c r="BN110" i="47"/>
  <c r="BJ109" i="47"/>
  <c r="BF108" i="47"/>
  <c r="BR107" i="47"/>
  <c r="BB107" i="47"/>
  <c r="BN106" i="47"/>
  <c r="BK105" i="47"/>
  <c r="BC105" i="47"/>
  <c r="BN104" i="47"/>
  <c r="BF104" i="47"/>
  <c r="BO103" i="47"/>
  <c r="BG103" i="47"/>
  <c r="BR102" i="47"/>
  <c r="BJ102" i="47"/>
  <c r="BB102" i="47"/>
  <c r="BS101" i="47"/>
  <c r="BK101" i="47"/>
  <c r="BC101" i="47"/>
  <c r="BN100" i="47"/>
  <c r="BF100" i="47"/>
  <c r="BS99" i="47"/>
  <c r="BN99" i="47"/>
  <c r="BH99" i="47"/>
  <c r="BC99" i="47"/>
  <c r="BS98" i="47"/>
  <c r="BN98" i="47"/>
  <c r="BH98" i="47"/>
  <c r="BC98" i="47"/>
  <c r="BS97" i="47"/>
  <c r="BN97" i="47"/>
  <c r="BH97" i="47"/>
  <c r="BC97" i="47"/>
  <c r="BS96" i="47"/>
  <c r="BN96" i="47"/>
  <c r="BH96" i="47"/>
  <c r="BC96" i="47"/>
  <c r="BS95" i="47"/>
  <c r="BN95" i="47"/>
  <c r="BH95" i="47"/>
  <c r="BC95" i="47"/>
  <c r="BS94" i="47"/>
  <c r="BN94" i="47"/>
  <c r="BH94" i="47"/>
  <c r="BC94" i="47"/>
  <c r="BS93" i="47"/>
  <c r="BN93" i="47"/>
  <c r="BH93" i="47"/>
  <c r="BC93" i="47"/>
  <c r="BS92" i="47"/>
  <c r="BN92" i="47"/>
  <c r="BH92" i="47"/>
  <c r="BC92" i="47"/>
  <c r="BS91" i="47"/>
  <c r="BN91" i="47"/>
  <c r="BH91" i="47"/>
  <c r="BC91" i="47"/>
  <c r="BS90" i="47"/>
  <c r="BO90" i="47"/>
  <c r="BK90" i="47"/>
  <c r="BG90" i="47"/>
  <c r="BC90" i="47"/>
  <c r="BS89" i="47"/>
  <c r="BO89" i="47"/>
  <c r="BK89" i="47"/>
  <c r="BG89" i="47"/>
  <c r="BC89" i="47"/>
  <c r="BS88" i="47"/>
  <c r="BO88" i="47"/>
  <c r="BK88" i="47"/>
  <c r="BG88" i="47"/>
  <c r="BC88" i="47"/>
  <c r="BS87" i="47"/>
  <c r="BO87" i="47"/>
  <c r="BK87" i="47"/>
  <c r="BG87" i="47"/>
  <c r="BC87" i="47"/>
  <c r="BS86" i="47"/>
  <c r="BO86" i="47"/>
  <c r="BK86" i="47"/>
  <c r="BG86" i="47"/>
  <c r="BC86" i="47"/>
  <c r="BS85" i="47"/>
  <c r="BO85" i="47"/>
  <c r="BK85" i="47"/>
  <c r="BG85" i="47"/>
  <c r="BC85" i="47"/>
  <c r="BS84" i="47"/>
  <c r="BO84" i="47"/>
  <c r="BK84" i="47"/>
  <c r="BG84" i="47"/>
  <c r="BC84" i="47"/>
  <c r="BS83" i="47"/>
  <c r="BO83" i="47"/>
  <c r="BK83" i="47"/>
  <c r="BG83" i="47"/>
  <c r="BC83" i="47"/>
  <c r="BS82" i="47"/>
  <c r="BO82" i="47"/>
  <c r="BK82" i="47"/>
  <c r="BG82" i="47"/>
  <c r="BC82" i="47"/>
  <c r="BS81" i="47"/>
  <c r="BO81" i="47"/>
  <c r="BK81" i="47"/>
  <c r="BG81" i="47"/>
  <c r="BC81" i="47"/>
  <c r="BN142" i="47"/>
  <c r="BD125" i="47"/>
  <c r="BC118" i="47"/>
  <c r="BJ114" i="47"/>
  <c r="BN111" i="47"/>
  <c r="BB108" i="47"/>
  <c r="BB105" i="47"/>
  <c r="BK104" i="47"/>
  <c r="BN103" i="47"/>
  <c r="BO102" i="47"/>
  <c r="BC100" i="47"/>
  <c r="BR99" i="47"/>
  <c r="BL98" i="47"/>
  <c r="BG97" i="47"/>
  <c r="BB96" i="47"/>
  <c r="BR95" i="47"/>
  <c r="BL94" i="47"/>
  <c r="BG93" i="47"/>
  <c r="BB92" i="47"/>
  <c r="BR91" i="47"/>
  <c r="BJ90" i="47"/>
  <c r="BF89" i="47"/>
  <c r="BR88" i="47"/>
  <c r="BB88" i="47"/>
  <c r="BN87" i="47"/>
  <c r="BF86" i="47"/>
  <c r="BR85" i="47"/>
  <c r="BB85" i="47"/>
  <c r="BN84" i="47"/>
  <c r="BJ83" i="47"/>
  <c r="BF82" i="47"/>
  <c r="BR81" i="47"/>
  <c r="BB81" i="47"/>
  <c r="BS80" i="47"/>
  <c r="BK80" i="47"/>
  <c r="BC80" i="47"/>
  <c r="BN79" i="47"/>
  <c r="BF79" i="47"/>
  <c r="BO78" i="47"/>
  <c r="BG78" i="47"/>
  <c r="BR77" i="47"/>
  <c r="BJ77" i="47"/>
  <c r="BB77" i="47"/>
  <c r="BR76" i="47"/>
  <c r="BL76" i="47"/>
  <c r="BG76" i="47"/>
  <c r="BB76" i="47"/>
  <c r="BR75" i="47"/>
  <c r="BL75" i="47"/>
  <c r="BG75" i="47"/>
  <c r="BB75" i="47"/>
  <c r="BR74" i="47"/>
  <c r="BL74" i="47"/>
  <c r="BG74" i="47"/>
  <c r="BB74" i="47"/>
  <c r="BU73" i="47"/>
  <c r="BQ73" i="47"/>
  <c r="BM73" i="47"/>
  <c r="BI73" i="47"/>
  <c r="BE73" i="47"/>
  <c r="BA73" i="47"/>
  <c r="BU72" i="47"/>
  <c r="BQ72" i="47"/>
  <c r="BM72" i="47"/>
  <c r="BI72" i="47"/>
  <c r="BE72" i="47"/>
  <c r="BA72" i="47"/>
  <c r="BU71" i="47"/>
  <c r="BQ71" i="47"/>
  <c r="BM71" i="47"/>
  <c r="BI71" i="47"/>
  <c r="BE71" i="47"/>
  <c r="BA71" i="47"/>
  <c r="BU70" i="47"/>
  <c r="BQ70" i="47"/>
  <c r="BM70" i="47"/>
  <c r="BI70" i="47"/>
  <c r="BE70" i="47"/>
  <c r="BA70" i="47"/>
  <c r="BU69" i="47"/>
  <c r="BQ69" i="47"/>
  <c r="BM69" i="47"/>
  <c r="BI69" i="47"/>
  <c r="BE69" i="47"/>
  <c r="BA69" i="47"/>
  <c r="BU68" i="47"/>
  <c r="BQ68" i="47"/>
  <c r="BM68" i="47"/>
  <c r="BI68" i="47"/>
  <c r="BE68" i="47"/>
  <c r="BA68" i="47"/>
  <c r="BU67" i="47"/>
  <c r="BQ67" i="47"/>
  <c r="BM67" i="47"/>
  <c r="BI67" i="47"/>
  <c r="BE67" i="47"/>
  <c r="BA67" i="47"/>
  <c r="BU66" i="47"/>
  <c r="BQ66" i="47"/>
  <c r="BM66" i="47"/>
  <c r="BI66" i="47"/>
  <c r="BE66" i="47"/>
  <c r="BA66" i="47"/>
  <c r="BU65" i="47"/>
  <c r="BQ65" i="47"/>
  <c r="BM65" i="47"/>
  <c r="BI65" i="47"/>
  <c r="BE65" i="47"/>
  <c r="BA65" i="47"/>
  <c r="BU64" i="47"/>
  <c r="BQ64" i="47"/>
  <c r="BM64" i="47"/>
  <c r="BI64" i="47"/>
  <c r="BE64" i="47"/>
  <c r="BA64" i="47"/>
  <c r="BU63" i="47"/>
  <c r="BQ63" i="47"/>
  <c r="BM63" i="47"/>
  <c r="BI63" i="47"/>
  <c r="BE63" i="47"/>
  <c r="BA63" i="47"/>
  <c r="BU62" i="47"/>
  <c r="BQ62" i="47"/>
  <c r="BM62" i="47"/>
  <c r="BI62" i="47"/>
  <c r="BE62" i="47"/>
  <c r="BA62" i="47"/>
  <c r="BU61" i="47"/>
  <c r="BQ61" i="47"/>
  <c r="BM61" i="47"/>
  <c r="BI61" i="47"/>
  <c r="BE61" i="47"/>
  <c r="BA61" i="47"/>
  <c r="BU60" i="47"/>
  <c r="BQ60" i="47"/>
  <c r="BM60" i="47"/>
  <c r="BI60" i="47"/>
  <c r="BE60" i="47"/>
  <c r="BA60" i="47"/>
  <c r="BU59" i="47"/>
  <c r="BQ59" i="47"/>
  <c r="BM59" i="47"/>
  <c r="BI59" i="47"/>
  <c r="BE59" i="47"/>
  <c r="BA59" i="47"/>
  <c r="BU58" i="47"/>
  <c r="BQ58" i="47"/>
  <c r="BM58" i="47"/>
  <c r="BI58" i="47"/>
  <c r="BE58" i="47"/>
  <c r="BA58" i="47"/>
  <c r="BU57" i="47"/>
  <c r="BQ57" i="47"/>
  <c r="BM57" i="47"/>
  <c r="BI57" i="47"/>
  <c r="BE57" i="47"/>
  <c r="BA57" i="47"/>
  <c r="BU56" i="47"/>
  <c r="BQ56" i="47"/>
  <c r="BM56" i="47"/>
  <c r="BI56" i="47"/>
  <c r="BE56" i="47"/>
  <c r="BA56" i="47"/>
  <c r="BU55" i="47"/>
  <c r="BQ55" i="47"/>
  <c r="BM55" i="47"/>
  <c r="BI55" i="47"/>
  <c r="BE55" i="47"/>
  <c r="BA55" i="47"/>
  <c r="BU54" i="47"/>
  <c r="BQ54" i="47"/>
  <c r="BM54" i="47"/>
  <c r="BI54" i="47"/>
  <c r="BE54" i="47"/>
  <c r="BF136" i="47"/>
  <c r="BR116" i="47"/>
  <c r="BF113" i="47"/>
  <c r="BJ110" i="47"/>
  <c r="BN107" i="47"/>
  <c r="BC104" i="47"/>
  <c r="BF103" i="47"/>
  <c r="BG102" i="47"/>
  <c r="BR101" i="47"/>
  <c r="BL99" i="47"/>
  <c r="BG98" i="47"/>
  <c r="BB97" i="47"/>
  <c r="BR96" i="47"/>
  <c r="BL95" i="47"/>
  <c r="BG94" i="47"/>
  <c r="BB93" i="47"/>
  <c r="BR92" i="47"/>
  <c r="BL91" i="47"/>
  <c r="BF90" i="47"/>
  <c r="BR89" i="47"/>
  <c r="BB89" i="47"/>
  <c r="BN88" i="47"/>
  <c r="BJ87" i="47"/>
  <c r="BR86" i="47"/>
  <c r="BB86" i="47"/>
  <c r="BN85" i="47"/>
  <c r="BJ84" i="47"/>
  <c r="BF83" i="47"/>
  <c r="BR82" i="47"/>
  <c r="BB82" i="47"/>
  <c r="BN81" i="47"/>
  <c r="BR80" i="47"/>
  <c r="BJ80" i="47"/>
  <c r="BB80" i="47"/>
  <c r="BS79" i="47"/>
  <c r="BK79" i="47"/>
  <c r="BC79" i="47"/>
  <c r="BN78" i="47"/>
  <c r="BF78" i="47"/>
  <c r="BO77" i="47"/>
  <c r="BG77" i="47"/>
  <c r="AZ77" i="47"/>
  <c r="BP76" i="47"/>
  <c r="BK76" i="47"/>
  <c r="BF76" i="47"/>
  <c r="AZ76" i="47"/>
  <c r="BP75" i="47"/>
  <c r="BK75" i="47"/>
  <c r="BF75" i="47"/>
  <c r="AZ75" i="47"/>
  <c r="BP74" i="47"/>
  <c r="BK74" i="47"/>
  <c r="BF74" i="47"/>
  <c r="AZ74" i="47"/>
  <c r="BT73" i="47"/>
  <c r="BP73" i="47"/>
  <c r="BL73" i="47"/>
  <c r="BH73" i="47"/>
  <c r="BD73" i="47"/>
  <c r="AZ73" i="47"/>
  <c r="BT72" i="47"/>
  <c r="BP72" i="47"/>
  <c r="BL72" i="47"/>
  <c r="BH72" i="47"/>
  <c r="BD72" i="47"/>
  <c r="AZ72" i="47"/>
  <c r="BT71" i="47"/>
  <c r="BP71" i="47"/>
  <c r="BL71" i="47"/>
  <c r="BH71" i="47"/>
  <c r="BD71" i="47"/>
  <c r="AZ71" i="47"/>
  <c r="BT70" i="47"/>
  <c r="BP70" i="47"/>
  <c r="BL70" i="47"/>
  <c r="BH70" i="47"/>
  <c r="BD70" i="47"/>
  <c r="AZ70" i="47"/>
  <c r="BT69" i="47"/>
  <c r="BP69" i="47"/>
  <c r="BL69" i="47"/>
  <c r="BH69" i="47"/>
  <c r="BD69" i="47"/>
  <c r="AZ69" i="47"/>
  <c r="BT68" i="47"/>
  <c r="BP68" i="47"/>
  <c r="BL68" i="47"/>
  <c r="BH68" i="47"/>
  <c r="BD68" i="47"/>
  <c r="AZ68" i="47"/>
  <c r="BT67" i="47"/>
  <c r="BP67" i="47"/>
  <c r="BL67" i="47"/>
  <c r="BH67" i="47"/>
  <c r="BD67" i="47"/>
  <c r="AZ67" i="47"/>
  <c r="BT66" i="47"/>
  <c r="BP66" i="47"/>
  <c r="BL66" i="47"/>
  <c r="BH66" i="47"/>
  <c r="BD66" i="47"/>
  <c r="AZ66" i="47"/>
  <c r="BT65" i="47"/>
  <c r="BP65" i="47"/>
  <c r="BL65" i="47"/>
  <c r="BH65" i="47"/>
  <c r="BD65" i="47"/>
  <c r="AZ65" i="47"/>
  <c r="BT64" i="47"/>
  <c r="BP64" i="47"/>
  <c r="BL64" i="47"/>
  <c r="BH64" i="47"/>
  <c r="BD64" i="47"/>
  <c r="AZ64" i="47"/>
  <c r="BT63" i="47"/>
  <c r="BP63" i="47"/>
  <c r="BL63" i="47"/>
  <c r="BH63" i="47"/>
  <c r="BD63" i="47"/>
  <c r="AZ63" i="47"/>
  <c r="BT62" i="47"/>
  <c r="BP62" i="47"/>
  <c r="BL62" i="47"/>
  <c r="BH62" i="47"/>
  <c r="BD62" i="47"/>
  <c r="AZ62" i="47"/>
  <c r="BT61" i="47"/>
  <c r="BP61" i="47"/>
  <c r="BL61" i="47"/>
  <c r="BH61" i="47"/>
  <c r="BD61" i="47"/>
  <c r="AZ61" i="47"/>
  <c r="BT60" i="47"/>
  <c r="BP60" i="47"/>
  <c r="BL60" i="47"/>
  <c r="BH60" i="47"/>
  <c r="BD60" i="47"/>
  <c r="AZ60" i="47"/>
  <c r="BT59" i="47"/>
  <c r="BP59" i="47"/>
  <c r="BL59" i="47"/>
  <c r="BH59" i="47"/>
  <c r="BD59" i="47"/>
  <c r="AZ59" i="47"/>
  <c r="BT58" i="47"/>
  <c r="BP58" i="47"/>
  <c r="BL58" i="47"/>
  <c r="BH58" i="47"/>
  <c r="BD58" i="47"/>
  <c r="AZ58" i="47"/>
  <c r="BT57" i="47"/>
  <c r="BP57" i="47"/>
  <c r="BL57" i="47"/>
  <c r="BH57" i="47"/>
  <c r="BD57" i="47"/>
  <c r="AZ57" i="47"/>
  <c r="BT56" i="47"/>
  <c r="BP56" i="47"/>
  <c r="BL56" i="47"/>
  <c r="BH56" i="47"/>
  <c r="BD56" i="47"/>
  <c r="AZ56" i="47"/>
  <c r="BT55" i="47"/>
  <c r="BP55" i="47"/>
  <c r="BL55" i="47"/>
  <c r="BH55" i="47"/>
  <c r="BD55" i="47"/>
  <c r="AZ55" i="47"/>
  <c r="BT54" i="47"/>
  <c r="BG151" i="47"/>
  <c r="BF140" i="47"/>
  <c r="BP124" i="47"/>
  <c r="BN115" i="47"/>
  <c r="BB112" i="47"/>
  <c r="BR108" i="47"/>
  <c r="BJ105" i="47"/>
  <c r="BS104" i="47"/>
  <c r="BB101" i="47"/>
  <c r="BK100" i="47"/>
  <c r="BB99" i="47"/>
  <c r="BR98" i="47"/>
  <c r="BL97" i="47"/>
  <c r="BG96" i="47"/>
  <c r="BB95" i="47"/>
  <c r="BR94" i="47"/>
  <c r="BL93" i="47"/>
  <c r="BG92" i="47"/>
  <c r="BB91" i="47"/>
  <c r="BN90" i="47"/>
  <c r="BJ89" i="47"/>
  <c r="BF88" i="47"/>
  <c r="BR87" i="47"/>
  <c r="BB87" i="47"/>
  <c r="BJ86" i="47"/>
  <c r="BF85" i="47"/>
  <c r="BR84" i="47"/>
  <c r="BB84" i="47"/>
  <c r="BN83" i="47"/>
  <c r="BJ82" i="47"/>
  <c r="BF81" i="47"/>
  <c r="BN80" i="47"/>
  <c r="BF80" i="47"/>
  <c r="BO79" i="47"/>
  <c r="BG79" i="47"/>
  <c r="BR78" i="47"/>
  <c r="BJ78" i="47"/>
  <c r="BB78" i="47"/>
  <c r="BS77" i="47"/>
  <c r="BK77" i="47"/>
  <c r="BC77" i="47"/>
  <c r="BS76" i="47"/>
  <c r="BN76" i="47"/>
  <c r="BH76" i="47"/>
  <c r="BC76" i="47"/>
  <c r="BS75" i="47"/>
  <c r="BN75" i="47"/>
  <c r="BH75" i="47"/>
  <c r="BC75" i="47"/>
  <c r="BS74" i="47"/>
  <c r="BN74" i="47"/>
  <c r="BH74" i="47"/>
  <c r="BC74" i="47"/>
  <c r="BR73" i="47"/>
  <c r="BN73" i="47"/>
  <c r="BJ73" i="47"/>
  <c r="BF73" i="47"/>
  <c r="BB73" i="47"/>
  <c r="BR72" i="47"/>
  <c r="BN72" i="47"/>
  <c r="BJ72" i="47"/>
  <c r="BF72" i="47"/>
  <c r="BB72" i="47"/>
  <c r="BR71" i="47"/>
  <c r="BN71" i="47"/>
  <c r="BJ71" i="47"/>
  <c r="BF71" i="47"/>
  <c r="BB71" i="47"/>
  <c r="BR70" i="47"/>
  <c r="BN70" i="47"/>
  <c r="BJ70" i="47"/>
  <c r="BF70" i="47"/>
  <c r="BB70" i="47"/>
  <c r="BR69" i="47"/>
  <c r="BN69" i="47"/>
  <c r="BJ69" i="47"/>
  <c r="BF69" i="47"/>
  <c r="BB69" i="47"/>
  <c r="BR68" i="47"/>
  <c r="BN68" i="47"/>
  <c r="BJ68" i="47"/>
  <c r="BF68" i="47"/>
  <c r="BB68" i="47"/>
  <c r="BR67" i="47"/>
  <c r="BN67" i="47"/>
  <c r="BJ67" i="47"/>
  <c r="BF67" i="47"/>
  <c r="BB67" i="47"/>
  <c r="BR66" i="47"/>
  <c r="BN66" i="47"/>
  <c r="BJ66" i="47"/>
  <c r="BF66" i="47"/>
  <c r="BB66" i="47"/>
  <c r="BR65" i="47"/>
  <c r="BN65" i="47"/>
  <c r="BJ65" i="47"/>
  <c r="BF65" i="47"/>
  <c r="BB65" i="47"/>
  <c r="BR64" i="47"/>
  <c r="BN64" i="47"/>
  <c r="BJ64" i="47"/>
  <c r="BF64" i="47"/>
  <c r="BB64" i="47"/>
  <c r="BR63" i="47"/>
  <c r="BN63" i="47"/>
  <c r="BJ63" i="47"/>
  <c r="BF63" i="47"/>
  <c r="BB63" i="47"/>
  <c r="BR62" i="47"/>
  <c r="BN62" i="47"/>
  <c r="BJ62" i="47"/>
  <c r="BF62" i="47"/>
  <c r="BB62" i="47"/>
  <c r="BR61" i="47"/>
  <c r="BN61" i="47"/>
  <c r="BJ61" i="47"/>
  <c r="BF61" i="47"/>
  <c r="BB61" i="47"/>
  <c r="BR60" i="47"/>
  <c r="BN60" i="47"/>
  <c r="BJ60" i="47"/>
  <c r="BF60" i="47"/>
  <c r="BB60" i="47"/>
  <c r="BR59" i="47"/>
  <c r="BN59" i="47"/>
  <c r="BJ59" i="47"/>
  <c r="BF59" i="47"/>
  <c r="BB59" i="47"/>
  <c r="BR58" i="47"/>
  <c r="BN58" i="47"/>
  <c r="BJ58" i="47"/>
  <c r="BF58" i="47"/>
  <c r="BB58" i="47"/>
  <c r="BR57" i="47"/>
  <c r="BN57" i="47"/>
  <c r="BJ57" i="47"/>
  <c r="BF57" i="47"/>
  <c r="BB57" i="47"/>
  <c r="BR56" i="47"/>
  <c r="BN56" i="47"/>
  <c r="BJ56" i="47"/>
  <c r="BF56" i="47"/>
  <c r="BB56" i="47"/>
  <c r="BR55" i="47"/>
  <c r="BN55" i="47"/>
  <c r="BJ55" i="47"/>
  <c r="BF55" i="47"/>
  <c r="BB55" i="47"/>
  <c r="BR54" i="47"/>
  <c r="BN54" i="47"/>
  <c r="BJ54" i="47"/>
  <c r="BF54" i="47"/>
  <c r="BB54" i="47"/>
  <c r="BR53" i="47"/>
  <c r="BN53" i="47"/>
  <c r="BJ53" i="47"/>
  <c r="BF53" i="47"/>
  <c r="BB53" i="47"/>
  <c r="BR52" i="47"/>
  <c r="BN52" i="47"/>
  <c r="BJ52" i="47"/>
  <c r="BF52" i="47"/>
  <c r="BB52" i="47"/>
  <c r="BR51" i="47"/>
  <c r="BN51" i="47"/>
  <c r="BJ51" i="47"/>
  <c r="BF51" i="47"/>
  <c r="BB51" i="47"/>
  <c r="BR50" i="47"/>
  <c r="BN50" i="47"/>
  <c r="BJ50" i="47"/>
  <c r="BF50" i="47"/>
  <c r="BB50" i="47"/>
  <c r="BR49" i="47"/>
  <c r="BN49" i="47"/>
  <c r="BJ49" i="47"/>
  <c r="BF49" i="47"/>
  <c r="BB49" i="47"/>
  <c r="BR48" i="47"/>
  <c r="BN48" i="47"/>
  <c r="BJ48" i="47"/>
  <c r="BF48" i="47"/>
  <c r="BB48" i="47"/>
  <c r="BR47" i="47"/>
  <c r="BN47" i="47"/>
  <c r="BJ47" i="47"/>
  <c r="BF47" i="47"/>
  <c r="BB47" i="47"/>
  <c r="BR46" i="47"/>
  <c r="BN46" i="47"/>
  <c r="BJ46" i="47"/>
  <c r="BF46" i="47"/>
  <c r="BB46" i="47"/>
  <c r="BR45" i="47"/>
  <c r="BN45" i="47"/>
  <c r="BJ45" i="47"/>
  <c r="BF45" i="47"/>
  <c r="BB45" i="47"/>
  <c r="BR44" i="47"/>
  <c r="BN44" i="47"/>
  <c r="BJ44" i="47"/>
  <c r="BF44" i="47"/>
  <c r="BB44" i="47"/>
  <c r="BR43" i="47"/>
  <c r="BN43" i="47"/>
  <c r="BJ43" i="47"/>
  <c r="BF43" i="47"/>
  <c r="BB43" i="47"/>
  <c r="BR42" i="47"/>
  <c r="BN42" i="47"/>
  <c r="BJ42" i="47"/>
  <c r="BF42" i="47"/>
  <c r="BB42" i="47"/>
  <c r="BR41" i="47"/>
  <c r="BN41" i="47"/>
  <c r="BJ41" i="47"/>
  <c r="BF41" i="47"/>
  <c r="BB41" i="47"/>
  <c r="BR40" i="47"/>
  <c r="BN40" i="47"/>
  <c r="BJ40" i="47"/>
  <c r="BF40" i="47"/>
  <c r="BB40" i="47"/>
  <c r="BR39" i="47"/>
  <c r="BN39" i="47"/>
  <c r="BJ39" i="47"/>
  <c r="BF39" i="47"/>
  <c r="BB39" i="47"/>
  <c r="BR38" i="47"/>
  <c r="BN38" i="47"/>
  <c r="BJ38" i="47"/>
  <c r="BF38" i="47"/>
  <c r="BB38" i="47"/>
  <c r="BF138" i="47"/>
  <c r="BF117" i="47"/>
  <c r="BR112" i="47"/>
  <c r="BL96" i="47"/>
  <c r="BG95" i="47"/>
  <c r="BB94" i="47"/>
  <c r="BB90" i="47"/>
  <c r="BJ85" i="47"/>
  <c r="BN82" i="47"/>
  <c r="BJ79" i="47"/>
  <c r="BS78" i="47"/>
  <c r="BO76" i="47"/>
  <c r="BT75" i="47"/>
  <c r="BD74" i="47"/>
  <c r="BO73" i="47"/>
  <c r="BK72" i="47"/>
  <c r="BG71" i="47"/>
  <c r="BS70" i="47"/>
  <c r="BC70" i="47"/>
  <c r="BO69" i="47"/>
  <c r="BK68" i="47"/>
  <c r="BG67" i="47"/>
  <c r="BS66" i="47"/>
  <c r="BC66" i="47"/>
  <c r="BO65" i="47"/>
  <c r="BK64" i="47"/>
  <c r="BG63" i="47"/>
  <c r="BS62" i="47"/>
  <c r="BC62" i="47"/>
  <c r="BO61" i="47"/>
  <c r="BK60" i="47"/>
  <c r="BG59" i="47"/>
  <c r="BS58" i="47"/>
  <c r="BC58" i="47"/>
  <c r="BO57" i="47"/>
  <c r="BK56" i="47"/>
  <c r="BG55" i="47"/>
  <c r="BS54" i="47"/>
  <c r="BK54" i="47"/>
  <c r="BC54" i="47"/>
  <c r="BT53" i="47"/>
  <c r="BO53" i="47"/>
  <c r="BI53" i="47"/>
  <c r="BD53" i="47"/>
  <c r="BU52" i="47"/>
  <c r="BP52" i="47"/>
  <c r="BK52" i="47"/>
  <c r="BE52" i="47"/>
  <c r="AZ52" i="47"/>
  <c r="BQ51" i="47"/>
  <c r="BL51" i="47"/>
  <c r="BG51" i="47"/>
  <c r="BA51" i="47"/>
  <c r="BS50" i="47"/>
  <c r="BM50" i="47"/>
  <c r="BH50" i="47"/>
  <c r="BC50" i="47"/>
  <c r="BT49" i="47"/>
  <c r="BO49" i="47"/>
  <c r="BI49" i="47"/>
  <c r="BD49" i="47"/>
  <c r="BU48" i="47"/>
  <c r="BP48" i="47"/>
  <c r="BK48" i="47"/>
  <c r="BE48" i="47"/>
  <c r="AZ48" i="47"/>
  <c r="BQ47" i="47"/>
  <c r="BL47" i="47"/>
  <c r="BG47" i="47"/>
  <c r="BA47" i="47"/>
  <c r="BS46" i="47"/>
  <c r="BM46" i="47"/>
  <c r="BH46" i="47"/>
  <c r="BC46" i="47"/>
  <c r="BT45" i="47"/>
  <c r="BO45" i="47"/>
  <c r="BI45" i="47"/>
  <c r="BD45" i="47"/>
  <c r="BU44" i="47"/>
  <c r="BP44" i="47"/>
  <c r="BK44" i="47"/>
  <c r="BE44" i="47"/>
  <c r="AZ44" i="47"/>
  <c r="BQ43" i="47"/>
  <c r="BL43" i="47"/>
  <c r="BG43" i="47"/>
  <c r="BA43" i="47"/>
  <c r="BS42" i="47"/>
  <c r="BM42" i="47"/>
  <c r="BH42" i="47"/>
  <c r="BC42" i="47"/>
  <c r="BT41" i="47"/>
  <c r="BO41" i="47"/>
  <c r="BI41" i="47"/>
  <c r="BD41" i="47"/>
  <c r="BU40" i="47"/>
  <c r="BP40" i="47"/>
  <c r="BK40" i="47"/>
  <c r="BE40" i="47"/>
  <c r="AZ40" i="47"/>
  <c r="BQ39" i="47"/>
  <c r="BL39" i="47"/>
  <c r="BG39" i="47"/>
  <c r="BA39" i="47"/>
  <c r="BS38" i="47"/>
  <c r="BM38" i="47"/>
  <c r="BH38" i="47"/>
  <c r="BC38" i="47"/>
  <c r="BS37" i="47"/>
  <c r="BO37" i="47"/>
  <c r="BK37" i="47"/>
  <c r="BG37" i="47"/>
  <c r="BC37" i="47"/>
  <c r="BS36" i="47"/>
  <c r="BO36" i="47"/>
  <c r="BK36" i="47"/>
  <c r="BG36" i="47"/>
  <c r="BC36" i="47"/>
  <c r="BS35" i="47"/>
  <c r="BO35" i="47"/>
  <c r="BK35" i="47"/>
  <c r="BG35" i="47"/>
  <c r="BC35" i="47"/>
  <c r="BS34" i="47"/>
  <c r="BO34" i="47"/>
  <c r="BK34" i="47"/>
  <c r="BG34" i="47"/>
  <c r="BC34" i="47"/>
  <c r="BS33" i="47"/>
  <c r="BO33" i="47"/>
  <c r="BK33" i="47"/>
  <c r="BG33" i="47"/>
  <c r="BC33" i="47"/>
  <c r="BS32" i="47"/>
  <c r="BO32" i="47"/>
  <c r="BK32" i="47"/>
  <c r="BG32" i="47"/>
  <c r="BC32" i="47"/>
  <c r="BS31" i="47"/>
  <c r="BO31" i="47"/>
  <c r="BK31" i="47"/>
  <c r="BG31" i="47"/>
  <c r="BC31" i="47"/>
  <c r="BS30" i="47"/>
  <c r="BO30" i="47"/>
  <c r="BK30" i="47"/>
  <c r="BG30" i="47"/>
  <c r="BC30" i="47"/>
  <c r="BS29" i="47"/>
  <c r="BO29" i="47"/>
  <c r="BK29" i="47"/>
  <c r="BG29" i="47"/>
  <c r="BC29" i="47"/>
  <c r="BS28" i="47"/>
  <c r="BO28" i="47"/>
  <c r="BK28" i="47"/>
  <c r="BG28" i="47"/>
  <c r="BC28" i="47"/>
  <c r="BS27" i="47"/>
  <c r="BO27" i="47"/>
  <c r="BK27" i="47"/>
  <c r="BG27" i="47"/>
  <c r="BC27" i="47"/>
  <c r="BS26" i="47"/>
  <c r="BO26" i="47"/>
  <c r="BK26" i="47"/>
  <c r="BG26" i="47"/>
  <c r="BC26" i="47"/>
  <c r="BS25" i="47"/>
  <c r="BO25" i="47"/>
  <c r="BK25" i="47"/>
  <c r="BG25" i="47"/>
  <c r="BC25" i="47"/>
  <c r="BS24" i="47"/>
  <c r="BO24" i="47"/>
  <c r="BK24" i="47"/>
  <c r="BG24" i="47"/>
  <c r="BC24" i="47"/>
  <c r="BS23" i="47"/>
  <c r="BO23" i="47"/>
  <c r="BK23" i="47"/>
  <c r="BG23" i="47"/>
  <c r="BC23" i="47"/>
  <c r="BS22" i="47"/>
  <c r="BO22" i="47"/>
  <c r="BK22" i="47"/>
  <c r="BG22" i="47"/>
  <c r="BC22" i="47"/>
  <c r="BS21" i="47"/>
  <c r="BO21" i="47"/>
  <c r="BK21" i="47"/>
  <c r="BG21" i="47"/>
  <c r="BC21" i="47"/>
  <c r="BS20" i="47"/>
  <c r="BO20" i="47"/>
  <c r="BK20" i="47"/>
  <c r="BG20" i="47"/>
  <c r="BC20" i="47"/>
  <c r="BS19" i="47"/>
  <c r="BO19" i="47"/>
  <c r="BK19" i="47"/>
  <c r="BG19" i="47"/>
  <c r="BC19" i="47"/>
  <c r="BS18" i="47"/>
  <c r="BO18" i="47"/>
  <c r="BK18" i="47"/>
  <c r="BG18" i="47"/>
  <c r="BC18" i="47"/>
  <c r="BS17" i="47"/>
  <c r="BO17" i="47"/>
  <c r="BK17" i="47"/>
  <c r="BG17" i="47"/>
  <c r="BC17" i="47"/>
  <c r="BS16" i="47"/>
  <c r="BO16" i="47"/>
  <c r="BK16" i="47"/>
  <c r="BG16" i="47"/>
  <c r="BC16" i="47"/>
  <c r="BS15" i="47"/>
  <c r="BO15" i="47"/>
  <c r="BK15" i="47"/>
  <c r="BG15" i="47"/>
  <c r="BC15" i="47"/>
  <c r="BS14" i="47"/>
  <c r="BO14" i="47"/>
  <c r="BK14" i="47"/>
  <c r="BG14" i="47"/>
  <c r="BC14" i="47"/>
  <c r="BS13" i="47"/>
  <c r="BO13" i="47"/>
  <c r="BK13" i="47"/>
  <c r="BG13" i="47"/>
  <c r="BC13" i="47"/>
  <c r="BS12" i="47"/>
  <c r="BO12" i="47"/>
  <c r="BK12" i="47"/>
  <c r="BG12" i="47"/>
  <c r="BC12" i="47"/>
  <c r="BS11" i="47"/>
  <c r="BO11" i="47"/>
  <c r="BK11" i="47"/>
  <c r="BG11" i="47"/>
  <c r="AZ119" i="47"/>
  <c r="BB116" i="47"/>
  <c r="BF109" i="47"/>
  <c r="BR97" i="47"/>
  <c r="BN89" i="47"/>
  <c r="BF84" i="47"/>
  <c r="BJ81" i="47"/>
  <c r="BB79" i="47"/>
  <c r="BK78" i="47"/>
  <c r="BN77" i="47"/>
  <c r="BJ76" i="47"/>
  <c r="BO75" i="47"/>
  <c r="BT74" i="47"/>
  <c r="BK73" i="47"/>
  <c r="BG72" i="47"/>
  <c r="BS71" i="47"/>
  <c r="BC71" i="47"/>
  <c r="BO70" i="47"/>
  <c r="BK69" i="47"/>
  <c r="BG68" i="47"/>
  <c r="BS67" i="47"/>
  <c r="BC67" i="47"/>
  <c r="BO66" i="47"/>
  <c r="BK65" i="47"/>
  <c r="BG64" i="47"/>
  <c r="BS63" i="47"/>
  <c r="BC63" i="47"/>
  <c r="BO62" i="47"/>
  <c r="BK61" i="47"/>
  <c r="BG60" i="47"/>
  <c r="BS59" i="47"/>
  <c r="BC59" i="47"/>
  <c r="BO58" i="47"/>
  <c r="BK57" i="47"/>
  <c r="BG56" i="47"/>
  <c r="BS55" i="47"/>
  <c r="BC55" i="47"/>
  <c r="BP54" i="47"/>
  <c r="BH54" i="47"/>
  <c r="BA54" i="47"/>
  <c r="BS53" i="47"/>
  <c r="BM53" i="47"/>
  <c r="BH53" i="47"/>
  <c r="BC53" i="47"/>
  <c r="BT52" i="47"/>
  <c r="BO52" i="47"/>
  <c r="BI52" i="47"/>
  <c r="BD52" i="47"/>
  <c r="BU51" i="47"/>
  <c r="BP51" i="47"/>
  <c r="BK51" i="47"/>
  <c r="BE51" i="47"/>
  <c r="AZ51" i="47"/>
  <c r="BQ50" i="47"/>
  <c r="BL50" i="47"/>
  <c r="BG50" i="47"/>
  <c r="BA50" i="47"/>
  <c r="BS49" i="47"/>
  <c r="BM49" i="47"/>
  <c r="BH49" i="47"/>
  <c r="BC49" i="47"/>
  <c r="BT48" i="47"/>
  <c r="BO48" i="47"/>
  <c r="BI48" i="47"/>
  <c r="BD48" i="47"/>
  <c r="BU47" i="47"/>
  <c r="BP47" i="47"/>
  <c r="BK47" i="47"/>
  <c r="BE47" i="47"/>
  <c r="AZ47" i="47"/>
  <c r="BQ46" i="47"/>
  <c r="BL46" i="47"/>
  <c r="BG46" i="47"/>
  <c r="BA46" i="47"/>
  <c r="BS45" i="47"/>
  <c r="BM45" i="47"/>
  <c r="BH45" i="47"/>
  <c r="BC45" i="47"/>
  <c r="BT44" i="47"/>
  <c r="BO44" i="47"/>
  <c r="BI44" i="47"/>
  <c r="BD44" i="47"/>
  <c r="BU43" i="47"/>
  <c r="BP43" i="47"/>
  <c r="BK43" i="47"/>
  <c r="BE43" i="47"/>
  <c r="AZ43" i="47"/>
  <c r="BQ42" i="47"/>
  <c r="BL42" i="47"/>
  <c r="BG42" i="47"/>
  <c r="BA42" i="47"/>
  <c r="BS41" i="47"/>
  <c r="BM41" i="47"/>
  <c r="BH41" i="47"/>
  <c r="BC41" i="47"/>
  <c r="BT40" i="47"/>
  <c r="BO40" i="47"/>
  <c r="BI40" i="47"/>
  <c r="BD40" i="47"/>
  <c r="BU39" i="47"/>
  <c r="BP39" i="47"/>
  <c r="BK39" i="47"/>
  <c r="BE39" i="47"/>
  <c r="AZ39" i="47"/>
  <c r="BQ38" i="47"/>
  <c r="BL38" i="47"/>
  <c r="BG38" i="47"/>
  <c r="BA38" i="47"/>
  <c r="BR37" i="47"/>
  <c r="BN37" i="47"/>
  <c r="BJ37" i="47"/>
  <c r="BF37" i="47"/>
  <c r="BB37" i="47"/>
  <c r="BR36" i="47"/>
  <c r="BN36" i="47"/>
  <c r="BJ36" i="47"/>
  <c r="BF36" i="47"/>
  <c r="BB36" i="47"/>
  <c r="BR35" i="47"/>
  <c r="BN35" i="47"/>
  <c r="BJ35" i="47"/>
  <c r="BF35" i="47"/>
  <c r="BB35" i="47"/>
  <c r="BR34" i="47"/>
  <c r="BN34" i="47"/>
  <c r="BJ34" i="47"/>
  <c r="BF34" i="47"/>
  <c r="BB34" i="47"/>
  <c r="BR33" i="47"/>
  <c r="BN33" i="47"/>
  <c r="BJ33" i="47"/>
  <c r="BF33" i="47"/>
  <c r="BB33" i="47"/>
  <c r="BR32" i="47"/>
  <c r="BN32" i="47"/>
  <c r="BJ32" i="47"/>
  <c r="BF32" i="47"/>
  <c r="BB32" i="47"/>
  <c r="BR31" i="47"/>
  <c r="BN31" i="47"/>
  <c r="BJ31" i="47"/>
  <c r="BF31" i="47"/>
  <c r="BB31" i="47"/>
  <c r="BR30" i="47"/>
  <c r="BN30" i="47"/>
  <c r="BJ30" i="47"/>
  <c r="BF30" i="47"/>
  <c r="BB30" i="47"/>
  <c r="BR29" i="47"/>
  <c r="BN29" i="47"/>
  <c r="BJ29" i="47"/>
  <c r="BF29" i="47"/>
  <c r="BB29" i="47"/>
  <c r="BR28" i="47"/>
  <c r="BN28" i="47"/>
  <c r="BJ28" i="47"/>
  <c r="BF28" i="47"/>
  <c r="BB28" i="47"/>
  <c r="BR27" i="47"/>
  <c r="BN27" i="47"/>
  <c r="BJ27" i="47"/>
  <c r="BF27" i="47"/>
  <c r="BB27" i="47"/>
  <c r="BR26" i="47"/>
  <c r="BN26" i="47"/>
  <c r="BJ26" i="47"/>
  <c r="BF26" i="47"/>
  <c r="BB26" i="47"/>
  <c r="BR25" i="47"/>
  <c r="BN25" i="47"/>
  <c r="BJ25" i="47"/>
  <c r="BF25" i="47"/>
  <c r="BB25" i="47"/>
  <c r="BR24" i="47"/>
  <c r="BN24" i="47"/>
  <c r="BJ24" i="47"/>
  <c r="BF24" i="47"/>
  <c r="BB24" i="47"/>
  <c r="BR23" i="47"/>
  <c r="BN23" i="47"/>
  <c r="BJ23" i="47"/>
  <c r="BF23" i="47"/>
  <c r="BB23" i="47"/>
  <c r="BR22" i="47"/>
  <c r="BN22" i="47"/>
  <c r="BJ22" i="47"/>
  <c r="BF22" i="47"/>
  <c r="BB22" i="47"/>
  <c r="BR21" i="47"/>
  <c r="BN21" i="47"/>
  <c r="BJ21" i="47"/>
  <c r="BF21" i="47"/>
  <c r="BB21" i="47"/>
  <c r="BR20" i="47"/>
  <c r="BN20" i="47"/>
  <c r="BJ20" i="47"/>
  <c r="BF20" i="47"/>
  <c r="BB20" i="47"/>
  <c r="BR19" i="47"/>
  <c r="BN19" i="47"/>
  <c r="BJ19" i="47"/>
  <c r="BF19" i="47"/>
  <c r="BB19" i="47"/>
  <c r="BR18" i="47"/>
  <c r="BN18" i="47"/>
  <c r="BJ18" i="47"/>
  <c r="BF18" i="47"/>
  <c r="BB18" i="47"/>
  <c r="BR17" i="47"/>
  <c r="BN17" i="47"/>
  <c r="BJ17" i="47"/>
  <c r="BF17" i="47"/>
  <c r="BB17" i="47"/>
  <c r="BR16" i="47"/>
  <c r="BN16" i="47"/>
  <c r="BJ16" i="47"/>
  <c r="BF16" i="47"/>
  <c r="BB16" i="47"/>
  <c r="BR15" i="47"/>
  <c r="BN15" i="47"/>
  <c r="BJ15" i="47"/>
  <c r="BF15" i="47"/>
  <c r="BB15" i="47"/>
  <c r="BR14" i="47"/>
  <c r="BN14" i="47"/>
  <c r="BJ14" i="47"/>
  <c r="BF14" i="47"/>
  <c r="BB14" i="47"/>
  <c r="BJ106" i="47"/>
  <c r="BJ101" i="47"/>
  <c r="BS100" i="47"/>
  <c r="BG99" i="47"/>
  <c r="BB98" i="47"/>
  <c r="BL92" i="47"/>
  <c r="BG91" i="47"/>
  <c r="BJ88" i="47"/>
  <c r="BR83" i="47"/>
  <c r="BO80" i="47"/>
  <c r="BC78" i="47"/>
  <c r="BF77" i="47"/>
  <c r="BD76" i="47"/>
  <c r="BJ75" i="47"/>
  <c r="BO74" i="47"/>
  <c r="BG73" i="47"/>
  <c r="BS72" i="47"/>
  <c r="BC72" i="47"/>
  <c r="BO71" i="47"/>
  <c r="BK70" i="47"/>
  <c r="BG69" i="47"/>
  <c r="BS68" i="47"/>
  <c r="BC68" i="47"/>
  <c r="BO67" i="47"/>
  <c r="BK66" i="47"/>
  <c r="BG65" i="47"/>
  <c r="BS64" i="47"/>
  <c r="BC64" i="47"/>
  <c r="BO63" i="47"/>
  <c r="BK62" i="47"/>
  <c r="BG61" i="47"/>
  <c r="BS60" i="47"/>
  <c r="BC60" i="47"/>
  <c r="BO59" i="47"/>
  <c r="BK58" i="47"/>
  <c r="BG57" i="47"/>
  <c r="BS56" i="47"/>
  <c r="BC56" i="47"/>
  <c r="BO55" i="47"/>
  <c r="BO54" i="47"/>
  <c r="BG54" i="47"/>
  <c r="AZ54" i="47"/>
  <c r="BQ53" i="47"/>
  <c r="BL53" i="47"/>
  <c r="BG53" i="47"/>
  <c r="BA53" i="47"/>
  <c r="BS52" i="47"/>
  <c r="BM52" i="47"/>
  <c r="BH52" i="47"/>
  <c r="BC52" i="47"/>
  <c r="BT51" i="47"/>
  <c r="BO51" i="47"/>
  <c r="BI51" i="47"/>
  <c r="BD51" i="47"/>
  <c r="BU50" i="47"/>
  <c r="BP50" i="47"/>
  <c r="BK50" i="47"/>
  <c r="BE50" i="47"/>
  <c r="AZ50" i="47"/>
  <c r="BQ49" i="47"/>
  <c r="BL49" i="47"/>
  <c r="BG49" i="47"/>
  <c r="BA49" i="47"/>
  <c r="BS48" i="47"/>
  <c r="BM48" i="47"/>
  <c r="BH48" i="47"/>
  <c r="BC48" i="47"/>
  <c r="BT47" i="47"/>
  <c r="BO47" i="47"/>
  <c r="BI47" i="47"/>
  <c r="BD47" i="47"/>
  <c r="BU46" i="47"/>
  <c r="BP46" i="47"/>
  <c r="BK46" i="47"/>
  <c r="BE46" i="47"/>
  <c r="AZ46" i="47"/>
  <c r="BQ45" i="47"/>
  <c r="BL45" i="47"/>
  <c r="BG45" i="47"/>
  <c r="BA45" i="47"/>
  <c r="BS44" i="47"/>
  <c r="BM44" i="47"/>
  <c r="BH44" i="47"/>
  <c r="BC44" i="47"/>
  <c r="BT43" i="47"/>
  <c r="BO43" i="47"/>
  <c r="BI43" i="47"/>
  <c r="BD43" i="47"/>
  <c r="BU42" i="47"/>
  <c r="BP42" i="47"/>
  <c r="BK42" i="47"/>
  <c r="BE42" i="47"/>
  <c r="AZ42" i="47"/>
  <c r="BQ41" i="47"/>
  <c r="BL41" i="47"/>
  <c r="BG41" i="47"/>
  <c r="BA41" i="47"/>
  <c r="BS40" i="47"/>
  <c r="BM40" i="47"/>
  <c r="BH40" i="47"/>
  <c r="BC40" i="47"/>
  <c r="BT39" i="47"/>
  <c r="BO39" i="47"/>
  <c r="BI39" i="47"/>
  <c r="BD39" i="47"/>
  <c r="BU38" i="47"/>
  <c r="BP38" i="47"/>
  <c r="BK38" i="47"/>
  <c r="BE38" i="47"/>
  <c r="AZ38" i="47"/>
  <c r="BU37" i="47"/>
  <c r="BQ37" i="47"/>
  <c r="BM37" i="47"/>
  <c r="BI37" i="47"/>
  <c r="BE37" i="47"/>
  <c r="BA37" i="47"/>
  <c r="BU36" i="47"/>
  <c r="BQ36" i="47"/>
  <c r="BM36" i="47"/>
  <c r="BI36" i="47"/>
  <c r="BE36" i="47"/>
  <c r="BA36" i="47"/>
  <c r="BU35" i="47"/>
  <c r="BQ35" i="47"/>
  <c r="BM35" i="47"/>
  <c r="BI35" i="47"/>
  <c r="BE35" i="47"/>
  <c r="BA35" i="47"/>
  <c r="BU34" i="47"/>
  <c r="BQ34" i="47"/>
  <c r="BM34" i="47"/>
  <c r="BI34" i="47"/>
  <c r="BE34" i="47"/>
  <c r="BA34" i="47"/>
  <c r="BU33" i="47"/>
  <c r="BQ33" i="47"/>
  <c r="BM33" i="47"/>
  <c r="BI33" i="47"/>
  <c r="BE33" i="47"/>
  <c r="BA33" i="47"/>
  <c r="BU32" i="47"/>
  <c r="BQ32" i="47"/>
  <c r="BM32" i="47"/>
  <c r="BI32" i="47"/>
  <c r="BE32" i="47"/>
  <c r="BA32" i="47"/>
  <c r="BU31" i="47"/>
  <c r="BQ31" i="47"/>
  <c r="BM31" i="47"/>
  <c r="BI31" i="47"/>
  <c r="BE31" i="47"/>
  <c r="BA31" i="47"/>
  <c r="BU30" i="47"/>
  <c r="BQ30" i="47"/>
  <c r="BM30" i="47"/>
  <c r="BI30" i="47"/>
  <c r="BE30" i="47"/>
  <c r="BA30" i="47"/>
  <c r="BU29" i="47"/>
  <c r="BQ29" i="47"/>
  <c r="BM29" i="47"/>
  <c r="BI29" i="47"/>
  <c r="BE29" i="47"/>
  <c r="BA29" i="47"/>
  <c r="BU28" i="47"/>
  <c r="BQ28" i="47"/>
  <c r="BM28" i="47"/>
  <c r="BI28" i="47"/>
  <c r="BE28" i="47"/>
  <c r="BA28" i="47"/>
  <c r="BU27" i="47"/>
  <c r="BQ27" i="47"/>
  <c r="BM27" i="47"/>
  <c r="BI27" i="47"/>
  <c r="BE27" i="47"/>
  <c r="BA27" i="47"/>
  <c r="BU26" i="47"/>
  <c r="BQ26" i="47"/>
  <c r="BM26" i="47"/>
  <c r="BI26" i="47"/>
  <c r="BE26" i="47"/>
  <c r="BA26" i="47"/>
  <c r="BU25" i="47"/>
  <c r="BQ25" i="47"/>
  <c r="BM25" i="47"/>
  <c r="BI25" i="47"/>
  <c r="BE25" i="47"/>
  <c r="BA25" i="47"/>
  <c r="BU24" i="47"/>
  <c r="BQ24" i="47"/>
  <c r="BM24" i="47"/>
  <c r="BI24" i="47"/>
  <c r="BE24" i="47"/>
  <c r="BA24" i="47"/>
  <c r="BU23" i="47"/>
  <c r="BQ23" i="47"/>
  <c r="BM23" i="47"/>
  <c r="BI23" i="47"/>
  <c r="BE23" i="47"/>
  <c r="BA23" i="47"/>
  <c r="BU22" i="47"/>
  <c r="BQ22" i="47"/>
  <c r="BM22" i="47"/>
  <c r="BI22" i="47"/>
  <c r="BE22" i="47"/>
  <c r="BA22" i="47"/>
  <c r="BU21" i="47"/>
  <c r="BQ21" i="47"/>
  <c r="BM21" i="47"/>
  <c r="BI21" i="47"/>
  <c r="BE21" i="47"/>
  <c r="BA21" i="47"/>
  <c r="BU20" i="47"/>
  <c r="BQ20" i="47"/>
  <c r="BM20" i="47"/>
  <c r="BI20" i="47"/>
  <c r="BE20" i="47"/>
  <c r="BA20" i="47"/>
  <c r="BU19" i="47"/>
  <c r="BQ19" i="47"/>
  <c r="BM19" i="47"/>
  <c r="BI19" i="47"/>
  <c r="BE19" i="47"/>
  <c r="BA19" i="47"/>
  <c r="BU18" i="47"/>
  <c r="BQ18" i="47"/>
  <c r="BM18" i="47"/>
  <c r="BI18" i="47"/>
  <c r="BE18" i="47"/>
  <c r="BA18" i="47"/>
  <c r="BU17" i="47"/>
  <c r="BQ17" i="47"/>
  <c r="BM17" i="47"/>
  <c r="BI17" i="47"/>
  <c r="BE17" i="47"/>
  <c r="BA17" i="47"/>
  <c r="BU16" i="47"/>
  <c r="BQ16" i="47"/>
  <c r="BM16" i="47"/>
  <c r="BI16" i="47"/>
  <c r="BE16" i="47"/>
  <c r="BA16" i="47"/>
  <c r="BU15" i="47"/>
  <c r="BQ15" i="47"/>
  <c r="BM15" i="47"/>
  <c r="BI15" i="47"/>
  <c r="BE15" i="47"/>
  <c r="BA15" i="47"/>
  <c r="BU14" i="47"/>
  <c r="BQ14" i="47"/>
  <c r="BM14" i="47"/>
  <c r="BI14" i="47"/>
  <c r="BE14" i="47"/>
  <c r="BA14" i="47"/>
  <c r="BG80" i="47"/>
  <c r="BR79" i="47"/>
  <c r="BD75" i="47"/>
  <c r="BC69" i="47"/>
  <c r="BO68" i="47"/>
  <c r="BC61" i="47"/>
  <c r="BO60" i="47"/>
  <c r="BD54" i="47"/>
  <c r="BK53" i="47"/>
  <c r="BG52" i="47"/>
  <c r="BC51" i="47"/>
  <c r="BT50" i="47"/>
  <c r="BE49" i="47"/>
  <c r="BA48" i="47"/>
  <c r="BS47" i="47"/>
  <c r="BO46" i="47"/>
  <c r="BU45" i="47"/>
  <c r="AZ45" i="47"/>
  <c r="BQ44" i="47"/>
  <c r="BM43" i="47"/>
  <c r="BI42" i="47"/>
  <c r="BP41" i="47"/>
  <c r="BL40" i="47"/>
  <c r="BC39" i="47"/>
  <c r="BT38" i="47"/>
  <c r="BH37" i="47"/>
  <c r="BT36" i="47"/>
  <c r="BD36" i="47"/>
  <c r="BP35" i="47"/>
  <c r="AZ35" i="47"/>
  <c r="BL34" i="47"/>
  <c r="BH33" i="47"/>
  <c r="BT32" i="47"/>
  <c r="BD32" i="47"/>
  <c r="BP31" i="47"/>
  <c r="AZ31" i="47"/>
  <c r="BL30" i="47"/>
  <c r="BH29" i="47"/>
  <c r="BT28" i="47"/>
  <c r="BD28" i="47"/>
  <c r="BP27" i="47"/>
  <c r="AZ27" i="47"/>
  <c r="BL26" i="47"/>
  <c r="BH25" i="47"/>
  <c r="BT24" i="47"/>
  <c r="BD24" i="47"/>
  <c r="BP23" i="47"/>
  <c r="AZ23" i="47"/>
  <c r="BL22" i="47"/>
  <c r="BH21" i="47"/>
  <c r="BT20" i="47"/>
  <c r="BD20" i="47"/>
  <c r="BP19" i="47"/>
  <c r="AZ19" i="47"/>
  <c r="BL18" i="47"/>
  <c r="BH17" i="47"/>
  <c r="BT16" i="47"/>
  <c r="BD16" i="47"/>
  <c r="BP15" i="47"/>
  <c r="AZ15" i="47"/>
  <c r="BL14" i="47"/>
  <c r="BT13" i="47"/>
  <c r="BN13" i="47"/>
  <c r="BI13" i="47"/>
  <c r="BD13" i="47"/>
  <c r="BU12" i="47"/>
  <c r="BP12" i="47"/>
  <c r="BJ12" i="47"/>
  <c r="BE12" i="47"/>
  <c r="AZ12" i="47"/>
  <c r="BQ11" i="47"/>
  <c r="BL11" i="47"/>
  <c r="BF11" i="47"/>
  <c r="BB11" i="47"/>
  <c r="BR10" i="47"/>
  <c r="BN10" i="47"/>
  <c r="BJ10" i="47"/>
  <c r="BF10" i="47"/>
  <c r="BB10" i="47"/>
  <c r="BR9" i="47"/>
  <c r="BN9" i="47"/>
  <c r="BJ9" i="47"/>
  <c r="BF9" i="47"/>
  <c r="BB9" i="47"/>
  <c r="BR8" i="47"/>
  <c r="BN8" i="47"/>
  <c r="BJ8" i="47"/>
  <c r="BF8" i="47"/>
  <c r="BB8" i="47"/>
  <c r="BR7" i="47"/>
  <c r="BN7" i="47"/>
  <c r="BJ7" i="47"/>
  <c r="BF7" i="47"/>
  <c r="BB7" i="47"/>
  <c r="BR6" i="47"/>
  <c r="BN6" i="47"/>
  <c r="BJ6" i="47"/>
  <c r="BF6" i="47"/>
  <c r="BB6" i="47"/>
  <c r="BT76" i="47"/>
  <c r="BS69" i="47"/>
  <c r="BK63" i="47"/>
  <c r="BK55" i="47"/>
  <c r="BP53" i="47"/>
  <c r="BH51" i="47"/>
  <c r="BD50" i="47"/>
  <c r="BG48" i="47"/>
  <c r="BT46" i="47"/>
  <c r="BE45" i="47"/>
  <c r="BA44" i="47"/>
  <c r="BS43" i="47"/>
  <c r="AZ41" i="47"/>
  <c r="BD38" i="47"/>
  <c r="BD35" i="47"/>
  <c r="BP34" i="47"/>
  <c r="AZ34" i="47"/>
  <c r="BL33" i="47"/>
  <c r="BT31" i="47"/>
  <c r="BD31" i="47"/>
  <c r="BP30" i="47"/>
  <c r="AZ30" i="47"/>
  <c r="BD27" i="47"/>
  <c r="BP26" i="47"/>
  <c r="AZ26" i="47"/>
  <c r="BD23" i="47"/>
  <c r="BP22" i="47"/>
  <c r="AZ22" i="47"/>
  <c r="BH20" i="47"/>
  <c r="BT19" i="47"/>
  <c r="BP18" i="47"/>
  <c r="AZ18" i="47"/>
  <c r="BL17" i="47"/>
  <c r="BT15" i="47"/>
  <c r="BP14" i="47"/>
  <c r="AZ14" i="47"/>
  <c r="BP13" i="47"/>
  <c r="BE13" i="47"/>
  <c r="BF12" i="47"/>
  <c r="BM11" i="47"/>
  <c r="BH11" i="47"/>
  <c r="BS10" i="47"/>
  <c r="BO10" i="47"/>
  <c r="BG10" i="47"/>
  <c r="BS9" i="47"/>
  <c r="BK9" i="47"/>
  <c r="BC9" i="47"/>
  <c r="BO8" i="47"/>
  <c r="BK8" i="47"/>
  <c r="BC8" i="47"/>
  <c r="BS7" i="47"/>
  <c r="BK7" i="47"/>
  <c r="BC7" i="47"/>
  <c r="BB83" i="47"/>
  <c r="BJ74" i="47"/>
  <c r="BS73" i="47"/>
  <c r="BK67" i="47"/>
  <c r="BG66" i="47"/>
  <c r="BS65" i="47"/>
  <c r="BK59" i="47"/>
  <c r="BG58" i="47"/>
  <c r="BS57" i="47"/>
  <c r="BE53" i="47"/>
  <c r="BA52" i="47"/>
  <c r="BS51" i="47"/>
  <c r="BO50" i="47"/>
  <c r="BU49" i="47"/>
  <c r="AZ49" i="47"/>
  <c r="BQ48" i="47"/>
  <c r="BM47" i="47"/>
  <c r="BI46" i="47"/>
  <c r="BP45" i="47"/>
  <c r="BL44" i="47"/>
  <c r="BH43" i="47"/>
  <c r="BD42" i="47"/>
  <c r="BK41" i="47"/>
  <c r="BG40" i="47"/>
  <c r="BS39" i="47"/>
  <c r="BO38" i="47"/>
  <c r="BT37" i="47"/>
  <c r="BD37" i="47"/>
  <c r="BP36" i="47"/>
  <c r="AZ36" i="47"/>
  <c r="BL35" i="47"/>
  <c r="BH34" i="47"/>
  <c r="BT33" i="47"/>
  <c r="BD33" i="47"/>
  <c r="BP32" i="47"/>
  <c r="AZ32" i="47"/>
  <c r="BL31" i="47"/>
  <c r="BH30" i="47"/>
  <c r="BT29" i="47"/>
  <c r="BD29" i="47"/>
  <c r="BP28" i="47"/>
  <c r="AZ28" i="47"/>
  <c r="BL27" i="47"/>
  <c r="BH26" i="47"/>
  <c r="BT25" i="47"/>
  <c r="BD25" i="47"/>
  <c r="BP24" i="47"/>
  <c r="AZ24" i="47"/>
  <c r="BL23" i="47"/>
  <c r="BH22" i="47"/>
  <c r="BT21" i="47"/>
  <c r="BD21" i="47"/>
  <c r="BP20" i="47"/>
  <c r="AZ20" i="47"/>
  <c r="BL19" i="47"/>
  <c r="BH18" i="47"/>
  <c r="BT17" i="47"/>
  <c r="BD17" i="47"/>
  <c r="BP16" i="47"/>
  <c r="AZ16" i="47"/>
  <c r="BL15" i="47"/>
  <c r="BH14" i="47"/>
  <c r="BR13" i="47"/>
  <c r="BM13" i="47"/>
  <c r="BH13" i="47"/>
  <c r="BB13" i="47"/>
  <c r="BT12" i="47"/>
  <c r="BN12" i="47"/>
  <c r="BI12" i="47"/>
  <c r="BD12" i="47"/>
  <c r="BU11" i="47"/>
  <c r="BP11" i="47"/>
  <c r="BJ11" i="47"/>
  <c r="BE11" i="47"/>
  <c r="BA11" i="47"/>
  <c r="BU10" i="47"/>
  <c r="BQ10" i="47"/>
  <c r="BM10" i="47"/>
  <c r="BI10" i="47"/>
  <c r="BE10" i="47"/>
  <c r="BA10" i="47"/>
  <c r="BU9" i="47"/>
  <c r="BQ9" i="47"/>
  <c r="BM9" i="47"/>
  <c r="BI9" i="47"/>
  <c r="BE9" i="47"/>
  <c r="BA9" i="47"/>
  <c r="BU8" i="47"/>
  <c r="BQ8" i="47"/>
  <c r="BM8" i="47"/>
  <c r="BI8" i="47"/>
  <c r="BE8" i="47"/>
  <c r="BA8" i="47"/>
  <c r="BU7" i="47"/>
  <c r="BQ7" i="47"/>
  <c r="BM7" i="47"/>
  <c r="BI7" i="47"/>
  <c r="BE7" i="47"/>
  <c r="BA7" i="47"/>
  <c r="BU6" i="47"/>
  <c r="BQ6" i="47"/>
  <c r="BM6" i="47"/>
  <c r="BI6" i="47"/>
  <c r="BE6" i="47"/>
  <c r="BA6" i="47"/>
  <c r="BK71" i="47"/>
  <c r="BG70" i="47"/>
  <c r="BH36" i="47"/>
  <c r="BT35" i="47"/>
  <c r="BH32" i="47"/>
  <c r="BD19" i="47"/>
  <c r="BD15" i="47"/>
  <c r="BU13" i="47"/>
  <c r="BJ13" i="47"/>
  <c r="AZ13" i="47"/>
  <c r="BQ12" i="47"/>
  <c r="BA12" i="47"/>
  <c r="BO9" i="47"/>
  <c r="BG9" i="47"/>
  <c r="BO6" i="47"/>
  <c r="BG6" i="47"/>
  <c r="BR93" i="47"/>
  <c r="BR90" i="47"/>
  <c r="BN86" i="47"/>
  <c r="BC73" i="47"/>
  <c r="BO72" i="47"/>
  <c r="BC65" i="47"/>
  <c r="BO64" i="47"/>
  <c r="BC57" i="47"/>
  <c r="BO56" i="47"/>
  <c r="BU53" i="47"/>
  <c r="AZ53" i="47"/>
  <c r="BQ52" i="47"/>
  <c r="BM51" i="47"/>
  <c r="BI50" i="47"/>
  <c r="BP49" i="47"/>
  <c r="BL48" i="47"/>
  <c r="BH47" i="47"/>
  <c r="BD46" i="47"/>
  <c r="BK45" i="47"/>
  <c r="BG44" i="47"/>
  <c r="BC43" i="47"/>
  <c r="BT42" i="47"/>
  <c r="BE41" i="47"/>
  <c r="BA40" i="47"/>
  <c r="BM39" i="47"/>
  <c r="BI38" i="47"/>
  <c r="BP37" i="47"/>
  <c r="AZ37" i="47"/>
  <c r="BL36" i="47"/>
  <c r="BH35" i="47"/>
  <c r="BT34" i="47"/>
  <c r="BD34" i="47"/>
  <c r="BP33" i="47"/>
  <c r="AZ33" i="47"/>
  <c r="BL32" i="47"/>
  <c r="BH31" i="47"/>
  <c r="BT30" i="47"/>
  <c r="BD30" i="47"/>
  <c r="BP29" i="47"/>
  <c r="AZ29" i="47"/>
  <c r="BL28" i="47"/>
  <c r="BH27" i="47"/>
  <c r="BT26" i="47"/>
  <c r="BD26" i="47"/>
  <c r="BP25" i="47"/>
  <c r="AZ25" i="47"/>
  <c r="BL24" i="47"/>
  <c r="BH23" i="47"/>
  <c r="BT22" i="47"/>
  <c r="BD22" i="47"/>
  <c r="BP21" i="47"/>
  <c r="AZ21" i="47"/>
  <c r="BL20" i="47"/>
  <c r="BH19" i="47"/>
  <c r="BT18" i="47"/>
  <c r="BD18" i="47"/>
  <c r="BP17" i="47"/>
  <c r="AZ17" i="47"/>
  <c r="BL16" i="47"/>
  <c r="BH15" i="47"/>
  <c r="BT14" i="47"/>
  <c r="BD14" i="47"/>
  <c r="BQ13" i="47"/>
  <c r="BL13" i="47"/>
  <c r="BF13" i="47"/>
  <c r="BA13" i="47"/>
  <c r="BR12" i="47"/>
  <c r="BM12" i="47"/>
  <c r="BH12" i="47"/>
  <c r="BB12" i="47"/>
  <c r="BT11" i="47"/>
  <c r="BN11" i="47"/>
  <c r="BI11" i="47"/>
  <c r="BD11" i="47"/>
  <c r="AZ11" i="47"/>
  <c r="BT10" i="47"/>
  <c r="BP10" i="47"/>
  <c r="BL10" i="47"/>
  <c r="BH10" i="47"/>
  <c r="BD10" i="47"/>
  <c r="AZ10" i="47"/>
  <c r="BT9" i="47"/>
  <c r="BP9" i="47"/>
  <c r="BL9" i="47"/>
  <c r="BH9" i="47"/>
  <c r="BD9" i="47"/>
  <c r="AZ9" i="47"/>
  <c r="BT8" i="47"/>
  <c r="BP8" i="47"/>
  <c r="BL8" i="47"/>
  <c r="BH8" i="47"/>
  <c r="BD8" i="47"/>
  <c r="AZ8" i="47"/>
  <c r="BT7" i="47"/>
  <c r="BP7" i="47"/>
  <c r="BL7" i="47"/>
  <c r="BH7" i="47"/>
  <c r="BD7" i="47"/>
  <c r="AZ7" i="47"/>
  <c r="BT6" i="47"/>
  <c r="BP6" i="47"/>
  <c r="BL6" i="47"/>
  <c r="BH6" i="47"/>
  <c r="BD6" i="47"/>
  <c r="AZ6" i="47"/>
  <c r="BF87" i="47"/>
  <c r="BG62" i="47"/>
  <c r="BS61" i="47"/>
  <c r="BL54" i="47"/>
  <c r="BL52" i="47"/>
  <c r="BK49" i="47"/>
  <c r="BC47" i="47"/>
  <c r="BO42" i="47"/>
  <c r="BU41" i="47"/>
  <c r="BQ40" i="47"/>
  <c r="BH39" i="47"/>
  <c r="BL37" i="47"/>
  <c r="BL29" i="47"/>
  <c r="BH28" i="47"/>
  <c r="BT27" i="47"/>
  <c r="BL25" i="47"/>
  <c r="BH24" i="47"/>
  <c r="BT23" i="47"/>
  <c r="BL21" i="47"/>
  <c r="BH16" i="47"/>
  <c r="BL12" i="47"/>
  <c r="BR11" i="47"/>
  <c r="BC11" i="47"/>
  <c r="BK10" i="47"/>
  <c r="BC10" i="47"/>
  <c r="BS8" i="47"/>
  <c r="BG8" i="47"/>
  <c r="BO7" i="47"/>
  <c r="BG7" i="47"/>
  <c r="BS6" i="47"/>
  <c r="BK6" i="47"/>
  <c r="BC6" i="47"/>
  <c r="B39" i="44"/>
  <c r="C19" i="44" s="1"/>
  <c r="C115" i="41"/>
  <c r="BO26" i="5"/>
  <c r="BO30" i="5"/>
  <c r="BO28" i="5"/>
  <c r="BO32" i="5"/>
  <c r="BO29" i="5"/>
  <c r="BO27" i="5"/>
  <c r="BO31" i="5"/>
  <c r="BC187" i="5"/>
  <c r="BD180" i="5"/>
  <c r="AZ177" i="5"/>
  <c r="BD171" i="5"/>
  <c r="BB166" i="5"/>
  <c r="BC160" i="5"/>
  <c r="BA155" i="5"/>
  <c r="BB149" i="5"/>
  <c r="BB144" i="5"/>
  <c r="AZ136" i="5"/>
  <c r="BB134" i="5"/>
  <c r="BC132" i="5"/>
  <c r="BD129" i="5"/>
  <c r="BB126" i="5"/>
  <c r="BD125" i="5"/>
  <c r="BA121" i="5"/>
  <c r="BA115" i="5"/>
  <c r="BB109" i="5"/>
  <c r="BD108" i="5"/>
  <c r="AZ105" i="5"/>
  <c r="BA97" i="5"/>
  <c r="BA95" i="5"/>
  <c r="BC88" i="5"/>
  <c r="BB84" i="5"/>
  <c r="BC81" i="5"/>
  <c r="BA79" i="5"/>
  <c r="BA77" i="5"/>
  <c r="BC75" i="5"/>
  <c r="AZ65" i="5"/>
  <c r="AZ63" i="5"/>
  <c r="BA59" i="5"/>
  <c r="AZ53" i="5"/>
  <c r="BD50" i="5"/>
  <c r="BB48" i="5"/>
  <c r="BB45" i="5"/>
  <c r="BB41" i="5"/>
  <c r="BA37" i="5"/>
  <c r="BC34" i="5"/>
  <c r="BB32" i="5"/>
  <c r="BA23" i="5"/>
  <c r="BC22" i="5"/>
  <c r="BA19" i="5"/>
  <c r="BC18" i="5"/>
  <c r="BA15" i="5"/>
  <c r="BC14" i="5"/>
  <c r="BA11" i="5"/>
  <c r="BC10" i="5"/>
  <c r="AZ7" i="5"/>
  <c r="AZ159" i="5"/>
  <c r="BB151" i="5"/>
  <c r="BD148" i="5"/>
  <c r="BB138" i="5"/>
  <c r="BD133" i="5"/>
  <c r="AZ132" i="5"/>
  <c r="BA125" i="5"/>
  <c r="BC106" i="5"/>
  <c r="BC96" i="5"/>
  <c r="BB91" i="5"/>
  <c r="BA87" i="5"/>
  <c r="BC191" i="5"/>
  <c r="BB186" i="5"/>
  <c r="BC183" i="5"/>
  <c r="BC180" i="5"/>
  <c r="BB174" i="5"/>
  <c r="BC169" i="5"/>
  <c r="BA159" i="5"/>
  <c r="BA137" i="5"/>
  <c r="BB132" i="5"/>
  <c r="BA129" i="5"/>
  <c r="BC125" i="5"/>
  <c r="BB120" i="5"/>
  <c r="BD118" i="5"/>
  <c r="AZ115" i="5"/>
  <c r="BB113" i="5"/>
  <c r="BD110" i="5"/>
  <c r="BC108" i="5"/>
  <c r="BA104" i="5"/>
  <c r="BB88" i="5"/>
  <c r="BA81" i="5"/>
  <c r="BB78" i="5"/>
  <c r="BA75" i="5"/>
  <c r="BC71" i="5"/>
  <c r="BA66" i="5"/>
  <c r="BD56" i="5"/>
  <c r="BB54" i="5"/>
  <c r="BD52" i="5"/>
  <c r="BA50" i="5"/>
  <c r="BA48" i="5"/>
  <c r="AZ45" i="5"/>
  <c r="BB36" i="5"/>
  <c r="BA25" i="5"/>
  <c r="AZ19" i="5"/>
  <c r="AZ15" i="5"/>
  <c r="AZ11" i="5"/>
  <c r="BB9" i="5"/>
  <c r="BB188" i="5"/>
  <c r="AZ183" i="5"/>
  <c r="BC179" i="5"/>
  <c r="AZ174" i="5"/>
  <c r="BB172" i="5"/>
  <c r="BB168" i="5"/>
  <c r="BC162" i="5"/>
  <c r="BD135" i="5"/>
  <c r="AZ113" i="5"/>
  <c r="BC110" i="5"/>
  <c r="BB99" i="5"/>
  <c r="AZ151" i="5"/>
  <c r="BA138" i="5"/>
  <c r="BD131" i="5"/>
  <c r="AZ130" i="5"/>
  <c r="BB95" i="5"/>
  <c r="BB80" i="5"/>
  <c r="BC55" i="5"/>
  <c r="BD48" i="5"/>
  <c r="BB43" i="5"/>
  <c r="BC41" i="5"/>
  <c r="BC32" i="5"/>
  <c r="BB19" i="5"/>
  <c r="BD10" i="5"/>
  <c r="BD6" i="5"/>
  <c r="BB190" i="5"/>
  <c r="BD177" i="5"/>
  <c r="AZ172" i="5"/>
  <c r="AZ157" i="5"/>
  <c r="BC148" i="5"/>
  <c r="BA146" i="5"/>
  <c r="BA127" i="5"/>
  <c r="BB124" i="5"/>
  <c r="BA123" i="5"/>
  <c r="BA99" i="5"/>
  <c r="BA91" i="5"/>
  <c r="BA83" i="5"/>
  <c r="BC77" i="5"/>
  <c r="BA62" i="5"/>
  <c r="BA57" i="5"/>
  <c r="BD18" i="5"/>
  <c r="BB11" i="5"/>
  <c r="BD8" i="5"/>
  <c r="BB7" i="5"/>
  <c r="BB192" i="5"/>
  <c r="BA168" i="5"/>
  <c r="BB136" i="5"/>
  <c r="BB117" i="5"/>
  <c r="BB115" i="5"/>
  <c r="AZ111" i="5"/>
  <c r="BB86" i="5"/>
  <c r="BB74" i="5"/>
  <c r="BA73" i="5"/>
  <c r="BB64" i="5"/>
  <c r="BD60" i="5"/>
  <c r="BC44" i="5"/>
  <c r="BB30" i="5"/>
  <c r="BB28" i="5"/>
  <c r="BD14" i="5"/>
  <c r="BD182" i="5"/>
  <c r="AZ161" i="5"/>
  <c r="BB153" i="5"/>
  <c r="BB140" i="5"/>
  <c r="BB105" i="5"/>
  <c r="BC83" i="5"/>
  <c r="BB68" i="5"/>
  <c r="BD58" i="5"/>
  <c r="AZ55" i="5"/>
  <c r="BA52" i="5"/>
  <c r="BA35" i="5"/>
  <c r="BD22" i="5"/>
  <c r="BB15" i="5"/>
  <c r="BA9" i="5"/>
  <c r="BC6" i="5"/>
  <c r="BB52" i="5"/>
  <c r="BA144" i="5"/>
  <c r="AZ149" i="5"/>
  <c r="AZ69" i="5"/>
  <c r="BA7" i="5"/>
  <c r="BC119" i="5"/>
  <c r="BA101" i="5"/>
  <c r="AZ176" i="5"/>
  <c r="BC20" i="5"/>
  <c r="BB62" i="5"/>
  <c r="BA93" i="5"/>
  <c r="AZ126" i="5"/>
  <c r="BB128" i="5"/>
  <c r="AZ21" i="5"/>
  <c r="AZ49" i="5"/>
  <c r="BD70" i="5"/>
  <c r="BC100" i="5"/>
  <c r="BB146" i="5"/>
  <c r="BD162" i="5"/>
  <c r="BC109" i="5"/>
  <c r="BD139" i="5"/>
  <c r="AZ146" i="5"/>
  <c r="BA182" i="5"/>
  <c r="BA190" i="5"/>
  <c r="AZ30" i="5"/>
  <c r="BC21" i="5"/>
  <c r="BA32" i="5"/>
  <c r="BA39" i="5"/>
  <c r="AZ51" i="5"/>
  <c r="BC69" i="5"/>
  <c r="BC76" i="5"/>
  <c r="AZ86" i="5"/>
  <c r="AZ94" i="5"/>
  <c r="BB110" i="5"/>
  <c r="BD123" i="5"/>
  <c r="BD127" i="5"/>
  <c r="BB156" i="5"/>
  <c r="BD164" i="5"/>
  <c r="BD193" i="5"/>
  <c r="BC116" i="5"/>
  <c r="BC122" i="5"/>
  <c r="BB135" i="5"/>
  <c r="BC58" i="5"/>
  <c r="BD69" i="5"/>
  <c r="BD93" i="5"/>
  <c r="BB123" i="5"/>
  <c r="BB127" i="5"/>
  <c r="BC143" i="5"/>
  <c r="BA151" i="5"/>
  <c r="BB159" i="5"/>
  <c r="BB171" i="5"/>
  <c r="BA183" i="5"/>
  <c r="BA191" i="5"/>
  <c r="AZ26" i="5"/>
  <c r="AZ32" i="5"/>
  <c r="AZ39" i="5"/>
  <c r="AZ74" i="5"/>
  <c r="BC82" i="5"/>
  <c r="AZ24" i="5"/>
  <c r="AZ38" i="5"/>
  <c r="BC45" i="5"/>
  <c r="BD12" i="5"/>
  <c r="BA17" i="5"/>
  <c r="BD20" i="5"/>
  <c r="BU23" i="5"/>
  <c r="BA40" i="5"/>
  <c r="AZ44" i="5"/>
  <c r="AZ57" i="5"/>
  <c r="AZ155" i="5"/>
  <c r="BB24" i="5"/>
  <c r="BB82" i="5"/>
  <c r="BA33" i="5"/>
  <c r="AZ120" i="5"/>
  <c r="BD121" i="5"/>
  <c r="BC188" i="5"/>
  <c r="BC36" i="5"/>
  <c r="BD66" i="5"/>
  <c r="BB97" i="5"/>
  <c r="BB142" i="5"/>
  <c r="BA142" i="5"/>
  <c r="BB26" i="5"/>
  <c r="BA60" i="5"/>
  <c r="BB72" i="5"/>
  <c r="BC102" i="5"/>
  <c r="BC149" i="5"/>
  <c r="BC163" i="5"/>
  <c r="BA179" i="5"/>
  <c r="BD147" i="5"/>
  <c r="BA156" i="5"/>
  <c r="AZ165" i="5"/>
  <c r="BE23" i="5"/>
  <c r="BA26" i="5"/>
  <c r="BD79" i="5"/>
  <c r="BC94" i="5"/>
  <c r="AZ144" i="5"/>
  <c r="BC173" i="5"/>
  <c r="BC124" i="5"/>
  <c r="BC60" i="5"/>
  <c r="AZ66" i="5"/>
  <c r="BB70" i="5"/>
  <c r="AZ75" i="5"/>
  <c r="AZ97" i="5"/>
  <c r="BB129" i="5"/>
  <c r="BD140" i="5"/>
  <c r="BB162" i="5"/>
  <c r="BD27" i="5"/>
  <c r="BD33" i="5"/>
  <c r="BA41" i="5"/>
  <c r="BD87" i="5"/>
  <c r="BD95" i="5"/>
  <c r="AZ40" i="5"/>
  <c r="AZ9" i="5"/>
  <c r="BA24" i="5"/>
  <c r="AZ36" i="5"/>
  <c r="BD41" i="5"/>
  <c r="BD45" i="5"/>
  <c r="BA72" i="5"/>
  <c r="AZ84" i="5"/>
  <c r="AZ89" i="5"/>
  <c r="BC105" i="5"/>
  <c r="BD116" i="5"/>
  <c r="BA149" i="5"/>
  <c r="BD168" i="5"/>
  <c r="BD178" i="5"/>
  <c r="BB183" i="5"/>
  <c r="AZ188" i="5"/>
  <c r="BD100" i="5"/>
  <c r="BB38" i="5"/>
  <c r="BA46" i="5"/>
  <c r="BA54" i="5"/>
  <c r="BD65" i="5"/>
  <c r="BD74" i="5"/>
  <c r="AZ87" i="5"/>
  <c r="AZ95" i="5"/>
  <c r="AZ103" i="5"/>
  <c r="BC114" i="5"/>
  <c r="BD146" i="5"/>
  <c r="BD165" i="5"/>
  <c r="BC177" i="5"/>
  <c r="BC181" i="5"/>
  <c r="BC185" i="5"/>
  <c r="BA34" i="5"/>
  <c r="AZ190" i="5"/>
  <c r="BC24" i="5"/>
  <c r="BB46" i="5"/>
  <c r="AZ58" i="5"/>
  <c r="BC79" i="5"/>
  <c r="BD102" i="5"/>
  <c r="BD114" i="5"/>
  <c r="BA120" i="5"/>
  <c r="BA139" i="5"/>
  <c r="BD158" i="5"/>
  <c r="BB66" i="5"/>
  <c r="BC54" i="5"/>
  <c r="BA58" i="5"/>
  <c r="BB122" i="5"/>
  <c r="BA44" i="5"/>
  <c r="BB130" i="5"/>
  <c r="BA152" i="5"/>
  <c r="BC12" i="5"/>
  <c r="BD46" i="5"/>
  <c r="BA68" i="5"/>
  <c r="AZ109" i="5"/>
  <c r="BC158" i="5"/>
  <c r="AZ13" i="5"/>
  <c r="BC30" i="5"/>
  <c r="AZ61" i="5"/>
  <c r="BA89" i="5"/>
  <c r="BB111" i="5"/>
  <c r="BD154" i="5"/>
  <c r="BC62" i="5"/>
  <c r="BB112" i="5"/>
  <c r="BB131" i="5"/>
  <c r="BD142" i="5"/>
  <c r="BB148" i="5"/>
  <c r="BC167" i="5"/>
  <c r="BA185" i="5"/>
  <c r="BA194" i="5"/>
  <c r="BS24" i="5"/>
  <c r="BD42" i="5"/>
  <c r="AZ99" i="5"/>
  <c r="BC13" i="5"/>
  <c r="AZ28" i="5"/>
  <c r="BA55" i="5"/>
  <c r="BA70" i="5"/>
  <c r="BD90" i="5"/>
  <c r="BD98" i="5"/>
  <c r="AZ102" i="5"/>
  <c r="BC107" i="5"/>
  <c r="BC117" i="5"/>
  <c r="BB125" i="5"/>
  <c r="AZ138" i="5"/>
  <c r="BC145" i="5"/>
  <c r="BD167" i="5"/>
  <c r="BB182" i="5"/>
  <c r="BC128" i="5"/>
  <c r="BC139" i="5"/>
  <c r="BC67" i="5"/>
  <c r="BD71" i="5"/>
  <c r="BD76" i="5"/>
  <c r="BD85" i="5"/>
  <c r="BA136" i="5"/>
  <c r="AZ141" i="5"/>
  <c r="BD145" i="5"/>
  <c r="BD68" i="5"/>
  <c r="BA56" i="5"/>
  <c r="BB50" i="5"/>
  <c r="AZ17" i="5"/>
  <c r="BA135" i="5"/>
  <c r="AZ70" i="5"/>
  <c r="BA186" i="5"/>
  <c r="BD29" i="5"/>
  <c r="BC17" i="5"/>
  <c r="BB133" i="5"/>
  <c r="BA187" i="5"/>
  <c r="AZ168" i="5"/>
  <c r="BD25" i="5"/>
  <c r="AZ42" i="5"/>
  <c r="BC65" i="5"/>
  <c r="BC70" i="5"/>
  <c r="AZ92" i="5"/>
  <c r="BB108" i="5"/>
  <c r="BC115" i="5"/>
  <c r="BB157" i="5"/>
  <c r="BC165" i="5"/>
  <c r="BD175" i="5"/>
  <c r="BC147" i="5"/>
  <c r="BB23" i="5"/>
  <c r="BA36" i="5"/>
  <c r="BB40" i="5"/>
  <c r="AZ62" i="5"/>
  <c r="BC68" i="5"/>
  <c r="BC86" i="5"/>
  <c r="AZ122" i="5"/>
  <c r="BD184" i="5"/>
  <c r="AZ186" i="5"/>
  <c r="AZ194" i="5"/>
  <c r="BC15" i="5"/>
  <c r="BC19" i="5"/>
  <c r="BC23" i="5"/>
  <c r="BA27" i="5"/>
  <c r="BD35" i="5"/>
  <c r="BA42" i="5"/>
  <c r="BC59" i="5"/>
  <c r="BD63" i="5"/>
  <c r="BB76" i="5"/>
  <c r="AZ90" i="5"/>
  <c r="BC98" i="5"/>
  <c r="BD104" i="5"/>
  <c r="BC120" i="5"/>
  <c r="BA128" i="5"/>
  <c r="BC141" i="5"/>
  <c r="BA150" i="5"/>
  <c r="AZ164" i="5"/>
  <c r="AZ167" i="5"/>
  <c r="BB175" i="5"/>
  <c r="BD92" i="5"/>
  <c r="BB161" i="5"/>
  <c r="BD47" i="5"/>
  <c r="BC52" i="5"/>
  <c r="BB58" i="5"/>
  <c r="BD61" i="5"/>
  <c r="AZ67" i="5"/>
  <c r="BA71" i="5"/>
  <c r="AZ76" i="5"/>
  <c r="BC84" i="5"/>
  <c r="BA90" i="5"/>
  <c r="BB104" i="5"/>
  <c r="BC111" i="5"/>
  <c r="BB119" i="5"/>
  <c r="BA131" i="5"/>
  <c r="BB137" i="5"/>
  <c r="BD141" i="5"/>
  <c r="BB158" i="5"/>
  <c r="BD166" i="5"/>
  <c r="BB178" i="5"/>
  <c r="BJ35" i="5"/>
  <c r="BQ12" i="5"/>
  <c r="BU59" i="5"/>
  <c r="BN36" i="5"/>
  <c r="BO36" i="5"/>
  <c r="BR27" i="5"/>
  <c r="BN39" i="5"/>
  <c r="BC7" i="5"/>
  <c r="BC11" i="5"/>
  <c r="BS27" i="5"/>
  <c r="BA45" i="5"/>
  <c r="BG30" i="5"/>
  <c r="AZ6" i="5"/>
  <c r="BL7" i="5"/>
  <c r="AZ8" i="5"/>
  <c r="AZ12" i="5"/>
  <c r="AZ16" i="5"/>
  <c r="AZ20" i="5"/>
  <c r="BF23" i="5"/>
  <c r="BB31" i="5"/>
  <c r="BF54" i="5"/>
  <c r="BN26" i="5"/>
  <c r="BK29" i="5"/>
  <c r="BS31" i="5"/>
  <c r="BU9" i="5"/>
  <c r="BA10" i="5"/>
  <c r="BM11" i="5"/>
  <c r="BE13" i="5"/>
  <c r="BU17" i="5"/>
  <c r="BA18" i="5"/>
  <c r="BM19" i="5"/>
  <c r="BE21" i="5"/>
  <c r="BJ29" i="5"/>
  <c r="BF9" i="5"/>
  <c r="BB10" i="5"/>
  <c r="BN11" i="5"/>
  <c r="BF17" i="5"/>
  <c r="BB18" i="5"/>
  <c r="BN19" i="5"/>
  <c r="BB25" i="5"/>
  <c r="BB49" i="5"/>
  <c r="BB37" i="5"/>
  <c r="BC37" i="5"/>
  <c r="AZ25" i="5"/>
  <c r="AZ29" i="5"/>
  <c r="AZ33" i="5"/>
  <c r="AZ37" i="5"/>
  <c r="BB44" i="5"/>
  <c r="BB53" i="5"/>
  <c r="BA63" i="5"/>
  <c r="BB63" i="5"/>
  <c r="BC72" i="5"/>
  <c r="BA49" i="5"/>
  <c r="BB55" i="5"/>
  <c r="BA76" i="5"/>
  <c r="BA61" i="5"/>
  <c r="BB57" i="5"/>
  <c r="BB61" i="5"/>
  <c r="BB75" i="5"/>
  <c r="BA86" i="5"/>
  <c r="BB98" i="5"/>
  <c r="BB81" i="5"/>
  <c r="BB87" i="5"/>
  <c r="BB79" i="5"/>
  <c r="BA96" i="5"/>
  <c r="BD80" i="5"/>
  <c r="BB94" i="5"/>
  <c r="BB100" i="5"/>
  <c r="BC97" i="5"/>
  <c r="BC130" i="5"/>
  <c r="BA98" i="5"/>
  <c r="AZ112" i="5"/>
  <c r="BC135" i="5"/>
  <c r="BD109" i="5"/>
  <c r="BB114" i="5"/>
  <c r="BA118" i="5"/>
  <c r="BD113" i="5"/>
  <c r="BD117" i="5"/>
  <c r="BA119" i="5"/>
  <c r="BC138" i="5"/>
  <c r="BC121" i="5"/>
  <c r="BC131" i="5"/>
  <c r="BC154" i="5"/>
  <c r="BA147" i="5"/>
  <c r="BD126" i="5"/>
  <c r="BD130" i="5"/>
  <c r="BD134" i="5"/>
  <c r="BA145" i="5"/>
  <c r="BB152" i="5"/>
  <c r="BB145" i="5"/>
  <c r="BC153" i="5"/>
  <c r="AZ150" i="5"/>
  <c r="AZ154" i="5"/>
  <c r="BC157" i="5"/>
  <c r="BD161" i="5"/>
  <c r="AZ162" i="5"/>
  <c r="BC159" i="5"/>
  <c r="BC170" i="5"/>
  <c r="BA113" i="5"/>
  <c r="AZ134" i="5"/>
  <c r="BD77" i="5"/>
  <c r="AZ47" i="5"/>
  <c r="BA157" i="5"/>
  <c r="AZ41" i="5"/>
  <c r="BA153" i="5"/>
  <c r="AZ68" i="5"/>
  <c r="BA162" i="5"/>
  <c r="BA180" i="5"/>
  <c r="BD189" i="5"/>
  <c r="BA30" i="5"/>
  <c r="AZ43" i="5"/>
  <c r="AZ80" i="5"/>
  <c r="AZ23" i="5"/>
  <c r="BA28" i="5"/>
  <c r="BA21" i="5"/>
  <c r="BC43" i="5"/>
  <c r="BC80" i="5"/>
  <c r="BD96" i="5"/>
  <c r="AZ100" i="5"/>
  <c r="AZ124" i="5"/>
  <c r="BC144" i="5"/>
  <c r="BC171" i="5"/>
  <c r="BC184" i="5"/>
  <c r="AZ192" i="5"/>
  <c r="AZ83" i="5"/>
  <c r="BA148" i="5"/>
  <c r="BC8" i="5"/>
  <c r="BD37" i="5"/>
  <c r="AZ48" i="5"/>
  <c r="BC63" i="5"/>
  <c r="AZ73" i="5"/>
  <c r="BD99" i="5"/>
  <c r="BC113" i="5"/>
  <c r="AZ147" i="5"/>
  <c r="BB154" i="5"/>
  <c r="BA160" i="5"/>
  <c r="BA192" i="5"/>
  <c r="BD55" i="5"/>
  <c r="AZ60" i="5"/>
  <c r="BD64" i="5"/>
  <c r="BC73" i="5"/>
  <c r="AZ82" i="5"/>
  <c r="BD86" i="5"/>
  <c r="BC90" i="5"/>
  <c r="BA126" i="5"/>
  <c r="BC137" i="5"/>
  <c r="BA158" i="5"/>
  <c r="BA161" i="5"/>
  <c r="BC164" i="5"/>
  <c r="BA178" i="5"/>
  <c r="BA184" i="5"/>
  <c r="BB194" i="5"/>
  <c r="BD84" i="5"/>
  <c r="BC103" i="5"/>
  <c r="BD23" i="5"/>
  <c r="BC50" i="5"/>
  <c r="BD53" i="5"/>
  <c r="BB56" i="5"/>
  <c r="BD59" i="5"/>
  <c r="BD62" i="5"/>
  <c r="BD72" i="5"/>
  <c r="AZ85" i="5"/>
  <c r="AZ101" i="5"/>
  <c r="BB107" i="5"/>
  <c r="BD112" i="5"/>
  <c r="BD137" i="5"/>
  <c r="BB155" i="5"/>
  <c r="BC172" i="5"/>
  <c r="BB184" i="5"/>
  <c r="BI41" i="5"/>
  <c r="BK39" i="5"/>
  <c r="BK7" i="5"/>
  <c r="BC47" i="5"/>
  <c r="BT7" i="5"/>
  <c r="BD11" i="5"/>
  <c r="BD15" i="5"/>
  <c r="BD19" i="5"/>
  <c r="BE7" i="5"/>
  <c r="BU11" i="5"/>
  <c r="BA12" i="5"/>
  <c r="BM13" i="5"/>
  <c r="BE15" i="5"/>
  <c r="BU19" i="5"/>
  <c r="BA20" i="5"/>
  <c r="BM21" i="5"/>
  <c r="BC31" i="5"/>
  <c r="BF7" i="5"/>
  <c r="BB8" i="5"/>
  <c r="BN9" i="5"/>
  <c r="BF15" i="5"/>
  <c r="BB16" i="5"/>
  <c r="BN17" i="5"/>
  <c r="BB29" i="5"/>
  <c r="BB42" i="5"/>
  <c r="BU55" i="5"/>
  <c r="BF38" i="5"/>
  <c r="BB33" i="5"/>
  <c r="BN23" i="5"/>
  <c r="BD26" i="5"/>
  <c r="BD30" i="5"/>
  <c r="BD34" i="5"/>
  <c r="BD38" i="5"/>
  <c r="BC49" i="5"/>
  <c r="BA51" i="5"/>
  <c r="BA67" i="5"/>
  <c r="BB67" i="5"/>
  <c r="BB77" i="5"/>
  <c r="BA74" i="5"/>
  <c r="BB83" i="5"/>
  <c r="BA80" i="5"/>
  <c r="BA78" i="5"/>
  <c r="BA92" i="5"/>
  <c r="AZ77" i="5"/>
  <c r="AZ81" i="5"/>
  <c r="BB92" i="5"/>
  <c r="BB102" i="5"/>
  <c r="BC91" i="5"/>
  <c r="BC99" i="5"/>
  <c r="BD107" i="5"/>
  <c r="BC129" i="5"/>
  <c r="AZ104" i="5"/>
  <c r="BA100" i="5"/>
  <c r="BD111" i="5"/>
  <c r="BD105" i="5"/>
  <c r="AZ106" i="5"/>
  <c r="BB116" i="5"/>
  <c r="AZ123" i="5"/>
  <c r="AZ114" i="5"/>
  <c r="AZ118" i="5"/>
  <c r="BD124" i="5"/>
  <c r="AZ59" i="5"/>
  <c r="AZ170" i="5"/>
  <c r="AZ117" i="5"/>
  <c r="BA64" i="5"/>
  <c r="BB179" i="5"/>
  <c r="BD44" i="5"/>
  <c r="BC176" i="5"/>
  <c r="BC56" i="5"/>
  <c r="BD101" i="5"/>
  <c r="BB121" i="5"/>
  <c r="AZ166" i="5"/>
  <c r="BD31" i="5"/>
  <c r="BD73" i="5"/>
  <c r="BA88" i="5"/>
  <c r="BA38" i="5"/>
  <c r="AZ46" i="5"/>
  <c r="BA53" i="5"/>
  <c r="BD67" i="5"/>
  <c r="BC74" i="5"/>
  <c r="BD88" i="5"/>
  <c r="BD106" i="5"/>
  <c r="BA134" i="5"/>
  <c r="BC146" i="5"/>
  <c r="BA154" i="5"/>
  <c r="BD185" i="5"/>
  <c r="AZ88" i="5"/>
  <c r="BD39" i="5"/>
  <c r="AZ50" i="5"/>
  <c r="AZ128" i="5"/>
  <c r="AZ142" i="5"/>
  <c r="BA188" i="5"/>
  <c r="BC193" i="5"/>
  <c r="BA189" i="5"/>
  <c r="BC25" i="5"/>
  <c r="AZ179" i="5"/>
  <c r="BC16" i="5"/>
  <c r="AZ181" i="5"/>
  <c r="BC92" i="5"/>
  <c r="BM23" i="5"/>
  <c r="AZ72" i="5"/>
  <c r="BC168" i="5"/>
  <c r="AZ91" i="5"/>
  <c r="BA13" i="5"/>
  <c r="BD16" i="5"/>
  <c r="BD143" i="5"/>
  <c r="AZ143" i="5"/>
  <c r="BA29" i="5"/>
  <c r="BD43" i="5"/>
  <c r="BC104" i="5"/>
  <c r="BA31" i="5"/>
  <c r="BD94" i="5"/>
  <c r="AZ98" i="5"/>
  <c r="BA122" i="5"/>
  <c r="BC166" i="5"/>
  <c r="BD187" i="5"/>
  <c r="BC48" i="5"/>
  <c r="BD57" i="5"/>
  <c r="BC64" i="5"/>
  <c r="AZ71" i="5"/>
  <c r="BC78" i="5"/>
  <c r="BB101" i="5"/>
  <c r="AZ140" i="5"/>
  <c r="AZ153" i="5"/>
  <c r="BB176" i="5"/>
  <c r="BG41" i="5"/>
  <c r="BC28" i="5"/>
  <c r="BC33" i="5"/>
  <c r="BD13" i="5"/>
  <c r="BD21" i="5"/>
  <c r="BM7" i="5"/>
  <c r="BE9" i="5"/>
  <c r="BM15" i="5"/>
  <c r="BE17" i="5"/>
  <c r="BN15" i="5"/>
  <c r="BB20" i="5"/>
  <c r="BN21" i="5"/>
  <c r="BD28" i="5"/>
  <c r="BD36" i="5"/>
  <c r="BA65" i="5"/>
  <c r="BA47" i="5"/>
  <c r="BA111" i="5"/>
  <c r="AZ110" i="5"/>
  <c r="BD78" i="5"/>
  <c r="BC93" i="5"/>
  <c r="BA105" i="5"/>
  <c r="BA124" i="5"/>
  <c r="BC136" i="5"/>
  <c r="BA107" i="5"/>
  <c r="AZ119" i="5"/>
  <c r="AZ129" i="5"/>
  <c r="AZ135" i="5"/>
  <c r="BC142" i="5"/>
  <c r="BB150" i="5"/>
  <c r="BB143" i="5"/>
  <c r="BC150" i="5"/>
  <c r="AZ152" i="5"/>
  <c r="BD156" i="5"/>
  <c r="BA164" i="5"/>
  <c r="BB164" i="5"/>
  <c r="BD163" i="5"/>
  <c r="BA167" i="5"/>
  <c r="BB165" i="5"/>
  <c r="BA172" i="5"/>
  <c r="BA171" i="5"/>
  <c r="BB167" i="5"/>
  <c r="BB189" i="5"/>
  <c r="BD183" i="5"/>
  <c r="BD181" i="5"/>
  <c r="BC192" i="5"/>
  <c r="AZ187" i="5"/>
  <c r="AZ191" i="5"/>
  <c r="AZ195" i="5"/>
  <c r="BD83" i="5"/>
  <c r="BB180" i="5"/>
  <c r="BB13" i="5"/>
  <c r="BB17" i="5"/>
  <c r="BB21" i="5"/>
  <c r="BD91" i="5"/>
  <c r="AZ139" i="5"/>
  <c r="BD195" i="5"/>
  <c r="BB34" i="5"/>
  <c r="AZ56" i="5"/>
  <c r="BC66" i="5"/>
  <c r="AZ107" i="5"/>
  <c r="BC112" i="5"/>
  <c r="BC118" i="5"/>
  <c r="BD138" i="5"/>
  <c r="BD144" i="5"/>
  <c r="BA181" i="5"/>
  <c r="AZ96" i="5"/>
  <c r="AZ34" i="5"/>
  <c r="BD49" i="5"/>
  <c r="BD54" i="5"/>
  <c r="BD81" i="5"/>
  <c r="AZ93" i="5"/>
  <c r="BD97" i="5"/>
  <c r="BA117" i="5"/>
  <c r="BA140" i="5"/>
  <c r="BA193" i="5"/>
  <c r="BF43" i="5"/>
  <c r="BF36" i="5"/>
  <c r="BD7" i="5"/>
  <c r="AZ10" i="5"/>
  <c r="AZ18" i="5"/>
  <c r="BB47" i="5"/>
  <c r="BG38" i="5"/>
  <c r="BA6" i="5"/>
  <c r="BU7" i="5"/>
  <c r="BA8" i="5"/>
  <c r="BM9" i="5"/>
  <c r="BU13" i="5"/>
  <c r="BA14" i="5"/>
  <c r="BU15" i="5"/>
  <c r="BA16" i="5"/>
  <c r="BM17" i="5"/>
  <c r="BU21" i="5"/>
  <c r="BA22" i="5"/>
  <c r="BF13" i="5"/>
  <c r="BB14" i="5"/>
  <c r="BF19" i="5"/>
  <c r="BK42" i="5"/>
  <c r="BC40" i="5"/>
  <c r="AZ31" i="5"/>
  <c r="BB51" i="5"/>
  <c r="BC42" i="5"/>
  <c r="BB65" i="5"/>
  <c r="AZ79" i="5"/>
  <c r="BB96" i="5"/>
  <c r="BB90" i="5"/>
  <c r="BB89" i="5"/>
  <c r="BA132" i="5"/>
  <c r="BA102" i="5"/>
  <c r="AZ108" i="5"/>
  <c r="BB103" i="5"/>
  <c r="BD103" i="5"/>
  <c r="BC134" i="5"/>
  <c r="BB118" i="5"/>
  <c r="BD115" i="5"/>
  <c r="BD119" i="5"/>
  <c r="BD120" i="5"/>
  <c r="BA143" i="5"/>
  <c r="BB139" i="5"/>
  <c r="AZ131" i="5"/>
  <c r="BD136" i="5"/>
  <c r="BA141" i="5"/>
  <c r="BC151" i="5"/>
  <c r="BD153" i="5"/>
  <c r="BD157" i="5"/>
  <c r="BD160" i="5"/>
  <c r="BA169" i="5"/>
  <c r="BC189" i="5"/>
  <c r="BB173" i="5"/>
  <c r="BA166" i="5"/>
  <c r="BA176" i="5"/>
  <c r="AZ175" i="5"/>
  <c r="BA175" i="5"/>
  <c r="BD172" i="5"/>
  <c r="BA174" i="5"/>
  <c r="AZ173" i="5"/>
  <c r="AZ169" i="5"/>
  <c r="AZ184" i="5"/>
  <c r="AZ185" i="5"/>
  <c r="BC190" i="5"/>
  <c r="BB185" i="5"/>
  <c r="BD188" i="5"/>
  <c r="BD192" i="5"/>
  <c r="BA195" i="5"/>
  <c r="BC39" i="5"/>
  <c r="AZ54" i="5"/>
  <c r="AZ64" i="5"/>
  <c r="AZ78" i="5"/>
  <c r="BC174" i="5"/>
  <c r="AZ52" i="5"/>
  <c r="BC57" i="5"/>
  <c r="BA130" i="5"/>
  <c r="BA133" i="5"/>
  <c r="BA163" i="5"/>
  <c r="BB169" i="5"/>
  <c r="BD173" i="5"/>
  <c r="BD89" i="5"/>
  <c r="BC27" i="5"/>
  <c r="BD40" i="5"/>
  <c r="BC46" i="5"/>
  <c r="BD75" i="5"/>
  <c r="BA85" i="5"/>
  <c r="BB93" i="5"/>
  <c r="BC133" i="5"/>
  <c r="BC156" i="5"/>
  <c r="BB163" i="5"/>
  <c r="BH23" i="5"/>
  <c r="BE58" i="5"/>
  <c r="BR31" i="5"/>
  <c r="BM70" i="5"/>
  <c r="BS7" i="5"/>
  <c r="BG25" i="5"/>
  <c r="BF46" i="5"/>
  <c r="BD9" i="5"/>
  <c r="BD17" i="5"/>
  <c r="BN30" i="5"/>
  <c r="BM42" i="5"/>
  <c r="BN7" i="5"/>
  <c r="BB12" i="5"/>
  <c r="BN13" i="5"/>
  <c r="BB39" i="5"/>
  <c r="BC26" i="5"/>
  <c r="BC29" i="5"/>
  <c r="BC35" i="5"/>
  <c r="BB35" i="5"/>
  <c r="BD24" i="5"/>
  <c r="BD32" i="5"/>
  <c r="BC89" i="5"/>
  <c r="BA43" i="5"/>
  <c r="BB69" i="5"/>
  <c r="BB59" i="5"/>
  <c r="BA84" i="5"/>
  <c r="BB85" i="5"/>
  <c r="BA94" i="5"/>
  <c r="BD82" i="5"/>
  <c r="BC85" i="5"/>
  <c r="BC95" i="5"/>
  <c r="BA103" i="5"/>
  <c r="BA109" i="5"/>
  <c r="BA114" i="5"/>
  <c r="BA116" i="5"/>
  <c r="BA106" i="5"/>
  <c r="AZ116" i="5"/>
  <c r="AZ121" i="5"/>
  <c r="AZ125" i="5"/>
  <c r="AZ127" i="5"/>
  <c r="BD132" i="5"/>
  <c r="AZ137" i="5"/>
  <c r="BB147" i="5"/>
  <c r="BC155" i="5"/>
  <c r="AZ148" i="5"/>
  <c r="BD149" i="5"/>
  <c r="AZ156" i="5"/>
  <c r="AZ163" i="5"/>
  <c r="AZ158" i="5"/>
  <c r="BD159" i="5"/>
  <c r="BA165" i="5"/>
  <c r="BA177" i="5"/>
  <c r="BA173" i="5"/>
  <c r="BC186" i="5"/>
  <c r="BD179" i="5"/>
  <c r="AZ180" i="5"/>
  <c r="BC194" i="5"/>
  <c r="AZ189" i="5"/>
  <c r="AZ193" i="5"/>
  <c r="BC195" i="5"/>
  <c r="BD169" i="5"/>
  <c r="BD152" i="5"/>
  <c r="BC38" i="5"/>
  <c r="BC61" i="5"/>
  <c r="BC126" i="5"/>
  <c r="BB160" i="5"/>
  <c r="BB170" i="5"/>
  <c r="BD191" i="5"/>
  <c r="BD51" i="5"/>
  <c r="BB60" i="5"/>
  <c r="AZ145" i="5"/>
  <c r="BD150" i="5"/>
  <c r="BC175" i="5"/>
  <c r="BB181" i="5"/>
  <c r="BP23" i="5"/>
  <c r="BC9" i="5"/>
  <c r="BN40" i="5"/>
  <c r="AZ14" i="5"/>
  <c r="AZ22" i="5"/>
  <c r="BB27" i="5"/>
  <c r="BE11" i="5"/>
  <c r="BE19" i="5"/>
  <c r="BK26" i="5"/>
  <c r="BB6" i="5"/>
  <c r="BF11" i="5"/>
  <c r="BF21" i="5"/>
  <c r="BB22" i="5"/>
  <c r="AZ27" i="5"/>
  <c r="AZ35" i="5"/>
  <c r="BC51" i="5"/>
  <c r="BC53" i="5"/>
  <c r="BB73" i="5"/>
  <c r="BA69" i="5"/>
  <c r="BB71" i="5"/>
  <c r="BA82" i="5"/>
  <c r="BB106" i="5"/>
  <c r="BC87" i="5"/>
  <c r="BC101" i="5"/>
  <c r="BA110" i="5"/>
  <c r="BA108" i="5"/>
  <c r="BA112" i="5"/>
  <c r="BC127" i="5"/>
  <c r="BC123" i="5"/>
  <c r="BD122" i="5"/>
  <c r="BD128" i="5"/>
  <c r="AZ133" i="5"/>
  <c r="BC140" i="5"/>
  <c r="BB141" i="5"/>
  <c r="BC152" i="5"/>
  <c r="BD151" i="5"/>
  <c r="AZ160" i="5"/>
  <c r="BC161" i="5"/>
  <c r="BD155" i="5"/>
  <c r="BC178" i="5"/>
  <c r="BD174" i="5"/>
  <c r="BD170" i="5"/>
  <c r="AZ171" i="5"/>
  <c r="BA170" i="5"/>
  <c r="AZ182" i="5"/>
  <c r="BD176" i="5"/>
  <c r="AZ178" i="5"/>
  <c r="BB177" i="5"/>
  <c r="BC182" i="5"/>
  <c r="BB191" i="5"/>
  <c r="BB187" i="5"/>
  <c r="BB195" i="5"/>
  <c r="BB193" i="5"/>
  <c r="BD186" i="5"/>
  <c r="BD190" i="5"/>
  <c r="BD194" i="5"/>
  <c r="BT17" i="5"/>
  <c r="BT9" i="5"/>
  <c r="BP25" i="5"/>
  <c r="BP59" i="5"/>
  <c r="BP75" i="5"/>
  <c r="BP108" i="5"/>
  <c r="BP122" i="5"/>
  <c r="BP143" i="5"/>
  <c r="BP158" i="5"/>
  <c r="BP193" i="5"/>
  <c r="BH35" i="5"/>
  <c r="BH69" i="5"/>
  <c r="BH85" i="5"/>
  <c r="BH90" i="5"/>
  <c r="BH119" i="5"/>
  <c r="BH130" i="5"/>
  <c r="BH179" i="5"/>
  <c r="BI42" i="5"/>
  <c r="BI65" i="5"/>
  <c r="BI114" i="5"/>
  <c r="BI112" i="5"/>
  <c r="BI143" i="5"/>
  <c r="BI170" i="5"/>
  <c r="BO56" i="5"/>
  <c r="BO89" i="5"/>
  <c r="BO139" i="5"/>
  <c r="BG62" i="5"/>
  <c r="BG75" i="5"/>
  <c r="BR15" i="5"/>
  <c r="BN8" i="5"/>
  <c r="BN109" i="5"/>
  <c r="BN126" i="5"/>
  <c r="BN155" i="5"/>
  <c r="BF53" i="5"/>
  <c r="BF124" i="5"/>
  <c r="BF154" i="5"/>
  <c r="BI17" i="5"/>
  <c r="BE8" i="5"/>
  <c r="BU37" i="5"/>
  <c r="BU73" i="5"/>
  <c r="BU124" i="5"/>
  <c r="BU154" i="5"/>
  <c r="BU185" i="5"/>
  <c r="BM87" i="5"/>
  <c r="BM120" i="5"/>
  <c r="BM157" i="5"/>
  <c r="BM164" i="5"/>
  <c r="BM188" i="5"/>
  <c r="BE28" i="5"/>
  <c r="BE53" i="5"/>
  <c r="BE124" i="5"/>
  <c r="BE151" i="5"/>
  <c r="BQ88" i="5"/>
  <c r="BQ137" i="5"/>
  <c r="BQ156" i="5"/>
  <c r="BL18" i="5"/>
  <c r="BL10" i="5"/>
  <c r="BT112" i="5"/>
  <c r="BT119" i="5"/>
  <c r="BL118" i="5"/>
  <c r="BL150" i="5"/>
  <c r="BJ157" i="5"/>
  <c r="BF24" i="5"/>
  <c r="BS38" i="5"/>
  <c r="BS70" i="5"/>
  <c r="BS91" i="5"/>
  <c r="BS137" i="5"/>
  <c r="BS157" i="5"/>
  <c r="BS179" i="5"/>
  <c r="BS188" i="5"/>
  <c r="BK36" i="5"/>
  <c r="BK73" i="5"/>
  <c r="BK89" i="5"/>
  <c r="BK133" i="5"/>
  <c r="BK135" i="5"/>
  <c r="BK155" i="5"/>
  <c r="BR12" i="5"/>
  <c r="BR49" i="5"/>
  <c r="BR61" i="5"/>
  <c r="BR66" i="5"/>
  <c r="BR98" i="5"/>
  <c r="BR145" i="5"/>
  <c r="BR170" i="5"/>
  <c r="BR189" i="5"/>
  <c r="BE60" i="5"/>
  <c r="BL21" i="5"/>
  <c r="BL13" i="5"/>
  <c r="BP104" i="5"/>
  <c r="BP127" i="5"/>
  <c r="BP148" i="5"/>
  <c r="BP160" i="5"/>
  <c r="BP165" i="5"/>
  <c r="BH55" i="5"/>
  <c r="BH135" i="5"/>
  <c r="BH148" i="5"/>
  <c r="BH154" i="5"/>
  <c r="BH174" i="5"/>
  <c r="BH187" i="5"/>
  <c r="BI47" i="5"/>
  <c r="BI119" i="5"/>
  <c r="BI173" i="5"/>
  <c r="BG22" i="5"/>
  <c r="BG14" i="5"/>
  <c r="BO43" i="5"/>
  <c r="BO114" i="5"/>
  <c r="BO151" i="5"/>
  <c r="BO184" i="5"/>
  <c r="BG46" i="5"/>
  <c r="BG49" i="5"/>
  <c r="BG114" i="5"/>
  <c r="BG153" i="5"/>
  <c r="BG183" i="5"/>
  <c r="BJ6" i="5"/>
  <c r="BN42" i="5"/>
  <c r="BN70" i="5"/>
  <c r="BN90" i="5"/>
  <c r="BN93" i="5"/>
  <c r="BN113" i="5"/>
  <c r="BN112" i="5"/>
  <c r="BN125" i="5"/>
  <c r="BN145" i="5"/>
  <c r="BF48" i="5"/>
  <c r="BF70" i="5"/>
  <c r="BF80" i="5"/>
  <c r="BF91" i="5"/>
  <c r="BP28" i="5"/>
  <c r="BP42" i="5"/>
  <c r="BP62" i="5"/>
  <c r="BP76" i="5"/>
  <c r="BP91" i="5"/>
  <c r="BP138" i="5"/>
  <c r="BP186" i="5"/>
  <c r="BH36" i="5"/>
  <c r="BH52" i="5"/>
  <c r="BH86" i="5"/>
  <c r="BH97" i="5"/>
  <c r="BH146" i="5"/>
  <c r="BH172" i="5"/>
  <c r="BH194" i="5"/>
  <c r="BI25" i="5"/>
  <c r="BI80" i="5"/>
  <c r="BI75" i="5"/>
  <c r="BI133" i="5"/>
  <c r="BI163" i="5"/>
  <c r="BI179" i="5"/>
  <c r="BO18" i="5"/>
  <c r="BO10" i="5"/>
  <c r="BO35" i="5"/>
  <c r="BO74" i="5"/>
  <c r="BO132" i="5"/>
  <c r="BO134" i="5"/>
  <c r="BO156" i="5"/>
  <c r="BO167" i="5"/>
  <c r="BO191" i="5"/>
  <c r="BG33" i="5"/>
  <c r="BG92" i="5"/>
  <c r="BG100" i="5"/>
  <c r="BG124" i="5"/>
  <c r="BG136" i="5"/>
  <c r="BG158" i="5"/>
  <c r="BG185" i="5"/>
  <c r="BG186" i="5"/>
  <c r="BN34" i="5"/>
  <c r="BN31" i="5"/>
  <c r="BN60" i="5"/>
  <c r="BN61" i="5"/>
  <c r="BN85" i="5"/>
  <c r="BN140" i="5"/>
  <c r="BN167" i="5"/>
  <c r="BN178" i="5"/>
  <c r="BF31" i="5"/>
  <c r="BF59" i="5"/>
  <c r="BF85" i="5"/>
  <c r="BF96" i="5"/>
  <c r="BF135" i="5"/>
  <c r="BF165" i="5"/>
  <c r="BF188" i="5"/>
  <c r="BQ16" i="5"/>
  <c r="BM22" i="5"/>
  <c r="BU41" i="5"/>
  <c r="BU108" i="5"/>
  <c r="BU88" i="5"/>
  <c r="BU117" i="5"/>
  <c r="BU141" i="5"/>
  <c r="BU192" i="5"/>
  <c r="BM36" i="5"/>
  <c r="BM60" i="5"/>
  <c r="BM110" i="5"/>
  <c r="BM112" i="5"/>
  <c r="BM170" i="5"/>
  <c r="BE108" i="5"/>
  <c r="BE117" i="5"/>
  <c r="BE110" i="5"/>
  <c r="BE144" i="5"/>
  <c r="BE171" i="5"/>
  <c r="BQ8" i="5"/>
  <c r="BQ29" i="5"/>
  <c r="BQ66" i="5"/>
  <c r="BQ81" i="5"/>
  <c r="BQ105" i="5"/>
  <c r="BQ115" i="5"/>
  <c r="BQ174" i="5"/>
  <c r="BT28" i="5"/>
  <c r="BT46" i="5"/>
  <c r="BT60" i="5"/>
  <c r="BT74" i="5"/>
  <c r="BT103" i="5"/>
  <c r="BT142" i="5"/>
  <c r="BT155" i="5"/>
  <c r="BT173" i="5"/>
  <c r="BT190" i="5"/>
  <c r="BL36" i="5"/>
  <c r="BL52" i="5"/>
  <c r="BL68" i="5"/>
  <c r="BL80" i="5"/>
  <c r="BL93" i="5"/>
  <c r="BL127" i="5"/>
  <c r="BL161" i="5"/>
  <c r="BL183" i="5"/>
  <c r="BJ69" i="5"/>
  <c r="BJ42" i="5"/>
  <c r="BJ87" i="5"/>
  <c r="BJ92" i="5"/>
  <c r="BJ114" i="5"/>
  <c r="BJ107" i="5"/>
  <c r="BJ150" i="5"/>
  <c r="BJ142" i="5"/>
  <c r="BJ176" i="5"/>
  <c r="BJ192" i="5"/>
  <c r="BK20" i="5"/>
  <c r="BK12" i="5"/>
  <c r="BS6" i="5"/>
  <c r="BS103" i="5"/>
  <c r="BS118" i="5"/>
  <c r="BS162" i="5"/>
  <c r="BK58" i="5"/>
  <c r="BK126" i="5"/>
  <c r="BK118" i="5"/>
  <c r="BK154" i="5"/>
  <c r="BK158" i="5"/>
  <c r="BK175" i="5"/>
  <c r="BR182" i="5"/>
  <c r="BP88" i="5"/>
  <c r="BP113" i="5"/>
  <c r="BH58" i="5"/>
  <c r="BH72" i="5"/>
  <c r="BH87" i="5"/>
  <c r="BH151" i="5"/>
  <c r="BH166" i="5"/>
  <c r="BI27" i="5"/>
  <c r="BI92" i="5"/>
  <c r="BI128" i="5"/>
  <c r="BI135" i="5"/>
  <c r="BI149" i="5"/>
  <c r="BI164" i="5"/>
  <c r="BI181" i="5"/>
  <c r="BO58" i="5"/>
  <c r="BO91" i="5"/>
  <c r="BG64" i="5"/>
  <c r="BG125" i="5"/>
  <c r="BG138" i="5"/>
  <c r="BJ15" i="5"/>
  <c r="BF8" i="5"/>
  <c r="BN87" i="5"/>
  <c r="BN128" i="5"/>
  <c r="BN157" i="5"/>
  <c r="BN174" i="5"/>
  <c r="BT21" i="5"/>
  <c r="BT13" i="5"/>
  <c r="BP102" i="5"/>
  <c r="BP118" i="5"/>
  <c r="BP156" i="5"/>
  <c r="BP169" i="5"/>
  <c r="BH121" i="5"/>
  <c r="BH133" i="5"/>
  <c r="BH152" i="5"/>
  <c r="BI58" i="5"/>
  <c r="BI91" i="5"/>
  <c r="BI110" i="5"/>
  <c r="BI165" i="5"/>
  <c r="BO71" i="5"/>
  <c r="BO115" i="5"/>
  <c r="BO161" i="5"/>
  <c r="BG115" i="5"/>
  <c r="BG163" i="5"/>
  <c r="BF6" i="5"/>
  <c r="BN103" i="5"/>
  <c r="BN105" i="5"/>
  <c r="BN158" i="5"/>
  <c r="BF109" i="5"/>
  <c r="BF156" i="5"/>
  <c r="BF177" i="5"/>
  <c r="BU20" i="5"/>
  <c r="BM6" i="5"/>
  <c r="BU81" i="5"/>
  <c r="BU119" i="5"/>
  <c r="BU187" i="5"/>
  <c r="BM35" i="5"/>
  <c r="BM43" i="5"/>
  <c r="BM100" i="5"/>
  <c r="BM136" i="5"/>
  <c r="BM152" i="5"/>
  <c r="BM182" i="5"/>
  <c r="BE31" i="5"/>
  <c r="BE81" i="5"/>
  <c r="BE91" i="5"/>
  <c r="BE164" i="5"/>
  <c r="BE182" i="5"/>
  <c r="BQ42" i="5"/>
  <c r="BQ80" i="5"/>
  <c r="BQ121" i="5"/>
  <c r="BQ162" i="5"/>
  <c r="BP15" i="5"/>
  <c r="BT27" i="5"/>
  <c r="BT43" i="5"/>
  <c r="BT61" i="5"/>
  <c r="BT75" i="5"/>
  <c r="BT88" i="5"/>
  <c r="BT185" i="5"/>
  <c r="BL35" i="5"/>
  <c r="BL49" i="5"/>
  <c r="BL69" i="5"/>
  <c r="BL83" i="5"/>
  <c r="BL96" i="5"/>
  <c r="BL143" i="5"/>
  <c r="BL163" i="5"/>
  <c r="BL193" i="5"/>
  <c r="BJ123" i="5"/>
  <c r="BJ177" i="5"/>
  <c r="BS46" i="5"/>
  <c r="BS93" i="5"/>
  <c r="BS87" i="5"/>
  <c r="BS113" i="5"/>
  <c r="BS151" i="5"/>
  <c r="BS182" i="5"/>
  <c r="BS194" i="5"/>
  <c r="BK44" i="5"/>
  <c r="BK87" i="5"/>
  <c r="BK115" i="5"/>
  <c r="BK194" i="5"/>
  <c r="BR32" i="5"/>
  <c r="BR48" i="5"/>
  <c r="BR87" i="5"/>
  <c r="BR74" i="5"/>
  <c r="BR95" i="5"/>
  <c r="BR115" i="5"/>
  <c r="BR130" i="5"/>
  <c r="BR146" i="5"/>
  <c r="BR167" i="5"/>
  <c r="BI22" i="5"/>
  <c r="BG26" i="5"/>
  <c r="BL17" i="5"/>
  <c r="BP45" i="5"/>
  <c r="BP111" i="5"/>
  <c r="BP176" i="5"/>
  <c r="BH149" i="5"/>
  <c r="BH164" i="5"/>
  <c r="BI30" i="5"/>
  <c r="BI78" i="5"/>
  <c r="BI139" i="5"/>
  <c r="BI150" i="5"/>
  <c r="BI194" i="5"/>
  <c r="BO22" i="5"/>
  <c r="BO14" i="5"/>
  <c r="BO39" i="5"/>
  <c r="BO72" i="5"/>
  <c r="BO90" i="5"/>
  <c r="BO119" i="5"/>
  <c r="BO112" i="5"/>
  <c r="BO150" i="5"/>
  <c r="BO180" i="5"/>
  <c r="BO195" i="5"/>
  <c r="BG47" i="5"/>
  <c r="BG71" i="5"/>
  <c r="BG88" i="5"/>
  <c r="BG101" i="5"/>
  <c r="BG112" i="5"/>
  <c r="BG152" i="5"/>
  <c r="BG187" i="5"/>
  <c r="BG195" i="5"/>
  <c r="BF22" i="5"/>
  <c r="BJ13" i="5"/>
  <c r="BN52" i="5"/>
  <c r="BN86" i="5"/>
  <c r="BN110" i="5"/>
  <c r="BN123" i="5"/>
  <c r="BN143" i="5"/>
  <c r="BN190" i="5"/>
  <c r="BN195" i="5"/>
  <c r="BF44" i="5"/>
  <c r="BF72" i="5"/>
  <c r="BF88" i="5"/>
  <c r="BF108" i="5"/>
  <c r="BF149" i="5"/>
  <c r="BF139" i="5"/>
  <c r="BF193" i="5"/>
  <c r="BR35" i="5"/>
  <c r="BQ15" i="5"/>
  <c r="BU30" i="5"/>
  <c r="BU46" i="5"/>
  <c r="BU80" i="5"/>
  <c r="BU106" i="5"/>
  <c r="BU140" i="5"/>
  <c r="BU165" i="5"/>
  <c r="BU174" i="5"/>
  <c r="BM46" i="5"/>
  <c r="BM78" i="5"/>
  <c r="BE94" i="5"/>
  <c r="BQ67" i="5"/>
  <c r="BQ157" i="5"/>
  <c r="BT135" i="5"/>
  <c r="BL132" i="5"/>
  <c r="BJ34" i="5"/>
  <c r="BJ97" i="5"/>
  <c r="BJ153" i="5"/>
  <c r="BS122" i="5"/>
  <c r="BK139" i="5"/>
  <c r="BK176" i="5"/>
  <c r="BR133" i="5"/>
  <c r="BP162" i="5"/>
  <c r="BP188" i="5"/>
  <c r="BH38" i="5"/>
  <c r="BH54" i="5"/>
  <c r="BH99" i="5"/>
  <c r="BH105" i="5"/>
  <c r="BJ18" i="5"/>
  <c r="BI44" i="5"/>
  <c r="BG10" i="5"/>
  <c r="BO37" i="5"/>
  <c r="BO153" i="5"/>
  <c r="BO163" i="5"/>
  <c r="BG57" i="5"/>
  <c r="BG77" i="5"/>
  <c r="BG103" i="5"/>
  <c r="BG117" i="5"/>
  <c r="BG164" i="5"/>
  <c r="BN63" i="5"/>
  <c r="BN179" i="5"/>
  <c r="BF61" i="5"/>
  <c r="BF158" i="5"/>
  <c r="BI15" i="5"/>
  <c r="BE6" i="5"/>
  <c r="BU85" i="5"/>
  <c r="BU129" i="5"/>
  <c r="BU125" i="5"/>
  <c r="BU133" i="5"/>
  <c r="BU157" i="5"/>
  <c r="BU189" i="5"/>
  <c r="BM37" i="5"/>
  <c r="BM45" i="5"/>
  <c r="BM93" i="5"/>
  <c r="BM190" i="5"/>
  <c r="BE71" i="5"/>
  <c r="BE76" i="5"/>
  <c r="BE150" i="5"/>
  <c r="BE184" i="5"/>
  <c r="BQ26" i="5"/>
  <c r="BQ160" i="5"/>
  <c r="BQ186" i="5"/>
  <c r="BT20" i="5"/>
  <c r="BT12" i="5"/>
  <c r="BT114" i="5"/>
  <c r="BT175" i="5"/>
  <c r="BL55" i="5"/>
  <c r="BL152" i="5"/>
  <c r="BL165" i="5"/>
  <c r="BJ104" i="5"/>
  <c r="BJ159" i="5"/>
  <c r="BO15" i="5"/>
  <c r="BS56" i="5"/>
  <c r="BS139" i="5"/>
  <c r="BS169" i="5"/>
  <c r="BK60" i="5"/>
  <c r="BK160" i="5"/>
  <c r="BR119" i="5"/>
  <c r="BR135" i="5"/>
  <c r="BR155" i="5"/>
  <c r="BP190" i="5"/>
  <c r="BH39" i="5"/>
  <c r="BH41" i="5"/>
  <c r="BH101" i="5"/>
  <c r="BH176" i="5"/>
  <c r="BI34" i="5"/>
  <c r="BI46" i="5"/>
  <c r="BI154" i="5"/>
  <c r="BI189" i="5"/>
  <c r="BO42" i="5"/>
  <c r="BO59" i="5"/>
  <c r="BO79" i="5"/>
  <c r="BO171" i="5"/>
  <c r="BE61" i="5"/>
  <c r="BQ61" i="5"/>
  <c r="BQ98" i="5"/>
  <c r="BT117" i="5"/>
  <c r="BL122" i="5"/>
  <c r="BJ86" i="5"/>
  <c r="BJ134" i="5"/>
  <c r="BJ189" i="5"/>
  <c r="BG9" i="5"/>
  <c r="BS138" i="5"/>
  <c r="BK59" i="5"/>
  <c r="BK170" i="5"/>
  <c r="BR108" i="5"/>
  <c r="BR162" i="5"/>
  <c r="BP145" i="5"/>
  <c r="BH71" i="5"/>
  <c r="BH181" i="5"/>
  <c r="BI32" i="5"/>
  <c r="BI77" i="5"/>
  <c r="BI93" i="5"/>
  <c r="BG18" i="5"/>
  <c r="BO54" i="5"/>
  <c r="BO124" i="5"/>
  <c r="BO120" i="5"/>
  <c r="BG35" i="5"/>
  <c r="BK33" i="5"/>
  <c r="BN10" i="5"/>
  <c r="BN62" i="5"/>
  <c r="BN115" i="5"/>
  <c r="BN160" i="5"/>
  <c r="BF62" i="5"/>
  <c r="BF113" i="5"/>
  <c r="BF110" i="5"/>
  <c r="BF121" i="5"/>
  <c r="BF141" i="5"/>
  <c r="BF186" i="5"/>
  <c r="BF195" i="5"/>
  <c r="BG34" i="5"/>
  <c r="BM20" i="5"/>
  <c r="BU32" i="5"/>
  <c r="BU48" i="5"/>
  <c r="BU82" i="5"/>
  <c r="BU173" i="5"/>
  <c r="BM48" i="5"/>
  <c r="BM113" i="5"/>
  <c r="BM99" i="5"/>
  <c r="BM122" i="5"/>
  <c r="BM141" i="5"/>
  <c r="BM168" i="5"/>
  <c r="BM173" i="5"/>
  <c r="BE30" i="5"/>
  <c r="BE62" i="5"/>
  <c r="BE96" i="5"/>
  <c r="BE116" i="5"/>
  <c r="BE146" i="5"/>
  <c r="BE170" i="5"/>
  <c r="BQ31" i="5"/>
  <c r="BQ55" i="5"/>
  <c r="BQ68" i="5"/>
  <c r="BQ83" i="5"/>
  <c r="BQ110" i="5"/>
  <c r="BQ117" i="5"/>
  <c r="BQ141" i="5"/>
  <c r="BQ176" i="5"/>
  <c r="BT30" i="5"/>
  <c r="BT48" i="5"/>
  <c r="BT62" i="5"/>
  <c r="BT76" i="5"/>
  <c r="BT111" i="5"/>
  <c r="BT121" i="5"/>
  <c r="BT144" i="5"/>
  <c r="BT159" i="5"/>
  <c r="BT192" i="5"/>
  <c r="BL38" i="5"/>
  <c r="BL70" i="5"/>
  <c r="BL82" i="5"/>
  <c r="BL95" i="5"/>
  <c r="BL120" i="5"/>
  <c r="BL129" i="5"/>
  <c r="BL178" i="5"/>
  <c r="BJ43" i="5"/>
  <c r="BJ55" i="5"/>
  <c r="BJ79" i="5"/>
  <c r="BJ90" i="5"/>
  <c r="BJ109" i="5"/>
  <c r="BJ120" i="5"/>
  <c r="BJ144" i="5"/>
  <c r="BJ191" i="5"/>
  <c r="BJ194" i="5"/>
  <c r="BO23" i="5"/>
  <c r="BK6" i="5"/>
  <c r="BS48" i="5"/>
  <c r="BS89" i="5"/>
  <c r="BS132" i="5"/>
  <c r="BS115" i="5"/>
  <c r="BS150" i="5"/>
  <c r="BS189" i="5"/>
  <c r="BK71" i="5"/>
  <c r="BK46" i="5"/>
  <c r="BK91" i="5"/>
  <c r="BK122" i="5"/>
  <c r="BK120" i="5"/>
  <c r="BK117" i="5"/>
  <c r="BK140" i="5"/>
  <c r="BK177" i="5"/>
  <c r="BR40" i="5"/>
  <c r="BR65" i="5"/>
  <c r="BR72" i="5"/>
  <c r="BR68" i="5"/>
  <c r="BR90" i="5"/>
  <c r="BR147" i="5"/>
  <c r="BR172" i="5"/>
  <c r="BR186" i="5"/>
  <c r="BP150" i="5"/>
  <c r="BP167" i="5"/>
  <c r="BH57" i="5"/>
  <c r="BH73" i="5"/>
  <c r="BH107" i="5"/>
  <c r="BH137" i="5"/>
  <c r="BH155" i="5"/>
  <c r="BH157" i="5"/>
  <c r="BH189" i="5"/>
  <c r="BI49" i="5"/>
  <c r="BI71" i="5"/>
  <c r="BI104" i="5"/>
  <c r="BI106" i="5"/>
  <c r="BI121" i="5"/>
  <c r="BI140" i="5"/>
  <c r="BI172" i="5"/>
  <c r="BS21" i="5"/>
  <c r="BS13" i="5"/>
  <c r="BO45" i="5"/>
  <c r="BO94" i="5"/>
  <c r="BO126" i="5"/>
  <c r="BO116" i="5"/>
  <c r="BO149" i="5"/>
  <c r="BO182" i="5"/>
  <c r="BG48" i="5"/>
  <c r="BG51" i="5"/>
  <c r="BG120" i="5"/>
  <c r="BG116" i="5"/>
  <c r="BG141" i="5"/>
  <c r="BI18" i="5"/>
  <c r="BF32" i="5"/>
  <c r="BN12" i="5"/>
  <c r="BN66" i="5"/>
  <c r="BN95" i="5"/>
  <c r="BN97" i="5"/>
  <c r="BN73" i="5"/>
  <c r="BN92" i="5"/>
  <c r="BN114" i="5"/>
  <c r="BN127" i="5"/>
  <c r="BF39" i="5"/>
  <c r="BF56" i="5"/>
  <c r="BF89" i="5"/>
  <c r="BF73" i="5"/>
  <c r="BF115" i="5"/>
  <c r="BF112" i="5"/>
  <c r="BF123" i="5"/>
  <c r="BF143" i="5"/>
  <c r="BF192" i="5"/>
  <c r="BQ10" i="5"/>
  <c r="BM18" i="5"/>
  <c r="BI13" i="5"/>
  <c r="BU34" i="5"/>
  <c r="BU50" i="5"/>
  <c r="BU84" i="5"/>
  <c r="BU135" i="5"/>
  <c r="BU167" i="5"/>
  <c r="BM50" i="5"/>
  <c r="BM172" i="5"/>
  <c r="BE142" i="5"/>
  <c r="BQ111" i="5"/>
  <c r="BT97" i="5"/>
  <c r="BT172" i="5"/>
  <c r="BJ64" i="5"/>
  <c r="BK16" i="5"/>
  <c r="BS61" i="5"/>
  <c r="BL9" i="5"/>
  <c r="BP27" i="5"/>
  <c r="BP47" i="5"/>
  <c r="BP61" i="5"/>
  <c r="BP77" i="5"/>
  <c r="BP124" i="5"/>
  <c r="BH132" i="5"/>
  <c r="BI76" i="5"/>
  <c r="BI126" i="5"/>
  <c r="BI120" i="5"/>
  <c r="BI152" i="5"/>
  <c r="BK27" i="5"/>
  <c r="BO76" i="5"/>
  <c r="BO131" i="5"/>
  <c r="BO117" i="5"/>
  <c r="BO187" i="5"/>
  <c r="BG189" i="5"/>
  <c r="BR17" i="5"/>
  <c r="BN33" i="5"/>
  <c r="BN142" i="5"/>
  <c r="BF33" i="5"/>
  <c r="BF126" i="5"/>
  <c r="BF155" i="5"/>
  <c r="BE22" i="5"/>
  <c r="BU18" i="5"/>
  <c r="BQ13" i="5"/>
  <c r="BU43" i="5"/>
  <c r="BU75" i="5"/>
  <c r="BU89" i="5"/>
  <c r="BU179" i="5"/>
  <c r="BM102" i="5"/>
  <c r="BM138" i="5"/>
  <c r="BM184" i="5"/>
  <c r="BE33" i="5"/>
  <c r="BE85" i="5"/>
  <c r="BE75" i="5"/>
  <c r="BE119" i="5"/>
  <c r="BE126" i="5"/>
  <c r="BE148" i="5"/>
  <c r="BE153" i="5"/>
  <c r="BE190" i="5"/>
  <c r="BQ39" i="5"/>
  <c r="BQ44" i="5"/>
  <c r="BQ78" i="5"/>
  <c r="BQ123" i="5"/>
  <c r="BQ178" i="5"/>
  <c r="BH15" i="5"/>
  <c r="BT29" i="5"/>
  <c r="BT45" i="5"/>
  <c r="BT63" i="5"/>
  <c r="BT77" i="5"/>
  <c r="BT90" i="5"/>
  <c r="BT187" i="5"/>
  <c r="BL37" i="5"/>
  <c r="BL51" i="5"/>
  <c r="BL85" i="5"/>
  <c r="BL98" i="5"/>
  <c r="BL104" i="5"/>
  <c r="BL145" i="5"/>
  <c r="BL185" i="5"/>
  <c r="BL195" i="5"/>
  <c r="BJ125" i="5"/>
  <c r="BJ154" i="5"/>
  <c r="BO19" i="5"/>
  <c r="BS8" i="5"/>
  <c r="BS63" i="5"/>
  <c r="BS90" i="5"/>
  <c r="BK61" i="5"/>
  <c r="BK76" i="5"/>
  <c r="BK90" i="5"/>
  <c r="BK104" i="5"/>
  <c r="BR173" i="5"/>
  <c r="BR184" i="5"/>
  <c r="BH24" i="5"/>
  <c r="BH40" i="5"/>
  <c r="BH60" i="5"/>
  <c r="BH74" i="5"/>
  <c r="BH153" i="5"/>
  <c r="BH168" i="5"/>
  <c r="BI137" i="5"/>
  <c r="BI151" i="5"/>
  <c r="BI183" i="5"/>
  <c r="BO60" i="5"/>
  <c r="BO93" i="5"/>
  <c r="BO121" i="5"/>
  <c r="BO164" i="5"/>
  <c r="BO172" i="5"/>
  <c r="BG66" i="5"/>
  <c r="BG170" i="5"/>
  <c r="BK24" i="5"/>
  <c r="BJ17" i="5"/>
  <c r="BF10" i="5"/>
  <c r="BM114" i="5"/>
  <c r="BE114" i="5"/>
  <c r="BE174" i="5"/>
  <c r="BQ191" i="5"/>
  <c r="BT162" i="5"/>
  <c r="BL181" i="5"/>
  <c r="BJ61" i="5"/>
  <c r="BP30" i="5"/>
  <c r="BP44" i="5"/>
  <c r="BP64" i="5"/>
  <c r="BP78" i="5"/>
  <c r="BP93" i="5"/>
  <c r="BP180" i="5"/>
  <c r="BP195" i="5"/>
  <c r="BH37" i="5"/>
  <c r="BH92" i="5"/>
  <c r="BH125" i="5"/>
  <c r="BI59" i="5"/>
  <c r="BI147" i="5"/>
  <c r="BI187" i="5"/>
  <c r="BO57" i="5"/>
  <c r="BO77" i="5"/>
  <c r="BO160" i="5"/>
  <c r="BO170" i="5"/>
  <c r="BG74" i="5"/>
  <c r="BG121" i="5"/>
  <c r="BG102" i="5"/>
  <c r="BG162" i="5"/>
  <c r="BG181" i="5"/>
  <c r="BU143" i="5"/>
  <c r="BU194" i="5"/>
  <c r="BM80" i="5"/>
  <c r="BE39" i="5"/>
  <c r="BQ89" i="5"/>
  <c r="BQ140" i="5"/>
  <c r="BQ193" i="5"/>
  <c r="BT157" i="5"/>
  <c r="BL54" i="5"/>
  <c r="BJ83" i="5"/>
  <c r="BS42" i="5"/>
  <c r="BS153" i="5"/>
  <c r="BK38" i="5"/>
  <c r="BK190" i="5"/>
  <c r="BR94" i="5"/>
  <c r="BR132" i="5"/>
  <c r="BP184" i="5"/>
  <c r="BH134" i="5"/>
  <c r="BI60" i="5"/>
  <c r="BI113" i="5"/>
  <c r="BO34" i="5"/>
  <c r="BO148" i="5"/>
  <c r="BG76" i="5"/>
  <c r="BG89" i="5"/>
  <c r="BG119" i="5"/>
  <c r="BG188" i="5"/>
  <c r="BN54" i="5"/>
  <c r="BN147" i="5"/>
  <c r="BN162" i="5"/>
  <c r="BN181" i="5"/>
  <c r="BF63" i="5"/>
  <c r="BF128" i="5"/>
  <c r="BF140" i="5"/>
  <c r="BF160" i="5"/>
  <c r="BE20" i="5"/>
  <c r="BU25" i="5"/>
  <c r="BU93" i="5"/>
  <c r="BU92" i="5"/>
  <c r="BU101" i="5"/>
  <c r="BU161" i="5"/>
  <c r="BM139" i="5"/>
  <c r="BM155" i="5"/>
  <c r="BM169" i="5"/>
  <c r="BM187" i="5"/>
  <c r="BE35" i="5"/>
  <c r="BE128" i="5"/>
  <c r="BE163" i="5"/>
  <c r="BE155" i="5"/>
  <c r="BE179" i="5"/>
  <c r="BQ28" i="5"/>
  <c r="BQ72" i="5"/>
  <c r="BQ122" i="5"/>
  <c r="BQ148" i="5"/>
  <c r="BQ188" i="5"/>
  <c r="BP17" i="5"/>
  <c r="BP9" i="5"/>
  <c r="BT31" i="5"/>
  <c r="BT47" i="5"/>
  <c r="BT65" i="5"/>
  <c r="BT79" i="5"/>
  <c r="BT92" i="5"/>
  <c r="BT139" i="5"/>
  <c r="BT189" i="5"/>
  <c r="BL40" i="5"/>
  <c r="BL87" i="5"/>
  <c r="BL100" i="5"/>
  <c r="BL106" i="5"/>
  <c r="BL147" i="5"/>
  <c r="BL169" i="5"/>
  <c r="BJ127" i="5"/>
  <c r="BJ138" i="5"/>
  <c r="BJ156" i="5"/>
  <c r="BG23" i="5"/>
  <c r="BG15" i="5"/>
  <c r="BK8" i="5"/>
  <c r="BS65" i="5"/>
  <c r="BS92" i="5"/>
  <c r="BS106" i="5"/>
  <c r="BS141" i="5"/>
  <c r="BK63" i="5"/>
  <c r="BK92" i="5"/>
  <c r="BK106" i="5"/>
  <c r="BK163" i="5"/>
  <c r="BR54" i="5"/>
  <c r="BR121" i="5"/>
  <c r="BP34" i="5"/>
  <c r="BP48" i="5"/>
  <c r="BP68" i="5"/>
  <c r="BP82" i="5"/>
  <c r="BP97" i="5"/>
  <c r="BP142" i="5"/>
  <c r="BP192" i="5"/>
  <c r="BH43" i="5"/>
  <c r="BH103" i="5"/>
  <c r="BH109" i="5"/>
  <c r="BI97" i="5"/>
  <c r="BI153" i="5"/>
  <c r="BI185" i="5"/>
  <c r="BO44" i="5"/>
  <c r="BO81" i="5"/>
  <c r="BO166" i="5"/>
  <c r="BO173" i="5"/>
  <c r="BG53" i="5"/>
  <c r="BG81" i="5"/>
  <c r="BG127" i="5"/>
  <c r="BG168" i="5"/>
  <c r="BG173" i="5"/>
  <c r="BF12" i="5"/>
  <c r="BN107" i="5"/>
  <c r="BN132" i="5"/>
  <c r="BN161" i="5"/>
  <c r="BF130" i="5"/>
  <c r="BF159" i="5"/>
  <c r="BF172" i="5"/>
  <c r="BM16" i="5"/>
  <c r="BI11" i="5"/>
  <c r="BU27" i="5"/>
  <c r="BU79" i="5"/>
  <c r="BU127" i="5"/>
  <c r="BU170" i="5"/>
  <c r="BU193" i="5"/>
  <c r="BM26" i="5"/>
  <c r="BM49" i="5"/>
  <c r="BM126" i="5"/>
  <c r="BM181" i="5"/>
  <c r="BE83" i="5"/>
  <c r="BE77" i="5"/>
  <c r="BE100" i="5"/>
  <c r="BE125" i="5"/>
  <c r="BE135" i="5"/>
  <c r="BE189" i="5"/>
  <c r="BQ41" i="5"/>
  <c r="BQ48" i="5"/>
  <c r="BQ90" i="5"/>
  <c r="BQ163" i="5"/>
  <c r="BQ182" i="5"/>
  <c r="BH17" i="5"/>
  <c r="BH9" i="5"/>
  <c r="BT33" i="5"/>
  <c r="BT49" i="5"/>
  <c r="BT67" i="5"/>
  <c r="BT81" i="5"/>
  <c r="BT94" i="5"/>
  <c r="BT141" i="5"/>
  <c r="BT164" i="5"/>
  <c r="BT191" i="5"/>
  <c r="BL42" i="5"/>
  <c r="BL102" i="5"/>
  <c r="BL138" i="5"/>
  <c r="BJ54" i="5"/>
  <c r="BN180" i="5"/>
  <c r="BF98" i="5"/>
  <c r="BQ14" i="5"/>
  <c r="BU126" i="5"/>
  <c r="BM63" i="5"/>
  <c r="BM116" i="5"/>
  <c r="BM176" i="5"/>
  <c r="BE99" i="5"/>
  <c r="BT137" i="5"/>
  <c r="BL134" i="5"/>
  <c r="BJ36" i="5"/>
  <c r="BJ99" i="5"/>
  <c r="BR29" i="5"/>
  <c r="BS71" i="5"/>
  <c r="BS123" i="5"/>
  <c r="BS190" i="5"/>
  <c r="BK159" i="5"/>
  <c r="BR50" i="5"/>
  <c r="BR117" i="5"/>
  <c r="BP173" i="5"/>
  <c r="BH114" i="5"/>
  <c r="BI29" i="5"/>
  <c r="BI95" i="5"/>
  <c r="BO41" i="5"/>
  <c r="BG59" i="5"/>
  <c r="BG79" i="5"/>
  <c r="BG156" i="5"/>
  <c r="BG171" i="5"/>
  <c r="BN35" i="5"/>
  <c r="BN117" i="5"/>
  <c r="BF64" i="5"/>
  <c r="BJ33" i="5"/>
  <c r="BU45" i="5"/>
  <c r="BU61" i="5"/>
  <c r="BU103" i="5"/>
  <c r="BU123" i="5"/>
  <c r="BU181" i="5"/>
  <c r="BM40" i="5"/>
  <c r="BM65" i="5"/>
  <c r="BM82" i="5"/>
  <c r="BM109" i="5"/>
  <c r="BM118" i="5"/>
  <c r="BE41" i="5"/>
  <c r="BE46" i="5"/>
  <c r="BE113" i="5"/>
  <c r="BE107" i="5"/>
  <c r="BE101" i="5"/>
  <c r="BE192" i="5"/>
  <c r="BQ33" i="5"/>
  <c r="BQ70" i="5"/>
  <c r="BQ85" i="5"/>
  <c r="BQ114" i="5"/>
  <c r="BQ145" i="5"/>
  <c r="BQ166" i="5"/>
  <c r="BS29" i="5"/>
  <c r="BT101" i="5"/>
  <c r="BT128" i="5"/>
  <c r="BT161" i="5"/>
  <c r="BT179" i="5"/>
  <c r="BL24" i="5"/>
  <c r="BL56" i="5"/>
  <c r="BL136" i="5"/>
  <c r="BL151" i="5"/>
  <c r="BL186" i="5"/>
  <c r="BJ38" i="5"/>
  <c r="BJ98" i="5"/>
  <c r="BJ68" i="5"/>
  <c r="BJ89" i="5"/>
  <c r="BJ101" i="5"/>
  <c r="BJ168" i="5"/>
  <c r="BJ181" i="5"/>
  <c r="BS39" i="5"/>
  <c r="BS75" i="5"/>
  <c r="BS127" i="5"/>
  <c r="BS155" i="5"/>
  <c r="BS168" i="5"/>
  <c r="BS187" i="5"/>
  <c r="BK49" i="5"/>
  <c r="BK75" i="5"/>
  <c r="BK130" i="5"/>
  <c r="BK150" i="5"/>
  <c r="BK166" i="5"/>
  <c r="BK189" i="5"/>
  <c r="BR36" i="5"/>
  <c r="BR52" i="5"/>
  <c r="BR78" i="5"/>
  <c r="BR99" i="5"/>
  <c r="BR134" i="5"/>
  <c r="BR151" i="5"/>
  <c r="BR166" i="5"/>
  <c r="BR193" i="5"/>
  <c r="BH53" i="5"/>
  <c r="BP20" i="5"/>
  <c r="BQ45" i="5"/>
  <c r="BH20" i="5"/>
  <c r="BH12" i="5"/>
  <c r="BP125" i="5"/>
  <c r="BP131" i="5"/>
  <c r="BP152" i="5"/>
  <c r="BP178" i="5"/>
  <c r="BH25" i="5"/>
  <c r="BH59" i="5"/>
  <c r="BH75" i="5"/>
  <c r="BH120" i="5"/>
  <c r="BH139" i="5"/>
  <c r="BH161" i="5"/>
  <c r="BH180" i="5"/>
  <c r="BH191" i="5"/>
  <c r="BI16" i="5"/>
  <c r="BI31" i="5"/>
  <c r="BI61" i="5"/>
  <c r="BI64" i="5"/>
  <c r="BI81" i="5"/>
  <c r="BI115" i="5"/>
  <c r="BI141" i="5"/>
  <c r="BI175" i="5"/>
  <c r="BR33" i="5"/>
  <c r="BK21" i="5"/>
  <c r="BK13" i="5"/>
  <c r="BO47" i="5"/>
  <c r="BO61" i="5"/>
  <c r="BO96" i="5"/>
  <c r="BO133" i="5"/>
  <c r="BO118" i="5"/>
  <c r="BO154" i="5"/>
  <c r="BG39" i="5"/>
  <c r="BG61" i="5"/>
  <c r="BG134" i="5"/>
  <c r="BG118" i="5"/>
  <c r="BG143" i="5"/>
  <c r="BI14" i="5"/>
  <c r="BJ19" i="5"/>
  <c r="BN37" i="5"/>
  <c r="BN64" i="5"/>
  <c r="BN67" i="5"/>
  <c r="BN99" i="5"/>
  <c r="BN146" i="5"/>
  <c r="BN169" i="5"/>
  <c r="BN184" i="5"/>
  <c r="BF37" i="5"/>
  <c r="BF86" i="5"/>
  <c r="BF65" i="5"/>
  <c r="BF95" i="5"/>
  <c r="BF102" i="5"/>
  <c r="BF142" i="5"/>
  <c r="BF182" i="5"/>
  <c r="BI6" i="5"/>
  <c r="BU36" i="5"/>
  <c r="BU52" i="5"/>
  <c r="BU86" i="5"/>
  <c r="BU111" i="5"/>
  <c r="BU137" i="5"/>
  <c r="BU164" i="5"/>
  <c r="BM52" i="5"/>
  <c r="BM111" i="5"/>
  <c r="BM90" i="5"/>
  <c r="BM103" i="5"/>
  <c r="BM145" i="5"/>
  <c r="BM156" i="5"/>
  <c r="BM194" i="5"/>
  <c r="BE34" i="5"/>
  <c r="BE80" i="5"/>
  <c r="BE154" i="5"/>
  <c r="BE173" i="5"/>
  <c r="BR18" i="5"/>
  <c r="BQ51" i="5"/>
  <c r="BQ93" i="5"/>
  <c r="BQ104" i="5"/>
  <c r="BQ127" i="5"/>
  <c r="BQ144" i="5"/>
  <c r="BG28" i="5"/>
  <c r="BT109" i="5"/>
  <c r="BT130" i="5"/>
  <c r="BT149" i="5"/>
  <c r="BL26" i="5"/>
  <c r="BL58" i="5"/>
  <c r="BL105" i="5"/>
  <c r="BL108" i="5"/>
  <c r="BL140" i="5"/>
  <c r="BL153" i="5"/>
  <c r="BL171" i="5"/>
  <c r="BL188" i="5"/>
  <c r="BJ24" i="5"/>
  <c r="BJ48" i="5"/>
  <c r="BJ76" i="5"/>
  <c r="BJ116" i="5"/>
  <c r="BJ113" i="5"/>
  <c r="BJ124" i="5"/>
  <c r="BF87" i="5"/>
  <c r="BF137" i="5"/>
  <c r="BF178" i="5"/>
  <c r="BU66" i="5"/>
  <c r="BU99" i="5"/>
  <c r="BM57" i="5"/>
  <c r="BM154" i="5"/>
  <c r="BE175" i="5"/>
  <c r="BT126" i="5"/>
  <c r="BL149" i="5"/>
  <c r="BJ88" i="5"/>
  <c r="BJ136" i="5"/>
  <c r="BJ179" i="5"/>
  <c r="BS104" i="5"/>
  <c r="BS166" i="5"/>
  <c r="BK137" i="5"/>
  <c r="BR34" i="5"/>
  <c r="BR97" i="5"/>
  <c r="BQ20" i="5"/>
  <c r="BH94" i="5"/>
  <c r="BR14" i="5"/>
  <c r="BI79" i="5"/>
  <c r="BS9" i="5"/>
  <c r="BO78" i="5"/>
  <c r="BG37" i="5"/>
  <c r="BG149" i="5"/>
  <c r="BG166" i="5"/>
  <c r="BR19" i="5"/>
  <c r="BN91" i="5"/>
  <c r="BN159" i="5"/>
  <c r="BF35" i="5"/>
  <c r="BF100" i="5"/>
  <c r="BF157" i="5"/>
  <c r="BF180" i="5"/>
  <c r="BI24" i="5"/>
  <c r="BQ11" i="5"/>
  <c r="BU40" i="5"/>
  <c r="BU87" i="5"/>
  <c r="BM44" i="5"/>
  <c r="BM59" i="5"/>
  <c r="BM125" i="5"/>
  <c r="BM179" i="5"/>
  <c r="BE73" i="5"/>
  <c r="BE98" i="5"/>
  <c r="BE133" i="5"/>
  <c r="BE152" i="5"/>
  <c r="BE177" i="5"/>
  <c r="BE187" i="5"/>
  <c r="BQ46" i="5"/>
  <c r="BQ125" i="5"/>
  <c r="BQ180" i="5"/>
  <c r="BL20" i="5"/>
  <c r="BL12" i="5"/>
  <c r="BP7" i="5"/>
  <c r="BT116" i="5"/>
  <c r="BT163" i="5"/>
  <c r="BL53" i="5"/>
  <c r="BL57" i="5"/>
  <c r="BL71" i="5"/>
  <c r="BL167" i="5"/>
  <c r="BJ108" i="5"/>
  <c r="BJ161" i="5"/>
  <c r="BG19" i="5"/>
  <c r="BO11" i="5"/>
  <c r="BS58" i="5"/>
  <c r="BS130" i="5"/>
  <c r="BK41" i="5"/>
  <c r="BK78" i="5"/>
  <c r="BK162" i="5"/>
  <c r="BR137" i="5"/>
  <c r="BR157" i="5"/>
  <c r="BP147" i="5"/>
  <c r="BP117" i="5"/>
  <c r="BP149" i="5"/>
  <c r="BP164" i="5"/>
  <c r="BF167" i="5"/>
  <c r="BU90" i="5"/>
  <c r="BU156" i="5"/>
  <c r="BM38" i="5"/>
  <c r="BQ47" i="5"/>
  <c r="BQ100" i="5"/>
  <c r="BQ159" i="5"/>
  <c r="BT99" i="5"/>
  <c r="BT176" i="5"/>
  <c r="BJ66" i="5"/>
  <c r="BJ166" i="5"/>
  <c r="BS161" i="5"/>
  <c r="BK119" i="5"/>
  <c r="BK187" i="5"/>
  <c r="BR76" i="5"/>
  <c r="BR149" i="5"/>
  <c r="BH104" i="5"/>
  <c r="BH183" i="5"/>
  <c r="BI62" i="5"/>
  <c r="BI171" i="5"/>
  <c r="BS17" i="5"/>
  <c r="BO103" i="5"/>
  <c r="BO186" i="5"/>
  <c r="BG133" i="5"/>
  <c r="BG131" i="5"/>
  <c r="BJ44" i="5"/>
  <c r="BN65" i="5"/>
  <c r="BN130" i="5"/>
  <c r="BN144" i="5"/>
  <c r="BN188" i="5"/>
  <c r="BN182" i="5"/>
  <c r="BF99" i="5"/>
  <c r="BF169" i="5"/>
  <c r="BU16" i="5"/>
  <c r="BU128" i="5"/>
  <c r="BU145" i="5"/>
  <c r="BU158" i="5"/>
  <c r="BU191" i="5"/>
  <c r="BM24" i="5"/>
  <c r="BM47" i="5"/>
  <c r="BM88" i="5"/>
  <c r="BM101" i="5"/>
  <c r="BM124" i="5"/>
  <c r="BM143" i="5"/>
  <c r="BM165" i="5"/>
  <c r="BM192" i="5"/>
  <c r="BE32" i="5"/>
  <c r="BE64" i="5"/>
  <c r="BE78" i="5"/>
  <c r="BE118" i="5"/>
  <c r="BR22" i="5"/>
  <c r="BQ65" i="5"/>
  <c r="BQ49" i="5"/>
  <c r="BQ107" i="5"/>
  <c r="BQ91" i="5"/>
  <c r="BQ102" i="5"/>
  <c r="BQ142" i="5"/>
  <c r="BQ161" i="5"/>
  <c r="BQ195" i="5"/>
  <c r="BT32" i="5"/>
  <c r="BT50" i="5"/>
  <c r="BT64" i="5"/>
  <c r="BT78" i="5"/>
  <c r="BT105" i="5"/>
  <c r="BT123" i="5"/>
  <c r="BT146" i="5"/>
  <c r="BT177" i="5"/>
  <c r="BT194" i="5"/>
  <c r="BL84" i="5"/>
  <c r="BL97" i="5"/>
  <c r="BL113" i="5"/>
  <c r="BL131" i="5"/>
  <c r="BL154" i="5"/>
  <c r="BL180" i="5"/>
  <c r="BJ47" i="5"/>
  <c r="BJ46" i="5"/>
  <c r="BJ77" i="5"/>
  <c r="BJ74" i="5"/>
  <c r="BJ111" i="5"/>
  <c r="BJ122" i="5"/>
  <c r="BJ146" i="5"/>
  <c r="BJ195" i="5"/>
  <c r="BO40" i="5"/>
  <c r="BS40" i="5"/>
  <c r="BS50" i="5"/>
  <c r="BS88" i="5"/>
  <c r="BS117" i="5"/>
  <c r="BK131" i="5"/>
  <c r="BK186" i="5"/>
  <c r="BR70" i="5"/>
  <c r="BR174" i="5"/>
  <c r="BP31" i="5"/>
  <c r="BP92" i="5"/>
  <c r="BP177" i="5"/>
  <c r="BH62" i="5"/>
  <c r="BH136" i="5"/>
  <c r="BJ8" i="5"/>
  <c r="BI123" i="5"/>
  <c r="BI142" i="5"/>
  <c r="BI191" i="5"/>
  <c r="BF26" i="5"/>
  <c r="BO105" i="5"/>
  <c r="BO135" i="5"/>
  <c r="BO174" i="5"/>
  <c r="BO189" i="5"/>
  <c r="BG142" i="5"/>
  <c r="BG160" i="5"/>
  <c r="BR21" i="5"/>
  <c r="BN14" i="5"/>
  <c r="BN75" i="5"/>
  <c r="BN153" i="5"/>
  <c r="BF58" i="5"/>
  <c r="BF114" i="5"/>
  <c r="BF162" i="5"/>
  <c r="BF194" i="5"/>
  <c r="BU14" i="5"/>
  <c r="BU130" i="5"/>
  <c r="BM25" i="5"/>
  <c r="BM68" i="5"/>
  <c r="BM115" i="5"/>
  <c r="BM159" i="5"/>
  <c r="BM171" i="5"/>
  <c r="BE43" i="5"/>
  <c r="BE48" i="5"/>
  <c r="BE181" i="5"/>
  <c r="BE194" i="5"/>
  <c r="BQ71" i="5"/>
  <c r="BQ128" i="5"/>
  <c r="BQ190" i="5"/>
  <c r="BT52" i="5"/>
  <c r="BT181" i="5"/>
  <c r="BL59" i="5"/>
  <c r="BL133" i="5"/>
  <c r="BJ25" i="5"/>
  <c r="BJ100" i="5"/>
  <c r="BJ158" i="5"/>
  <c r="BJ173" i="5"/>
  <c r="BS18" i="5"/>
  <c r="BG11" i="5"/>
  <c r="BS67" i="5"/>
  <c r="BS94" i="5"/>
  <c r="BS108" i="5"/>
  <c r="BS143" i="5"/>
  <c r="BS171" i="5"/>
  <c r="BK65" i="5"/>
  <c r="BK94" i="5"/>
  <c r="BK108" i="5"/>
  <c r="BK105" i="5"/>
  <c r="BK141" i="5"/>
  <c r="BK164" i="5"/>
  <c r="BR123" i="5"/>
  <c r="BR153" i="5"/>
  <c r="BE74" i="5"/>
  <c r="BP32" i="5"/>
  <c r="BP46" i="5"/>
  <c r="BP66" i="5"/>
  <c r="BP80" i="5"/>
  <c r="BP95" i="5"/>
  <c r="BT23" i="5"/>
  <c r="BP151" i="5"/>
  <c r="BP166" i="5"/>
  <c r="BH28" i="5"/>
  <c r="BH44" i="5"/>
  <c r="BH64" i="5"/>
  <c r="BH78" i="5"/>
  <c r="BH89" i="5"/>
  <c r="BH138" i="5"/>
  <c r="BH163" i="5"/>
  <c r="BH186" i="5"/>
  <c r="BI38" i="5"/>
  <c r="BI50" i="5"/>
  <c r="BI90" i="5"/>
  <c r="BI125" i="5"/>
  <c r="BI178" i="5"/>
  <c r="BO64" i="5"/>
  <c r="BO97" i="5"/>
  <c r="BO107" i="5"/>
  <c r="BO140" i="5"/>
  <c r="BO176" i="5"/>
  <c r="BG70" i="5"/>
  <c r="BG107" i="5"/>
  <c r="BG140" i="5"/>
  <c r="BG144" i="5"/>
  <c r="BG155" i="5"/>
  <c r="BG174" i="5"/>
  <c r="BN16" i="5"/>
  <c r="BR7" i="5"/>
  <c r="BN120" i="5"/>
  <c r="BN134" i="5"/>
  <c r="BF111" i="5"/>
  <c r="BF132" i="5"/>
  <c r="BF161" i="5"/>
  <c r="BF176" i="5"/>
  <c r="BM14" i="5"/>
  <c r="BU29" i="5"/>
  <c r="BU71" i="5"/>
  <c r="BU139" i="5"/>
  <c r="BU149" i="5"/>
  <c r="BU195" i="5"/>
  <c r="BM28" i="5"/>
  <c r="BM51" i="5"/>
  <c r="BM89" i="5"/>
  <c r="BM128" i="5"/>
  <c r="BM147" i="5"/>
  <c r="BM183" i="5"/>
  <c r="BE40" i="5"/>
  <c r="BE102" i="5"/>
  <c r="BE131" i="5"/>
  <c r="BE191" i="5"/>
  <c r="BQ24" i="5"/>
  <c r="BQ50" i="5"/>
  <c r="BQ73" i="5"/>
  <c r="BQ124" i="5"/>
  <c r="BQ129" i="5"/>
  <c r="BQ184" i="5"/>
  <c r="BL22" i="5"/>
  <c r="BL14" i="5"/>
  <c r="BT35" i="5"/>
  <c r="BT51" i="5"/>
  <c r="BT69" i="5"/>
  <c r="BT83" i="5"/>
  <c r="BT96" i="5"/>
  <c r="BT143" i="5"/>
  <c r="BT193" i="5"/>
  <c r="BL44" i="5"/>
  <c r="BL110" i="5"/>
  <c r="BL173" i="5"/>
  <c r="BJ178" i="5"/>
  <c r="BK18" i="5"/>
  <c r="BS10" i="5"/>
  <c r="BS69" i="5"/>
  <c r="BS96" i="5"/>
  <c r="BS110" i="5"/>
  <c r="BS105" i="5"/>
  <c r="BS145" i="5"/>
  <c r="BS163" i="5"/>
  <c r="BS173" i="5"/>
  <c r="BK67" i="5"/>
  <c r="BK96" i="5"/>
  <c r="BK110" i="5"/>
  <c r="BK107" i="5"/>
  <c r="BK143" i="5"/>
  <c r="BR110" i="5"/>
  <c r="BR125" i="5"/>
  <c r="BR154" i="5"/>
  <c r="BR171" i="5"/>
  <c r="BE188" i="5"/>
  <c r="BP38" i="5"/>
  <c r="BP52" i="5"/>
  <c r="BP86" i="5"/>
  <c r="BP101" i="5"/>
  <c r="BP146" i="5"/>
  <c r="BH113" i="5"/>
  <c r="BI52" i="5"/>
  <c r="BI82" i="5"/>
  <c r="BI127" i="5"/>
  <c r="BI180" i="5"/>
  <c r="BO51" i="5"/>
  <c r="BO65" i="5"/>
  <c r="BO100" i="5"/>
  <c r="BO123" i="5"/>
  <c r="BO130" i="5"/>
  <c r="BO143" i="5"/>
  <c r="BO178" i="5"/>
  <c r="BO177" i="5"/>
  <c r="BG50" i="5"/>
  <c r="BG65" i="5"/>
  <c r="BG94" i="5"/>
  <c r="BG130" i="5"/>
  <c r="BG147" i="5"/>
  <c r="BU57" i="5"/>
  <c r="BJ23" i="5"/>
  <c r="BF16" i="5"/>
  <c r="BN48" i="5"/>
  <c r="BN71" i="5"/>
  <c r="BN78" i="5"/>
  <c r="BN89" i="5"/>
  <c r="BN104" i="5"/>
  <c r="BN149" i="5"/>
  <c r="BN164" i="5"/>
  <c r="BN173" i="5"/>
  <c r="BN189" i="5"/>
  <c r="BF52" i="5"/>
  <c r="BF82" i="5"/>
  <c r="BF69" i="5"/>
  <c r="BF101" i="5"/>
  <c r="BF146" i="5"/>
  <c r="BF171" i="5"/>
  <c r="BF187" i="5"/>
  <c r="BK28" i="5"/>
  <c r="BU24" i="5"/>
  <c r="BU67" i="5"/>
  <c r="BU114" i="5"/>
  <c r="BM54" i="5"/>
  <c r="BM95" i="5"/>
  <c r="BM104" i="5"/>
  <c r="BM167" i="5"/>
  <c r="BE44" i="5"/>
  <c r="BE52" i="5"/>
  <c r="BE97" i="5"/>
  <c r="BE88" i="5"/>
  <c r="BE109" i="5"/>
  <c r="BE145" i="5"/>
  <c r="BE158" i="5"/>
  <c r="BJ12" i="5"/>
  <c r="BQ58" i="5"/>
  <c r="BQ96" i="5"/>
  <c r="BQ109" i="5"/>
  <c r="BQ175" i="5"/>
  <c r="BO25" i="5"/>
  <c r="BT54" i="5"/>
  <c r="BT106" i="5"/>
  <c r="BT134" i="5"/>
  <c r="BT153" i="5"/>
  <c r="BT168" i="5"/>
  <c r="BL30" i="5"/>
  <c r="BL46" i="5"/>
  <c r="BL62" i="5"/>
  <c r="BL74" i="5"/>
  <c r="BL107" i="5"/>
  <c r="BL121" i="5"/>
  <c r="BL144" i="5"/>
  <c r="BL162" i="5"/>
  <c r="BL175" i="5"/>
  <c r="BL192" i="5"/>
  <c r="BJ28" i="5"/>
  <c r="BJ52" i="5"/>
  <c r="BJ58" i="5"/>
  <c r="BJ80" i="5"/>
  <c r="BJ91" i="5"/>
  <c r="BJ117" i="5"/>
  <c r="BJ128" i="5"/>
  <c r="BJ164" i="5"/>
  <c r="BG36" i="5"/>
  <c r="BO17" i="5"/>
  <c r="BK10" i="5"/>
  <c r="BS76" i="5"/>
  <c r="BS112" i="5"/>
  <c r="BS107" i="5"/>
  <c r="BS147" i="5"/>
  <c r="BS156" i="5"/>
  <c r="BS175" i="5"/>
  <c r="BK53" i="5"/>
  <c r="BK69" i="5"/>
  <c r="BK112" i="5"/>
  <c r="BK109" i="5"/>
  <c r="BK145" i="5"/>
  <c r="BR106" i="5"/>
  <c r="BP115" i="5"/>
  <c r="BP24" i="5"/>
  <c r="BP58" i="5"/>
  <c r="BP72" i="5"/>
  <c r="BP87" i="5"/>
  <c r="BH32" i="5"/>
  <c r="BH48" i="5"/>
  <c r="BH68" i="5"/>
  <c r="BH82" i="5"/>
  <c r="BH93" i="5"/>
  <c r="BH142" i="5"/>
  <c r="BH190" i="5"/>
  <c r="BI26" i="5"/>
  <c r="BS119" i="5"/>
  <c r="BS185" i="5"/>
  <c r="BK62" i="5"/>
  <c r="BK127" i="5"/>
  <c r="BR75" i="5"/>
  <c r="BH8" i="5"/>
  <c r="BP81" i="5"/>
  <c r="BP128" i="5"/>
  <c r="BH42" i="5"/>
  <c r="BH116" i="5"/>
  <c r="BH185" i="5"/>
  <c r="BI48" i="5"/>
  <c r="BI51" i="5"/>
  <c r="BO48" i="5"/>
  <c r="BO95" i="5"/>
  <c r="BO155" i="5"/>
  <c r="BG68" i="5"/>
  <c r="BG78" i="5"/>
  <c r="BN80" i="5"/>
  <c r="BN129" i="5"/>
  <c r="BN183" i="5"/>
  <c r="BF40" i="5"/>
  <c r="BF117" i="5"/>
  <c r="BE18" i="5"/>
  <c r="BU47" i="5"/>
  <c r="BU63" i="5"/>
  <c r="BU183" i="5"/>
  <c r="BM84" i="5"/>
  <c r="BE37" i="5"/>
  <c r="BE103" i="5"/>
  <c r="BQ56" i="5"/>
  <c r="BH7" i="5"/>
  <c r="BT34" i="5"/>
  <c r="BT120" i="5"/>
  <c r="BT148" i="5"/>
  <c r="BT174" i="5"/>
  <c r="BL39" i="5"/>
  <c r="BL115" i="5"/>
  <c r="BL182" i="5"/>
  <c r="BJ70" i="5"/>
  <c r="BJ129" i="5"/>
  <c r="BJ141" i="5"/>
  <c r="BJ183" i="5"/>
  <c r="BF28" i="5"/>
  <c r="BS47" i="5"/>
  <c r="BS77" i="5"/>
  <c r="BS134" i="5"/>
  <c r="BS159" i="5"/>
  <c r="BS186" i="5"/>
  <c r="BK40" i="5"/>
  <c r="BK77" i="5"/>
  <c r="BK168" i="5"/>
  <c r="BK188" i="5"/>
  <c r="BR38" i="5"/>
  <c r="BR53" i="5"/>
  <c r="BR56" i="5"/>
  <c r="BR80" i="5"/>
  <c r="BR101" i="5"/>
  <c r="BR136" i="5"/>
  <c r="BR168" i="5"/>
  <c r="BR187" i="5"/>
  <c r="BP12" i="5"/>
  <c r="BP112" i="5"/>
  <c r="BS41" i="5"/>
  <c r="BT15" i="5"/>
  <c r="BP6" i="5"/>
  <c r="BP33" i="5"/>
  <c r="BP106" i="5"/>
  <c r="BP67" i="5"/>
  <c r="BP83" i="5"/>
  <c r="BP94" i="5"/>
  <c r="BP123" i="5"/>
  <c r="BP130" i="5"/>
  <c r="BP179" i="5"/>
  <c r="BH98" i="5"/>
  <c r="BH118" i="5"/>
  <c r="BH165" i="5"/>
  <c r="BR6" i="5"/>
  <c r="BI67" i="5"/>
  <c r="BI116" i="5"/>
  <c r="BI98" i="5"/>
  <c r="BI144" i="5"/>
  <c r="BI155" i="5"/>
  <c r="BI193" i="5"/>
  <c r="BN24" i="5"/>
  <c r="BO16" i="5"/>
  <c r="BO8" i="5"/>
  <c r="BO50" i="5"/>
  <c r="BO82" i="5"/>
  <c r="BO137" i="5"/>
  <c r="BO158" i="5"/>
  <c r="BO190" i="5"/>
  <c r="BG42" i="5"/>
  <c r="BG80" i="5"/>
  <c r="BG93" i="5"/>
  <c r="BG190" i="5"/>
  <c r="BR23" i="5"/>
  <c r="BN41" i="5"/>
  <c r="BN74" i="5"/>
  <c r="BN69" i="5"/>
  <c r="BN88" i="5"/>
  <c r="BN151" i="5"/>
  <c r="BN163" i="5"/>
  <c r="BN171" i="5"/>
  <c r="BN187" i="5"/>
  <c r="BF45" i="5"/>
  <c r="BF66" i="5"/>
  <c r="BF67" i="5"/>
  <c r="BF97" i="5"/>
  <c r="BF144" i="5"/>
  <c r="BF184" i="5"/>
  <c r="BQ23" i="5"/>
  <c r="BI9" i="5"/>
  <c r="BU38" i="5"/>
  <c r="BU56" i="5"/>
  <c r="BU104" i="5"/>
  <c r="BU113" i="5"/>
  <c r="BU142" i="5"/>
  <c r="BU172" i="5"/>
  <c r="BM66" i="5"/>
  <c r="BM92" i="5"/>
  <c r="BM106" i="5"/>
  <c r="BM158" i="5"/>
  <c r="BE36" i="5"/>
  <c r="BE66" i="5"/>
  <c r="BE63" i="5"/>
  <c r="BE82" i="5"/>
  <c r="BE137" i="5"/>
  <c r="BE168" i="5"/>
  <c r="BE167" i="5"/>
  <c r="BQ43" i="5"/>
  <c r="BQ63" i="5"/>
  <c r="BQ95" i="5"/>
  <c r="BQ146" i="5"/>
  <c r="BQ164" i="5"/>
  <c r="BO38" i="5"/>
  <c r="BT104" i="5"/>
  <c r="BT132" i="5"/>
  <c r="BT151" i="5"/>
  <c r="BT166" i="5"/>
  <c r="BL28" i="5"/>
  <c r="BL60" i="5"/>
  <c r="BL72" i="5"/>
  <c r="BL109" i="5"/>
  <c r="BL119" i="5"/>
  <c r="BL142" i="5"/>
  <c r="BL158" i="5"/>
  <c r="BL190" i="5"/>
  <c r="BJ26" i="5"/>
  <c r="BJ50" i="5"/>
  <c r="BJ56" i="5"/>
  <c r="BJ78" i="5"/>
  <c r="BJ118" i="5"/>
  <c r="BJ115" i="5"/>
  <c r="BJ126" i="5"/>
  <c r="BJ152" i="5"/>
  <c r="BJ167" i="5"/>
  <c r="BK37" i="5"/>
  <c r="BS49" i="5"/>
  <c r="BS79" i="5"/>
  <c r="BS191" i="5"/>
  <c r="BK51" i="5"/>
  <c r="BK79" i="5"/>
  <c r="BK182" i="5"/>
  <c r="BK180" i="5"/>
  <c r="BK191" i="5"/>
  <c r="BR42" i="5"/>
  <c r="BR55" i="5"/>
  <c r="BR58" i="5"/>
  <c r="BR82" i="5"/>
  <c r="BR138" i="5"/>
  <c r="BR179" i="5"/>
  <c r="BK31" i="5"/>
  <c r="BL19" i="5"/>
  <c r="BL11" i="5"/>
  <c r="BP53" i="5"/>
  <c r="BP105" i="5"/>
  <c r="BP135" i="5"/>
  <c r="BP155" i="5"/>
  <c r="BP170" i="5"/>
  <c r="BP187" i="5"/>
  <c r="BH29" i="5"/>
  <c r="BH47" i="5"/>
  <c r="BH63" i="5"/>
  <c r="BH79" i="5"/>
  <c r="BH106" i="5"/>
  <c r="BH124" i="5"/>
  <c r="BH143" i="5"/>
  <c r="BH160" i="5"/>
  <c r="BH177" i="5"/>
  <c r="BH195" i="5"/>
  <c r="BI45" i="5"/>
  <c r="BI94" i="5"/>
  <c r="BI118" i="5"/>
  <c r="BI100" i="5"/>
  <c r="BI146" i="5"/>
  <c r="BI157" i="5"/>
  <c r="BI195" i="5"/>
  <c r="BG20" i="5"/>
  <c r="BG12" i="5"/>
  <c r="BO66" i="5"/>
  <c r="BO109" i="5"/>
  <c r="BO106" i="5"/>
  <c r="BO142" i="5"/>
  <c r="BG54" i="5"/>
  <c r="BG95" i="5"/>
  <c r="BG109" i="5"/>
  <c r="BG106" i="5"/>
  <c r="BG146" i="5"/>
  <c r="BG157" i="5"/>
  <c r="BG176" i="5"/>
  <c r="BN18" i="5"/>
  <c r="BS183" i="5"/>
  <c r="BK48" i="5"/>
  <c r="BK95" i="5"/>
  <c r="BR41" i="5"/>
  <c r="BR103" i="5"/>
  <c r="BQ172" i="5"/>
  <c r="BH16" i="5"/>
  <c r="BP65" i="5"/>
  <c r="BH26" i="5"/>
  <c r="BH96" i="5"/>
  <c r="BH173" i="5"/>
  <c r="BI36" i="5"/>
  <c r="BI111" i="5"/>
  <c r="BI169" i="5"/>
  <c r="BI176" i="5"/>
  <c r="BK9" i="5"/>
  <c r="BG105" i="5"/>
  <c r="BG132" i="5"/>
  <c r="BG172" i="5"/>
  <c r="BG191" i="5"/>
  <c r="BN47" i="5"/>
  <c r="BN116" i="5"/>
  <c r="BF75" i="5"/>
  <c r="BF145" i="5"/>
  <c r="BU42" i="5"/>
  <c r="BU109" i="5"/>
  <c r="BM67" i="5"/>
  <c r="BM121" i="5"/>
  <c r="BM142" i="5"/>
  <c r="BM189" i="5"/>
  <c r="BE89" i="5"/>
  <c r="BE112" i="5"/>
  <c r="BE166" i="5"/>
  <c r="BQ30" i="5"/>
  <c r="BQ35" i="5"/>
  <c r="BQ87" i="5"/>
  <c r="BQ116" i="5"/>
  <c r="BQ150" i="5"/>
  <c r="BQ168" i="5"/>
  <c r="BT14" i="5"/>
  <c r="BT80" i="5"/>
  <c r="BL25" i="5"/>
  <c r="BL99" i="5"/>
  <c r="BL174" i="5"/>
  <c r="BJ63" i="5"/>
  <c r="BJ148" i="5"/>
  <c r="BS14" i="5"/>
  <c r="BS45" i="5"/>
  <c r="BS60" i="5"/>
  <c r="BS78" i="5"/>
  <c r="BS164" i="5"/>
  <c r="BS172" i="5"/>
  <c r="BK43" i="5"/>
  <c r="BK80" i="5"/>
  <c r="BK124" i="5"/>
  <c r="BK165" i="5"/>
  <c r="BR104" i="5"/>
  <c r="BR148" i="5"/>
  <c r="BR159" i="5"/>
  <c r="BP140" i="5"/>
  <c r="BP36" i="5"/>
  <c r="BP50" i="5"/>
  <c r="BP70" i="5"/>
  <c r="BP84" i="5"/>
  <c r="BP99" i="5"/>
  <c r="BP144" i="5"/>
  <c r="BP194" i="5"/>
  <c r="BH45" i="5"/>
  <c r="BH111" i="5"/>
  <c r="BI88" i="5"/>
  <c r="BI99" i="5"/>
  <c r="BI158" i="5"/>
  <c r="BI186" i="5"/>
  <c r="BO83" i="5"/>
  <c r="BO168" i="5"/>
  <c r="BO175" i="5"/>
  <c r="BG40" i="5"/>
  <c r="BG83" i="5"/>
  <c r="BG129" i="5"/>
  <c r="BG175" i="5"/>
  <c r="BF14" i="5"/>
  <c r="BN53" i="5"/>
  <c r="BF147" i="5"/>
  <c r="BF179" i="5"/>
  <c r="BE16" i="5"/>
  <c r="BU12" i="5"/>
  <c r="BQ7" i="5"/>
  <c r="BU49" i="5"/>
  <c r="BU72" i="5"/>
  <c r="BU131" i="5"/>
  <c r="BU132" i="5"/>
  <c r="BU155" i="5"/>
  <c r="BU178" i="5"/>
  <c r="BM27" i="5"/>
  <c r="BM53" i="5"/>
  <c r="BM129" i="5"/>
  <c r="BM163" i="5"/>
  <c r="BM191" i="5"/>
  <c r="BE42" i="5"/>
  <c r="BE127" i="5"/>
  <c r="BE132" i="5"/>
  <c r="BE183" i="5"/>
  <c r="BQ32" i="5"/>
  <c r="BQ82" i="5"/>
  <c r="BQ120" i="5"/>
  <c r="BQ152" i="5"/>
  <c r="BQ192" i="5"/>
  <c r="BP19" i="5"/>
  <c r="BP11" i="5"/>
  <c r="BT53" i="5"/>
  <c r="BT89" i="5"/>
  <c r="BT150" i="5"/>
  <c r="BL27" i="5"/>
  <c r="BL41" i="5"/>
  <c r="BL61" i="5"/>
  <c r="BL75" i="5"/>
  <c r="BL88" i="5"/>
  <c r="BJ110" i="5"/>
  <c r="BJ131" i="5"/>
  <c r="BJ160" i="5"/>
  <c r="BK22" i="5"/>
  <c r="BK14" i="5"/>
  <c r="BS53" i="5"/>
  <c r="BS80" i="5"/>
  <c r="BS165" i="5"/>
  <c r="BS174" i="5"/>
  <c r="BK82" i="5"/>
  <c r="BR161" i="5"/>
  <c r="BL23" i="5"/>
  <c r="BP56" i="5"/>
  <c r="BP153" i="5"/>
  <c r="BP168" i="5"/>
  <c r="BH30" i="5"/>
  <c r="BH46" i="5"/>
  <c r="BH66" i="5"/>
  <c r="BH80" i="5"/>
  <c r="BH91" i="5"/>
  <c r="BH140" i="5"/>
  <c r="BH188" i="5"/>
  <c r="BI54" i="5"/>
  <c r="BI101" i="5"/>
  <c r="BI130" i="5"/>
  <c r="BI134" i="5"/>
  <c r="BI162" i="5"/>
  <c r="BI177" i="5"/>
  <c r="BI188" i="5"/>
  <c r="BO52" i="5"/>
  <c r="BO84" i="5"/>
  <c r="BO99" i="5"/>
  <c r="BO162" i="5"/>
  <c r="BO181" i="5"/>
  <c r="BO192" i="5"/>
  <c r="BG90" i="5"/>
  <c r="BG82" i="5"/>
  <c r="BG192" i="5"/>
  <c r="BN28" i="5"/>
  <c r="BR9" i="5"/>
  <c r="BN25" i="5"/>
  <c r="BN51" i="5"/>
  <c r="BN55" i="5"/>
  <c r="BN79" i="5"/>
  <c r="BN98" i="5"/>
  <c r="BN119" i="5"/>
  <c r="BN133" i="5"/>
  <c r="BN150" i="5"/>
  <c r="BN192" i="5"/>
  <c r="BF25" i="5"/>
  <c r="BF47" i="5"/>
  <c r="BF76" i="5"/>
  <c r="BF79" i="5"/>
  <c r="BS149" i="5"/>
  <c r="BK142" i="5"/>
  <c r="BR45" i="5"/>
  <c r="BR100" i="5"/>
  <c r="BR152" i="5"/>
  <c r="BR188" i="5"/>
  <c r="BS33" i="5"/>
  <c r="BP51" i="5"/>
  <c r="BH76" i="5"/>
  <c r="BH108" i="5"/>
  <c r="BH159" i="5"/>
  <c r="BI74" i="5"/>
  <c r="BI108" i="5"/>
  <c r="BK17" i="5"/>
  <c r="BO62" i="5"/>
  <c r="BO80" i="5"/>
  <c r="BO152" i="5"/>
  <c r="BG52" i="5"/>
  <c r="BG91" i="5"/>
  <c r="BN44" i="5"/>
  <c r="BN94" i="5"/>
  <c r="BN166" i="5"/>
  <c r="BF78" i="5"/>
  <c r="BF125" i="5"/>
  <c r="BR10" i="5"/>
  <c r="BQ9" i="5"/>
  <c r="BU91" i="5"/>
  <c r="BU94" i="5"/>
  <c r="BU147" i="5"/>
  <c r="BU160" i="5"/>
  <c r="BM61" i="5"/>
  <c r="BE130" i="5"/>
  <c r="BE141" i="5"/>
  <c r="BQ134" i="5"/>
  <c r="BT22" i="5"/>
  <c r="BT66" i="5"/>
  <c r="BT118" i="5"/>
  <c r="BT125" i="5"/>
  <c r="BL73" i="5"/>
  <c r="BL86" i="5"/>
  <c r="BL156" i="5"/>
  <c r="BJ49" i="5"/>
  <c r="BJ103" i="5"/>
  <c r="BJ163" i="5"/>
  <c r="BJ193" i="5"/>
  <c r="BN38" i="5"/>
  <c r="BS22" i="5"/>
  <c r="BS52" i="5"/>
  <c r="BS131" i="5"/>
  <c r="BS124" i="5"/>
  <c r="BS128" i="5"/>
  <c r="BS154" i="5"/>
  <c r="BK50" i="5"/>
  <c r="BK64" i="5"/>
  <c r="BK97" i="5"/>
  <c r="BK136" i="5"/>
  <c r="BK144" i="5"/>
  <c r="BK184" i="5"/>
  <c r="BR63" i="5"/>
  <c r="BR43" i="5"/>
  <c r="BR102" i="5"/>
  <c r="BR71" i="5"/>
  <c r="BR105" i="5"/>
  <c r="BR120" i="5"/>
  <c r="BR176" i="5"/>
  <c r="BR190" i="5"/>
  <c r="BO24" i="5"/>
  <c r="BP8" i="5"/>
  <c r="BP29" i="5"/>
  <c r="BP49" i="5"/>
  <c r="BP63" i="5"/>
  <c r="BP79" i="5"/>
  <c r="BP90" i="5"/>
  <c r="BN32" i="5"/>
  <c r="BT19" i="5"/>
  <c r="BT11" i="5"/>
  <c r="BP103" i="5"/>
  <c r="BP133" i="5"/>
  <c r="BP154" i="5"/>
  <c r="BP182" i="5"/>
  <c r="BH27" i="5"/>
  <c r="BH61" i="5"/>
  <c r="BH77" i="5"/>
  <c r="BH112" i="5"/>
  <c r="BH122" i="5"/>
  <c r="BH141" i="5"/>
  <c r="BH156" i="5"/>
  <c r="BH184" i="5"/>
  <c r="BH193" i="5"/>
  <c r="BI8" i="5"/>
  <c r="BI33" i="5"/>
  <c r="BI66" i="5"/>
  <c r="BI83" i="5"/>
  <c r="BI117" i="5"/>
  <c r="BI145" i="5"/>
  <c r="BI174" i="5"/>
  <c r="BG32" i="5"/>
  <c r="BO20" i="5"/>
  <c r="BO12" i="5"/>
  <c r="BO46" i="5"/>
  <c r="BO49" i="5"/>
  <c r="BO63" i="5"/>
  <c r="BO98" i="5"/>
  <c r="BO122" i="5"/>
  <c r="BO129" i="5"/>
  <c r="BO141" i="5"/>
  <c r="BG55" i="5"/>
  <c r="BG63" i="5"/>
  <c r="BG128" i="5"/>
  <c r="BG122" i="5"/>
  <c r="BG145" i="5"/>
  <c r="BG179" i="5"/>
  <c r="BI69" i="5"/>
  <c r="BJ21" i="5"/>
  <c r="BN46" i="5"/>
  <c r="BN49" i="5"/>
  <c r="BN77" i="5"/>
  <c r="BN96" i="5"/>
  <c r="BN118" i="5"/>
  <c r="BN131" i="5"/>
  <c r="BN148" i="5"/>
  <c r="BN168" i="5"/>
  <c r="BN185" i="5"/>
  <c r="BF50" i="5"/>
  <c r="BF60" i="5"/>
  <c r="BF71" i="5"/>
  <c r="BF77" i="5"/>
  <c r="BF119" i="5"/>
  <c r="BF116" i="5"/>
  <c r="BF127" i="5"/>
  <c r="BF168" i="5"/>
  <c r="BU53" i="5"/>
  <c r="BU44" i="5"/>
  <c r="BU65" i="5"/>
  <c r="BU96" i="5"/>
  <c r="BU162" i="5"/>
  <c r="BM62" i="5"/>
  <c r="BM69" i="5"/>
  <c r="BM86" i="5"/>
  <c r="BM117" i="5"/>
  <c r="BM146" i="5"/>
  <c r="BM175" i="5"/>
  <c r="BE45" i="5"/>
  <c r="BE50" i="5"/>
  <c r="BE95" i="5"/>
  <c r="BQ171" i="5"/>
  <c r="BT36" i="5"/>
  <c r="BT82" i="5"/>
  <c r="BT127" i="5"/>
  <c r="BT178" i="5"/>
  <c r="BL117" i="5"/>
  <c r="BL184" i="5"/>
  <c r="BJ72" i="5"/>
  <c r="BS140" i="5"/>
  <c r="BK125" i="5"/>
  <c r="BR24" i="5"/>
  <c r="BR112" i="5"/>
  <c r="BP126" i="5"/>
  <c r="BH6" i="5"/>
  <c r="BP69" i="5"/>
  <c r="BP132" i="5"/>
  <c r="BH100" i="5"/>
  <c r="BH158" i="5"/>
  <c r="BI43" i="5"/>
  <c r="BI68" i="5"/>
  <c r="BG8" i="5"/>
  <c r="BG56" i="5"/>
  <c r="BG123" i="5"/>
  <c r="BG177" i="5"/>
  <c r="BN172" i="5"/>
  <c r="BF174" i="5"/>
  <c r="BU105" i="5"/>
  <c r="BU134" i="5"/>
  <c r="BU148" i="5"/>
  <c r="BU177" i="5"/>
  <c r="BU180" i="5"/>
  <c r="BM29" i="5"/>
  <c r="BM71" i="5"/>
  <c r="BM130" i="5"/>
  <c r="BM160" i="5"/>
  <c r="BM193" i="5"/>
  <c r="BE84" i="5"/>
  <c r="BE157" i="5"/>
  <c r="BQ34" i="5"/>
  <c r="BQ54" i="5"/>
  <c r="BQ97" i="5"/>
  <c r="BQ165" i="5"/>
  <c r="BQ194" i="5"/>
  <c r="BT70" i="5"/>
  <c r="BT122" i="5"/>
  <c r="BT145" i="5"/>
  <c r="BL29" i="5"/>
  <c r="BL90" i="5"/>
  <c r="BL103" i="5"/>
  <c r="BL126" i="5"/>
  <c r="BL164" i="5"/>
  <c r="BJ73" i="5"/>
  <c r="BJ133" i="5"/>
  <c r="BJ145" i="5"/>
  <c r="BJ169" i="5"/>
  <c r="BJ180" i="5"/>
  <c r="BS64" i="5"/>
  <c r="BS97" i="5"/>
  <c r="BS181" i="5"/>
  <c r="BK84" i="5"/>
  <c r="BK157" i="5"/>
  <c r="BK185" i="5"/>
  <c r="BK193" i="5"/>
  <c r="BR26" i="5"/>
  <c r="BR67" i="5"/>
  <c r="BR89" i="5"/>
  <c r="BR77" i="5"/>
  <c r="BR127" i="5"/>
  <c r="BR156" i="5"/>
  <c r="BR175" i="5"/>
  <c r="BM73" i="5"/>
  <c r="BF30" i="5"/>
  <c r="BP18" i="5"/>
  <c r="BP10" i="5"/>
  <c r="BP71" i="5"/>
  <c r="BP110" i="5"/>
  <c r="BP137" i="5"/>
  <c r="BP139" i="5"/>
  <c r="BP159" i="5"/>
  <c r="BP172" i="5"/>
  <c r="BP189" i="5"/>
  <c r="BH81" i="5"/>
  <c r="BH162" i="5"/>
  <c r="BH169" i="5"/>
  <c r="BI56" i="5"/>
  <c r="BI96" i="5"/>
  <c r="BI102" i="5"/>
  <c r="BI159" i="5"/>
  <c r="BN68" i="5"/>
  <c r="BS19" i="5"/>
  <c r="BS11" i="5"/>
  <c r="BO53" i="5"/>
  <c r="BO68" i="5"/>
  <c r="BO111" i="5"/>
  <c r="BO108" i="5"/>
  <c r="BO144" i="5"/>
  <c r="BO157" i="5"/>
  <c r="BG97" i="5"/>
  <c r="BG111" i="5"/>
  <c r="BG108" i="5"/>
  <c r="BG159" i="5"/>
  <c r="BJ9" i="5"/>
  <c r="BN138" i="5"/>
  <c r="BN170" i="5"/>
  <c r="BF136" i="5"/>
  <c r="BS43" i="5"/>
  <c r="BE12" i="5"/>
  <c r="BU8" i="5"/>
  <c r="BU26" i="5"/>
  <c r="BU76" i="5"/>
  <c r="BU100" i="5"/>
  <c r="BU136" i="5"/>
  <c r="BU150" i="5"/>
  <c r="BU182" i="5"/>
  <c r="BM31" i="5"/>
  <c r="BM39" i="5"/>
  <c r="BM77" i="5"/>
  <c r="BM131" i="5"/>
  <c r="BM135" i="5"/>
  <c r="BM151" i="5"/>
  <c r="BM195" i="5"/>
  <c r="BE49" i="5"/>
  <c r="BE93" i="5"/>
  <c r="BE121" i="5"/>
  <c r="BE136" i="5"/>
  <c r="BE147" i="5"/>
  <c r="BE178" i="5"/>
  <c r="BQ36" i="5"/>
  <c r="BQ86" i="5"/>
  <c r="BQ147" i="5"/>
  <c r="BQ139" i="5"/>
  <c r="BQ169" i="5"/>
  <c r="BQ187" i="5"/>
  <c r="BP21" i="5"/>
  <c r="BP13" i="5"/>
  <c r="BL6" i="5"/>
  <c r="BT39" i="5"/>
  <c r="BT57" i="5"/>
  <c r="BT71" i="5"/>
  <c r="BT167" i="5"/>
  <c r="BL31" i="5"/>
  <c r="BL45" i="5"/>
  <c r="BL65" i="5"/>
  <c r="BL79" i="5"/>
  <c r="BL92" i="5"/>
  <c r="BL139" i="5"/>
  <c r="BL189" i="5"/>
  <c r="BJ119" i="5"/>
  <c r="BJ135" i="5"/>
  <c r="BG21" i="5"/>
  <c r="BG13" i="5"/>
  <c r="BS57" i="5"/>
  <c r="BS84" i="5"/>
  <c r="BS167" i="5"/>
  <c r="BK74" i="5"/>
  <c r="BK86" i="5"/>
  <c r="BK103" i="5"/>
  <c r="BK169" i="5"/>
  <c r="BK172" i="5"/>
  <c r="BR129" i="5"/>
  <c r="BR158" i="5"/>
  <c r="BR169" i="5"/>
  <c r="BQ185" i="5"/>
  <c r="BP54" i="5"/>
  <c r="BP43" i="5"/>
  <c r="BP109" i="5"/>
  <c r="BP163" i="5"/>
  <c r="BP174" i="5"/>
  <c r="BH88" i="5"/>
  <c r="BH117" i="5"/>
  <c r="BI28" i="5"/>
  <c r="BI72" i="5"/>
  <c r="BI132" i="5"/>
  <c r="BI138" i="5"/>
  <c r="BI148" i="5"/>
  <c r="BI192" i="5"/>
  <c r="BO55" i="5"/>
  <c r="BO70" i="5"/>
  <c r="BO125" i="5"/>
  <c r="BO113" i="5"/>
  <c r="BO110" i="5"/>
  <c r="BO146" i="5"/>
  <c r="BO159" i="5"/>
  <c r="BG73" i="5"/>
  <c r="BG113" i="5"/>
  <c r="BG110" i="5"/>
  <c r="BG161" i="5"/>
  <c r="BN124" i="5"/>
  <c r="BN154" i="5"/>
  <c r="BF122" i="5"/>
  <c r="BI19" i="5"/>
  <c r="BE10" i="5"/>
  <c r="BU28" i="5"/>
  <c r="BU54" i="5"/>
  <c r="BU83" i="5"/>
  <c r="BU102" i="5"/>
  <c r="BU138" i="5"/>
  <c r="BU152" i="5"/>
  <c r="BU169" i="5"/>
  <c r="BU184" i="5"/>
  <c r="BM33" i="5"/>
  <c r="BM41" i="5"/>
  <c r="BM75" i="5"/>
  <c r="BM91" i="5"/>
  <c r="BM153" i="5"/>
  <c r="BM177" i="5"/>
  <c r="BM186" i="5"/>
  <c r="BE26" i="5"/>
  <c r="BE51" i="5"/>
  <c r="BE79" i="5"/>
  <c r="BE72" i="5"/>
  <c r="BE129" i="5"/>
  <c r="BE138" i="5"/>
  <c r="BE165" i="5"/>
  <c r="BE180" i="5"/>
  <c r="BQ38" i="5"/>
  <c r="BQ40" i="5"/>
  <c r="BQ92" i="5"/>
  <c r="BQ132" i="5"/>
  <c r="BQ177" i="5"/>
  <c r="BQ189" i="5"/>
  <c r="BT18" i="5"/>
  <c r="BT10" i="5"/>
  <c r="BT44" i="5"/>
  <c r="BT102" i="5"/>
  <c r="BT110" i="5"/>
  <c r="BT138" i="5"/>
  <c r="BT171" i="5"/>
  <c r="BL116" i="5"/>
  <c r="BL148" i="5"/>
  <c r="BJ137" i="5"/>
  <c r="BJ155" i="5"/>
  <c r="BS16" i="5"/>
  <c r="BO9" i="5"/>
  <c r="BS59" i="5"/>
  <c r="BS86" i="5"/>
  <c r="BS126" i="5"/>
  <c r="BS170" i="5"/>
  <c r="BK57" i="5"/>
  <c r="BK72" i="5"/>
  <c r="BK88" i="5"/>
  <c r="BK174" i="5"/>
  <c r="BR131" i="5"/>
  <c r="BR160" i="5"/>
  <c r="BR177" i="5"/>
  <c r="BG17" i="5"/>
  <c r="BS109" i="5"/>
  <c r="BK111" i="5"/>
  <c r="BK147" i="5"/>
  <c r="BK171" i="5"/>
  <c r="BH56" i="5"/>
  <c r="BE54" i="5"/>
  <c r="BP40" i="5"/>
  <c r="BP74" i="5"/>
  <c r="BH84" i="5"/>
  <c r="BH144" i="5"/>
  <c r="BH170" i="5"/>
  <c r="BI86" i="5"/>
  <c r="BO75" i="5"/>
  <c r="BO104" i="5"/>
  <c r="BG60" i="5"/>
  <c r="BF138" i="5"/>
  <c r="BU22" i="5"/>
  <c r="BU35" i="5"/>
  <c r="BU122" i="5"/>
  <c r="BU190" i="5"/>
  <c r="BM98" i="5"/>
  <c r="BM150" i="5"/>
  <c r="BM180" i="5"/>
  <c r="BE29" i="5"/>
  <c r="BE122" i="5"/>
  <c r="BE149" i="5"/>
  <c r="BE186" i="5"/>
  <c r="BQ101" i="5"/>
  <c r="BQ135" i="5"/>
  <c r="BH21" i="5"/>
  <c r="BH13" i="5"/>
  <c r="BT59" i="5"/>
  <c r="BL33" i="5"/>
  <c r="BL47" i="5"/>
  <c r="BL81" i="5"/>
  <c r="BJ121" i="5"/>
  <c r="BJ184" i="5"/>
  <c r="BS20" i="5"/>
  <c r="BG7" i="5"/>
  <c r="BS111" i="5"/>
  <c r="BS160" i="5"/>
  <c r="BK56" i="5"/>
  <c r="BK173" i="5"/>
  <c r="BL64" i="5"/>
  <c r="BL123" i="5"/>
  <c r="BL172" i="5"/>
  <c r="BL194" i="5"/>
  <c r="BJ82" i="5"/>
  <c r="BJ149" i="5"/>
  <c r="BQ6" i="5"/>
  <c r="BO7" i="5"/>
  <c r="BS195" i="5"/>
  <c r="BK100" i="5"/>
  <c r="BR111" i="5"/>
  <c r="BH14" i="5"/>
  <c r="BP100" i="5"/>
  <c r="BP161" i="5"/>
  <c r="BP185" i="5"/>
  <c r="BH131" i="5"/>
  <c r="BH150" i="5"/>
  <c r="BI161" i="5"/>
  <c r="BN45" i="5"/>
  <c r="BK19" i="5"/>
  <c r="BG31" i="5"/>
  <c r="BE104" i="5"/>
  <c r="BE156" i="5"/>
  <c r="BS26" i="5"/>
  <c r="BT68" i="5"/>
  <c r="BT124" i="5"/>
  <c r="BT183" i="5"/>
  <c r="BL101" i="5"/>
  <c r="BL170" i="5"/>
  <c r="BJ53" i="5"/>
  <c r="BJ112" i="5"/>
  <c r="BS30" i="5"/>
  <c r="BS135" i="5"/>
  <c r="BK66" i="5"/>
  <c r="BK121" i="5"/>
  <c r="BK179" i="5"/>
  <c r="BR79" i="5"/>
  <c r="BR150" i="5"/>
  <c r="BR192" i="5"/>
  <c r="BL15" i="5"/>
  <c r="BP121" i="5"/>
  <c r="BG16" i="5"/>
  <c r="BG85" i="5"/>
  <c r="BG165" i="5"/>
  <c r="BJ7" i="5"/>
  <c r="BF107" i="5"/>
  <c r="BF151" i="5"/>
  <c r="BI23" i="5"/>
  <c r="BE14" i="5"/>
  <c r="BU10" i="5"/>
  <c r="BU31" i="5"/>
  <c r="BU64" i="5"/>
  <c r="BU58" i="5"/>
  <c r="BU74" i="5"/>
  <c r="BU98" i="5"/>
  <c r="BM83" i="5"/>
  <c r="BM72" i="5"/>
  <c r="BM94" i="5"/>
  <c r="BM119" i="5"/>
  <c r="BM133" i="5"/>
  <c r="BM149" i="5"/>
  <c r="BE87" i="5"/>
  <c r="BE65" i="5"/>
  <c r="BE123" i="5"/>
  <c r="BE159" i="5"/>
  <c r="BE185" i="5"/>
  <c r="BQ74" i="5"/>
  <c r="BQ75" i="5"/>
  <c r="BQ130" i="5"/>
  <c r="BQ138" i="5"/>
  <c r="BQ154" i="5"/>
  <c r="BH19" i="5"/>
  <c r="BH11" i="5"/>
  <c r="BT6" i="5"/>
  <c r="BT55" i="5"/>
  <c r="BT84" i="5"/>
  <c r="BT91" i="5"/>
  <c r="BT165" i="5"/>
  <c r="BT180" i="5"/>
  <c r="BL77" i="5"/>
  <c r="BL112" i="5"/>
  <c r="BJ65" i="5"/>
  <c r="BJ106" i="5"/>
  <c r="BO13" i="5"/>
  <c r="BS32" i="5"/>
  <c r="BS120" i="5"/>
  <c r="BS142" i="5"/>
  <c r="BS193" i="5"/>
  <c r="BK54" i="5"/>
  <c r="BK68" i="5"/>
  <c r="BK101" i="5"/>
  <c r="BK167" i="5"/>
  <c r="BR114" i="5"/>
  <c r="BR139" i="5"/>
  <c r="BR181" i="5"/>
  <c r="BP37" i="5"/>
  <c r="BH65" i="5"/>
  <c r="BH102" i="5"/>
  <c r="BH129" i="5"/>
  <c r="BJ37" i="5"/>
  <c r="BI124" i="5"/>
  <c r="BI190" i="5"/>
  <c r="BO86" i="5"/>
  <c r="BO101" i="5"/>
  <c r="BO185" i="5"/>
  <c r="BO194" i="5"/>
  <c r="BG43" i="5"/>
  <c r="BG72" i="5"/>
  <c r="BG84" i="5"/>
  <c r="BG154" i="5"/>
  <c r="BG180" i="5"/>
  <c r="BG194" i="5"/>
  <c r="BJ27" i="5"/>
  <c r="BF18" i="5"/>
  <c r="BN43" i="5"/>
  <c r="BN82" i="5"/>
  <c r="BN72" i="5"/>
  <c r="BN101" i="5"/>
  <c r="BN106" i="5"/>
  <c r="BN139" i="5"/>
  <c r="BN175" i="5"/>
  <c r="BN191" i="5"/>
  <c r="BF42" i="5"/>
  <c r="BF84" i="5"/>
  <c r="BF74" i="5"/>
  <c r="BF90" i="5"/>
  <c r="BF104" i="5"/>
  <c r="BF148" i="5"/>
  <c r="BF166" i="5"/>
  <c r="BF173" i="5"/>
  <c r="BF189" i="5"/>
  <c r="BI21" i="5"/>
  <c r="BU70" i="5"/>
  <c r="BU69" i="5"/>
  <c r="BU116" i="5"/>
  <c r="BU166" i="5"/>
  <c r="BM64" i="5"/>
  <c r="BM97" i="5"/>
  <c r="BM108" i="5"/>
  <c r="BM174" i="5"/>
  <c r="BE24" i="5"/>
  <c r="BE70" i="5"/>
  <c r="BE90" i="5"/>
  <c r="BE160" i="5"/>
  <c r="BJ10" i="5"/>
  <c r="BQ69" i="5"/>
  <c r="BQ59" i="5"/>
  <c r="BQ103" i="5"/>
  <c r="BQ108" i="5"/>
  <c r="BQ167" i="5"/>
  <c r="BT86" i="5"/>
  <c r="BT93" i="5"/>
  <c r="BT113" i="5"/>
  <c r="BT131" i="5"/>
  <c r="BT154" i="5"/>
  <c r="BT182" i="5"/>
  <c r="BL124" i="5"/>
  <c r="BL128" i="5"/>
  <c r="BL176" i="5"/>
  <c r="BL166" i="5"/>
  <c r="BJ41" i="5"/>
  <c r="BJ45" i="5"/>
  <c r="BJ81" i="5"/>
  <c r="BJ71" i="5"/>
  <c r="BJ96" i="5"/>
  <c r="BJ147" i="5"/>
  <c r="BJ165" i="5"/>
  <c r="BJ172" i="5"/>
  <c r="BJ188" i="5"/>
  <c r="BS34" i="5"/>
  <c r="BS66" i="5"/>
  <c r="BS99" i="5"/>
  <c r="BS136" i="5"/>
  <c r="BS121" i="5"/>
  <c r="BS144" i="5"/>
  <c r="BS180" i="5"/>
  <c r="BK32" i="5"/>
  <c r="BK70" i="5"/>
  <c r="BK134" i="5"/>
  <c r="BK138" i="5"/>
  <c r="BK148" i="5"/>
  <c r="BJ16" i="5"/>
  <c r="BR44" i="5"/>
  <c r="BR57" i="5"/>
  <c r="BR62" i="5"/>
  <c r="BR86" i="5"/>
  <c r="BR116" i="5"/>
  <c r="BR141" i="5"/>
  <c r="BR183" i="5"/>
  <c r="BP16" i="5"/>
  <c r="BS28" i="5"/>
  <c r="BH18" i="5"/>
  <c r="BH10" i="5"/>
  <c r="BP57" i="5"/>
  <c r="BP73" i="5"/>
  <c r="BP119" i="5"/>
  <c r="BP120" i="5"/>
  <c r="BP141" i="5"/>
  <c r="BP191" i="5"/>
  <c r="BH33" i="5"/>
  <c r="BH51" i="5"/>
  <c r="BH67" i="5"/>
  <c r="BH83" i="5"/>
  <c r="BH128" i="5"/>
  <c r="BH147" i="5"/>
  <c r="BH171" i="5"/>
  <c r="BH182" i="5"/>
  <c r="BI40" i="5"/>
  <c r="BI53" i="5"/>
  <c r="BI109" i="5"/>
  <c r="BI107" i="5"/>
  <c r="BI168" i="5"/>
  <c r="BK23" i="5"/>
  <c r="BK15" i="5"/>
  <c r="BG6" i="5"/>
  <c r="BO92" i="5"/>
  <c r="BO188" i="5"/>
  <c r="BO193" i="5"/>
  <c r="BG45" i="5"/>
  <c r="BG86" i="5"/>
  <c r="BG99" i="5"/>
  <c r="BG148" i="5"/>
  <c r="BG184" i="5"/>
  <c r="BG193" i="5"/>
  <c r="BS25" i="5"/>
  <c r="BF20" i="5"/>
  <c r="BJ11" i="5"/>
  <c r="BN29" i="5"/>
  <c r="BN58" i="5"/>
  <c r="BN59" i="5"/>
  <c r="BN83" i="5"/>
  <c r="BN102" i="5"/>
  <c r="BN137" i="5"/>
  <c r="BN165" i="5"/>
  <c r="BN186" i="5"/>
  <c r="BF29" i="5"/>
  <c r="BF51" i="5"/>
  <c r="BF57" i="5"/>
  <c r="BF83" i="5"/>
  <c r="BF94" i="5"/>
  <c r="BF133" i="5"/>
  <c r="BF152" i="5"/>
  <c r="BF190" i="5"/>
  <c r="BF185" i="5"/>
  <c r="BQ18" i="5"/>
  <c r="BR25" i="5"/>
  <c r="BU6" i="5"/>
  <c r="BU78" i="5"/>
  <c r="BU118" i="5"/>
  <c r="BM105" i="5"/>
  <c r="BM107" i="5"/>
  <c r="BM140" i="5"/>
  <c r="BM137" i="5"/>
  <c r="BE92" i="5"/>
  <c r="BE162" i="5"/>
  <c r="BR8" i="5"/>
  <c r="BQ60" i="5"/>
  <c r="BQ106" i="5"/>
  <c r="BQ119" i="5"/>
  <c r="BQ143" i="5"/>
  <c r="BQ155" i="5"/>
  <c r="BG24" i="5"/>
  <c r="BT26" i="5"/>
  <c r="BT58" i="5"/>
  <c r="BT72" i="5"/>
  <c r="BT140" i="5"/>
  <c r="BT160" i="5"/>
  <c r="BT188" i="5"/>
  <c r="BL34" i="5"/>
  <c r="BL50" i="5"/>
  <c r="BL66" i="5"/>
  <c r="BL78" i="5"/>
  <c r="BL91" i="5"/>
  <c r="BL125" i="5"/>
  <c r="BL157" i="5"/>
  <c r="BL179" i="5"/>
  <c r="BJ67" i="5"/>
  <c r="BJ39" i="5"/>
  <c r="BJ85" i="5"/>
  <c r="BJ75" i="5"/>
  <c r="BJ102" i="5"/>
  <c r="BJ105" i="5"/>
  <c r="BJ140" i="5"/>
  <c r="BJ174" i="5"/>
  <c r="BJ190" i="5"/>
  <c r="BK25" i="5"/>
  <c r="BS36" i="5"/>
  <c r="BS68" i="5"/>
  <c r="BS101" i="5"/>
  <c r="BS129" i="5"/>
  <c r="BS146" i="5"/>
  <c r="BS184" i="5"/>
  <c r="BK34" i="5"/>
  <c r="BK123" i="5"/>
  <c r="BK129" i="5"/>
  <c r="BK151" i="5"/>
  <c r="BK152" i="5"/>
  <c r="BK178" i="5"/>
  <c r="BJ14" i="5"/>
  <c r="BR47" i="5"/>
  <c r="BR59" i="5"/>
  <c r="BR64" i="5"/>
  <c r="BR92" i="5"/>
  <c r="BR118" i="5"/>
  <c r="BR143" i="5"/>
  <c r="BR185" i="5"/>
  <c r="BJ171" i="5"/>
  <c r="BS54" i="5"/>
  <c r="BS158" i="5"/>
  <c r="BP26" i="5"/>
  <c r="BP60" i="5"/>
  <c r="BP89" i="5"/>
  <c r="BH34" i="5"/>
  <c r="BH50" i="5"/>
  <c r="BH95" i="5"/>
  <c r="BH192" i="5"/>
  <c r="BI73" i="5"/>
  <c r="BI131" i="5"/>
  <c r="BI160" i="5"/>
  <c r="BI184" i="5"/>
  <c r="BO138" i="5"/>
  <c r="BO165" i="5"/>
  <c r="BG104" i="5"/>
  <c r="BN6" i="5"/>
  <c r="BN111" i="5"/>
  <c r="BN177" i="5"/>
  <c r="BF103" i="5"/>
  <c r="BM8" i="5"/>
  <c r="BM85" i="5"/>
  <c r="BM76" i="5"/>
  <c r="BM134" i="5"/>
  <c r="BQ27" i="5"/>
  <c r="BQ53" i="5"/>
  <c r="BQ153" i="5"/>
  <c r="BQ183" i="5"/>
  <c r="BT25" i="5"/>
  <c r="BT73" i="5"/>
  <c r="BL67" i="5"/>
  <c r="BL141" i="5"/>
  <c r="BL191" i="5"/>
  <c r="BJ175" i="5"/>
  <c r="BS74" i="5"/>
  <c r="BR180" i="5"/>
  <c r="BL48" i="5"/>
  <c r="BL146" i="5"/>
  <c r="BL177" i="5"/>
  <c r="BJ60" i="5"/>
  <c r="BJ93" i="5"/>
  <c r="BS72" i="5"/>
  <c r="BK93" i="5"/>
  <c r="BR28" i="5"/>
  <c r="BR91" i="5"/>
  <c r="BR164" i="5"/>
  <c r="BP129" i="5"/>
  <c r="BH22" i="5"/>
  <c r="BI57" i="5"/>
  <c r="BI105" i="5"/>
  <c r="BO33" i="5"/>
  <c r="BO69" i="5"/>
  <c r="BO128" i="5"/>
  <c r="BG69" i="5"/>
  <c r="BG137" i="5"/>
  <c r="BE143" i="5"/>
  <c r="BR16" i="5"/>
  <c r="BQ57" i="5"/>
  <c r="BQ118" i="5"/>
  <c r="BL160" i="5"/>
  <c r="BJ40" i="5"/>
  <c r="BJ143" i="5"/>
  <c r="BJ185" i="5"/>
  <c r="BS62" i="5"/>
  <c r="BS125" i="5"/>
  <c r="BK52" i="5"/>
  <c r="BK99" i="5"/>
  <c r="BK181" i="5"/>
  <c r="BR83" i="5"/>
  <c r="BR122" i="5"/>
  <c r="BR191" i="5"/>
  <c r="BP96" i="5"/>
  <c r="BJ31" i="5"/>
  <c r="BN136" i="5"/>
  <c r="BF118" i="5"/>
  <c r="BF129" i="5"/>
  <c r="BF163" i="5"/>
  <c r="BG44" i="5"/>
  <c r="BU51" i="5"/>
  <c r="BU151" i="5"/>
  <c r="BU186" i="5"/>
  <c r="BM55" i="5"/>
  <c r="BM185" i="5"/>
  <c r="BE25" i="5"/>
  <c r="BE38" i="5"/>
  <c r="BQ76" i="5"/>
  <c r="BQ52" i="5"/>
  <c r="BQ179" i="5"/>
  <c r="BT38" i="5"/>
  <c r="BT85" i="5"/>
  <c r="BT98" i="5"/>
  <c r="BT152" i="5"/>
  <c r="BT195" i="5"/>
  <c r="BL63" i="5"/>
  <c r="BL155" i="5"/>
  <c r="BJ51" i="5"/>
  <c r="BJ162" i="5"/>
  <c r="BS73" i="5"/>
  <c r="BS81" i="5"/>
  <c r="BS98" i="5"/>
  <c r="BS176" i="5"/>
  <c r="BK153" i="5"/>
  <c r="BK183" i="5"/>
  <c r="BR20" i="5"/>
  <c r="BR39" i="5"/>
  <c r="BR73" i="5"/>
  <c r="BR60" i="5"/>
  <c r="BR84" i="5"/>
  <c r="BP22" i="5"/>
  <c r="BP14" i="5"/>
  <c r="BP39" i="5"/>
  <c r="BP41" i="5"/>
  <c r="BP55" i="5"/>
  <c r="BP98" i="5"/>
  <c r="BP114" i="5"/>
  <c r="BP134" i="5"/>
  <c r="BP157" i="5"/>
  <c r="BP171" i="5"/>
  <c r="BP183" i="5"/>
  <c r="BH49" i="5"/>
  <c r="BH115" i="5"/>
  <c r="BH145" i="5"/>
  <c r="BH175" i="5"/>
  <c r="BH178" i="5"/>
  <c r="BI37" i="5"/>
  <c r="BI63" i="5"/>
  <c r="BI70" i="5"/>
  <c r="BI87" i="5"/>
  <c r="BI103" i="5"/>
  <c r="BI136" i="5"/>
  <c r="BI167" i="5"/>
  <c r="BI166" i="5"/>
  <c r="BS23" i="5"/>
  <c r="BS15" i="5"/>
  <c r="BO6" i="5"/>
  <c r="BO73" i="5"/>
  <c r="BO87" i="5"/>
  <c r="BO127" i="5"/>
  <c r="BO169" i="5"/>
  <c r="BG58" i="5"/>
  <c r="BG87" i="5"/>
  <c r="BR11" i="5"/>
  <c r="BN122" i="5"/>
  <c r="BN176" i="5"/>
  <c r="BF120" i="5"/>
  <c r="BF170" i="5"/>
  <c r="BF183" i="5"/>
  <c r="BM10" i="5"/>
  <c r="BU33" i="5"/>
  <c r="BU159" i="5"/>
  <c r="BU153" i="5"/>
  <c r="BU188" i="5"/>
  <c r="BM81" i="5"/>
  <c r="BM74" i="5"/>
  <c r="BM132" i="5"/>
  <c r="BM148" i="5"/>
  <c r="BM178" i="5"/>
  <c r="BE27" i="5"/>
  <c r="BE161" i="5"/>
  <c r="BE195" i="5"/>
  <c r="BQ25" i="5"/>
  <c r="BQ99" i="5"/>
  <c r="BQ126" i="5"/>
  <c r="BQ133" i="5"/>
  <c r="BQ151" i="5"/>
  <c r="BQ181" i="5"/>
  <c r="BL16" i="5"/>
  <c r="BL8" i="5"/>
  <c r="BT42" i="5"/>
  <c r="BT87" i="5"/>
  <c r="BT100" i="5"/>
  <c r="BT108" i="5"/>
  <c r="BT147" i="5"/>
  <c r="BT169" i="5"/>
  <c r="BL89" i="5"/>
  <c r="BL114" i="5"/>
  <c r="BJ182" i="5"/>
  <c r="BS114" i="5"/>
  <c r="BK45" i="5"/>
  <c r="BK114" i="5"/>
  <c r="BR178" i="5"/>
  <c r="BH70" i="5"/>
  <c r="BO147" i="5"/>
  <c r="BR13" i="5"/>
  <c r="BN156" i="5"/>
  <c r="BQ17" i="5"/>
  <c r="BM127" i="5"/>
  <c r="BT41" i="5"/>
  <c r="BL94" i="5"/>
  <c r="BS116" i="5"/>
  <c r="BK55" i="5"/>
  <c r="BK116" i="5"/>
  <c r="BK156" i="5"/>
  <c r="BQ170" i="5"/>
  <c r="BJ30" i="5"/>
  <c r="BJ130" i="5"/>
  <c r="BS100" i="5"/>
  <c r="BK83" i="5"/>
  <c r="BK195" i="5"/>
  <c r="BR81" i="5"/>
  <c r="BR126" i="5"/>
  <c r="BP136" i="5"/>
  <c r="BI55" i="5"/>
  <c r="BI89" i="5"/>
  <c r="BK11" i="5"/>
  <c r="BO88" i="5"/>
  <c r="BQ37" i="5"/>
  <c r="BQ94" i="5"/>
  <c r="BQ136" i="5"/>
  <c r="BL135" i="5"/>
  <c r="BJ22" i="5"/>
  <c r="BJ187" i="5"/>
  <c r="BS95" i="5"/>
  <c r="BK47" i="5"/>
  <c r="BK146" i="5"/>
  <c r="BR51" i="5"/>
  <c r="BR107" i="5"/>
  <c r="BP35" i="5"/>
  <c r="BP85" i="5"/>
  <c r="BP181" i="5"/>
  <c r="BH127" i="5"/>
  <c r="BH167" i="5"/>
  <c r="BI35" i="5"/>
  <c r="BI85" i="5"/>
  <c r="BO85" i="5"/>
  <c r="BF105" i="5"/>
  <c r="BF134" i="5"/>
  <c r="BF181" i="5"/>
  <c r="BQ21" i="5"/>
  <c r="BM12" i="5"/>
  <c r="BI7" i="5"/>
  <c r="BU77" i="5"/>
  <c r="BU121" i="5"/>
  <c r="BU144" i="5"/>
  <c r="BU146" i="5"/>
  <c r="BU176" i="5"/>
  <c r="BM30" i="5"/>
  <c r="BM79" i="5"/>
  <c r="BM123" i="5"/>
  <c r="BM161" i="5"/>
  <c r="BE47" i="5"/>
  <c r="BE106" i="5"/>
  <c r="BE134" i="5"/>
  <c r="BE169" i="5"/>
  <c r="BE193" i="5"/>
  <c r="BQ22" i="5"/>
  <c r="BQ84" i="5"/>
  <c r="BQ158" i="5"/>
  <c r="BQ131" i="5"/>
  <c r="BQ149" i="5"/>
  <c r="BR37" i="5"/>
  <c r="BT16" i="5"/>
  <c r="BT8" i="5"/>
  <c r="BT37" i="5"/>
  <c r="BT40" i="5"/>
  <c r="BT129" i="5"/>
  <c r="BL43" i="5"/>
  <c r="BL137" i="5"/>
  <c r="BL187" i="5"/>
  <c r="BJ20" i="5"/>
  <c r="BJ94" i="5"/>
  <c r="BJ170" i="5"/>
  <c r="BJ186" i="5"/>
  <c r="BO21" i="5"/>
  <c r="BS55" i="5"/>
  <c r="BS82" i="5"/>
  <c r="BS133" i="5"/>
  <c r="BK30" i="5"/>
  <c r="BK81" i="5"/>
  <c r="BK98" i="5"/>
  <c r="BK128" i="5"/>
  <c r="BK132" i="5"/>
  <c r="BR109" i="5"/>
  <c r="BR124" i="5"/>
  <c r="BR140" i="5"/>
  <c r="BR163" i="5"/>
  <c r="BR195" i="5"/>
  <c r="BR194" i="5"/>
  <c r="BP107" i="5"/>
  <c r="BH31" i="5"/>
  <c r="BH123" i="5"/>
  <c r="BH126" i="5"/>
  <c r="BI39" i="5"/>
  <c r="BI84" i="5"/>
  <c r="BI122" i="5"/>
  <c r="BI129" i="5"/>
  <c r="BI156" i="5"/>
  <c r="BI182" i="5"/>
  <c r="BO67" i="5"/>
  <c r="BO102" i="5"/>
  <c r="BO136" i="5"/>
  <c r="BO145" i="5"/>
  <c r="BO179" i="5"/>
  <c r="BG29" i="5"/>
  <c r="BG67" i="5"/>
  <c r="BG96" i="5"/>
  <c r="BG135" i="5"/>
  <c r="BG126" i="5"/>
  <c r="BG150" i="5"/>
  <c r="BG167" i="5"/>
  <c r="BG178" i="5"/>
  <c r="BE56" i="5"/>
  <c r="BN20" i="5"/>
  <c r="BN27" i="5"/>
  <c r="BN56" i="5"/>
  <c r="BN57" i="5"/>
  <c r="BN81" i="5"/>
  <c r="BN100" i="5"/>
  <c r="BN135" i="5"/>
  <c r="BN152" i="5"/>
  <c r="BN194" i="5"/>
  <c r="BF27" i="5"/>
  <c r="BF49" i="5"/>
  <c r="BF55" i="5"/>
  <c r="BF81" i="5"/>
  <c r="BF92" i="5"/>
  <c r="BF131" i="5"/>
  <c r="BF150" i="5"/>
  <c r="BI20" i="5"/>
  <c r="BG27" i="5"/>
  <c r="BQ19" i="5"/>
  <c r="BU68" i="5"/>
  <c r="BU60" i="5"/>
  <c r="BU95" i="5"/>
  <c r="BU107" i="5"/>
  <c r="BU110" i="5"/>
  <c r="BU120" i="5"/>
  <c r="BU171" i="5"/>
  <c r="BM32" i="5"/>
  <c r="BM56" i="5"/>
  <c r="BM96" i="5"/>
  <c r="BM144" i="5"/>
  <c r="BM162" i="5"/>
  <c r="BE57" i="5"/>
  <c r="BE55" i="5"/>
  <c r="BE67" i="5"/>
  <c r="BE86" i="5"/>
  <c r="BE111" i="5"/>
  <c r="BE120" i="5"/>
  <c r="BE139" i="5"/>
  <c r="BE172" i="5"/>
  <c r="BI12" i="5"/>
  <c r="BQ112" i="5"/>
  <c r="BQ62" i="5"/>
  <c r="BQ77" i="5"/>
  <c r="BK35" i="5"/>
  <c r="BT24" i="5"/>
  <c r="BT56" i="5"/>
  <c r="BT136" i="5"/>
  <c r="BT156" i="5"/>
  <c r="BT186" i="5"/>
  <c r="BL32" i="5"/>
  <c r="BL76" i="5"/>
  <c r="BJ57" i="5"/>
  <c r="BJ139" i="5"/>
  <c r="BS83" i="5"/>
  <c r="BS152" i="5"/>
  <c r="BS177" i="5"/>
  <c r="BK161" i="5"/>
  <c r="BR69" i="5"/>
  <c r="BR96" i="5"/>
  <c r="BR142" i="5"/>
  <c r="BP116" i="5"/>
  <c r="BP175" i="5"/>
  <c r="BH110" i="5"/>
  <c r="BO183" i="5"/>
  <c r="BG98" i="5"/>
  <c r="BG139" i="5"/>
  <c r="BG151" i="5"/>
  <c r="BN22" i="5"/>
  <c r="BN141" i="5"/>
  <c r="BF175" i="5"/>
  <c r="BU62" i="5"/>
  <c r="BU175" i="5"/>
  <c r="BM58" i="5"/>
  <c r="BE69" i="5"/>
  <c r="BE176" i="5"/>
  <c r="BQ64" i="5"/>
  <c r="BQ113" i="5"/>
  <c r="BF34" i="5"/>
  <c r="BT133" i="5"/>
  <c r="BJ62" i="5"/>
  <c r="BS85" i="5"/>
  <c r="BK102" i="5"/>
  <c r="BK149" i="5"/>
  <c r="BR85" i="5"/>
  <c r="BR128" i="5"/>
  <c r="BS178" i="5"/>
  <c r="BR88" i="5"/>
  <c r="BS35" i="5"/>
  <c r="BN76" i="5"/>
  <c r="BN121" i="5"/>
  <c r="BF68" i="5"/>
  <c r="BF106" i="5"/>
  <c r="BF164" i="5"/>
  <c r="BU39" i="5"/>
  <c r="BU115" i="5"/>
  <c r="BU168" i="5"/>
  <c r="BM34" i="5"/>
  <c r="BE68" i="5"/>
  <c r="BI10" i="5"/>
  <c r="BT115" i="5"/>
  <c r="BT184" i="5"/>
  <c r="BL130" i="5"/>
  <c r="BL168" i="5"/>
  <c r="BJ59" i="5"/>
  <c r="BS51" i="5"/>
  <c r="BK85" i="5"/>
  <c r="BK113" i="5"/>
  <c r="BR46" i="5"/>
  <c r="BR113" i="5"/>
  <c r="BS44" i="5"/>
  <c r="BG182" i="5"/>
  <c r="BN84" i="5"/>
  <c r="BN108" i="5"/>
  <c r="BF41" i="5"/>
  <c r="BF93" i="5"/>
  <c r="BF153" i="5"/>
  <c r="BS37" i="5"/>
  <c r="BU112" i="5"/>
  <c r="BU163" i="5"/>
  <c r="BE59" i="5"/>
  <c r="BE105" i="5"/>
  <c r="BT95" i="5"/>
  <c r="BT170" i="5"/>
  <c r="BL111" i="5"/>
  <c r="BL159" i="5"/>
  <c r="BJ32" i="5"/>
  <c r="BJ95" i="5"/>
  <c r="BJ151" i="5"/>
  <c r="BS12" i="5"/>
  <c r="BS148" i="5"/>
  <c r="BS192" i="5"/>
  <c r="BR30" i="5"/>
  <c r="BR93" i="5"/>
  <c r="BR165" i="5"/>
  <c r="BG169" i="5"/>
  <c r="BN50" i="5"/>
  <c r="BN193" i="5"/>
  <c r="BF191" i="5"/>
  <c r="BU97" i="5"/>
  <c r="BM166" i="5"/>
  <c r="BE115" i="5"/>
  <c r="BE140" i="5"/>
  <c r="BT107" i="5"/>
  <c r="BJ84" i="5"/>
  <c r="BJ132" i="5"/>
  <c r="BS102" i="5"/>
  <c r="BK192" i="5"/>
  <c r="BR144" i="5"/>
  <c r="BQ79" i="5"/>
  <c r="BQ173" i="5"/>
  <c r="BT158" i="5"/>
  <c r="BT227" i="46"/>
  <c r="BL227" i="46"/>
  <c r="BD227" i="46"/>
  <c r="BP226" i="46"/>
  <c r="BH226" i="46"/>
  <c r="BS227" i="46"/>
  <c r="BK227" i="46"/>
  <c r="BC227" i="46"/>
  <c r="BR227" i="46"/>
  <c r="BJ227" i="46"/>
  <c r="BB227" i="46"/>
  <c r="BN226" i="46"/>
  <c r="BF226" i="46"/>
  <c r="BR225" i="46"/>
  <c r="BJ225" i="46"/>
  <c r="BB225" i="46"/>
  <c r="BN224" i="46"/>
  <c r="BF224" i="46"/>
  <c r="BR223" i="46"/>
  <c r="BJ223" i="46"/>
  <c r="BB223" i="46"/>
  <c r="BN222" i="46"/>
  <c r="BF222" i="46"/>
  <c r="BR221" i="46"/>
  <c r="BJ221" i="46"/>
  <c r="BB221" i="46"/>
  <c r="BN220" i="46"/>
  <c r="BF220" i="46"/>
  <c r="BQ227" i="46"/>
  <c r="BI227" i="46"/>
  <c r="BA227" i="46"/>
  <c r="BU226" i="46"/>
  <c r="BM226" i="46"/>
  <c r="BE226" i="46"/>
  <c r="BQ225" i="46"/>
  <c r="BI225" i="46"/>
  <c r="BA225" i="46"/>
  <c r="BU224" i="46"/>
  <c r="BM224" i="46"/>
  <c r="BE224" i="46"/>
  <c r="BQ223" i="46"/>
  <c r="BI223" i="46"/>
  <c r="BA223" i="46"/>
  <c r="BU222" i="46"/>
  <c r="BM222" i="46"/>
  <c r="BE222" i="46"/>
  <c r="BQ221" i="46"/>
  <c r="BI221" i="46"/>
  <c r="BA221" i="46"/>
  <c r="BU220" i="46"/>
  <c r="BM220" i="46"/>
  <c r="BE220" i="46"/>
  <c r="BQ219" i="46"/>
  <c r="BI219" i="46"/>
  <c r="BA219" i="46"/>
  <c r="BU218" i="46"/>
  <c r="BM218" i="46"/>
  <c r="BE218" i="46"/>
  <c r="BQ217" i="46"/>
  <c r="BI217" i="46"/>
  <c r="BA217" i="46"/>
  <c r="BP227" i="46"/>
  <c r="BH227" i="46"/>
  <c r="AZ227" i="46"/>
  <c r="BT226" i="46"/>
  <c r="BL226" i="46"/>
  <c r="BD226" i="46"/>
  <c r="BP225" i="46"/>
  <c r="BH225" i="46"/>
  <c r="AZ225" i="46"/>
  <c r="BT224" i="46"/>
  <c r="BL224" i="46"/>
  <c r="BD224" i="46"/>
  <c r="BP223" i="46"/>
  <c r="BH223" i="46"/>
  <c r="AZ223" i="46"/>
  <c r="BT222" i="46"/>
  <c r="BL222" i="46"/>
  <c r="BD222" i="46"/>
  <c r="BP221" i="46"/>
  <c r="BH221" i="46"/>
  <c r="AZ221" i="46"/>
  <c r="BT220" i="46"/>
  <c r="BL220" i="46"/>
  <c r="BD220" i="46"/>
  <c r="BP219" i="46"/>
  <c r="BH219" i="46"/>
  <c r="AZ219" i="46"/>
  <c r="BT218" i="46"/>
  <c r="BO227" i="46"/>
  <c r="BG227" i="46"/>
  <c r="BS226" i="46"/>
  <c r="BK226" i="46"/>
  <c r="BC226" i="46"/>
  <c r="BO225" i="46"/>
  <c r="BG225" i="46"/>
  <c r="BS224" i="46"/>
  <c r="BK224" i="46"/>
  <c r="BC224" i="46"/>
  <c r="BN227" i="46"/>
  <c r="BF227" i="46"/>
  <c r="BR226" i="46"/>
  <c r="BJ226" i="46"/>
  <c r="BB226" i="46"/>
  <c r="BN225" i="46"/>
  <c r="BF225" i="46"/>
  <c r="BR224" i="46"/>
  <c r="BJ224" i="46"/>
  <c r="BB224" i="46"/>
  <c r="BN223" i="46"/>
  <c r="BF223" i="46"/>
  <c r="BR222" i="46"/>
  <c r="BJ222" i="46"/>
  <c r="BB222" i="46"/>
  <c r="BN221" i="46"/>
  <c r="BF221" i="46"/>
  <c r="BR220" i="46"/>
  <c r="BJ220" i="46"/>
  <c r="BB220" i="46"/>
  <c r="BN219" i="46"/>
  <c r="BF219" i="46"/>
  <c r="BR218" i="46"/>
  <c r="BJ218" i="46"/>
  <c r="BB218" i="46"/>
  <c r="BN217" i="46"/>
  <c r="BF217" i="46"/>
  <c r="BU227" i="46"/>
  <c r="BQ226" i="46"/>
  <c r="BK225" i="46"/>
  <c r="BA224" i="46"/>
  <c r="BU223" i="46"/>
  <c r="BE223" i="46"/>
  <c r="BP222" i="46"/>
  <c r="AZ222" i="46"/>
  <c r="BL221" i="46"/>
  <c r="BG220" i="46"/>
  <c r="BK219" i="46"/>
  <c r="BQ218" i="46"/>
  <c r="BG218" i="46"/>
  <c r="BM217" i="46"/>
  <c r="BC217" i="46"/>
  <c r="BS216" i="46"/>
  <c r="BK216" i="46"/>
  <c r="BC216" i="46"/>
  <c r="BO215" i="46"/>
  <c r="BG215" i="46"/>
  <c r="BS214" i="46"/>
  <c r="BK214" i="46"/>
  <c r="BC214" i="46"/>
  <c r="BM227" i="46"/>
  <c r="BO226" i="46"/>
  <c r="BE225" i="46"/>
  <c r="AZ224" i="46"/>
  <c r="BT223" i="46"/>
  <c r="BD223" i="46"/>
  <c r="BO222" i="46"/>
  <c r="BK221" i="46"/>
  <c r="BS220" i="46"/>
  <c r="BC220" i="46"/>
  <c r="BU219" i="46"/>
  <c r="BJ219" i="46"/>
  <c r="BP218" i="46"/>
  <c r="BF218" i="46"/>
  <c r="BL217" i="46"/>
  <c r="BB217" i="46"/>
  <c r="BR216" i="46"/>
  <c r="BJ216" i="46"/>
  <c r="BB216" i="46"/>
  <c r="BN215" i="46"/>
  <c r="BF215" i="46"/>
  <c r="BR214" i="46"/>
  <c r="BJ214" i="46"/>
  <c r="BB214" i="46"/>
  <c r="BN213" i="46"/>
  <c r="BE227" i="46"/>
  <c r="BI226" i="46"/>
  <c r="BD225" i="46"/>
  <c r="BQ224" i="46"/>
  <c r="BS223" i="46"/>
  <c r="BC223" i="46"/>
  <c r="BK222" i="46"/>
  <c r="BG221" i="46"/>
  <c r="BQ220" i="46"/>
  <c r="BA220" i="46"/>
  <c r="BT219" i="46"/>
  <c r="BG219" i="46"/>
  <c r="BO218" i="46"/>
  <c r="BD218" i="46"/>
  <c r="BU217" i="46"/>
  <c r="BK217" i="46"/>
  <c r="AZ217" i="46"/>
  <c r="BQ216" i="46"/>
  <c r="BI216" i="46"/>
  <c r="BA216" i="46"/>
  <c r="BU215" i="46"/>
  <c r="BM215" i="46"/>
  <c r="BE215" i="46"/>
  <c r="BQ214" i="46"/>
  <c r="BI214" i="46"/>
  <c r="BA214" i="46"/>
  <c r="BU213" i="46"/>
  <c r="BM213" i="46"/>
  <c r="BE213" i="46"/>
  <c r="BQ212" i="46"/>
  <c r="BI212" i="46"/>
  <c r="BA212" i="46"/>
  <c r="BU211" i="46"/>
  <c r="BM211" i="46"/>
  <c r="BE211" i="46"/>
  <c r="BG226" i="46"/>
  <c r="BU225" i="46"/>
  <c r="BC225" i="46"/>
  <c r="BP224" i="46"/>
  <c r="BO223" i="46"/>
  <c r="BI222" i="46"/>
  <c r="BU221" i="46"/>
  <c r="BE221" i="46"/>
  <c r="BP220" i="46"/>
  <c r="AZ220" i="46"/>
  <c r="BS219" i="46"/>
  <c r="BE219" i="46"/>
  <c r="BN218" i="46"/>
  <c r="BC218" i="46"/>
  <c r="BT217" i="46"/>
  <c r="BJ217" i="46"/>
  <c r="BP216" i="46"/>
  <c r="BH216" i="46"/>
  <c r="AZ216" i="46"/>
  <c r="BT215" i="46"/>
  <c r="BL215" i="46"/>
  <c r="BD215" i="46"/>
  <c r="BP214" i="46"/>
  <c r="BH214" i="46"/>
  <c r="AZ214" i="46"/>
  <c r="BT213" i="46"/>
  <c r="BL213" i="46"/>
  <c r="BD213" i="46"/>
  <c r="BP212" i="46"/>
  <c r="BH212" i="46"/>
  <c r="AZ212" i="46"/>
  <c r="BT211" i="46"/>
  <c r="BL211" i="46"/>
  <c r="BD211" i="46"/>
  <c r="BA226" i="46"/>
  <c r="BT225" i="46"/>
  <c r="BO224" i="46"/>
  <c r="BM223" i="46"/>
  <c r="BH222" i="46"/>
  <c r="BT221" i="46"/>
  <c r="BD221" i="46"/>
  <c r="BO220" i="46"/>
  <c r="BR219" i="46"/>
  <c r="BD219" i="46"/>
  <c r="BL218" i="46"/>
  <c r="BA218" i="46"/>
  <c r="BS217" i="46"/>
  <c r="BH217" i="46"/>
  <c r="BO216" i="46"/>
  <c r="BG216" i="46"/>
  <c r="BS215" i="46"/>
  <c r="BK215" i="46"/>
  <c r="BC215" i="46"/>
  <c r="BM225" i="46"/>
  <c r="BH224" i="46"/>
  <c r="BK223" i="46"/>
  <c r="BS222" i="46"/>
  <c r="BC222" i="46"/>
  <c r="BO221" i="46"/>
  <c r="BI220" i="46"/>
  <c r="BM219" i="46"/>
  <c r="BB219" i="46"/>
  <c r="BI218" i="46"/>
  <c r="BP217" i="46"/>
  <c r="BE217" i="46"/>
  <c r="BU216" i="46"/>
  <c r="BM216" i="46"/>
  <c r="BE216" i="46"/>
  <c r="BQ215" i="46"/>
  <c r="BI215" i="46"/>
  <c r="BA215" i="46"/>
  <c r="BU214" i="46"/>
  <c r="BM214" i="46"/>
  <c r="BE214" i="46"/>
  <c r="BQ213" i="46"/>
  <c r="BI213" i="46"/>
  <c r="BA213" i="46"/>
  <c r="BU212" i="46"/>
  <c r="BM212" i="46"/>
  <c r="BE212" i="46"/>
  <c r="BQ211" i="46"/>
  <c r="BI211" i="46"/>
  <c r="BA211" i="46"/>
  <c r="BL225" i="46"/>
  <c r="BG224" i="46"/>
  <c r="BG223" i="46"/>
  <c r="BQ222" i="46"/>
  <c r="BA222" i="46"/>
  <c r="BM221" i="46"/>
  <c r="BH220" i="46"/>
  <c r="BS221" i="46"/>
  <c r="BH218" i="46"/>
  <c r="BR217" i="46"/>
  <c r="BF216" i="46"/>
  <c r="BB215" i="46"/>
  <c r="BO214" i="46"/>
  <c r="BO213" i="46"/>
  <c r="AZ213" i="46"/>
  <c r="BT212" i="46"/>
  <c r="BG212" i="46"/>
  <c r="BO211" i="46"/>
  <c r="BB211" i="46"/>
  <c r="BP210" i="46"/>
  <c r="BH210" i="46"/>
  <c r="AZ210" i="46"/>
  <c r="BT209" i="46"/>
  <c r="BL209" i="46"/>
  <c r="BD209" i="46"/>
  <c r="BP208" i="46"/>
  <c r="BH208" i="46"/>
  <c r="AZ208" i="46"/>
  <c r="BT207" i="46"/>
  <c r="BL207" i="46"/>
  <c r="BD207" i="46"/>
  <c r="BP206" i="46"/>
  <c r="BH206" i="46"/>
  <c r="AZ206" i="46"/>
  <c r="BT205" i="46"/>
  <c r="BL205" i="46"/>
  <c r="BD205" i="46"/>
  <c r="BP204" i="46"/>
  <c r="BH204" i="46"/>
  <c r="AZ204" i="46"/>
  <c r="BT203" i="46"/>
  <c r="BL203" i="46"/>
  <c r="BD203" i="46"/>
  <c r="AZ226" i="46"/>
  <c r="BC221" i="46"/>
  <c r="AZ218" i="46"/>
  <c r="BO217" i="46"/>
  <c r="BD216" i="46"/>
  <c r="AZ215" i="46"/>
  <c r="BN214" i="46"/>
  <c r="BK213" i="46"/>
  <c r="BS212" i="46"/>
  <c r="BF212" i="46"/>
  <c r="BN211" i="46"/>
  <c r="AZ211" i="46"/>
  <c r="BO210" i="46"/>
  <c r="BG210" i="46"/>
  <c r="BS209" i="46"/>
  <c r="BK209" i="46"/>
  <c r="BC209" i="46"/>
  <c r="BO208" i="46"/>
  <c r="BG208" i="46"/>
  <c r="BS207" i="46"/>
  <c r="BK207" i="46"/>
  <c r="BC207" i="46"/>
  <c r="BO206" i="46"/>
  <c r="BG206" i="46"/>
  <c r="BS205" i="46"/>
  <c r="BK205" i="46"/>
  <c r="BC205" i="46"/>
  <c r="BO204" i="46"/>
  <c r="BG204" i="46"/>
  <c r="BS203" i="46"/>
  <c r="BK203" i="46"/>
  <c r="BC203" i="46"/>
  <c r="BS225" i="46"/>
  <c r="BL223" i="46"/>
  <c r="BG217" i="46"/>
  <c r="BL214" i="46"/>
  <c r="BJ213" i="46"/>
  <c r="BR212" i="46"/>
  <c r="BD212" i="46"/>
  <c r="BK211" i="46"/>
  <c r="BN210" i="46"/>
  <c r="BF210" i="46"/>
  <c r="BR209" i="46"/>
  <c r="BJ209" i="46"/>
  <c r="BB209" i="46"/>
  <c r="BN208" i="46"/>
  <c r="BF208" i="46"/>
  <c r="BR207" i="46"/>
  <c r="BJ207" i="46"/>
  <c r="BB207" i="46"/>
  <c r="BN206" i="46"/>
  <c r="BF206" i="46"/>
  <c r="BR205" i="46"/>
  <c r="BJ205" i="46"/>
  <c r="BB205" i="46"/>
  <c r="BN204" i="46"/>
  <c r="BF204" i="46"/>
  <c r="BR203" i="46"/>
  <c r="BJ203" i="46"/>
  <c r="BB203" i="46"/>
  <c r="BO219" i="46"/>
  <c r="BD217" i="46"/>
  <c r="BG214" i="46"/>
  <c r="BH213" i="46"/>
  <c r="BO212" i="46"/>
  <c r="BC212" i="46"/>
  <c r="BJ211" i="46"/>
  <c r="BU210" i="46"/>
  <c r="BM210" i="46"/>
  <c r="BE210" i="46"/>
  <c r="BQ209" i="46"/>
  <c r="BI209" i="46"/>
  <c r="BA209" i="46"/>
  <c r="BU208" i="46"/>
  <c r="BM208" i="46"/>
  <c r="BE208" i="46"/>
  <c r="BQ207" i="46"/>
  <c r="BI207" i="46"/>
  <c r="BA207" i="46"/>
  <c r="BU206" i="46"/>
  <c r="BM206" i="46"/>
  <c r="BE206" i="46"/>
  <c r="BQ205" i="46"/>
  <c r="BI205" i="46"/>
  <c r="BA205" i="46"/>
  <c r="BU204" i="46"/>
  <c r="BL219" i="46"/>
  <c r="BR215" i="46"/>
  <c r="BF214" i="46"/>
  <c r="BG213" i="46"/>
  <c r="BN212" i="46"/>
  <c r="BB212" i="46"/>
  <c r="BH211" i="46"/>
  <c r="BT210" i="46"/>
  <c r="BL210" i="46"/>
  <c r="BD210" i="46"/>
  <c r="BP209" i="46"/>
  <c r="BH209" i="46"/>
  <c r="AZ209" i="46"/>
  <c r="BT208" i="46"/>
  <c r="BL208" i="46"/>
  <c r="BD208" i="46"/>
  <c r="BP207" i="46"/>
  <c r="BH207" i="46"/>
  <c r="AZ207" i="46"/>
  <c r="BT206" i="46"/>
  <c r="BL206" i="46"/>
  <c r="BD206" i="46"/>
  <c r="BP205" i="46"/>
  <c r="BH205" i="46"/>
  <c r="AZ205" i="46"/>
  <c r="BT204" i="46"/>
  <c r="BL204" i="46"/>
  <c r="BD204" i="46"/>
  <c r="BP203" i="46"/>
  <c r="BH203" i="46"/>
  <c r="AZ203" i="46"/>
  <c r="BG222" i="46"/>
  <c r="BK220" i="46"/>
  <c r="BC219" i="46"/>
  <c r="BT216" i="46"/>
  <c r="BP215" i="46"/>
  <c r="BD214" i="46"/>
  <c r="BS213" i="46"/>
  <c r="BF213" i="46"/>
  <c r="BL212" i="46"/>
  <c r="BS211" i="46"/>
  <c r="BG211" i="46"/>
  <c r="BS210" i="46"/>
  <c r="BK210" i="46"/>
  <c r="BC210" i="46"/>
  <c r="BO209" i="46"/>
  <c r="BG209" i="46"/>
  <c r="BS208" i="46"/>
  <c r="BK208" i="46"/>
  <c r="BC208" i="46"/>
  <c r="BO207" i="46"/>
  <c r="BG207" i="46"/>
  <c r="BS206" i="46"/>
  <c r="BK206" i="46"/>
  <c r="BC206" i="46"/>
  <c r="BO205" i="46"/>
  <c r="BG205" i="46"/>
  <c r="BS204" i="46"/>
  <c r="BK204" i="46"/>
  <c r="BC204" i="46"/>
  <c r="BS218" i="46"/>
  <c r="BN216" i="46"/>
  <c r="BJ215" i="46"/>
  <c r="BR213" i="46"/>
  <c r="BC213" i="46"/>
  <c r="BK212" i="46"/>
  <c r="BR211" i="46"/>
  <c r="BF211" i="46"/>
  <c r="BR210" i="46"/>
  <c r="BJ210" i="46"/>
  <c r="BB210" i="46"/>
  <c r="BN209" i="46"/>
  <c r="BF209" i="46"/>
  <c r="BR208" i="46"/>
  <c r="BJ208" i="46"/>
  <c r="BB208" i="46"/>
  <c r="BN207" i="46"/>
  <c r="BF207" i="46"/>
  <c r="BR206" i="46"/>
  <c r="BJ206" i="46"/>
  <c r="BB206" i="46"/>
  <c r="BN205" i="46"/>
  <c r="BF205" i="46"/>
  <c r="BR204" i="46"/>
  <c r="BJ204" i="46"/>
  <c r="BB204" i="46"/>
  <c r="BN203" i="46"/>
  <c r="BF203" i="46"/>
  <c r="BH215" i="46"/>
  <c r="BB213" i="46"/>
  <c r="BQ206" i="46"/>
  <c r="BU205" i="46"/>
  <c r="BM204" i="46"/>
  <c r="BM203" i="46"/>
  <c r="BN202" i="46"/>
  <c r="BF202" i="46"/>
  <c r="BR201" i="46"/>
  <c r="BJ201" i="46"/>
  <c r="BB201" i="46"/>
  <c r="BN200" i="46"/>
  <c r="BF200" i="46"/>
  <c r="BR199" i="46"/>
  <c r="BJ199" i="46"/>
  <c r="BB199" i="46"/>
  <c r="BN198" i="46"/>
  <c r="BF198" i="46"/>
  <c r="BR197" i="46"/>
  <c r="BJ197" i="46"/>
  <c r="BB197" i="46"/>
  <c r="BN196" i="46"/>
  <c r="BF196" i="46"/>
  <c r="BR195" i="46"/>
  <c r="BJ195" i="46"/>
  <c r="BB195" i="46"/>
  <c r="BN194" i="46"/>
  <c r="BF194" i="46"/>
  <c r="BK218" i="46"/>
  <c r="BQ210" i="46"/>
  <c r="BU209" i="46"/>
  <c r="BQ208" i="46"/>
  <c r="BU207" i="46"/>
  <c r="BI206" i="46"/>
  <c r="BM205" i="46"/>
  <c r="BI204" i="46"/>
  <c r="BI203" i="46"/>
  <c r="BU202" i="46"/>
  <c r="BM202" i="46"/>
  <c r="BE202" i="46"/>
  <c r="BQ201" i="46"/>
  <c r="BI201" i="46"/>
  <c r="BA201" i="46"/>
  <c r="BU200" i="46"/>
  <c r="BM200" i="46"/>
  <c r="BE200" i="46"/>
  <c r="BQ199" i="46"/>
  <c r="BI199" i="46"/>
  <c r="BA199" i="46"/>
  <c r="BU198" i="46"/>
  <c r="BM198" i="46"/>
  <c r="BE198" i="46"/>
  <c r="BQ197" i="46"/>
  <c r="BI197" i="46"/>
  <c r="BA197" i="46"/>
  <c r="BU196" i="46"/>
  <c r="BM196" i="46"/>
  <c r="BE196" i="46"/>
  <c r="BQ195" i="46"/>
  <c r="BI195" i="46"/>
  <c r="BA195" i="46"/>
  <c r="BU194" i="46"/>
  <c r="BM194" i="46"/>
  <c r="BI210" i="46"/>
  <c r="BM209" i="46"/>
  <c r="BI208" i="46"/>
  <c r="BM207" i="46"/>
  <c r="BA206" i="46"/>
  <c r="BE205" i="46"/>
  <c r="BE204" i="46"/>
  <c r="BG203" i="46"/>
  <c r="BT202" i="46"/>
  <c r="BL202" i="46"/>
  <c r="BD202" i="46"/>
  <c r="BP201" i="46"/>
  <c r="BH201" i="46"/>
  <c r="AZ201" i="46"/>
  <c r="BT200" i="46"/>
  <c r="BL200" i="46"/>
  <c r="BD200" i="46"/>
  <c r="BP199" i="46"/>
  <c r="BH199" i="46"/>
  <c r="AZ199" i="46"/>
  <c r="BT198" i="46"/>
  <c r="BL198" i="46"/>
  <c r="BD198" i="46"/>
  <c r="BP197" i="46"/>
  <c r="BH197" i="46"/>
  <c r="AZ197" i="46"/>
  <c r="BT196" i="46"/>
  <c r="BL196" i="46"/>
  <c r="BD196" i="46"/>
  <c r="BP195" i="46"/>
  <c r="BH195" i="46"/>
  <c r="AZ195" i="46"/>
  <c r="BT194" i="46"/>
  <c r="BL194" i="46"/>
  <c r="BD194" i="46"/>
  <c r="BI224" i="46"/>
  <c r="BP211" i="46"/>
  <c r="BA210" i="46"/>
  <c r="BE209" i="46"/>
  <c r="BA208" i="46"/>
  <c r="BE207" i="46"/>
  <c r="BA204" i="46"/>
  <c r="BE203" i="46"/>
  <c r="BS202" i="46"/>
  <c r="BK202" i="46"/>
  <c r="BC202" i="46"/>
  <c r="BO201" i="46"/>
  <c r="BG201" i="46"/>
  <c r="BS200" i="46"/>
  <c r="BK200" i="46"/>
  <c r="BC200" i="46"/>
  <c r="BO199" i="46"/>
  <c r="BG199" i="46"/>
  <c r="BS198" i="46"/>
  <c r="BK198" i="46"/>
  <c r="BC198" i="46"/>
  <c r="BT214" i="46"/>
  <c r="BC211" i="46"/>
  <c r="BA203" i="46"/>
  <c r="BR202" i="46"/>
  <c r="BJ202" i="46"/>
  <c r="BB202" i="46"/>
  <c r="BN201" i="46"/>
  <c r="BF201" i="46"/>
  <c r="BR200" i="46"/>
  <c r="BJ200" i="46"/>
  <c r="BB200" i="46"/>
  <c r="BN199" i="46"/>
  <c r="BF199" i="46"/>
  <c r="BR198" i="46"/>
  <c r="BJ198" i="46"/>
  <c r="BB198" i="46"/>
  <c r="BN197" i="46"/>
  <c r="BF197" i="46"/>
  <c r="BR196" i="46"/>
  <c r="BJ196" i="46"/>
  <c r="BB196" i="46"/>
  <c r="BL216" i="46"/>
  <c r="BU203" i="46"/>
  <c r="BQ202" i="46"/>
  <c r="BI202" i="46"/>
  <c r="BA202" i="46"/>
  <c r="BU201" i="46"/>
  <c r="BM201" i="46"/>
  <c r="BE201" i="46"/>
  <c r="BQ200" i="46"/>
  <c r="BI200" i="46"/>
  <c r="BA200" i="46"/>
  <c r="BU199" i="46"/>
  <c r="BM199" i="46"/>
  <c r="BE199" i="46"/>
  <c r="BQ198" i="46"/>
  <c r="BI198" i="46"/>
  <c r="BA198" i="46"/>
  <c r="BJ212" i="46"/>
  <c r="BQ203" i="46"/>
  <c r="BP202" i="46"/>
  <c r="BH202" i="46"/>
  <c r="AZ202" i="46"/>
  <c r="BT201" i="46"/>
  <c r="BL201" i="46"/>
  <c r="BD201" i="46"/>
  <c r="BP200" i="46"/>
  <c r="BH200" i="46"/>
  <c r="AZ200" i="46"/>
  <c r="BT199" i="46"/>
  <c r="BL199" i="46"/>
  <c r="BD199" i="46"/>
  <c r="BP198" i="46"/>
  <c r="BH198" i="46"/>
  <c r="AZ198" i="46"/>
  <c r="BT197" i="46"/>
  <c r="BL197" i="46"/>
  <c r="BD197" i="46"/>
  <c r="BP196" i="46"/>
  <c r="BH196" i="46"/>
  <c r="AZ196" i="46"/>
  <c r="BG200" i="46"/>
  <c r="BK199" i="46"/>
  <c r="BM197" i="46"/>
  <c r="BI196" i="46"/>
  <c r="BO195" i="46"/>
  <c r="BD195" i="46"/>
  <c r="BJ194" i="46"/>
  <c r="AZ194" i="46"/>
  <c r="BR193" i="46"/>
  <c r="BJ193" i="46"/>
  <c r="BB193" i="46"/>
  <c r="BN192" i="46"/>
  <c r="BF192" i="46"/>
  <c r="BR191" i="46"/>
  <c r="BJ191" i="46"/>
  <c r="BB191" i="46"/>
  <c r="BN190" i="46"/>
  <c r="BF190" i="46"/>
  <c r="BR189" i="46"/>
  <c r="BJ189" i="46"/>
  <c r="BB189" i="46"/>
  <c r="BN188" i="46"/>
  <c r="BF188" i="46"/>
  <c r="BR187" i="46"/>
  <c r="BJ187" i="46"/>
  <c r="BB187" i="46"/>
  <c r="BN186" i="46"/>
  <c r="BF186" i="46"/>
  <c r="BR185" i="46"/>
  <c r="BJ185" i="46"/>
  <c r="BO203" i="46"/>
  <c r="BC199" i="46"/>
  <c r="BO198" i="46"/>
  <c r="BK197" i="46"/>
  <c r="BG196" i="46"/>
  <c r="BN195" i="46"/>
  <c r="BC195" i="46"/>
  <c r="BI194" i="46"/>
  <c r="BQ193" i="46"/>
  <c r="BI193" i="46"/>
  <c r="BA193" i="46"/>
  <c r="BU192" i="46"/>
  <c r="BM192" i="46"/>
  <c r="BE192" i="46"/>
  <c r="BQ191" i="46"/>
  <c r="BI191" i="46"/>
  <c r="BA191" i="46"/>
  <c r="BU190" i="46"/>
  <c r="BM190" i="46"/>
  <c r="BE190" i="46"/>
  <c r="BQ189" i="46"/>
  <c r="BI189" i="46"/>
  <c r="BA189" i="46"/>
  <c r="BU188" i="46"/>
  <c r="BM188" i="46"/>
  <c r="BE188" i="46"/>
  <c r="BQ187" i="46"/>
  <c r="BI187" i="46"/>
  <c r="BA187" i="46"/>
  <c r="BU186" i="46"/>
  <c r="BM186" i="46"/>
  <c r="BE186" i="46"/>
  <c r="BQ185" i="46"/>
  <c r="BI185" i="46"/>
  <c r="BG198" i="46"/>
  <c r="BG197" i="46"/>
  <c r="BC196" i="46"/>
  <c r="BM195" i="46"/>
  <c r="BS194" i="46"/>
  <c r="BH194" i="46"/>
  <c r="BP193" i="46"/>
  <c r="BH193" i="46"/>
  <c r="AZ193" i="46"/>
  <c r="BT192" i="46"/>
  <c r="BL192" i="46"/>
  <c r="BD192" i="46"/>
  <c r="BP191" i="46"/>
  <c r="BH191" i="46"/>
  <c r="AZ191" i="46"/>
  <c r="BT190" i="46"/>
  <c r="BL190" i="46"/>
  <c r="BD190" i="46"/>
  <c r="BP189" i="46"/>
  <c r="BH189" i="46"/>
  <c r="AZ189" i="46"/>
  <c r="BT188" i="46"/>
  <c r="BL188" i="46"/>
  <c r="BD188" i="46"/>
  <c r="BP187" i="46"/>
  <c r="BH187" i="46"/>
  <c r="AZ187" i="46"/>
  <c r="BT186" i="46"/>
  <c r="BL186" i="46"/>
  <c r="BD186" i="46"/>
  <c r="BP185" i="46"/>
  <c r="BH185" i="46"/>
  <c r="AZ185" i="46"/>
  <c r="BP213" i="46"/>
  <c r="BE197" i="46"/>
  <c r="BA196" i="46"/>
  <c r="BL195" i="46"/>
  <c r="BR194" i="46"/>
  <c r="BG194" i="46"/>
  <c r="BO193" i="46"/>
  <c r="BG193" i="46"/>
  <c r="BS192" i="46"/>
  <c r="BK192" i="46"/>
  <c r="BC192" i="46"/>
  <c r="BO191" i="46"/>
  <c r="BG191" i="46"/>
  <c r="BC197" i="46"/>
  <c r="BS196" i="46"/>
  <c r="BK195" i="46"/>
  <c r="BQ194" i="46"/>
  <c r="BE194" i="46"/>
  <c r="BN193" i="46"/>
  <c r="BF193" i="46"/>
  <c r="BR192" i="46"/>
  <c r="BJ192" i="46"/>
  <c r="BB192" i="46"/>
  <c r="BN191" i="46"/>
  <c r="BF191" i="46"/>
  <c r="BR190" i="46"/>
  <c r="BJ190" i="46"/>
  <c r="BB190" i="46"/>
  <c r="BN189" i="46"/>
  <c r="BF189" i="46"/>
  <c r="BR188" i="46"/>
  <c r="BJ188" i="46"/>
  <c r="BB188" i="46"/>
  <c r="BN187" i="46"/>
  <c r="BF187" i="46"/>
  <c r="BR186" i="46"/>
  <c r="BJ186" i="46"/>
  <c r="BB186" i="46"/>
  <c r="BG202" i="46"/>
  <c r="BK201" i="46"/>
  <c r="BS197" i="46"/>
  <c r="BO196" i="46"/>
  <c r="BT195" i="46"/>
  <c r="BF195" i="46"/>
  <c r="BO194" i="46"/>
  <c r="BB194" i="46"/>
  <c r="BT193" i="46"/>
  <c r="BL193" i="46"/>
  <c r="BD193" i="46"/>
  <c r="BP192" i="46"/>
  <c r="BH192" i="46"/>
  <c r="AZ192" i="46"/>
  <c r="BT191" i="46"/>
  <c r="BL191" i="46"/>
  <c r="BD191" i="46"/>
  <c r="BP190" i="46"/>
  <c r="BH190" i="46"/>
  <c r="AZ190" i="46"/>
  <c r="BT189" i="46"/>
  <c r="BL189" i="46"/>
  <c r="BD189" i="46"/>
  <c r="BP188" i="46"/>
  <c r="BH188" i="46"/>
  <c r="AZ188" i="46"/>
  <c r="BT187" i="46"/>
  <c r="BL187" i="46"/>
  <c r="BD187" i="46"/>
  <c r="BP186" i="46"/>
  <c r="BH186" i="46"/>
  <c r="AZ186" i="46"/>
  <c r="BT185" i="46"/>
  <c r="BL185" i="46"/>
  <c r="BD185" i="46"/>
  <c r="BQ204" i="46"/>
  <c r="BC201" i="46"/>
  <c r="BO200" i="46"/>
  <c r="BS199" i="46"/>
  <c r="BO197" i="46"/>
  <c r="BK196" i="46"/>
  <c r="BS195" i="46"/>
  <c r="BE195" i="46"/>
  <c r="BK194" i="46"/>
  <c r="BA194" i="46"/>
  <c r="BS193" i="46"/>
  <c r="BK193" i="46"/>
  <c r="BC193" i="46"/>
  <c r="BO192" i="46"/>
  <c r="BG192" i="46"/>
  <c r="BS191" i="46"/>
  <c r="BK191" i="46"/>
  <c r="BC191" i="46"/>
  <c r="BO190" i="46"/>
  <c r="BG190" i="46"/>
  <c r="BS189" i="46"/>
  <c r="BK189" i="46"/>
  <c r="BC189" i="46"/>
  <c r="BO188" i="46"/>
  <c r="BG188" i="46"/>
  <c r="BU197" i="46"/>
  <c r="BE193" i="46"/>
  <c r="BE191" i="46"/>
  <c r="BK190" i="46"/>
  <c r="BG189" i="46"/>
  <c r="BA188" i="46"/>
  <c r="BO187" i="46"/>
  <c r="BK186" i="46"/>
  <c r="BO185" i="46"/>
  <c r="BB185" i="46"/>
  <c r="BU184" i="46"/>
  <c r="BM184" i="46"/>
  <c r="BE184" i="46"/>
  <c r="BQ183" i="46"/>
  <c r="BI183" i="46"/>
  <c r="BA183" i="46"/>
  <c r="BU182" i="46"/>
  <c r="BM182" i="46"/>
  <c r="BE182" i="46"/>
  <c r="BQ181" i="46"/>
  <c r="BI181" i="46"/>
  <c r="BA181" i="46"/>
  <c r="BU180" i="46"/>
  <c r="BM180" i="46"/>
  <c r="BE180" i="46"/>
  <c r="BQ179" i="46"/>
  <c r="BI179" i="46"/>
  <c r="BA179" i="46"/>
  <c r="BU178" i="46"/>
  <c r="BM178" i="46"/>
  <c r="BE178" i="46"/>
  <c r="BQ177" i="46"/>
  <c r="BI177" i="46"/>
  <c r="BA177" i="46"/>
  <c r="BU195" i="46"/>
  <c r="BI190" i="46"/>
  <c r="BE189" i="46"/>
  <c r="BM187" i="46"/>
  <c r="BI186" i="46"/>
  <c r="BN185" i="46"/>
  <c r="BA185" i="46"/>
  <c r="BT184" i="46"/>
  <c r="BL184" i="46"/>
  <c r="BD184" i="46"/>
  <c r="BP183" i="46"/>
  <c r="BH183" i="46"/>
  <c r="AZ183" i="46"/>
  <c r="BT182" i="46"/>
  <c r="BL182" i="46"/>
  <c r="BD182" i="46"/>
  <c r="BP181" i="46"/>
  <c r="BH181" i="46"/>
  <c r="AZ181" i="46"/>
  <c r="BT180" i="46"/>
  <c r="BL180" i="46"/>
  <c r="BD180" i="46"/>
  <c r="BP179" i="46"/>
  <c r="BH179" i="46"/>
  <c r="AZ179" i="46"/>
  <c r="BT178" i="46"/>
  <c r="BL178" i="46"/>
  <c r="BD178" i="46"/>
  <c r="BP177" i="46"/>
  <c r="BH177" i="46"/>
  <c r="AZ177" i="46"/>
  <c r="BO202" i="46"/>
  <c r="BG195" i="46"/>
  <c r="BC190" i="46"/>
  <c r="BK187" i="46"/>
  <c r="BG186" i="46"/>
  <c r="BM185" i="46"/>
  <c r="BS184" i="46"/>
  <c r="BK184" i="46"/>
  <c r="BC184" i="46"/>
  <c r="BO183" i="46"/>
  <c r="BG183" i="46"/>
  <c r="BS182" i="46"/>
  <c r="BK182" i="46"/>
  <c r="BC182" i="46"/>
  <c r="BO181" i="46"/>
  <c r="BG181" i="46"/>
  <c r="BS180" i="46"/>
  <c r="BK180" i="46"/>
  <c r="BC180" i="46"/>
  <c r="BO179" i="46"/>
  <c r="BA190" i="46"/>
  <c r="BS188" i="46"/>
  <c r="BG187" i="46"/>
  <c r="BC186" i="46"/>
  <c r="BK185" i="46"/>
  <c r="BR184" i="46"/>
  <c r="BJ184" i="46"/>
  <c r="BB184" i="46"/>
  <c r="BN183" i="46"/>
  <c r="BF183" i="46"/>
  <c r="BR182" i="46"/>
  <c r="BJ182" i="46"/>
  <c r="BB182" i="46"/>
  <c r="BN181" i="46"/>
  <c r="BF181" i="46"/>
  <c r="BR180" i="46"/>
  <c r="BJ180" i="46"/>
  <c r="BB180" i="46"/>
  <c r="BN179" i="46"/>
  <c r="BQ196" i="46"/>
  <c r="BQ188" i="46"/>
  <c r="BE187" i="46"/>
  <c r="BA186" i="46"/>
  <c r="BG185" i="46"/>
  <c r="BQ184" i="46"/>
  <c r="BI184" i="46"/>
  <c r="BA184" i="46"/>
  <c r="BU183" i="46"/>
  <c r="BM183" i="46"/>
  <c r="BE183" i="46"/>
  <c r="BQ182" i="46"/>
  <c r="BI182" i="46"/>
  <c r="BA182" i="46"/>
  <c r="BU181" i="46"/>
  <c r="BM181" i="46"/>
  <c r="BE181" i="46"/>
  <c r="BQ180" i="46"/>
  <c r="BI180" i="46"/>
  <c r="BA180" i="46"/>
  <c r="BU179" i="46"/>
  <c r="BM179" i="46"/>
  <c r="BE179" i="46"/>
  <c r="BS201" i="46"/>
  <c r="BQ192" i="46"/>
  <c r="BU189" i="46"/>
  <c r="BK188" i="46"/>
  <c r="BC187" i="46"/>
  <c r="BS186" i="46"/>
  <c r="BF185" i="46"/>
  <c r="BP184" i="46"/>
  <c r="BH184" i="46"/>
  <c r="AZ184" i="46"/>
  <c r="BT183" i="46"/>
  <c r="BL183" i="46"/>
  <c r="BD183" i="46"/>
  <c r="BP182" i="46"/>
  <c r="BH182" i="46"/>
  <c r="AZ182" i="46"/>
  <c r="BT181" i="46"/>
  <c r="BL181" i="46"/>
  <c r="BD181" i="46"/>
  <c r="BP180" i="46"/>
  <c r="BH180" i="46"/>
  <c r="AZ180" i="46"/>
  <c r="BT179" i="46"/>
  <c r="BL179" i="46"/>
  <c r="BD179" i="46"/>
  <c r="BP178" i="46"/>
  <c r="BH178" i="46"/>
  <c r="AZ178" i="46"/>
  <c r="BT177" i="46"/>
  <c r="BL177" i="46"/>
  <c r="BD177" i="46"/>
  <c r="BP194" i="46"/>
  <c r="BU193" i="46"/>
  <c r="BI192" i="46"/>
  <c r="BU191" i="46"/>
  <c r="BS190" i="46"/>
  <c r="BO189" i="46"/>
  <c r="BI188" i="46"/>
  <c r="BU187" i="46"/>
  <c r="BQ186" i="46"/>
  <c r="BU185" i="46"/>
  <c r="BE185" i="46"/>
  <c r="BO184" i="46"/>
  <c r="BG184" i="46"/>
  <c r="BS183" i="46"/>
  <c r="BK183" i="46"/>
  <c r="BC183" i="46"/>
  <c r="BO182" i="46"/>
  <c r="BG182" i="46"/>
  <c r="BS181" i="46"/>
  <c r="BK181" i="46"/>
  <c r="BC181" i="46"/>
  <c r="BO180" i="46"/>
  <c r="BG180" i="46"/>
  <c r="BS179" i="46"/>
  <c r="BK179" i="46"/>
  <c r="BC179" i="46"/>
  <c r="BA192" i="46"/>
  <c r="BB183" i="46"/>
  <c r="BF182" i="46"/>
  <c r="BJ181" i="46"/>
  <c r="BF180" i="46"/>
  <c r="BJ179" i="46"/>
  <c r="BJ178" i="46"/>
  <c r="BS177" i="46"/>
  <c r="BF177" i="46"/>
  <c r="BN176" i="46"/>
  <c r="BF176" i="46"/>
  <c r="BR175" i="46"/>
  <c r="BJ175" i="46"/>
  <c r="BB175" i="46"/>
  <c r="BN174" i="46"/>
  <c r="BF174" i="46"/>
  <c r="BR173" i="46"/>
  <c r="BJ173" i="46"/>
  <c r="BB173" i="46"/>
  <c r="BN172" i="46"/>
  <c r="BF172" i="46"/>
  <c r="BR171" i="46"/>
  <c r="BJ171" i="46"/>
  <c r="BB171" i="46"/>
  <c r="BN170" i="46"/>
  <c r="BF170" i="46"/>
  <c r="BR169" i="46"/>
  <c r="BJ169" i="46"/>
  <c r="BB169" i="46"/>
  <c r="BN168" i="46"/>
  <c r="BF168" i="46"/>
  <c r="BR167" i="46"/>
  <c r="BJ167" i="46"/>
  <c r="BB167" i="46"/>
  <c r="BB181" i="46"/>
  <c r="BG179" i="46"/>
  <c r="BI178" i="46"/>
  <c r="BR177" i="46"/>
  <c r="BE177" i="46"/>
  <c r="BU176" i="46"/>
  <c r="BM176" i="46"/>
  <c r="BE176" i="46"/>
  <c r="BQ175" i="46"/>
  <c r="BI175" i="46"/>
  <c r="BA175" i="46"/>
  <c r="BU174" i="46"/>
  <c r="BM174" i="46"/>
  <c r="BE174" i="46"/>
  <c r="BQ173" i="46"/>
  <c r="BI173" i="46"/>
  <c r="BA173" i="46"/>
  <c r="BU172" i="46"/>
  <c r="BM172" i="46"/>
  <c r="BE172" i="46"/>
  <c r="BQ171" i="46"/>
  <c r="BI171" i="46"/>
  <c r="BA171" i="46"/>
  <c r="BU170" i="46"/>
  <c r="BM170" i="46"/>
  <c r="BE170" i="46"/>
  <c r="BQ169" i="46"/>
  <c r="BI169" i="46"/>
  <c r="BA169" i="46"/>
  <c r="BU168" i="46"/>
  <c r="BM168" i="46"/>
  <c r="BE168" i="46"/>
  <c r="BQ167" i="46"/>
  <c r="BI167" i="46"/>
  <c r="BA167" i="46"/>
  <c r="BM191" i="46"/>
  <c r="BO186" i="46"/>
  <c r="BF179" i="46"/>
  <c r="BS178" i="46"/>
  <c r="BG178" i="46"/>
  <c r="BO177" i="46"/>
  <c r="BC177" i="46"/>
  <c r="BT176" i="46"/>
  <c r="BL176" i="46"/>
  <c r="BD176" i="46"/>
  <c r="BP175" i="46"/>
  <c r="BH175" i="46"/>
  <c r="AZ175" i="46"/>
  <c r="BT174" i="46"/>
  <c r="BL174" i="46"/>
  <c r="BD174" i="46"/>
  <c r="BP173" i="46"/>
  <c r="BH173" i="46"/>
  <c r="AZ173" i="46"/>
  <c r="BT172" i="46"/>
  <c r="BL172" i="46"/>
  <c r="BD172" i="46"/>
  <c r="BP171" i="46"/>
  <c r="BH171" i="46"/>
  <c r="AZ171" i="46"/>
  <c r="BT170" i="46"/>
  <c r="BL170" i="46"/>
  <c r="BD170" i="46"/>
  <c r="BP169" i="46"/>
  <c r="BH169" i="46"/>
  <c r="AZ169" i="46"/>
  <c r="BQ190" i="46"/>
  <c r="BB179" i="46"/>
  <c r="BR178" i="46"/>
  <c r="BF178" i="46"/>
  <c r="BN177" i="46"/>
  <c r="BB177" i="46"/>
  <c r="BS176" i="46"/>
  <c r="BK176" i="46"/>
  <c r="BC176" i="46"/>
  <c r="BO175" i="46"/>
  <c r="BG175" i="46"/>
  <c r="BS174" i="46"/>
  <c r="BK174" i="46"/>
  <c r="BC174" i="46"/>
  <c r="BO173" i="46"/>
  <c r="BG173" i="46"/>
  <c r="BS172" i="46"/>
  <c r="BK172" i="46"/>
  <c r="BC172" i="46"/>
  <c r="BO171" i="46"/>
  <c r="BG171" i="46"/>
  <c r="BS170" i="46"/>
  <c r="BK170" i="46"/>
  <c r="BC170" i="46"/>
  <c r="BQ178" i="46"/>
  <c r="BC178" i="46"/>
  <c r="BM177" i="46"/>
  <c r="BR176" i="46"/>
  <c r="BJ176" i="46"/>
  <c r="BB176" i="46"/>
  <c r="BN175" i="46"/>
  <c r="BF175" i="46"/>
  <c r="BR174" i="46"/>
  <c r="BJ174" i="46"/>
  <c r="BB174" i="46"/>
  <c r="BN173" i="46"/>
  <c r="BF173" i="46"/>
  <c r="BR172" i="46"/>
  <c r="BJ172" i="46"/>
  <c r="BB172" i="46"/>
  <c r="BN171" i="46"/>
  <c r="BF171" i="46"/>
  <c r="BR170" i="46"/>
  <c r="BJ170" i="46"/>
  <c r="BB170" i="46"/>
  <c r="BN169" i="46"/>
  <c r="BF169" i="46"/>
  <c r="BR168" i="46"/>
  <c r="BJ168" i="46"/>
  <c r="BB168" i="46"/>
  <c r="BN167" i="46"/>
  <c r="BF167" i="46"/>
  <c r="BC188" i="46"/>
  <c r="BS185" i="46"/>
  <c r="BN184" i="46"/>
  <c r="BR183" i="46"/>
  <c r="BN178" i="46"/>
  <c r="BA178" i="46"/>
  <c r="BJ177" i="46"/>
  <c r="BP176" i="46"/>
  <c r="BH176" i="46"/>
  <c r="AZ176" i="46"/>
  <c r="BT175" i="46"/>
  <c r="BL175" i="46"/>
  <c r="BD175" i="46"/>
  <c r="BP174" i="46"/>
  <c r="BH174" i="46"/>
  <c r="AZ174" i="46"/>
  <c r="BT173" i="46"/>
  <c r="BL173" i="46"/>
  <c r="BD173" i="46"/>
  <c r="BP172" i="46"/>
  <c r="BH172" i="46"/>
  <c r="AZ172" i="46"/>
  <c r="BT171" i="46"/>
  <c r="BL171" i="46"/>
  <c r="BD171" i="46"/>
  <c r="BP170" i="46"/>
  <c r="BH170" i="46"/>
  <c r="AZ170" i="46"/>
  <c r="BT169" i="46"/>
  <c r="BL169" i="46"/>
  <c r="BD169" i="46"/>
  <c r="BP168" i="46"/>
  <c r="BH168" i="46"/>
  <c r="AZ168" i="46"/>
  <c r="BT167" i="46"/>
  <c r="BL167" i="46"/>
  <c r="BD167" i="46"/>
  <c r="BM193" i="46"/>
  <c r="BS187" i="46"/>
  <c r="BC185" i="46"/>
  <c r="BF184" i="46"/>
  <c r="BJ183" i="46"/>
  <c r="BN182" i="46"/>
  <c r="BR181" i="46"/>
  <c r="BN180" i="46"/>
  <c r="BR179" i="46"/>
  <c r="BK178" i="46"/>
  <c r="BU177" i="46"/>
  <c r="BG177" i="46"/>
  <c r="BO176" i="46"/>
  <c r="BG176" i="46"/>
  <c r="BS175" i="46"/>
  <c r="BK175" i="46"/>
  <c r="BC175" i="46"/>
  <c r="BO174" i="46"/>
  <c r="BG174" i="46"/>
  <c r="BS173" i="46"/>
  <c r="BK173" i="46"/>
  <c r="BC173" i="46"/>
  <c r="BO172" i="46"/>
  <c r="BG172" i="46"/>
  <c r="BS171" i="46"/>
  <c r="BK171" i="46"/>
  <c r="BC171" i="46"/>
  <c r="BO170" i="46"/>
  <c r="BG170" i="46"/>
  <c r="BS169" i="46"/>
  <c r="BK169" i="46"/>
  <c r="BC169" i="46"/>
  <c r="BM189" i="46"/>
  <c r="BI176" i="46"/>
  <c r="BM175" i="46"/>
  <c r="BA174" i="46"/>
  <c r="BM173" i="46"/>
  <c r="BA172" i="46"/>
  <c r="BM171" i="46"/>
  <c r="BA170" i="46"/>
  <c r="BK168" i="46"/>
  <c r="BG167" i="46"/>
  <c r="BQ166" i="46"/>
  <c r="BI166" i="46"/>
  <c r="BA166" i="46"/>
  <c r="BU165" i="46"/>
  <c r="BM165" i="46"/>
  <c r="BE165" i="46"/>
  <c r="BQ164" i="46"/>
  <c r="BI164" i="46"/>
  <c r="BA164" i="46"/>
  <c r="BU163" i="46"/>
  <c r="BM163" i="46"/>
  <c r="BE163" i="46"/>
  <c r="BQ162" i="46"/>
  <c r="BI162" i="46"/>
  <c r="BA162" i="46"/>
  <c r="BU161" i="46"/>
  <c r="BM161" i="46"/>
  <c r="BE161" i="46"/>
  <c r="BQ160" i="46"/>
  <c r="BI160" i="46"/>
  <c r="BA160" i="46"/>
  <c r="BU159" i="46"/>
  <c r="BM159" i="46"/>
  <c r="BE159" i="46"/>
  <c r="BQ158" i="46"/>
  <c r="BI158" i="46"/>
  <c r="BA158" i="46"/>
  <c r="BU157" i="46"/>
  <c r="BM157" i="46"/>
  <c r="BE157" i="46"/>
  <c r="BA176" i="46"/>
  <c r="BE175" i="46"/>
  <c r="BE173" i="46"/>
  <c r="BE171" i="46"/>
  <c r="BI168" i="46"/>
  <c r="BU167" i="46"/>
  <c r="BE167" i="46"/>
  <c r="BP166" i="46"/>
  <c r="BH166" i="46"/>
  <c r="AZ166" i="46"/>
  <c r="BT165" i="46"/>
  <c r="BL165" i="46"/>
  <c r="BD165" i="46"/>
  <c r="BP164" i="46"/>
  <c r="BH164" i="46"/>
  <c r="AZ164" i="46"/>
  <c r="BT163" i="46"/>
  <c r="BL163" i="46"/>
  <c r="BD163" i="46"/>
  <c r="BP162" i="46"/>
  <c r="BH162" i="46"/>
  <c r="AZ162" i="46"/>
  <c r="BT161" i="46"/>
  <c r="BL161" i="46"/>
  <c r="BD161" i="46"/>
  <c r="BP160" i="46"/>
  <c r="BH160" i="46"/>
  <c r="AZ160" i="46"/>
  <c r="BT159" i="46"/>
  <c r="BL159" i="46"/>
  <c r="BD159" i="46"/>
  <c r="BP158" i="46"/>
  <c r="BH158" i="46"/>
  <c r="AZ158" i="46"/>
  <c r="BT157" i="46"/>
  <c r="BL157" i="46"/>
  <c r="BD157" i="46"/>
  <c r="BP156" i="46"/>
  <c r="BH156" i="46"/>
  <c r="AZ156" i="46"/>
  <c r="BT155" i="46"/>
  <c r="BL155" i="46"/>
  <c r="BD155" i="46"/>
  <c r="BP154" i="46"/>
  <c r="BH154" i="46"/>
  <c r="AZ154" i="46"/>
  <c r="BT153" i="46"/>
  <c r="BL153" i="46"/>
  <c r="BD153" i="46"/>
  <c r="BP152" i="46"/>
  <c r="BH152" i="46"/>
  <c r="AZ152" i="46"/>
  <c r="BT151" i="46"/>
  <c r="BL151" i="46"/>
  <c r="BD151" i="46"/>
  <c r="BP150" i="46"/>
  <c r="BH150" i="46"/>
  <c r="AZ150" i="46"/>
  <c r="BT149" i="46"/>
  <c r="BL149" i="46"/>
  <c r="BD149" i="46"/>
  <c r="BP148" i="46"/>
  <c r="BH148" i="46"/>
  <c r="AZ148" i="46"/>
  <c r="BK177" i="46"/>
  <c r="BU169" i="46"/>
  <c r="BG168" i="46"/>
  <c r="BS167" i="46"/>
  <c r="BC167" i="46"/>
  <c r="BO166" i="46"/>
  <c r="BG166" i="46"/>
  <c r="BS165" i="46"/>
  <c r="BK165" i="46"/>
  <c r="BC165" i="46"/>
  <c r="BO164" i="46"/>
  <c r="BG164" i="46"/>
  <c r="BS163" i="46"/>
  <c r="BK163" i="46"/>
  <c r="BC163" i="46"/>
  <c r="BO162" i="46"/>
  <c r="BG162" i="46"/>
  <c r="BS161" i="46"/>
  <c r="BK161" i="46"/>
  <c r="BC161" i="46"/>
  <c r="BO160" i="46"/>
  <c r="BG160" i="46"/>
  <c r="BS159" i="46"/>
  <c r="BK159" i="46"/>
  <c r="BC159" i="46"/>
  <c r="BO158" i="46"/>
  <c r="BG158" i="46"/>
  <c r="BS157" i="46"/>
  <c r="BK157" i="46"/>
  <c r="BC157" i="46"/>
  <c r="BO156" i="46"/>
  <c r="BG156" i="46"/>
  <c r="BS155" i="46"/>
  <c r="BK155" i="46"/>
  <c r="BC155" i="46"/>
  <c r="BO154" i="46"/>
  <c r="BG154" i="46"/>
  <c r="BS153" i="46"/>
  <c r="BK153" i="46"/>
  <c r="BC153" i="46"/>
  <c r="BO152" i="46"/>
  <c r="BG152" i="46"/>
  <c r="BO178" i="46"/>
  <c r="BO169" i="46"/>
  <c r="BT168" i="46"/>
  <c r="BD168" i="46"/>
  <c r="BP167" i="46"/>
  <c r="AZ167" i="46"/>
  <c r="BN166" i="46"/>
  <c r="BF166" i="46"/>
  <c r="BR165" i="46"/>
  <c r="BJ165" i="46"/>
  <c r="BB165" i="46"/>
  <c r="BN164" i="46"/>
  <c r="BF164" i="46"/>
  <c r="BR163" i="46"/>
  <c r="BJ163" i="46"/>
  <c r="BB163" i="46"/>
  <c r="BN162" i="46"/>
  <c r="BF162" i="46"/>
  <c r="BR161" i="46"/>
  <c r="BJ161" i="46"/>
  <c r="BB161" i="46"/>
  <c r="BN160" i="46"/>
  <c r="BF160" i="46"/>
  <c r="BR159" i="46"/>
  <c r="BJ159" i="46"/>
  <c r="BB159" i="46"/>
  <c r="BN158" i="46"/>
  <c r="BF158" i="46"/>
  <c r="BR157" i="46"/>
  <c r="BJ157" i="46"/>
  <c r="BB157" i="46"/>
  <c r="BB178" i="46"/>
  <c r="BM169" i="46"/>
  <c r="BS168" i="46"/>
  <c r="BC168" i="46"/>
  <c r="BO167" i="46"/>
  <c r="BU166" i="46"/>
  <c r="BM166" i="46"/>
  <c r="BE166" i="46"/>
  <c r="BQ165" i="46"/>
  <c r="BI165" i="46"/>
  <c r="BA165" i="46"/>
  <c r="BU164" i="46"/>
  <c r="BM164" i="46"/>
  <c r="BE164" i="46"/>
  <c r="BQ163" i="46"/>
  <c r="BI163" i="46"/>
  <c r="BA163" i="46"/>
  <c r="BU162" i="46"/>
  <c r="BM162" i="46"/>
  <c r="BE162" i="46"/>
  <c r="BQ161" i="46"/>
  <c r="BI161" i="46"/>
  <c r="BA161" i="46"/>
  <c r="BU160" i="46"/>
  <c r="BM160" i="46"/>
  <c r="BE160" i="46"/>
  <c r="BQ159" i="46"/>
  <c r="BI159" i="46"/>
  <c r="BA159" i="46"/>
  <c r="BU158" i="46"/>
  <c r="BM158" i="46"/>
  <c r="BE158" i="46"/>
  <c r="BQ157" i="46"/>
  <c r="BI157" i="46"/>
  <c r="BA157" i="46"/>
  <c r="BU156" i="46"/>
  <c r="BM156" i="46"/>
  <c r="BE156" i="46"/>
  <c r="BQ155" i="46"/>
  <c r="BI155" i="46"/>
  <c r="BA155" i="46"/>
  <c r="BU154" i="46"/>
  <c r="BM154" i="46"/>
  <c r="BE154" i="46"/>
  <c r="BQ153" i="46"/>
  <c r="BI153" i="46"/>
  <c r="BA153" i="46"/>
  <c r="BU152" i="46"/>
  <c r="BM152" i="46"/>
  <c r="BE152" i="46"/>
  <c r="BQ151" i="46"/>
  <c r="BI151" i="46"/>
  <c r="BA151" i="46"/>
  <c r="BU150" i="46"/>
  <c r="BM150" i="46"/>
  <c r="BE150" i="46"/>
  <c r="BQ149" i="46"/>
  <c r="BI149" i="46"/>
  <c r="BA149" i="46"/>
  <c r="BU148" i="46"/>
  <c r="BM148" i="46"/>
  <c r="BE148" i="46"/>
  <c r="BC194" i="46"/>
  <c r="BG169" i="46"/>
  <c r="BQ168" i="46"/>
  <c r="BA168" i="46"/>
  <c r="BM167" i="46"/>
  <c r="BT166" i="46"/>
  <c r="BL166" i="46"/>
  <c r="BD166" i="46"/>
  <c r="BP165" i="46"/>
  <c r="BH165" i="46"/>
  <c r="AZ165" i="46"/>
  <c r="BT164" i="46"/>
  <c r="BL164" i="46"/>
  <c r="BD164" i="46"/>
  <c r="BP163" i="46"/>
  <c r="BH163" i="46"/>
  <c r="AZ163" i="46"/>
  <c r="BT162" i="46"/>
  <c r="BL162" i="46"/>
  <c r="BD162" i="46"/>
  <c r="BP161" i="46"/>
  <c r="BH161" i="46"/>
  <c r="AZ161" i="46"/>
  <c r="BT160" i="46"/>
  <c r="BL160" i="46"/>
  <c r="BD160" i="46"/>
  <c r="BP159" i="46"/>
  <c r="BH159" i="46"/>
  <c r="AZ159" i="46"/>
  <c r="BT158" i="46"/>
  <c r="BL158" i="46"/>
  <c r="BD158" i="46"/>
  <c r="BP157" i="46"/>
  <c r="BH157" i="46"/>
  <c r="AZ157" i="46"/>
  <c r="BT156" i="46"/>
  <c r="BL156" i="46"/>
  <c r="BD156" i="46"/>
  <c r="BP155" i="46"/>
  <c r="BH155" i="46"/>
  <c r="AZ155" i="46"/>
  <c r="BT154" i="46"/>
  <c r="BL154" i="46"/>
  <c r="BD154" i="46"/>
  <c r="BP153" i="46"/>
  <c r="BH153" i="46"/>
  <c r="AZ153" i="46"/>
  <c r="BT152" i="46"/>
  <c r="BL152" i="46"/>
  <c r="BD152" i="46"/>
  <c r="BP151" i="46"/>
  <c r="BH151" i="46"/>
  <c r="AZ151" i="46"/>
  <c r="BT150" i="46"/>
  <c r="BL150" i="46"/>
  <c r="BD150" i="46"/>
  <c r="BP149" i="46"/>
  <c r="BH149" i="46"/>
  <c r="AZ149" i="46"/>
  <c r="BT148" i="46"/>
  <c r="BL148" i="46"/>
  <c r="BD148" i="46"/>
  <c r="BQ174" i="46"/>
  <c r="BQ172" i="46"/>
  <c r="BQ170" i="46"/>
  <c r="BE169" i="46"/>
  <c r="BO168" i="46"/>
  <c r="BK167" i="46"/>
  <c r="BS166" i="46"/>
  <c r="BK166" i="46"/>
  <c r="BC166" i="46"/>
  <c r="BO165" i="46"/>
  <c r="BG165" i="46"/>
  <c r="BS164" i="46"/>
  <c r="BK164" i="46"/>
  <c r="BC164" i="46"/>
  <c r="BO163" i="46"/>
  <c r="BG163" i="46"/>
  <c r="BS162" i="46"/>
  <c r="BK162" i="46"/>
  <c r="BC162" i="46"/>
  <c r="BO161" i="46"/>
  <c r="BG161" i="46"/>
  <c r="BS160" i="46"/>
  <c r="BK160" i="46"/>
  <c r="BC160" i="46"/>
  <c r="BO159" i="46"/>
  <c r="BG159" i="46"/>
  <c r="BS158" i="46"/>
  <c r="BK158" i="46"/>
  <c r="BC158" i="46"/>
  <c r="BO157" i="46"/>
  <c r="BG157" i="46"/>
  <c r="BS156" i="46"/>
  <c r="BK156" i="46"/>
  <c r="BC156" i="46"/>
  <c r="BO155" i="46"/>
  <c r="BG155" i="46"/>
  <c r="BS154" i="46"/>
  <c r="BK154" i="46"/>
  <c r="BC154" i="46"/>
  <c r="BO153" i="46"/>
  <c r="BG153" i="46"/>
  <c r="BS152" i="46"/>
  <c r="BK152" i="46"/>
  <c r="BC152" i="46"/>
  <c r="BQ176" i="46"/>
  <c r="BL168" i="46"/>
  <c r="BN156" i="46"/>
  <c r="BM155" i="46"/>
  <c r="BF154" i="46"/>
  <c r="BE153" i="46"/>
  <c r="BR152" i="46"/>
  <c r="BS151" i="46"/>
  <c r="BF151" i="46"/>
  <c r="BN150" i="46"/>
  <c r="BA150" i="46"/>
  <c r="BJ149" i="46"/>
  <c r="BQ148" i="46"/>
  <c r="BC148" i="46"/>
  <c r="BU147" i="46"/>
  <c r="BM147" i="46"/>
  <c r="BE147" i="46"/>
  <c r="BQ146" i="46"/>
  <c r="BI146" i="46"/>
  <c r="BA146" i="46"/>
  <c r="BU145" i="46"/>
  <c r="BM145" i="46"/>
  <c r="BE145" i="46"/>
  <c r="BQ144" i="46"/>
  <c r="BI144" i="46"/>
  <c r="BA144" i="46"/>
  <c r="BU143" i="46"/>
  <c r="BM143" i="46"/>
  <c r="BE143" i="46"/>
  <c r="BQ142" i="46"/>
  <c r="BI142" i="46"/>
  <c r="BA142" i="46"/>
  <c r="BU141" i="46"/>
  <c r="BM141" i="46"/>
  <c r="BE141" i="46"/>
  <c r="BQ140" i="46"/>
  <c r="BI140" i="46"/>
  <c r="BA140" i="46"/>
  <c r="BU139" i="46"/>
  <c r="BM139" i="46"/>
  <c r="BE139" i="46"/>
  <c r="BQ138" i="46"/>
  <c r="BI138" i="46"/>
  <c r="BA138" i="46"/>
  <c r="BU137" i="46"/>
  <c r="BM137" i="46"/>
  <c r="BE137" i="46"/>
  <c r="BQ136" i="46"/>
  <c r="BI136" i="46"/>
  <c r="BA136" i="46"/>
  <c r="BU135" i="46"/>
  <c r="BM135" i="46"/>
  <c r="BE135" i="46"/>
  <c r="BQ134" i="46"/>
  <c r="BI134" i="46"/>
  <c r="BA134" i="46"/>
  <c r="BU133" i="46"/>
  <c r="BM133" i="46"/>
  <c r="BE133" i="46"/>
  <c r="BQ132" i="46"/>
  <c r="BI132" i="46"/>
  <c r="BA132" i="46"/>
  <c r="BJ156" i="46"/>
  <c r="BJ155" i="46"/>
  <c r="BB154" i="46"/>
  <c r="BB153" i="46"/>
  <c r="BQ152" i="46"/>
  <c r="BR151" i="46"/>
  <c r="BE151" i="46"/>
  <c r="BK150" i="46"/>
  <c r="BU149" i="46"/>
  <c r="BG149" i="46"/>
  <c r="BO148" i="46"/>
  <c r="BB148" i="46"/>
  <c r="BT147" i="46"/>
  <c r="BL147" i="46"/>
  <c r="BD147" i="46"/>
  <c r="BP146" i="46"/>
  <c r="BH146" i="46"/>
  <c r="AZ146" i="46"/>
  <c r="BT145" i="46"/>
  <c r="BL145" i="46"/>
  <c r="BD145" i="46"/>
  <c r="BP144" i="46"/>
  <c r="BH144" i="46"/>
  <c r="AZ144" i="46"/>
  <c r="BT143" i="46"/>
  <c r="BL143" i="46"/>
  <c r="BD143" i="46"/>
  <c r="BP142" i="46"/>
  <c r="BH142" i="46"/>
  <c r="AZ142" i="46"/>
  <c r="BT141" i="46"/>
  <c r="BL141" i="46"/>
  <c r="BD141" i="46"/>
  <c r="BP140" i="46"/>
  <c r="BH140" i="46"/>
  <c r="AZ140" i="46"/>
  <c r="BT139" i="46"/>
  <c r="BL139" i="46"/>
  <c r="BD139" i="46"/>
  <c r="BP138" i="46"/>
  <c r="BH138" i="46"/>
  <c r="AZ138" i="46"/>
  <c r="BT137" i="46"/>
  <c r="BL137" i="46"/>
  <c r="BD137" i="46"/>
  <c r="BP136" i="46"/>
  <c r="BH136" i="46"/>
  <c r="AZ136" i="46"/>
  <c r="BT135" i="46"/>
  <c r="BL135" i="46"/>
  <c r="BD135" i="46"/>
  <c r="BP134" i="46"/>
  <c r="BH134" i="46"/>
  <c r="AZ134" i="46"/>
  <c r="BT133" i="46"/>
  <c r="BL133" i="46"/>
  <c r="BD133" i="46"/>
  <c r="BP132" i="46"/>
  <c r="BH132" i="46"/>
  <c r="AZ132" i="46"/>
  <c r="BU175" i="46"/>
  <c r="BU171" i="46"/>
  <c r="BR166" i="46"/>
  <c r="BN165" i="46"/>
  <c r="BR164" i="46"/>
  <c r="BI156" i="46"/>
  <c r="BF155" i="46"/>
  <c r="BA154" i="46"/>
  <c r="BU153" i="46"/>
  <c r="BN152" i="46"/>
  <c r="BO151" i="46"/>
  <c r="BC151" i="46"/>
  <c r="BJ150" i="46"/>
  <c r="BS149" i="46"/>
  <c r="BF149" i="46"/>
  <c r="BN148" i="46"/>
  <c r="BA148" i="46"/>
  <c r="BS147" i="46"/>
  <c r="BK147" i="46"/>
  <c r="BC147" i="46"/>
  <c r="BO146" i="46"/>
  <c r="BG146" i="46"/>
  <c r="BS145" i="46"/>
  <c r="BK145" i="46"/>
  <c r="BC145" i="46"/>
  <c r="BO144" i="46"/>
  <c r="BG144" i="46"/>
  <c r="BS143" i="46"/>
  <c r="BK143" i="46"/>
  <c r="BC143" i="46"/>
  <c r="BO142" i="46"/>
  <c r="BG142" i="46"/>
  <c r="BS141" i="46"/>
  <c r="BK141" i="46"/>
  <c r="BC141" i="46"/>
  <c r="BO140" i="46"/>
  <c r="BG140" i="46"/>
  <c r="BS139" i="46"/>
  <c r="BK139" i="46"/>
  <c r="BC139" i="46"/>
  <c r="BO138" i="46"/>
  <c r="BG138" i="46"/>
  <c r="BS137" i="46"/>
  <c r="BK137" i="46"/>
  <c r="BC137" i="46"/>
  <c r="BO136" i="46"/>
  <c r="BG136" i="46"/>
  <c r="BI174" i="46"/>
  <c r="BI170" i="46"/>
  <c r="BJ166" i="46"/>
  <c r="BF165" i="46"/>
  <c r="BJ164" i="46"/>
  <c r="BN163" i="46"/>
  <c r="BR162" i="46"/>
  <c r="BF156" i="46"/>
  <c r="BE155" i="46"/>
  <c r="BR154" i="46"/>
  <c r="BR153" i="46"/>
  <c r="BJ152" i="46"/>
  <c r="BN151" i="46"/>
  <c r="BB151" i="46"/>
  <c r="BI150" i="46"/>
  <c r="BR149" i="46"/>
  <c r="BE149" i="46"/>
  <c r="BK148" i="46"/>
  <c r="BR147" i="46"/>
  <c r="BJ147" i="46"/>
  <c r="BB147" i="46"/>
  <c r="BN146" i="46"/>
  <c r="BF146" i="46"/>
  <c r="BR145" i="46"/>
  <c r="BJ145" i="46"/>
  <c r="BB145" i="46"/>
  <c r="BN144" i="46"/>
  <c r="BF144" i="46"/>
  <c r="BR143" i="46"/>
  <c r="BJ143" i="46"/>
  <c r="BB143" i="46"/>
  <c r="BN142" i="46"/>
  <c r="BF142" i="46"/>
  <c r="BR141" i="46"/>
  <c r="BJ141" i="46"/>
  <c r="BB141" i="46"/>
  <c r="BN140" i="46"/>
  <c r="BF140" i="46"/>
  <c r="BR139" i="46"/>
  <c r="BJ139" i="46"/>
  <c r="BB139" i="46"/>
  <c r="BN138" i="46"/>
  <c r="BF138" i="46"/>
  <c r="BR137" i="46"/>
  <c r="BJ137" i="46"/>
  <c r="BB137" i="46"/>
  <c r="BN136" i="46"/>
  <c r="BF136" i="46"/>
  <c r="BR135" i="46"/>
  <c r="BJ135" i="46"/>
  <c r="BB135" i="46"/>
  <c r="BN134" i="46"/>
  <c r="BF134" i="46"/>
  <c r="BR133" i="46"/>
  <c r="BJ133" i="46"/>
  <c r="BB133" i="46"/>
  <c r="BH167" i="46"/>
  <c r="BB166" i="46"/>
  <c r="BB164" i="46"/>
  <c r="BF163" i="46"/>
  <c r="BJ162" i="46"/>
  <c r="BN161" i="46"/>
  <c r="BR160" i="46"/>
  <c r="BB156" i="46"/>
  <c r="BB155" i="46"/>
  <c r="BQ154" i="46"/>
  <c r="BN153" i="46"/>
  <c r="BI152" i="46"/>
  <c r="BM151" i="46"/>
  <c r="BS150" i="46"/>
  <c r="BG150" i="46"/>
  <c r="BO149" i="46"/>
  <c r="BC149" i="46"/>
  <c r="BJ148" i="46"/>
  <c r="BQ147" i="46"/>
  <c r="BI147" i="46"/>
  <c r="BA147" i="46"/>
  <c r="BU146" i="46"/>
  <c r="BM146" i="46"/>
  <c r="BE146" i="46"/>
  <c r="BQ145" i="46"/>
  <c r="BI145" i="46"/>
  <c r="BA145" i="46"/>
  <c r="BU144" i="46"/>
  <c r="BM144" i="46"/>
  <c r="BE144" i="46"/>
  <c r="BQ143" i="46"/>
  <c r="BI143" i="46"/>
  <c r="BA143" i="46"/>
  <c r="BU142" i="46"/>
  <c r="BM142" i="46"/>
  <c r="BE142" i="46"/>
  <c r="BQ141" i="46"/>
  <c r="BI141" i="46"/>
  <c r="BA141" i="46"/>
  <c r="BU140" i="46"/>
  <c r="BM140" i="46"/>
  <c r="BE140" i="46"/>
  <c r="BQ139" i="46"/>
  <c r="BI139" i="46"/>
  <c r="BA139" i="46"/>
  <c r="BU138" i="46"/>
  <c r="BM138" i="46"/>
  <c r="BE138" i="46"/>
  <c r="BQ137" i="46"/>
  <c r="BI137" i="46"/>
  <c r="BA137" i="46"/>
  <c r="BU136" i="46"/>
  <c r="BM136" i="46"/>
  <c r="BE136" i="46"/>
  <c r="BQ135" i="46"/>
  <c r="BI135" i="46"/>
  <c r="BA135" i="46"/>
  <c r="BU134" i="46"/>
  <c r="BM134" i="46"/>
  <c r="BE134" i="46"/>
  <c r="BQ133" i="46"/>
  <c r="BI133" i="46"/>
  <c r="BA133" i="46"/>
  <c r="BU132" i="46"/>
  <c r="BM132" i="46"/>
  <c r="BE132" i="46"/>
  <c r="BU173" i="46"/>
  <c r="BB160" i="46"/>
  <c r="BF159" i="46"/>
  <c r="BJ158" i="46"/>
  <c r="BN157" i="46"/>
  <c r="BR156" i="46"/>
  <c r="BR155" i="46"/>
  <c r="BJ154" i="46"/>
  <c r="BJ153" i="46"/>
  <c r="BB152" i="46"/>
  <c r="BJ151" i="46"/>
  <c r="BQ150" i="46"/>
  <c r="BC150" i="46"/>
  <c r="BM149" i="46"/>
  <c r="BS148" i="46"/>
  <c r="BG148" i="46"/>
  <c r="BO147" i="46"/>
  <c r="BG147" i="46"/>
  <c r="BS146" i="46"/>
  <c r="BK146" i="46"/>
  <c r="BC146" i="46"/>
  <c r="BO145" i="46"/>
  <c r="BG145" i="46"/>
  <c r="BS144" i="46"/>
  <c r="BK144" i="46"/>
  <c r="BC144" i="46"/>
  <c r="BO143" i="46"/>
  <c r="BG143" i="46"/>
  <c r="BS142" i="46"/>
  <c r="BK142" i="46"/>
  <c r="BC142" i="46"/>
  <c r="BO141" i="46"/>
  <c r="BG141" i="46"/>
  <c r="BS140" i="46"/>
  <c r="BK140" i="46"/>
  <c r="BC140" i="46"/>
  <c r="BO139" i="46"/>
  <c r="BG139" i="46"/>
  <c r="BS138" i="46"/>
  <c r="BK138" i="46"/>
  <c r="BC138" i="46"/>
  <c r="BO137" i="46"/>
  <c r="BG137" i="46"/>
  <c r="BS136" i="46"/>
  <c r="BK136" i="46"/>
  <c r="BC136" i="46"/>
  <c r="BI172" i="46"/>
  <c r="BB158" i="46"/>
  <c r="BF157" i="46"/>
  <c r="BQ156" i="46"/>
  <c r="BN155" i="46"/>
  <c r="BI154" i="46"/>
  <c r="BF153" i="46"/>
  <c r="BA152" i="46"/>
  <c r="BU151" i="46"/>
  <c r="BG151" i="46"/>
  <c r="BO150" i="46"/>
  <c r="BB150" i="46"/>
  <c r="BK149" i="46"/>
  <c r="BR148" i="46"/>
  <c r="BF148" i="46"/>
  <c r="BN147" i="46"/>
  <c r="BF147" i="46"/>
  <c r="BR146" i="46"/>
  <c r="BJ146" i="46"/>
  <c r="BB146" i="46"/>
  <c r="BN145" i="46"/>
  <c r="BF145" i="46"/>
  <c r="BR144" i="46"/>
  <c r="BJ144" i="46"/>
  <c r="BB144" i="46"/>
  <c r="BN143" i="46"/>
  <c r="BF143" i="46"/>
  <c r="BR142" i="46"/>
  <c r="BJ142" i="46"/>
  <c r="BB142" i="46"/>
  <c r="BN141" i="46"/>
  <c r="BF141" i="46"/>
  <c r="BR140" i="46"/>
  <c r="BJ140" i="46"/>
  <c r="BB140" i="46"/>
  <c r="BN139" i="46"/>
  <c r="BF139" i="46"/>
  <c r="BR138" i="46"/>
  <c r="BJ138" i="46"/>
  <c r="BB138" i="46"/>
  <c r="BN137" i="46"/>
  <c r="BF137" i="46"/>
  <c r="BR136" i="46"/>
  <c r="BJ136" i="46"/>
  <c r="BB136" i="46"/>
  <c r="BN135" i="46"/>
  <c r="BF135" i="46"/>
  <c r="BR134" i="46"/>
  <c r="BJ134" i="46"/>
  <c r="BB134" i="46"/>
  <c r="BN133" i="46"/>
  <c r="BF133" i="46"/>
  <c r="BR132" i="46"/>
  <c r="BJ132" i="46"/>
  <c r="BB132" i="46"/>
  <c r="BF152" i="46"/>
  <c r="BI148" i="46"/>
  <c r="AZ147" i="46"/>
  <c r="AZ145" i="46"/>
  <c r="BD144" i="46"/>
  <c r="BH143" i="46"/>
  <c r="BL142" i="46"/>
  <c r="BP141" i="46"/>
  <c r="BL140" i="46"/>
  <c r="BH139" i="46"/>
  <c r="BD138" i="46"/>
  <c r="AZ137" i="46"/>
  <c r="BP135" i="46"/>
  <c r="BK134" i="46"/>
  <c r="BG133" i="46"/>
  <c r="BF132" i="46"/>
  <c r="BQ131" i="46"/>
  <c r="BI131" i="46"/>
  <c r="BA131" i="46"/>
  <c r="BU130" i="46"/>
  <c r="BM130" i="46"/>
  <c r="BE130" i="46"/>
  <c r="BQ129" i="46"/>
  <c r="BI129" i="46"/>
  <c r="BA129" i="46"/>
  <c r="BU128" i="46"/>
  <c r="BM128" i="46"/>
  <c r="BE128" i="46"/>
  <c r="BQ127" i="46"/>
  <c r="BI127" i="46"/>
  <c r="BA127" i="46"/>
  <c r="BU126" i="46"/>
  <c r="BM126" i="46"/>
  <c r="BE126" i="46"/>
  <c r="BQ125" i="46"/>
  <c r="BI125" i="46"/>
  <c r="BA125" i="46"/>
  <c r="BU124" i="46"/>
  <c r="BM124" i="46"/>
  <c r="BE124" i="46"/>
  <c r="BQ123" i="46"/>
  <c r="BI123" i="46"/>
  <c r="BA123" i="46"/>
  <c r="BU122" i="46"/>
  <c r="BM122" i="46"/>
  <c r="BE122" i="46"/>
  <c r="BQ121" i="46"/>
  <c r="BI121" i="46"/>
  <c r="BA121" i="46"/>
  <c r="BU120" i="46"/>
  <c r="BM120" i="46"/>
  <c r="BE120" i="46"/>
  <c r="BQ119" i="46"/>
  <c r="BI119" i="46"/>
  <c r="BA119" i="46"/>
  <c r="BU118" i="46"/>
  <c r="BM118" i="46"/>
  <c r="BE118" i="46"/>
  <c r="BQ117" i="46"/>
  <c r="BI117" i="46"/>
  <c r="BA117" i="46"/>
  <c r="BU116" i="46"/>
  <c r="BM116" i="46"/>
  <c r="BE116" i="46"/>
  <c r="BQ115" i="46"/>
  <c r="BI115" i="46"/>
  <c r="BA115" i="46"/>
  <c r="BU114" i="46"/>
  <c r="BM114" i="46"/>
  <c r="BE114" i="46"/>
  <c r="BB162" i="46"/>
  <c r="BN149" i="46"/>
  <c r="AZ143" i="46"/>
  <c r="BD142" i="46"/>
  <c r="BH141" i="46"/>
  <c r="BD140" i="46"/>
  <c r="AZ139" i="46"/>
  <c r="BO135" i="46"/>
  <c r="BG134" i="46"/>
  <c r="BC133" i="46"/>
  <c r="BT132" i="46"/>
  <c r="BD132" i="46"/>
  <c r="BP131" i="46"/>
  <c r="BH131" i="46"/>
  <c r="AZ131" i="46"/>
  <c r="BT130" i="46"/>
  <c r="BL130" i="46"/>
  <c r="BD130" i="46"/>
  <c r="BP129" i="46"/>
  <c r="BH129" i="46"/>
  <c r="AZ129" i="46"/>
  <c r="BT128" i="46"/>
  <c r="BL128" i="46"/>
  <c r="BD128" i="46"/>
  <c r="BP127" i="46"/>
  <c r="BH127" i="46"/>
  <c r="AZ127" i="46"/>
  <c r="BT126" i="46"/>
  <c r="BL126" i="46"/>
  <c r="BD126" i="46"/>
  <c r="BP125" i="46"/>
  <c r="BH125" i="46"/>
  <c r="AZ125" i="46"/>
  <c r="BT124" i="46"/>
  <c r="BL124" i="46"/>
  <c r="BD124" i="46"/>
  <c r="BP123" i="46"/>
  <c r="BH123" i="46"/>
  <c r="AZ123" i="46"/>
  <c r="BT122" i="46"/>
  <c r="BL122" i="46"/>
  <c r="BD122" i="46"/>
  <c r="BP121" i="46"/>
  <c r="BH121" i="46"/>
  <c r="AZ121" i="46"/>
  <c r="BT120" i="46"/>
  <c r="BL120" i="46"/>
  <c r="BD120" i="46"/>
  <c r="BP119" i="46"/>
  <c r="BH119" i="46"/>
  <c r="AZ119" i="46"/>
  <c r="BT118" i="46"/>
  <c r="BL118" i="46"/>
  <c r="BD118" i="46"/>
  <c r="BP117" i="46"/>
  <c r="BH117" i="46"/>
  <c r="AZ117" i="46"/>
  <c r="BT116" i="46"/>
  <c r="BL116" i="46"/>
  <c r="BD116" i="46"/>
  <c r="BP115" i="46"/>
  <c r="BH115" i="46"/>
  <c r="AZ115" i="46"/>
  <c r="BU155" i="46"/>
  <c r="BB149" i="46"/>
  <c r="AZ141" i="46"/>
  <c r="BK135" i="46"/>
  <c r="BD134" i="46"/>
  <c r="AZ133" i="46"/>
  <c r="BS132" i="46"/>
  <c r="BC132" i="46"/>
  <c r="BO131" i="46"/>
  <c r="BG131" i="46"/>
  <c r="BS130" i="46"/>
  <c r="BK130" i="46"/>
  <c r="BC130" i="46"/>
  <c r="BO129" i="46"/>
  <c r="BG129" i="46"/>
  <c r="BS128" i="46"/>
  <c r="BK128" i="46"/>
  <c r="BC128" i="46"/>
  <c r="BO127" i="46"/>
  <c r="BG127" i="46"/>
  <c r="BS126" i="46"/>
  <c r="BK126" i="46"/>
  <c r="BC126" i="46"/>
  <c r="BO125" i="46"/>
  <c r="BG125" i="46"/>
  <c r="BS124" i="46"/>
  <c r="BK124" i="46"/>
  <c r="BC124" i="46"/>
  <c r="BO123" i="46"/>
  <c r="BG123" i="46"/>
  <c r="BS122" i="46"/>
  <c r="BK122" i="46"/>
  <c r="BC122" i="46"/>
  <c r="BO121" i="46"/>
  <c r="BG121" i="46"/>
  <c r="BS120" i="46"/>
  <c r="BK120" i="46"/>
  <c r="BC120" i="46"/>
  <c r="BN159" i="46"/>
  <c r="BM153" i="46"/>
  <c r="BR150" i="46"/>
  <c r="BH135" i="46"/>
  <c r="BC134" i="46"/>
  <c r="BS133" i="46"/>
  <c r="BO132" i="46"/>
  <c r="BN131" i="46"/>
  <c r="BF131" i="46"/>
  <c r="BR130" i="46"/>
  <c r="BJ130" i="46"/>
  <c r="BB130" i="46"/>
  <c r="BN129" i="46"/>
  <c r="BF129" i="46"/>
  <c r="BR128" i="46"/>
  <c r="BJ128" i="46"/>
  <c r="BB128" i="46"/>
  <c r="BN127" i="46"/>
  <c r="BF127" i="46"/>
  <c r="BR126" i="46"/>
  <c r="BJ126" i="46"/>
  <c r="BB126" i="46"/>
  <c r="BN125" i="46"/>
  <c r="BF125" i="46"/>
  <c r="BR124" i="46"/>
  <c r="BJ124" i="46"/>
  <c r="BB124" i="46"/>
  <c r="BN123" i="46"/>
  <c r="BF123" i="46"/>
  <c r="BR122" i="46"/>
  <c r="BJ122" i="46"/>
  <c r="BB122" i="46"/>
  <c r="BN121" i="46"/>
  <c r="BF121" i="46"/>
  <c r="BR120" i="46"/>
  <c r="BJ120" i="46"/>
  <c r="BB120" i="46"/>
  <c r="BN119" i="46"/>
  <c r="BF119" i="46"/>
  <c r="BR118" i="46"/>
  <c r="BJ118" i="46"/>
  <c r="BB118" i="46"/>
  <c r="BN117" i="46"/>
  <c r="BF117" i="46"/>
  <c r="BR116" i="46"/>
  <c r="BJ116" i="46"/>
  <c r="BB116" i="46"/>
  <c r="BN115" i="46"/>
  <c r="BF115" i="46"/>
  <c r="BR114" i="46"/>
  <c r="BJ114" i="46"/>
  <c r="BB114" i="46"/>
  <c r="BF161" i="46"/>
  <c r="BF150" i="46"/>
  <c r="BG135" i="46"/>
  <c r="BT134" i="46"/>
  <c r="BP133" i="46"/>
  <c r="BN132" i="46"/>
  <c r="BU131" i="46"/>
  <c r="BM131" i="46"/>
  <c r="BE131" i="46"/>
  <c r="BQ130" i="46"/>
  <c r="BI130" i="46"/>
  <c r="BA130" i="46"/>
  <c r="BU129" i="46"/>
  <c r="BM129" i="46"/>
  <c r="BE129" i="46"/>
  <c r="BQ128" i="46"/>
  <c r="BI128" i="46"/>
  <c r="BA128" i="46"/>
  <c r="BU127" i="46"/>
  <c r="BM127" i="46"/>
  <c r="BE127" i="46"/>
  <c r="BQ126" i="46"/>
  <c r="BI126" i="46"/>
  <c r="BA126" i="46"/>
  <c r="BU125" i="46"/>
  <c r="BM125" i="46"/>
  <c r="BE125" i="46"/>
  <c r="BQ124" i="46"/>
  <c r="BI124" i="46"/>
  <c r="BA124" i="46"/>
  <c r="BU123" i="46"/>
  <c r="BM123" i="46"/>
  <c r="BE123" i="46"/>
  <c r="BQ122" i="46"/>
  <c r="BI122" i="46"/>
  <c r="BA122" i="46"/>
  <c r="BU121" i="46"/>
  <c r="BM121" i="46"/>
  <c r="BE121" i="46"/>
  <c r="BQ120" i="46"/>
  <c r="BI120" i="46"/>
  <c r="BA120" i="46"/>
  <c r="BU119" i="46"/>
  <c r="BM119" i="46"/>
  <c r="BE119" i="46"/>
  <c r="BQ118" i="46"/>
  <c r="BI118" i="46"/>
  <c r="BA118" i="46"/>
  <c r="BU117" i="46"/>
  <c r="BM117" i="46"/>
  <c r="BE117" i="46"/>
  <c r="BQ116" i="46"/>
  <c r="BI116" i="46"/>
  <c r="BA116" i="46"/>
  <c r="BU115" i="46"/>
  <c r="BM115" i="46"/>
  <c r="BE115" i="46"/>
  <c r="BQ114" i="46"/>
  <c r="BA156" i="46"/>
  <c r="BN154" i="46"/>
  <c r="BP147" i="46"/>
  <c r="BL146" i="46"/>
  <c r="BP145" i="46"/>
  <c r="BT144" i="46"/>
  <c r="BT138" i="46"/>
  <c r="BP137" i="46"/>
  <c r="BL136" i="46"/>
  <c r="AZ135" i="46"/>
  <c r="BO134" i="46"/>
  <c r="BK133" i="46"/>
  <c r="BK132" i="46"/>
  <c r="BS131" i="46"/>
  <c r="BK131" i="46"/>
  <c r="BC131" i="46"/>
  <c r="BO130" i="46"/>
  <c r="BG130" i="46"/>
  <c r="BS129" i="46"/>
  <c r="BK129" i="46"/>
  <c r="BC129" i="46"/>
  <c r="BO128" i="46"/>
  <c r="BG128" i="46"/>
  <c r="BS127" i="46"/>
  <c r="BK127" i="46"/>
  <c r="BC127" i="46"/>
  <c r="BO126" i="46"/>
  <c r="BG126" i="46"/>
  <c r="BS125" i="46"/>
  <c r="BK125" i="46"/>
  <c r="BC125" i="46"/>
  <c r="BO124" i="46"/>
  <c r="BG124" i="46"/>
  <c r="BS123" i="46"/>
  <c r="BK123" i="46"/>
  <c r="BC123" i="46"/>
  <c r="BO122" i="46"/>
  <c r="BG122" i="46"/>
  <c r="BS121" i="46"/>
  <c r="BK121" i="46"/>
  <c r="BC121" i="46"/>
  <c r="BO120" i="46"/>
  <c r="BG120" i="46"/>
  <c r="BS119" i="46"/>
  <c r="BJ160" i="46"/>
  <c r="BR158" i="46"/>
  <c r="BH147" i="46"/>
  <c r="BD146" i="46"/>
  <c r="BH145" i="46"/>
  <c r="BL144" i="46"/>
  <c r="BP143" i="46"/>
  <c r="BT142" i="46"/>
  <c r="BT140" i="46"/>
  <c r="BP139" i="46"/>
  <c r="BL138" i="46"/>
  <c r="BH137" i="46"/>
  <c r="BD136" i="46"/>
  <c r="BS135" i="46"/>
  <c r="BL134" i="46"/>
  <c r="BH133" i="46"/>
  <c r="BG132" i="46"/>
  <c r="BR131" i="46"/>
  <c r="BJ131" i="46"/>
  <c r="BB131" i="46"/>
  <c r="BN130" i="46"/>
  <c r="BF130" i="46"/>
  <c r="BR129" i="46"/>
  <c r="BJ129" i="46"/>
  <c r="BB129" i="46"/>
  <c r="BN128" i="46"/>
  <c r="BF128" i="46"/>
  <c r="BR127" i="46"/>
  <c r="BJ127" i="46"/>
  <c r="BB127" i="46"/>
  <c r="BN126" i="46"/>
  <c r="BF126" i="46"/>
  <c r="BR125" i="46"/>
  <c r="BJ125" i="46"/>
  <c r="BB125" i="46"/>
  <c r="BN124" i="46"/>
  <c r="BF124" i="46"/>
  <c r="BR123" i="46"/>
  <c r="BJ123" i="46"/>
  <c r="BB123" i="46"/>
  <c r="BN122" i="46"/>
  <c r="BF122" i="46"/>
  <c r="BR121" i="46"/>
  <c r="BJ121" i="46"/>
  <c r="BB121" i="46"/>
  <c r="BN120" i="46"/>
  <c r="BF120" i="46"/>
  <c r="BR119" i="46"/>
  <c r="BJ119" i="46"/>
  <c r="BB119" i="46"/>
  <c r="BN118" i="46"/>
  <c r="BF118" i="46"/>
  <c r="BR117" i="46"/>
  <c r="BJ117" i="46"/>
  <c r="BB117" i="46"/>
  <c r="BN116" i="46"/>
  <c r="BF116" i="46"/>
  <c r="BR115" i="46"/>
  <c r="BJ115" i="46"/>
  <c r="BB115" i="46"/>
  <c r="BL131" i="46"/>
  <c r="AZ130" i="46"/>
  <c r="BC119" i="46"/>
  <c r="BP118" i="46"/>
  <c r="BK117" i="46"/>
  <c r="BC116" i="46"/>
  <c r="BS115" i="46"/>
  <c r="BT114" i="46"/>
  <c r="BH114" i="46"/>
  <c r="BQ113" i="46"/>
  <c r="BI113" i="46"/>
  <c r="BA113" i="46"/>
  <c r="BU112" i="46"/>
  <c r="BM112" i="46"/>
  <c r="BE112" i="46"/>
  <c r="BQ111" i="46"/>
  <c r="BI111" i="46"/>
  <c r="BA111" i="46"/>
  <c r="BU110" i="46"/>
  <c r="BM110" i="46"/>
  <c r="BE110" i="46"/>
  <c r="BQ109" i="46"/>
  <c r="BI109" i="46"/>
  <c r="BA109" i="46"/>
  <c r="BU108" i="46"/>
  <c r="BM108" i="46"/>
  <c r="BE108" i="46"/>
  <c r="BQ107" i="46"/>
  <c r="BI107" i="46"/>
  <c r="BA107" i="46"/>
  <c r="BU106" i="46"/>
  <c r="BM106" i="46"/>
  <c r="BE106" i="46"/>
  <c r="BQ105" i="46"/>
  <c r="BI105" i="46"/>
  <c r="BA105" i="46"/>
  <c r="BU104" i="46"/>
  <c r="BM104" i="46"/>
  <c r="BE104" i="46"/>
  <c r="BQ103" i="46"/>
  <c r="BI103" i="46"/>
  <c r="BA103" i="46"/>
  <c r="BU102" i="46"/>
  <c r="BM102" i="46"/>
  <c r="BE102" i="46"/>
  <c r="BQ101" i="46"/>
  <c r="BI101" i="46"/>
  <c r="BA101" i="46"/>
  <c r="BU100" i="46"/>
  <c r="BM100" i="46"/>
  <c r="BE100" i="46"/>
  <c r="BQ99" i="46"/>
  <c r="BI99" i="46"/>
  <c r="BA99" i="46"/>
  <c r="BU98" i="46"/>
  <c r="BM98" i="46"/>
  <c r="BE98" i="46"/>
  <c r="BQ97" i="46"/>
  <c r="BI97" i="46"/>
  <c r="BA97" i="46"/>
  <c r="BU96" i="46"/>
  <c r="BM96" i="46"/>
  <c r="BE96" i="46"/>
  <c r="BQ95" i="46"/>
  <c r="BI95" i="46"/>
  <c r="BA95" i="46"/>
  <c r="BC135" i="46"/>
  <c r="BD131" i="46"/>
  <c r="BT121" i="46"/>
  <c r="BP120" i="46"/>
  <c r="BO118" i="46"/>
  <c r="BG117" i="46"/>
  <c r="AZ116" i="46"/>
  <c r="BO115" i="46"/>
  <c r="BS114" i="46"/>
  <c r="BG114" i="46"/>
  <c r="BP113" i="46"/>
  <c r="BH113" i="46"/>
  <c r="AZ113" i="46"/>
  <c r="BT112" i="46"/>
  <c r="BL112" i="46"/>
  <c r="BD112" i="46"/>
  <c r="BP111" i="46"/>
  <c r="BH111" i="46"/>
  <c r="AZ111" i="46"/>
  <c r="BT110" i="46"/>
  <c r="BL110" i="46"/>
  <c r="BD110" i="46"/>
  <c r="BP109" i="46"/>
  <c r="BH109" i="46"/>
  <c r="AZ109" i="46"/>
  <c r="BT108" i="46"/>
  <c r="BL108" i="46"/>
  <c r="BD108" i="46"/>
  <c r="BP107" i="46"/>
  <c r="BH107" i="46"/>
  <c r="AZ107" i="46"/>
  <c r="BT106" i="46"/>
  <c r="BL106" i="46"/>
  <c r="BD106" i="46"/>
  <c r="BP105" i="46"/>
  <c r="BH105" i="46"/>
  <c r="AZ105" i="46"/>
  <c r="BT104" i="46"/>
  <c r="BL104" i="46"/>
  <c r="BD104" i="46"/>
  <c r="BP103" i="46"/>
  <c r="BH103" i="46"/>
  <c r="AZ103" i="46"/>
  <c r="BT102" i="46"/>
  <c r="BL102" i="46"/>
  <c r="BD102" i="46"/>
  <c r="BP101" i="46"/>
  <c r="BH101" i="46"/>
  <c r="AZ101" i="46"/>
  <c r="BT100" i="46"/>
  <c r="BL100" i="46"/>
  <c r="BD100" i="46"/>
  <c r="BP99" i="46"/>
  <c r="BH99" i="46"/>
  <c r="AZ99" i="46"/>
  <c r="BT98" i="46"/>
  <c r="BL98" i="46"/>
  <c r="BD98" i="46"/>
  <c r="BP97" i="46"/>
  <c r="BH97" i="46"/>
  <c r="AZ97" i="46"/>
  <c r="BT96" i="46"/>
  <c r="BL96" i="46"/>
  <c r="BD96" i="46"/>
  <c r="BP95" i="46"/>
  <c r="BH95" i="46"/>
  <c r="AZ95" i="46"/>
  <c r="BT123" i="46"/>
  <c r="BP122" i="46"/>
  <c r="BL121" i="46"/>
  <c r="BH120" i="46"/>
  <c r="BT119" i="46"/>
  <c r="BK118" i="46"/>
  <c r="BD117" i="46"/>
  <c r="BS116" i="46"/>
  <c r="BL115" i="46"/>
  <c r="BP114" i="46"/>
  <c r="BF114" i="46"/>
  <c r="BO113" i="46"/>
  <c r="BG113" i="46"/>
  <c r="BS112" i="46"/>
  <c r="BK112" i="46"/>
  <c r="BC112" i="46"/>
  <c r="BO111" i="46"/>
  <c r="BG111" i="46"/>
  <c r="BS110" i="46"/>
  <c r="BK110" i="46"/>
  <c r="BC110" i="46"/>
  <c r="BO109" i="46"/>
  <c r="BG109" i="46"/>
  <c r="BS108" i="46"/>
  <c r="BK108" i="46"/>
  <c r="BC108" i="46"/>
  <c r="BO107" i="46"/>
  <c r="BG107" i="46"/>
  <c r="BS106" i="46"/>
  <c r="BK106" i="46"/>
  <c r="BC106" i="46"/>
  <c r="BO105" i="46"/>
  <c r="BG105" i="46"/>
  <c r="BS104" i="46"/>
  <c r="BK104" i="46"/>
  <c r="BC104" i="46"/>
  <c r="BO103" i="46"/>
  <c r="BG103" i="46"/>
  <c r="BS102" i="46"/>
  <c r="BK102" i="46"/>
  <c r="BC102" i="46"/>
  <c r="BO101" i="46"/>
  <c r="BG101" i="46"/>
  <c r="BS100" i="46"/>
  <c r="BK100" i="46"/>
  <c r="BC100" i="46"/>
  <c r="BK151" i="46"/>
  <c r="BS134" i="46"/>
  <c r="BL132" i="46"/>
  <c r="BT125" i="46"/>
  <c r="BP124" i="46"/>
  <c r="BL123" i="46"/>
  <c r="BH122" i="46"/>
  <c r="BD121" i="46"/>
  <c r="AZ120" i="46"/>
  <c r="BO119" i="46"/>
  <c r="BH118" i="46"/>
  <c r="BC117" i="46"/>
  <c r="BP116" i="46"/>
  <c r="BK115" i="46"/>
  <c r="BO114" i="46"/>
  <c r="BD114" i="46"/>
  <c r="BN113" i="46"/>
  <c r="BF113" i="46"/>
  <c r="BR112" i="46"/>
  <c r="BJ112" i="46"/>
  <c r="BB112" i="46"/>
  <c r="BN111" i="46"/>
  <c r="BF111" i="46"/>
  <c r="BR110" i="46"/>
  <c r="BJ110" i="46"/>
  <c r="BB110" i="46"/>
  <c r="BN109" i="46"/>
  <c r="BF109" i="46"/>
  <c r="BR108" i="46"/>
  <c r="BJ108" i="46"/>
  <c r="BB108" i="46"/>
  <c r="BN107" i="46"/>
  <c r="BF107" i="46"/>
  <c r="BR106" i="46"/>
  <c r="BJ106" i="46"/>
  <c r="BB106" i="46"/>
  <c r="BN105" i="46"/>
  <c r="BF105" i="46"/>
  <c r="BR104" i="46"/>
  <c r="BJ104" i="46"/>
  <c r="BB104" i="46"/>
  <c r="BN103" i="46"/>
  <c r="BF103" i="46"/>
  <c r="BR102" i="46"/>
  <c r="BJ102" i="46"/>
  <c r="BB102" i="46"/>
  <c r="BN101" i="46"/>
  <c r="BF101" i="46"/>
  <c r="BR100" i="46"/>
  <c r="BJ100" i="46"/>
  <c r="BB100" i="46"/>
  <c r="BN99" i="46"/>
  <c r="BF99" i="46"/>
  <c r="BT127" i="46"/>
  <c r="BP126" i="46"/>
  <c r="BL125" i="46"/>
  <c r="BH124" i="46"/>
  <c r="BD123" i="46"/>
  <c r="AZ122" i="46"/>
  <c r="BL119" i="46"/>
  <c r="BG118" i="46"/>
  <c r="BT117" i="46"/>
  <c r="BO116" i="46"/>
  <c r="BG115" i="46"/>
  <c r="BN114" i="46"/>
  <c r="BC114" i="46"/>
  <c r="BU113" i="46"/>
  <c r="BM113" i="46"/>
  <c r="BE113" i="46"/>
  <c r="BQ112" i="46"/>
  <c r="BI112" i="46"/>
  <c r="BA112" i="46"/>
  <c r="BU111" i="46"/>
  <c r="BM111" i="46"/>
  <c r="BE111" i="46"/>
  <c r="BQ110" i="46"/>
  <c r="BI110" i="46"/>
  <c r="BA110" i="46"/>
  <c r="BU109" i="46"/>
  <c r="BM109" i="46"/>
  <c r="BE109" i="46"/>
  <c r="BQ108" i="46"/>
  <c r="BI108" i="46"/>
  <c r="BA108" i="46"/>
  <c r="BU107" i="46"/>
  <c r="BM107" i="46"/>
  <c r="BE107" i="46"/>
  <c r="BQ106" i="46"/>
  <c r="BI106" i="46"/>
  <c r="BA106" i="46"/>
  <c r="BU105" i="46"/>
  <c r="BM105" i="46"/>
  <c r="BE105" i="46"/>
  <c r="BQ104" i="46"/>
  <c r="BI104" i="46"/>
  <c r="BA104" i="46"/>
  <c r="BU103" i="46"/>
  <c r="BM103" i="46"/>
  <c r="BE103" i="46"/>
  <c r="BQ102" i="46"/>
  <c r="BI102" i="46"/>
  <c r="BA102" i="46"/>
  <c r="BU101" i="46"/>
  <c r="BM101" i="46"/>
  <c r="BE101" i="46"/>
  <c r="BQ100" i="46"/>
  <c r="BI100" i="46"/>
  <c r="BA100" i="46"/>
  <c r="BU99" i="46"/>
  <c r="BM99" i="46"/>
  <c r="BE99" i="46"/>
  <c r="BQ98" i="46"/>
  <c r="BI98" i="46"/>
  <c r="BA98" i="46"/>
  <c r="BU97" i="46"/>
  <c r="BM97" i="46"/>
  <c r="BE97" i="46"/>
  <c r="BQ96" i="46"/>
  <c r="BI96" i="46"/>
  <c r="BA96" i="46"/>
  <c r="BU95" i="46"/>
  <c r="BM95" i="46"/>
  <c r="BE95" i="46"/>
  <c r="BT146" i="46"/>
  <c r="BT136" i="46"/>
  <c r="BP130" i="46"/>
  <c r="BL129" i="46"/>
  <c r="BH128" i="46"/>
  <c r="BD127" i="46"/>
  <c r="AZ126" i="46"/>
  <c r="BG119" i="46"/>
  <c r="AZ118" i="46"/>
  <c r="BO117" i="46"/>
  <c r="BH116" i="46"/>
  <c r="BC115" i="46"/>
  <c r="BK114" i="46"/>
  <c r="AZ114" i="46"/>
  <c r="BS113" i="46"/>
  <c r="BK113" i="46"/>
  <c r="BC113" i="46"/>
  <c r="BO112" i="46"/>
  <c r="BG112" i="46"/>
  <c r="BS111" i="46"/>
  <c r="BK111" i="46"/>
  <c r="BC111" i="46"/>
  <c r="BO110" i="46"/>
  <c r="BG110" i="46"/>
  <c r="BS109" i="46"/>
  <c r="BK109" i="46"/>
  <c r="BC109" i="46"/>
  <c r="BO108" i="46"/>
  <c r="BG108" i="46"/>
  <c r="BS107" i="46"/>
  <c r="BK107" i="46"/>
  <c r="BC107" i="46"/>
  <c r="BO106" i="46"/>
  <c r="BG106" i="46"/>
  <c r="BS105" i="46"/>
  <c r="BK105" i="46"/>
  <c r="BC105" i="46"/>
  <c r="BO104" i="46"/>
  <c r="BG104" i="46"/>
  <c r="BS103" i="46"/>
  <c r="BK103" i="46"/>
  <c r="BC103" i="46"/>
  <c r="BO102" i="46"/>
  <c r="BG102" i="46"/>
  <c r="BS101" i="46"/>
  <c r="BK101" i="46"/>
  <c r="BC101" i="46"/>
  <c r="BO100" i="46"/>
  <c r="BG100" i="46"/>
  <c r="BO133" i="46"/>
  <c r="BT131" i="46"/>
  <c r="BH130" i="46"/>
  <c r="BD129" i="46"/>
  <c r="AZ128" i="46"/>
  <c r="BD119" i="46"/>
  <c r="BS118" i="46"/>
  <c r="BL117" i="46"/>
  <c r="BG116" i="46"/>
  <c r="BT115" i="46"/>
  <c r="BI114" i="46"/>
  <c r="BR113" i="46"/>
  <c r="BJ113" i="46"/>
  <c r="BB113" i="46"/>
  <c r="BN112" i="46"/>
  <c r="BF112" i="46"/>
  <c r="BR111" i="46"/>
  <c r="BJ111" i="46"/>
  <c r="BB111" i="46"/>
  <c r="BN110" i="46"/>
  <c r="BF110" i="46"/>
  <c r="BR109" i="46"/>
  <c r="BJ109" i="46"/>
  <c r="BB109" i="46"/>
  <c r="BN108" i="46"/>
  <c r="BF108" i="46"/>
  <c r="BR107" i="46"/>
  <c r="BJ107" i="46"/>
  <c r="BB107" i="46"/>
  <c r="BN106" i="46"/>
  <c r="BF106" i="46"/>
  <c r="BR105" i="46"/>
  <c r="BJ105" i="46"/>
  <c r="BB105" i="46"/>
  <c r="BN104" i="46"/>
  <c r="BF104" i="46"/>
  <c r="BR103" i="46"/>
  <c r="BJ103" i="46"/>
  <c r="BB103" i="46"/>
  <c r="BN102" i="46"/>
  <c r="BF102" i="46"/>
  <c r="BR101" i="46"/>
  <c r="BJ101" i="46"/>
  <c r="BB101" i="46"/>
  <c r="BN100" i="46"/>
  <c r="BF100" i="46"/>
  <c r="BR99" i="46"/>
  <c r="BJ99" i="46"/>
  <c r="BB99" i="46"/>
  <c r="BN98" i="46"/>
  <c r="BF98" i="46"/>
  <c r="BR97" i="46"/>
  <c r="BJ97" i="46"/>
  <c r="BB97" i="46"/>
  <c r="BN96" i="46"/>
  <c r="BF96" i="46"/>
  <c r="BR95" i="46"/>
  <c r="BJ95" i="46"/>
  <c r="BB95" i="46"/>
  <c r="BL127" i="46"/>
  <c r="BC118" i="46"/>
  <c r="AZ110" i="46"/>
  <c r="BD109" i="46"/>
  <c r="BH108" i="46"/>
  <c r="BL107" i="46"/>
  <c r="BP106" i="46"/>
  <c r="BT105" i="46"/>
  <c r="BL99" i="46"/>
  <c r="BK98" i="46"/>
  <c r="BF97" i="46"/>
  <c r="BP96" i="46"/>
  <c r="AZ96" i="46"/>
  <c r="BK95" i="46"/>
  <c r="BN94" i="46"/>
  <c r="BF94" i="46"/>
  <c r="BR93" i="46"/>
  <c r="BJ93" i="46"/>
  <c r="BB93" i="46"/>
  <c r="BN92" i="46"/>
  <c r="BF92" i="46"/>
  <c r="BR91" i="46"/>
  <c r="BJ91" i="46"/>
  <c r="BB91" i="46"/>
  <c r="BN90" i="46"/>
  <c r="BF90" i="46"/>
  <c r="BR89" i="46"/>
  <c r="BJ89" i="46"/>
  <c r="BB89" i="46"/>
  <c r="BN88" i="46"/>
  <c r="BF88" i="46"/>
  <c r="BR87" i="46"/>
  <c r="BJ87" i="46"/>
  <c r="BB87" i="46"/>
  <c r="BN86" i="46"/>
  <c r="BF86" i="46"/>
  <c r="BR85" i="46"/>
  <c r="BJ85" i="46"/>
  <c r="BB85" i="46"/>
  <c r="BN84" i="46"/>
  <c r="BF84" i="46"/>
  <c r="BR83" i="46"/>
  <c r="BJ83" i="46"/>
  <c r="BB83" i="46"/>
  <c r="BN82" i="46"/>
  <c r="BF82" i="46"/>
  <c r="BR81" i="46"/>
  <c r="BJ81" i="46"/>
  <c r="BB81" i="46"/>
  <c r="BN80" i="46"/>
  <c r="BF80" i="46"/>
  <c r="BR79" i="46"/>
  <c r="BJ79" i="46"/>
  <c r="BB79" i="46"/>
  <c r="BN78" i="46"/>
  <c r="BF78" i="46"/>
  <c r="BD115" i="46"/>
  <c r="AZ108" i="46"/>
  <c r="BD107" i="46"/>
  <c r="BH106" i="46"/>
  <c r="BL105" i="46"/>
  <c r="BP104" i="46"/>
  <c r="BT103" i="46"/>
  <c r="BK99" i="46"/>
  <c r="BJ98" i="46"/>
  <c r="BT97" i="46"/>
  <c r="BD97" i="46"/>
  <c r="BO96" i="46"/>
  <c r="BG95" i="46"/>
  <c r="BU94" i="46"/>
  <c r="BM94" i="46"/>
  <c r="BE94" i="46"/>
  <c r="BQ93" i="46"/>
  <c r="BI93" i="46"/>
  <c r="BA93" i="46"/>
  <c r="BU92" i="46"/>
  <c r="BM92" i="46"/>
  <c r="BE92" i="46"/>
  <c r="BQ91" i="46"/>
  <c r="BI91" i="46"/>
  <c r="BA91" i="46"/>
  <c r="BU90" i="46"/>
  <c r="BM90" i="46"/>
  <c r="BE90" i="46"/>
  <c r="BQ89" i="46"/>
  <c r="BI89" i="46"/>
  <c r="BA89" i="46"/>
  <c r="BU88" i="46"/>
  <c r="BM88" i="46"/>
  <c r="BE88" i="46"/>
  <c r="BQ87" i="46"/>
  <c r="BI87" i="46"/>
  <c r="BA87" i="46"/>
  <c r="BU86" i="46"/>
  <c r="BM86" i="46"/>
  <c r="BE86" i="46"/>
  <c r="BQ85" i="46"/>
  <c r="BI85" i="46"/>
  <c r="BA85" i="46"/>
  <c r="BU84" i="46"/>
  <c r="BM84" i="46"/>
  <c r="BE84" i="46"/>
  <c r="BQ83" i="46"/>
  <c r="BI83" i="46"/>
  <c r="BA83" i="46"/>
  <c r="BU82" i="46"/>
  <c r="BM82" i="46"/>
  <c r="BE82" i="46"/>
  <c r="BQ81" i="46"/>
  <c r="BI81" i="46"/>
  <c r="BA81" i="46"/>
  <c r="BU80" i="46"/>
  <c r="BM80" i="46"/>
  <c r="BE80" i="46"/>
  <c r="BQ79" i="46"/>
  <c r="BI79" i="46"/>
  <c r="BA79" i="46"/>
  <c r="BH126" i="46"/>
  <c r="BS117" i="46"/>
  <c r="AZ106" i="46"/>
  <c r="BD105" i="46"/>
  <c r="BH104" i="46"/>
  <c r="BL103" i="46"/>
  <c r="BP102" i="46"/>
  <c r="BT101" i="46"/>
  <c r="BG99" i="46"/>
  <c r="BH98" i="46"/>
  <c r="BS97" i="46"/>
  <c r="BC97" i="46"/>
  <c r="BK96" i="46"/>
  <c r="BF95" i="46"/>
  <c r="BT94" i="46"/>
  <c r="BL94" i="46"/>
  <c r="BD94" i="46"/>
  <c r="BP93" i="46"/>
  <c r="BH93" i="46"/>
  <c r="AZ93" i="46"/>
  <c r="BT92" i="46"/>
  <c r="BL92" i="46"/>
  <c r="BD92" i="46"/>
  <c r="BP91" i="46"/>
  <c r="BH91" i="46"/>
  <c r="AZ91" i="46"/>
  <c r="BT90" i="46"/>
  <c r="BL90" i="46"/>
  <c r="BD90" i="46"/>
  <c r="BP89" i="46"/>
  <c r="BH89" i="46"/>
  <c r="AZ89" i="46"/>
  <c r="BT88" i="46"/>
  <c r="BL88" i="46"/>
  <c r="BD88" i="46"/>
  <c r="BP87" i="46"/>
  <c r="BH87" i="46"/>
  <c r="AZ87" i="46"/>
  <c r="BT86" i="46"/>
  <c r="BL86" i="46"/>
  <c r="BD86" i="46"/>
  <c r="BP85" i="46"/>
  <c r="BH85" i="46"/>
  <c r="AZ85" i="46"/>
  <c r="BT84" i="46"/>
  <c r="BL84" i="46"/>
  <c r="BD84" i="46"/>
  <c r="BP83" i="46"/>
  <c r="BH83" i="46"/>
  <c r="AZ83" i="46"/>
  <c r="BT82" i="46"/>
  <c r="BL82" i="46"/>
  <c r="BD82" i="46"/>
  <c r="BP81" i="46"/>
  <c r="BH81" i="46"/>
  <c r="AZ81" i="46"/>
  <c r="BT80" i="46"/>
  <c r="BL80" i="46"/>
  <c r="BD80" i="46"/>
  <c r="BP79" i="46"/>
  <c r="BH79" i="46"/>
  <c r="AZ79" i="46"/>
  <c r="BT78" i="46"/>
  <c r="BL78" i="46"/>
  <c r="BD78" i="46"/>
  <c r="BD125" i="46"/>
  <c r="AZ104" i="46"/>
  <c r="BD103" i="46"/>
  <c r="BH102" i="46"/>
  <c r="BL101" i="46"/>
  <c r="BP100" i="46"/>
  <c r="BD99" i="46"/>
  <c r="BG98" i="46"/>
  <c r="BO97" i="46"/>
  <c r="BJ96" i="46"/>
  <c r="BT95" i="46"/>
  <c r="BD95" i="46"/>
  <c r="BS94" i="46"/>
  <c r="BK94" i="46"/>
  <c r="BC94" i="46"/>
  <c r="BO93" i="46"/>
  <c r="BG93" i="46"/>
  <c r="BS92" i="46"/>
  <c r="BK92" i="46"/>
  <c r="BC92" i="46"/>
  <c r="BO91" i="46"/>
  <c r="BG91" i="46"/>
  <c r="BS90" i="46"/>
  <c r="BK90" i="46"/>
  <c r="BC90" i="46"/>
  <c r="BO89" i="46"/>
  <c r="BG89" i="46"/>
  <c r="BS88" i="46"/>
  <c r="BK88" i="46"/>
  <c r="BC88" i="46"/>
  <c r="BO87" i="46"/>
  <c r="BG87" i="46"/>
  <c r="BS86" i="46"/>
  <c r="BK86" i="46"/>
  <c r="BC86" i="46"/>
  <c r="BO85" i="46"/>
  <c r="BG85" i="46"/>
  <c r="BS84" i="46"/>
  <c r="BK84" i="46"/>
  <c r="BC84" i="46"/>
  <c r="BO83" i="46"/>
  <c r="BG83" i="46"/>
  <c r="BS82" i="46"/>
  <c r="BK82" i="46"/>
  <c r="BC82" i="46"/>
  <c r="BT129" i="46"/>
  <c r="BK119" i="46"/>
  <c r="BT113" i="46"/>
  <c r="AZ102" i="46"/>
  <c r="BD101" i="46"/>
  <c r="BH100" i="46"/>
  <c r="BC99" i="46"/>
  <c r="BS98" i="46"/>
  <c r="BC98" i="46"/>
  <c r="BN97" i="46"/>
  <c r="BH96" i="46"/>
  <c r="BS95" i="46"/>
  <c r="BC95" i="46"/>
  <c r="BR94" i="46"/>
  <c r="BJ94" i="46"/>
  <c r="BB94" i="46"/>
  <c r="BN93" i="46"/>
  <c r="BF93" i="46"/>
  <c r="BR92" i="46"/>
  <c r="BJ92" i="46"/>
  <c r="BB92" i="46"/>
  <c r="BN91" i="46"/>
  <c r="BF91" i="46"/>
  <c r="BR90" i="46"/>
  <c r="BJ90" i="46"/>
  <c r="BB90" i="46"/>
  <c r="BN89" i="46"/>
  <c r="BF89" i="46"/>
  <c r="BR88" i="46"/>
  <c r="BJ88" i="46"/>
  <c r="BB88" i="46"/>
  <c r="BN87" i="46"/>
  <c r="BF87" i="46"/>
  <c r="BR86" i="46"/>
  <c r="BJ86" i="46"/>
  <c r="BB86" i="46"/>
  <c r="BN85" i="46"/>
  <c r="BF85" i="46"/>
  <c r="BR84" i="46"/>
  <c r="BJ84" i="46"/>
  <c r="BB84" i="46"/>
  <c r="BN83" i="46"/>
  <c r="BF83" i="46"/>
  <c r="BR82" i="46"/>
  <c r="BJ82" i="46"/>
  <c r="BB82" i="46"/>
  <c r="BN81" i="46"/>
  <c r="BF81" i="46"/>
  <c r="BR80" i="46"/>
  <c r="BJ80" i="46"/>
  <c r="BB80" i="46"/>
  <c r="AZ124" i="46"/>
  <c r="BL114" i="46"/>
  <c r="BL113" i="46"/>
  <c r="BP112" i="46"/>
  <c r="BT111" i="46"/>
  <c r="AZ100" i="46"/>
  <c r="BT99" i="46"/>
  <c r="BR98" i="46"/>
  <c r="BB98" i="46"/>
  <c r="BL97" i="46"/>
  <c r="BG96" i="46"/>
  <c r="BO95" i="46"/>
  <c r="BQ94" i="46"/>
  <c r="BI94" i="46"/>
  <c r="BA94" i="46"/>
  <c r="BU93" i="46"/>
  <c r="BM93" i="46"/>
  <c r="BE93" i="46"/>
  <c r="BQ92" i="46"/>
  <c r="BI92" i="46"/>
  <c r="BA92" i="46"/>
  <c r="BU91" i="46"/>
  <c r="BM91" i="46"/>
  <c r="BE91" i="46"/>
  <c r="BQ90" i="46"/>
  <c r="BI90" i="46"/>
  <c r="BA90" i="46"/>
  <c r="BU89" i="46"/>
  <c r="BM89" i="46"/>
  <c r="BE89" i="46"/>
  <c r="BQ88" i="46"/>
  <c r="BI88" i="46"/>
  <c r="BA88" i="46"/>
  <c r="BU87" i="46"/>
  <c r="BM87" i="46"/>
  <c r="BE87" i="46"/>
  <c r="BQ86" i="46"/>
  <c r="BI86" i="46"/>
  <c r="BA86" i="46"/>
  <c r="BU85" i="46"/>
  <c r="BM85" i="46"/>
  <c r="BE85" i="46"/>
  <c r="BQ84" i="46"/>
  <c r="BI84" i="46"/>
  <c r="BA84" i="46"/>
  <c r="BU83" i="46"/>
  <c r="BM83" i="46"/>
  <c r="BE83" i="46"/>
  <c r="BQ82" i="46"/>
  <c r="BI82" i="46"/>
  <c r="BA82" i="46"/>
  <c r="BU81" i="46"/>
  <c r="BM81" i="46"/>
  <c r="BE81" i="46"/>
  <c r="BQ80" i="46"/>
  <c r="BI80" i="46"/>
  <c r="BA80" i="46"/>
  <c r="BU79" i="46"/>
  <c r="BM79" i="46"/>
  <c r="BE79" i="46"/>
  <c r="BQ78" i="46"/>
  <c r="BI78" i="46"/>
  <c r="BA78" i="46"/>
  <c r="BK116" i="46"/>
  <c r="BA114" i="46"/>
  <c r="BD113" i="46"/>
  <c r="BH112" i="46"/>
  <c r="BL111" i="46"/>
  <c r="BP110" i="46"/>
  <c r="BT109" i="46"/>
  <c r="BS99" i="46"/>
  <c r="BP98" i="46"/>
  <c r="AZ98" i="46"/>
  <c r="BK97" i="46"/>
  <c r="BS96" i="46"/>
  <c r="BC96" i="46"/>
  <c r="BN95" i="46"/>
  <c r="BP94" i="46"/>
  <c r="BH94" i="46"/>
  <c r="AZ94" i="46"/>
  <c r="BT93" i="46"/>
  <c r="BL93" i="46"/>
  <c r="BD93" i="46"/>
  <c r="BP92" i="46"/>
  <c r="BH92" i="46"/>
  <c r="AZ92" i="46"/>
  <c r="BT91" i="46"/>
  <c r="BL91" i="46"/>
  <c r="BD91" i="46"/>
  <c r="BP90" i="46"/>
  <c r="BH90" i="46"/>
  <c r="AZ90" i="46"/>
  <c r="BT89" i="46"/>
  <c r="BL89" i="46"/>
  <c r="BD89" i="46"/>
  <c r="BP88" i="46"/>
  <c r="BH88" i="46"/>
  <c r="AZ88" i="46"/>
  <c r="BT87" i="46"/>
  <c r="BL87" i="46"/>
  <c r="BD87" i="46"/>
  <c r="BP86" i="46"/>
  <c r="BH86" i="46"/>
  <c r="AZ86" i="46"/>
  <c r="BT85" i="46"/>
  <c r="BL85" i="46"/>
  <c r="BD85" i="46"/>
  <c r="BP84" i="46"/>
  <c r="BH84" i="46"/>
  <c r="AZ84" i="46"/>
  <c r="BT83" i="46"/>
  <c r="BL83" i="46"/>
  <c r="BD83" i="46"/>
  <c r="BP82" i="46"/>
  <c r="BH82" i="46"/>
  <c r="AZ82" i="46"/>
  <c r="BT81" i="46"/>
  <c r="BL81" i="46"/>
  <c r="BD81" i="46"/>
  <c r="BP80" i="46"/>
  <c r="BH80" i="46"/>
  <c r="AZ80" i="46"/>
  <c r="BT79" i="46"/>
  <c r="BL79" i="46"/>
  <c r="BD79" i="46"/>
  <c r="BP78" i="46"/>
  <c r="BH78" i="46"/>
  <c r="AZ78" i="46"/>
  <c r="BP128" i="46"/>
  <c r="AZ112" i="46"/>
  <c r="BD111" i="46"/>
  <c r="BH110" i="46"/>
  <c r="BL109" i="46"/>
  <c r="BP108" i="46"/>
  <c r="BT107" i="46"/>
  <c r="BO99" i="46"/>
  <c r="BO98" i="46"/>
  <c r="BG97" i="46"/>
  <c r="BR96" i="46"/>
  <c r="BB96" i="46"/>
  <c r="BL95" i="46"/>
  <c r="BO94" i="46"/>
  <c r="BG94" i="46"/>
  <c r="BS93" i="46"/>
  <c r="BK93" i="46"/>
  <c r="BC93" i="46"/>
  <c r="BO92" i="46"/>
  <c r="BG92" i="46"/>
  <c r="BS91" i="46"/>
  <c r="BK91" i="46"/>
  <c r="BC91" i="46"/>
  <c r="BO90" i="46"/>
  <c r="BG90" i="46"/>
  <c r="BS89" i="46"/>
  <c r="BK89" i="46"/>
  <c r="BC89" i="46"/>
  <c r="BO88" i="46"/>
  <c r="BG88" i="46"/>
  <c r="BS87" i="46"/>
  <c r="BK87" i="46"/>
  <c r="BC87" i="46"/>
  <c r="BO86" i="46"/>
  <c r="BG86" i="46"/>
  <c r="BS85" i="46"/>
  <c r="BK85" i="46"/>
  <c r="BC85" i="46"/>
  <c r="BO84" i="46"/>
  <c r="BG84" i="46"/>
  <c r="BS83" i="46"/>
  <c r="BK83" i="46"/>
  <c r="BC83" i="46"/>
  <c r="BO82" i="46"/>
  <c r="BG82" i="46"/>
  <c r="BS81" i="46"/>
  <c r="BK81" i="46"/>
  <c r="BC81" i="46"/>
  <c r="BF79" i="46"/>
  <c r="BK78" i="46"/>
  <c r="BR77" i="46"/>
  <c r="BJ77" i="46"/>
  <c r="BB77" i="46"/>
  <c r="BN76" i="46"/>
  <c r="BF76" i="46"/>
  <c r="BR75" i="46"/>
  <c r="BJ75" i="46"/>
  <c r="BB75" i="46"/>
  <c r="BN74" i="46"/>
  <c r="BF74" i="46"/>
  <c r="BR73" i="46"/>
  <c r="BJ73" i="46"/>
  <c r="BB73" i="46"/>
  <c r="BN72" i="46"/>
  <c r="BF72" i="46"/>
  <c r="BR71" i="46"/>
  <c r="BJ71" i="46"/>
  <c r="BB71" i="46"/>
  <c r="BN70" i="46"/>
  <c r="BF70" i="46"/>
  <c r="BR69" i="46"/>
  <c r="BJ69" i="46"/>
  <c r="BB69" i="46"/>
  <c r="BN68" i="46"/>
  <c r="BF68" i="46"/>
  <c r="BR67" i="46"/>
  <c r="BJ67" i="46"/>
  <c r="BB67" i="46"/>
  <c r="BN66" i="46"/>
  <c r="BF66" i="46"/>
  <c r="BR65" i="46"/>
  <c r="BJ65" i="46"/>
  <c r="BB65" i="46"/>
  <c r="BN64" i="46"/>
  <c r="BF64" i="46"/>
  <c r="BR63" i="46"/>
  <c r="BJ63" i="46"/>
  <c r="BB63" i="46"/>
  <c r="BN62" i="46"/>
  <c r="BF62" i="46"/>
  <c r="BR61" i="46"/>
  <c r="BJ61" i="46"/>
  <c r="BB61" i="46"/>
  <c r="BN60" i="46"/>
  <c r="BF60" i="46"/>
  <c r="BR59" i="46"/>
  <c r="BJ59" i="46"/>
  <c r="BB59" i="46"/>
  <c r="BN58" i="46"/>
  <c r="BF58" i="46"/>
  <c r="BC79" i="46"/>
  <c r="BJ78" i="46"/>
  <c r="BQ77" i="46"/>
  <c r="BI77" i="46"/>
  <c r="BA77" i="46"/>
  <c r="BU76" i="46"/>
  <c r="BM76" i="46"/>
  <c r="BE76" i="46"/>
  <c r="BQ75" i="46"/>
  <c r="BI75" i="46"/>
  <c r="BA75" i="46"/>
  <c r="BU74" i="46"/>
  <c r="BM74" i="46"/>
  <c r="BE74" i="46"/>
  <c r="BQ73" i="46"/>
  <c r="BI73" i="46"/>
  <c r="BA73" i="46"/>
  <c r="BU72" i="46"/>
  <c r="BM72" i="46"/>
  <c r="BE72" i="46"/>
  <c r="BQ71" i="46"/>
  <c r="BI71" i="46"/>
  <c r="BA71" i="46"/>
  <c r="BU70" i="46"/>
  <c r="BM70" i="46"/>
  <c r="BE70" i="46"/>
  <c r="BQ69" i="46"/>
  <c r="BI69" i="46"/>
  <c r="BA69" i="46"/>
  <c r="BU68" i="46"/>
  <c r="BM68" i="46"/>
  <c r="BE68" i="46"/>
  <c r="BQ67" i="46"/>
  <c r="BI67" i="46"/>
  <c r="BA67" i="46"/>
  <c r="BU66" i="46"/>
  <c r="BM66" i="46"/>
  <c r="BE66" i="46"/>
  <c r="BQ65" i="46"/>
  <c r="BI65" i="46"/>
  <c r="BA65" i="46"/>
  <c r="BU64" i="46"/>
  <c r="BM64" i="46"/>
  <c r="BE64" i="46"/>
  <c r="BQ63" i="46"/>
  <c r="BI63" i="46"/>
  <c r="BA63" i="46"/>
  <c r="BU62" i="46"/>
  <c r="BM62" i="46"/>
  <c r="BE62" i="46"/>
  <c r="BQ61" i="46"/>
  <c r="BI61" i="46"/>
  <c r="BA61" i="46"/>
  <c r="BU60" i="46"/>
  <c r="BM60" i="46"/>
  <c r="BE60" i="46"/>
  <c r="BQ59" i="46"/>
  <c r="BI59" i="46"/>
  <c r="BA59" i="46"/>
  <c r="BU58" i="46"/>
  <c r="BM58" i="46"/>
  <c r="BE58" i="46"/>
  <c r="BS80" i="46"/>
  <c r="BG78" i="46"/>
  <c r="BP77" i="46"/>
  <c r="BH77" i="46"/>
  <c r="AZ77" i="46"/>
  <c r="BT76" i="46"/>
  <c r="BL76" i="46"/>
  <c r="BD76" i="46"/>
  <c r="BP75" i="46"/>
  <c r="BH75" i="46"/>
  <c r="AZ75" i="46"/>
  <c r="BT74" i="46"/>
  <c r="BL74" i="46"/>
  <c r="BD74" i="46"/>
  <c r="BP73" i="46"/>
  <c r="BH73" i="46"/>
  <c r="AZ73" i="46"/>
  <c r="BT72" i="46"/>
  <c r="BL72" i="46"/>
  <c r="BD72" i="46"/>
  <c r="BP71" i="46"/>
  <c r="BH71" i="46"/>
  <c r="AZ71" i="46"/>
  <c r="BT70" i="46"/>
  <c r="BL70" i="46"/>
  <c r="BD70" i="46"/>
  <c r="BP69" i="46"/>
  <c r="BH69" i="46"/>
  <c r="AZ69" i="46"/>
  <c r="BT68" i="46"/>
  <c r="BL68" i="46"/>
  <c r="BD68" i="46"/>
  <c r="BP67" i="46"/>
  <c r="BH67" i="46"/>
  <c r="AZ67" i="46"/>
  <c r="BT66" i="46"/>
  <c r="BL66" i="46"/>
  <c r="BD66" i="46"/>
  <c r="BP65" i="46"/>
  <c r="BH65" i="46"/>
  <c r="AZ65" i="46"/>
  <c r="BT64" i="46"/>
  <c r="BL64" i="46"/>
  <c r="BD64" i="46"/>
  <c r="BP63" i="46"/>
  <c r="BH63" i="46"/>
  <c r="AZ63" i="46"/>
  <c r="BT62" i="46"/>
  <c r="BL62" i="46"/>
  <c r="BD62" i="46"/>
  <c r="BP61" i="46"/>
  <c r="BH61" i="46"/>
  <c r="AZ61" i="46"/>
  <c r="BT60" i="46"/>
  <c r="BL60" i="46"/>
  <c r="BD60" i="46"/>
  <c r="BP59" i="46"/>
  <c r="BH59" i="46"/>
  <c r="AZ59" i="46"/>
  <c r="BT58" i="46"/>
  <c r="BL58" i="46"/>
  <c r="BD58" i="46"/>
  <c r="BP57" i="46"/>
  <c r="BH57" i="46"/>
  <c r="AZ57" i="46"/>
  <c r="BO80" i="46"/>
  <c r="BS79" i="46"/>
  <c r="BU78" i="46"/>
  <c r="BE78" i="46"/>
  <c r="BO77" i="46"/>
  <c r="BG77" i="46"/>
  <c r="BS76" i="46"/>
  <c r="BK76" i="46"/>
  <c r="BC76" i="46"/>
  <c r="BO75" i="46"/>
  <c r="BG75" i="46"/>
  <c r="BS74" i="46"/>
  <c r="BK74" i="46"/>
  <c r="BC74" i="46"/>
  <c r="BO73" i="46"/>
  <c r="BG73" i="46"/>
  <c r="BS72" i="46"/>
  <c r="BK72" i="46"/>
  <c r="BC72" i="46"/>
  <c r="BO71" i="46"/>
  <c r="BG71" i="46"/>
  <c r="BS70" i="46"/>
  <c r="BK70" i="46"/>
  <c r="BC70" i="46"/>
  <c r="BO69" i="46"/>
  <c r="BG69" i="46"/>
  <c r="BS68" i="46"/>
  <c r="BK68" i="46"/>
  <c r="BC68" i="46"/>
  <c r="BO67" i="46"/>
  <c r="BG67" i="46"/>
  <c r="BS66" i="46"/>
  <c r="BK66" i="46"/>
  <c r="BC66" i="46"/>
  <c r="BK80" i="46"/>
  <c r="BO79" i="46"/>
  <c r="BS78" i="46"/>
  <c r="BC78" i="46"/>
  <c r="BN77" i="46"/>
  <c r="BF77" i="46"/>
  <c r="BR76" i="46"/>
  <c r="BJ76" i="46"/>
  <c r="BB76" i="46"/>
  <c r="BN75" i="46"/>
  <c r="BF75" i="46"/>
  <c r="BR74" i="46"/>
  <c r="BJ74" i="46"/>
  <c r="BB74" i="46"/>
  <c r="BN73" i="46"/>
  <c r="BF73" i="46"/>
  <c r="BR72" i="46"/>
  <c r="BJ72" i="46"/>
  <c r="BB72" i="46"/>
  <c r="BN71" i="46"/>
  <c r="BF71" i="46"/>
  <c r="BR70" i="46"/>
  <c r="BJ70" i="46"/>
  <c r="BB70" i="46"/>
  <c r="BN69" i="46"/>
  <c r="BF69" i="46"/>
  <c r="BR68" i="46"/>
  <c r="BJ68" i="46"/>
  <c r="BB68" i="46"/>
  <c r="BN67" i="46"/>
  <c r="BF67" i="46"/>
  <c r="BR66" i="46"/>
  <c r="BJ66" i="46"/>
  <c r="BB66" i="46"/>
  <c r="BN65" i="46"/>
  <c r="BF65" i="46"/>
  <c r="BR64" i="46"/>
  <c r="BJ64" i="46"/>
  <c r="BB64" i="46"/>
  <c r="BN63" i="46"/>
  <c r="BF63" i="46"/>
  <c r="BR62" i="46"/>
  <c r="BJ62" i="46"/>
  <c r="BB62" i="46"/>
  <c r="BN61" i="46"/>
  <c r="BF61" i="46"/>
  <c r="BR60" i="46"/>
  <c r="BJ60" i="46"/>
  <c r="BB60" i="46"/>
  <c r="BN59" i="46"/>
  <c r="BF59" i="46"/>
  <c r="BG80" i="46"/>
  <c r="BN79" i="46"/>
  <c r="BR78" i="46"/>
  <c r="BB78" i="46"/>
  <c r="BU77" i="46"/>
  <c r="BM77" i="46"/>
  <c r="BE77" i="46"/>
  <c r="BQ76" i="46"/>
  <c r="BI76" i="46"/>
  <c r="BA76" i="46"/>
  <c r="BU75" i="46"/>
  <c r="BM75" i="46"/>
  <c r="BE75" i="46"/>
  <c r="BQ74" i="46"/>
  <c r="BI74" i="46"/>
  <c r="BA74" i="46"/>
  <c r="BU73" i="46"/>
  <c r="BM73" i="46"/>
  <c r="BE73" i="46"/>
  <c r="BQ72" i="46"/>
  <c r="BI72" i="46"/>
  <c r="BA72" i="46"/>
  <c r="BU71" i="46"/>
  <c r="BM71" i="46"/>
  <c r="BE71" i="46"/>
  <c r="BQ70" i="46"/>
  <c r="BI70" i="46"/>
  <c r="BA70" i="46"/>
  <c r="BU69" i="46"/>
  <c r="BM69" i="46"/>
  <c r="BE69" i="46"/>
  <c r="BQ68" i="46"/>
  <c r="BI68" i="46"/>
  <c r="BA68" i="46"/>
  <c r="BU67" i="46"/>
  <c r="BM67" i="46"/>
  <c r="BE67" i="46"/>
  <c r="BQ66" i="46"/>
  <c r="BI66" i="46"/>
  <c r="BA66" i="46"/>
  <c r="BU65" i="46"/>
  <c r="BM65" i="46"/>
  <c r="BE65" i="46"/>
  <c r="BQ64" i="46"/>
  <c r="BI64" i="46"/>
  <c r="BA64" i="46"/>
  <c r="BU63" i="46"/>
  <c r="BM63" i="46"/>
  <c r="BE63" i="46"/>
  <c r="BQ62" i="46"/>
  <c r="BI62" i="46"/>
  <c r="BA62" i="46"/>
  <c r="BU61" i="46"/>
  <c r="BM61" i="46"/>
  <c r="BE61" i="46"/>
  <c r="BQ60" i="46"/>
  <c r="BI60" i="46"/>
  <c r="BA60" i="46"/>
  <c r="BU59" i="46"/>
  <c r="BM59" i="46"/>
  <c r="BE59" i="46"/>
  <c r="BQ58" i="46"/>
  <c r="BI58" i="46"/>
  <c r="BA58" i="46"/>
  <c r="BU57" i="46"/>
  <c r="BM57" i="46"/>
  <c r="BE57" i="46"/>
  <c r="BO81" i="46"/>
  <c r="BC80" i="46"/>
  <c r="BK79" i="46"/>
  <c r="BO78" i="46"/>
  <c r="BT77" i="46"/>
  <c r="BL77" i="46"/>
  <c r="BD77" i="46"/>
  <c r="BP76" i="46"/>
  <c r="BH76" i="46"/>
  <c r="AZ76" i="46"/>
  <c r="BT75" i="46"/>
  <c r="BL75" i="46"/>
  <c r="BD75" i="46"/>
  <c r="BP74" i="46"/>
  <c r="BH74" i="46"/>
  <c r="AZ74" i="46"/>
  <c r="BT73" i="46"/>
  <c r="BL73" i="46"/>
  <c r="BD73" i="46"/>
  <c r="BP72" i="46"/>
  <c r="BH72" i="46"/>
  <c r="AZ72" i="46"/>
  <c r="BT71" i="46"/>
  <c r="BL71" i="46"/>
  <c r="BD71" i="46"/>
  <c r="BP70" i="46"/>
  <c r="BH70" i="46"/>
  <c r="AZ70" i="46"/>
  <c r="BT69" i="46"/>
  <c r="BL69" i="46"/>
  <c r="BD69" i="46"/>
  <c r="BP68" i="46"/>
  <c r="BH68" i="46"/>
  <c r="AZ68" i="46"/>
  <c r="BT67" i="46"/>
  <c r="BL67" i="46"/>
  <c r="BD67" i="46"/>
  <c r="BP66" i="46"/>
  <c r="BH66" i="46"/>
  <c r="AZ66" i="46"/>
  <c r="BT65" i="46"/>
  <c r="BL65" i="46"/>
  <c r="BD65" i="46"/>
  <c r="BP64" i="46"/>
  <c r="BH64" i="46"/>
  <c r="AZ64" i="46"/>
  <c r="BT63" i="46"/>
  <c r="BL63" i="46"/>
  <c r="BD63" i="46"/>
  <c r="BP62" i="46"/>
  <c r="BH62" i="46"/>
  <c r="AZ62" i="46"/>
  <c r="BT61" i="46"/>
  <c r="BL61" i="46"/>
  <c r="BD61" i="46"/>
  <c r="BP60" i="46"/>
  <c r="BH60" i="46"/>
  <c r="AZ60" i="46"/>
  <c r="BT59" i="46"/>
  <c r="BL59" i="46"/>
  <c r="BD59" i="46"/>
  <c r="BP58" i="46"/>
  <c r="BH58" i="46"/>
  <c r="AZ58" i="46"/>
  <c r="BT57" i="46"/>
  <c r="BL57" i="46"/>
  <c r="BD57" i="46"/>
  <c r="BK73" i="46"/>
  <c r="BO72" i="46"/>
  <c r="BO65" i="46"/>
  <c r="BO64" i="46"/>
  <c r="BO63" i="46"/>
  <c r="BO62" i="46"/>
  <c r="BO61" i="46"/>
  <c r="BO60" i="46"/>
  <c r="BO59" i="46"/>
  <c r="BB58" i="46"/>
  <c r="BJ57" i="46"/>
  <c r="BS56" i="46"/>
  <c r="BK56" i="46"/>
  <c r="BC56" i="46"/>
  <c r="BO55" i="46"/>
  <c r="BG55" i="46"/>
  <c r="BS54" i="46"/>
  <c r="BK54" i="46"/>
  <c r="BC54" i="46"/>
  <c r="BO53" i="46"/>
  <c r="BG53" i="46"/>
  <c r="BS52" i="46"/>
  <c r="BK52" i="46"/>
  <c r="BC52" i="46"/>
  <c r="BO51" i="46"/>
  <c r="BG51" i="46"/>
  <c r="BS50" i="46"/>
  <c r="BK50" i="46"/>
  <c r="BC50" i="46"/>
  <c r="BO49" i="46"/>
  <c r="BG49" i="46"/>
  <c r="BS48" i="46"/>
  <c r="BK48" i="46"/>
  <c r="BC48" i="46"/>
  <c r="BO47" i="46"/>
  <c r="BG47" i="46"/>
  <c r="BS46" i="46"/>
  <c r="BK46" i="46"/>
  <c r="BC46" i="46"/>
  <c r="BO45" i="46"/>
  <c r="BG45" i="46"/>
  <c r="BS44" i="46"/>
  <c r="BK44" i="46"/>
  <c r="BC44" i="46"/>
  <c r="BO43" i="46"/>
  <c r="BG43" i="46"/>
  <c r="BS42" i="46"/>
  <c r="BK42" i="46"/>
  <c r="BC42" i="46"/>
  <c r="BO41" i="46"/>
  <c r="BG41" i="46"/>
  <c r="BG79" i="46"/>
  <c r="BC73" i="46"/>
  <c r="BG72" i="46"/>
  <c r="BS71" i="46"/>
  <c r="BK65" i="46"/>
  <c r="BK64" i="46"/>
  <c r="BK63" i="46"/>
  <c r="BK62" i="46"/>
  <c r="BK61" i="46"/>
  <c r="BK60" i="46"/>
  <c r="BK59" i="46"/>
  <c r="BS58" i="46"/>
  <c r="BI57" i="46"/>
  <c r="BR56" i="46"/>
  <c r="BJ56" i="46"/>
  <c r="BB56" i="46"/>
  <c r="BN55" i="46"/>
  <c r="BF55" i="46"/>
  <c r="BR54" i="46"/>
  <c r="BJ54" i="46"/>
  <c r="BB54" i="46"/>
  <c r="BN53" i="46"/>
  <c r="BF53" i="46"/>
  <c r="BR52" i="46"/>
  <c r="BJ52" i="46"/>
  <c r="BB52" i="46"/>
  <c r="BN51" i="46"/>
  <c r="BF51" i="46"/>
  <c r="BR50" i="46"/>
  <c r="BJ50" i="46"/>
  <c r="BB50" i="46"/>
  <c r="BN49" i="46"/>
  <c r="BF49" i="46"/>
  <c r="BR48" i="46"/>
  <c r="BJ48" i="46"/>
  <c r="BB48" i="46"/>
  <c r="BN47" i="46"/>
  <c r="BF47" i="46"/>
  <c r="BR46" i="46"/>
  <c r="BJ46" i="46"/>
  <c r="BB46" i="46"/>
  <c r="BN45" i="46"/>
  <c r="BF45" i="46"/>
  <c r="BR44" i="46"/>
  <c r="BJ44" i="46"/>
  <c r="BB44" i="46"/>
  <c r="BN43" i="46"/>
  <c r="BF43" i="46"/>
  <c r="BR42" i="46"/>
  <c r="BJ42" i="46"/>
  <c r="BB42" i="46"/>
  <c r="BN41" i="46"/>
  <c r="BF41" i="46"/>
  <c r="BR40" i="46"/>
  <c r="BJ40" i="46"/>
  <c r="BK71" i="46"/>
  <c r="BO70" i="46"/>
  <c r="BG65" i="46"/>
  <c r="BG64" i="46"/>
  <c r="BG63" i="46"/>
  <c r="BG62" i="46"/>
  <c r="BG61" i="46"/>
  <c r="BG60" i="46"/>
  <c r="BG59" i="46"/>
  <c r="BR58" i="46"/>
  <c r="BS57" i="46"/>
  <c r="BG57" i="46"/>
  <c r="BQ56" i="46"/>
  <c r="BI56" i="46"/>
  <c r="BA56" i="46"/>
  <c r="BU55" i="46"/>
  <c r="BM55" i="46"/>
  <c r="BE55" i="46"/>
  <c r="BQ54" i="46"/>
  <c r="BI54" i="46"/>
  <c r="BA54" i="46"/>
  <c r="BU53" i="46"/>
  <c r="BM53" i="46"/>
  <c r="BE53" i="46"/>
  <c r="BQ52" i="46"/>
  <c r="BI52" i="46"/>
  <c r="BA52" i="46"/>
  <c r="BU51" i="46"/>
  <c r="BM51" i="46"/>
  <c r="BE51" i="46"/>
  <c r="BQ50" i="46"/>
  <c r="BI50" i="46"/>
  <c r="BA50" i="46"/>
  <c r="BU49" i="46"/>
  <c r="BM49" i="46"/>
  <c r="BE49" i="46"/>
  <c r="BQ48" i="46"/>
  <c r="BI48" i="46"/>
  <c r="BA48" i="46"/>
  <c r="BU47" i="46"/>
  <c r="BM47" i="46"/>
  <c r="BE47" i="46"/>
  <c r="BQ46" i="46"/>
  <c r="BI46" i="46"/>
  <c r="BA46" i="46"/>
  <c r="BU45" i="46"/>
  <c r="BM45" i="46"/>
  <c r="BE45" i="46"/>
  <c r="BQ44" i="46"/>
  <c r="BI44" i="46"/>
  <c r="BA44" i="46"/>
  <c r="BU43" i="46"/>
  <c r="BM43" i="46"/>
  <c r="BE43" i="46"/>
  <c r="BQ42" i="46"/>
  <c r="BI42" i="46"/>
  <c r="BA42" i="46"/>
  <c r="BU41" i="46"/>
  <c r="BM41" i="46"/>
  <c r="BE41" i="46"/>
  <c r="BQ40" i="46"/>
  <c r="BI40" i="46"/>
  <c r="BA40" i="46"/>
  <c r="BG81" i="46"/>
  <c r="BS77" i="46"/>
  <c r="BC71" i="46"/>
  <c r="BG70" i="46"/>
  <c r="BS69" i="46"/>
  <c r="BC65" i="46"/>
  <c r="BC64" i="46"/>
  <c r="BC63" i="46"/>
  <c r="BC62" i="46"/>
  <c r="BC61" i="46"/>
  <c r="BC60" i="46"/>
  <c r="BC59" i="46"/>
  <c r="BO58" i="46"/>
  <c r="BR57" i="46"/>
  <c r="BF57" i="46"/>
  <c r="BP56" i="46"/>
  <c r="BH56" i="46"/>
  <c r="AZ56" i="46"/>
  <c r="BT55" i="46"/>
  <c r="BL55" i="46"/>
  <c r="BD55" i="46"/>
  <c r="BP54" i="46"/>
  <c r="BH54" i="46"/>
  <c r="AZ54" i="46"/>
  <c r="BT53" i="46"/>
  <c r="BL53" i="46"/>
  <c r="BD53" i="46"/>
  <c r="BP52" i="46"/>
  <c r="BH52" i="46"/>
  <c r="AZ52" i="46"/>
  <c r="BT51" i="46"/>
  <c r="BL51" i="46"/>
  <c r="BD51" i="46"/>
  <c r="BP50" i="46"/>
  <c r="BH50" i="46"/>
  <c r="AZ50" i="46"/>
  <c r="BT49" i="46"/>
  <c r="BL49" i="46"/>
  <c r="BD49" i="46"/>
  <c r="BP48" i="46"/>
  <c r="BH48" i="46"/>
  <c r="AZ48" i="46"/>
  <c r="BT47" i="46"/>
  <c r="BL47" i="46"/>
  <c r="BD47" i="46"/>
  <c r="BP46" i="46"/>
  <c r="BH46" i="46"/>
  <c r="AZ46" i="46"/>
  <c r="BK77" i="46"/>
  <c r="BO76" i="46"/>
  <c r="BK69" i="46"/>
  <c r="BO68" i="46"/>
  <c r="BK58" i="46"/>
  <c r="BQ57" i="46"/>
  <c r="BC57" i="46"/>
  <c r="BO56" i="46"/>
  <c r="BG56" i="46"/>
  <c r="BS55" i="46"/>
  <c r="BK55" i="46"/>
  <c r="BC55" i="46"/>
  <c r="BO54" i="46"/>
  <c r="BG54" i="46"/>
  <c r="BS53" i="46"/>
  <c r="BK53" i="46"/>
  <c r="BC53" i="46"/>
  <c r="BO52" i="46"/>
  <c r="BG52" i="46"/>
  <c r="BS51" i="46"/>
  <c r="BK51" i="46"/>
  <c r="BC51" i="46"/>
  <c r="BO50" i="46"/>
  <c r="BG50" i="46"/>
  <c r="BS49" i="46"/>
  <c r="BK49" i="46"/>
  <c r="BC49" i="46"/>
  <c r="BO48" i="46"/>
  <c r="BG48" i="46"/>
  <c r="BS47" i="46"/>
  <c r="BK47" i="46"/>
  <c r="BC47" i="46"/>
  <c r="BO46" i="46"/>
  <c r="BG46" i="46"/>
  <c r="BS45" i="46"/>
  <c r="BK45" i="46"/>
  <c r="BC45" i="46"/>
  <c r="BO44" i="46"/>
  <c r="BG44" i="46"/>
  <c r="BS43" i="46"/>
  <c r="BK43" i="46"/>
  <c r="BC43" i="46"/>
  <c r="BM78" i="46"/>
  <c r="BC77" i="46"/>
  <c r="BG76" i="46"/>
  <c r="BS75" i="46"/>
  <c r="BC69" i="46"/>
  <c r="BG68" i="46"/>
  <c r="BS67" i="46"/>
  <c r="BJ58" i="46"/>
  <c r="BO57" i="46"/>
  <c r="BB57" i="46"/>
  <c r="BN56" i="46"/>
  <c r="BF56" i="46"/>
  <c r="BR55" i="46"/>
  <c r="BJ55" i="46"/>
  <c r="BB55" i="46"/>
  <c r="BN54" i="46"/>
  <c r="BF54" i="46"/>
  <c r="BR53" i="46"/>
  <c r="BJ53" i="46"/>
  <c r="BB53" i="46"/>
  <c r="BN52" i="46"/>
  <c r="BF52" i="46"/>
  <c r="BR51" i="46"/>
  <c r="BJ51" i="46"/>
  <c r="BB51" i="46"/>
  <c r="BN50" i="46"/>
  <c r="BF50" i="46"/>
  <c r="BR49" i="46"/>
  <c r="BJ49" i="46"/>
  <c r="BB49" i="46"/>
  <c r="BN48" i="46"/>
  <c r="BF48" i="46"/>
  <c r="BR47" i="46"/>
  <c r="BJ47" i="46"/>
  <c r="BB47" i="46"/>
  <c r="BN46" i="46"/>
  <c r="BF46" i="46"/>
  <c r="BR45" i="46"/>
  <c r="BJ45" i="46"/>
  <c r="BB45" i="46"/>
  <c r="BN44" i="46"/>
  <c r="BF44" i="46"/>
  <c r="BR43" i="46"/>
  <c r="BJ43" i="46"/>
  <c r="BB43" i="46"/>
  <c r="BN42" i="46"/>
  <c r="BF42" i="46"/>
  <c r="BK75" i="46"/>
  <c r="BO74" i="46"/>
  <c r="BK67" i="46"/>
  <c r="BO66" i="46"/>
  <c r="BG58" i="46"/>
  <c r="BN57" i="46"/>
  <c r="BA57" i="46"/>
  <c r="BU56" i="46"/>
  <c r="BM56" i="46"/>
  <c r="BE56" i="46"/>
  <c r="BQ55" i="46"/>
  <c r="BI55" i="46"/>
  <c r="BA55" i="46"/>
  <c r="BU54" i="46"/>
  <c r="BM54" i="46"/>
  <c r="BE54" i="46"/>
  <c r="BQ53" i="46"/>
  <c r="BI53" i="46"/>
  <c r="BA53" i="46"/>
  <c r="BU52" i="46"/>
  <c r="BM52" i="46"/>
  <c r="BE52" i="46"/>
  <c r="BQ51" i="46"/>
  <c r="BI51" i="46"/>
  <c r="BA51" i="46"/>
  <c r="BU50" i="46"/>
  <c r="BM50" i="46"/>
  <c r="BE50" i="46"/>
  <c r="BQ49" i="46"/>
  <c r="BI49" i="46"/>
  <c r="BA49" i="46"/>
  <c r="BU48" i="46"/>
  <c r="BM48" i="46"/>
  <c r="BE48" i="46"/>
  <c r="BQ47" i="46"/>
  <c r="BI47" i="46"/>
  <c r="BA47" i="46"/>
  <c r="BU46" i="46"/>
  <c r="BM46" i="46"/>
  <c r="BE46" i="46"/>
  <c r="BQ45" i="46"/>
  <c r="BI45" i="46"/>
  <c r="BA45" i="46"/>
  <c r="BU44" i="46"/>
  <c r="BM44" i="46"/>
  <c r="BE44" i="46"/>
  <c r="BQ43" i="46"/>
  <c r="BI43" i="46"/>
  <c r="BA43" i="46"/>
  <c r="BU42" i="46"/>
  <c r="BM42" i="46"/>
  <c r="BE42" i="46"/>
  <c r="BQ41" i="46"/>
  <c r="BI41" i="46"/>
  <c r="BA41" i="46"/>
  <c r="BU40" i="46"/>
  <c r="BM40" i="46"/>
  <c r="BE40" i="46"/>
  <c r="BG66" i="46"/>
  <c r="BS61" i="46"/>
  <c r="BP55" i="46"/>
  <c r="BT54" i="46"/>
  <c r="BH53" i="46"/>
  <c r="BL52" i="46"/>
  <c r="AZ51" i="46"/>
  <c r="BD50" i="46"/>
  <c r="BD48" i="46"/>
  <c r="BD46" i="46"/>
  <c r="BL45" i="46"/>
  <c r="BH44" i="46"/>
  <c r="AZ43" i="46"/>
  <c r="BD42" i="46"/>
  <c r="BS41" i="46"/>
  <c r="BC41" i="46"/>
  <c r="BP40" i="46"/>
  <c r="BD40" i="46"/>
  <c r="BO39" i="46"/>
  <c r="BG39" i="46"/>
  <c r="BS38" i="46"/>
  <c r="BK38" i="46"/>
  <c r="BC38" i="46"/>
  <c r="BO37" i="46"/>
  <c r="BG37" i="46"/>
  <c r="BS36" i="46"/>
  <c r="BK36" i="46"/>
  <c r="BC36" i="46"/>
  <c r="BO35" i="46"/>
  <c r="BG35" i="46"/>
  <c r="BS34" i="46"/>
  <c r="BK34" i="46"/>
  <c r="BC34" i="46"/>
  <c r="BO33" i="46"/>
  <c r="BG33" i="46"/>
  <c r="BS32" i="46"/>
  <c r="BK32" i="46"/>
  <c r="BC32" i="46"/>
  <c r="BO31" i="46"/>
  <c r="BG31" i="46"/>
  <c r="BS30" i="46"/>
  <c r="BK30" i="46"/>
  <c r="BC30" i="46"/>
  <c r="BO29" i="46"/>
  <c r="BG29" i="46"/>
  <c r="BS28" i="46"/>
  <c r="BK28" i="46"/>
  <c r="BC28" i="46"/>
  <c r="BO27" i="46"/>
  <c r="BG27" i="46"/>
  <c r="BS26" i="46"/>
  <c r="BK26" i="46"/>
  <c r="BC26" i="46"/>
  <c r="BO25" i="46"/>
  <c r="BG25" i="46"/>
  <c r="BS24" i="46"/>
  <c r="BK24" i="46"/>
  <c r="BC24" i="46"/>
  <c r="BG74" i="46"/>
  <c r="BS64" i="46"/>
  <c r="BT56" i="46"/>
  <c r="BH55" i="46"/>
  <c r="BL54" i="46"/>
  <c r="AZ53" i="46"/>
  <c r="BD52" i="46"/>
  <c r="BH45" i="46"/>
  <c r="BD44" i="46"/>
  <c r="AZ42" i="46"/>
  <c r="BR41" i="46"/>
  <c r="BB41" i="46"/>
  <c r="BO40" i="46"/>
  <c r="BC40" i="46"/>
  <c r="BN39" i="46"/>
  <c r="BF39" i="46"/>
  <c r="BR38" i="46"/>
  <c r="BJ38" i="46"/>
  <c r="BB38" i="46"/>
  <c r="BN37" i="46"/>
  <c r="BF37" i="46"/>
  <c r="BR36" i="46"/>
  <c r="BJ36" i="46"/>
  <c r="BB36" i="46"/>
  <c r="BN35" i="46"/>
  <c r="BF35" i="46"/>
  <c r="BR34" i="46"/>
  <c r="BJ34" i="46"/>
  <c r="BB34" i="46"/>
  <c r="BN33" i="46"/>
  <c r="BF33" i="46"/>
  <c r="BR32" i="46"/>
  <c r="BJ32" i="46"/>
  <c r="BB32" i="46"/>
  <c r="BN31" i="46"/>
  <c r="BF31" i="46"/>
  <c r="BR30" i="46"/>
  <c r="BJ30" i="46"/>
  <c r="BB30" i="46"/>
  <c r="BN29" i="46"/>
  <c r="BF29" i="46"/>
  <c r="BR28" i="46"/>
  <c r="BJ28" i="46"/>
  <c r="BB28" i="46"/>
  <c r="BN27" i="46"/>
  <c r="BF27" i="46"/>
  <c r="BR26" i="46"/>
  <c r="BJ26" i="46"/>
  <c r="BB26" i="46"/>
  <c r="BN25" i="46"/>
  <c r="BF25" i="46"/>
  <c r="BR24" i="46"/>
  <c r="BJ24" i="46"/>
  <c r="BB24" i="46"/>
  <c r="BN23" i="46"/>
  <c r="BF23" i="46"/>
  <c r="BR22" i="46"/>
  <c r="BS59" i="46"/>
  <c r="BL56" i="46"/>
  <c r="AZ55" i="46"/>
  <c r="BD54" i="46"/>
  <c r="BD45" i="46"/>
  <c r="AZ44" i="46"/>
  <c r="BT42" i="46"/>
  <c r="BP41" i="46"/>
  <c r="AZ41" i="46"/>
  <c r="BN40" i="46"/>
  <c r="BB40" i="46"/>
  <c r="BU39" i="46"/>
  <c r="BM39" i="46"/>
  <c r="BE39" i="46"/>
  <c r="BQ38" i="46"/>
  <c r="BI38" i="46"/>
  <c r="BA38" i="46"/>
  <c r="BU37" i="46"/>
  <c r="BM37" i="46"/>
  <c r="BE37" i="46"/>
  <c r="BQ36" i="46"/>
  <c r="BI36" i="46"/>
  <c r="BA36" i="46"/>
  <c r="BU35" i="46"/>
  <c r="BM35" i="46"/>
  <c r="BE35" i="46"/>
  <c r="BQ34" i="46"/>
  <c r="BI34" i="46"/>
  <c r="BA34" i="46"/>
  <c r="BU33" i="46"/>
  <c r="BM33" i="46"/>
  <c r="BE33" i="46"/>
  <c r="BQ32" i="46"/>
  <c r="BI32" i="46"/>
  <c r="BA32" i="46"/>
  <c r="BU31" i="46"/>
  <c r="BM31" i="46"/>
  <c r="BE31" i="46"/>
  <c r="BQ30" i="46"/>
  <c r="BI30" i="46"/>
  <c r="BA30" i="46"/>
  <c r="BU29" i="46"/>
  <c r="BM29" i="46"/>
  <c r="BE29" i="46"/>
  <c r="BQ28" i="46"/>
  <c r="BI28" i="46"/>
  <c r="BA28" i="46"/>
  <c r="BU27" i="46"/>
  <c r="BM27" i="46"/>
  <c r="BE27" i="46"/>
  <c r="BQ26" i="46"/>
  <c r="BI26" i="46"/>
  <c r="BA26" i="46"/>
  <c r="BU25" i="46"/>
  <c r="BM25" i="46"/>
  <c r="BE25" i="46"/>
  <c r="BQ24" i="46"/>
  <c r="BI24" i="46"/>
  <c r="BA24" i="46"/>
  <c r="BU23" i="46"/>
  <c r="BM23" i="46"/>
  <c r="BE23" i="46"/>
  <c r="BQ22" i="46"/>
  <c r="BS62" i="46"/>
  <c r="BD56" i="46"/>
  <c r="AZ45" i="46"/>
  <c r="BT43" i="46"/>
  <c r="BP42" i="46"/>
  <c r="BL41" i="46"/>
  <c r="BL40" i="46"/>
  <c r="AZ40" i="46"/>
  <c r="BT39" i="46"/>
  <c r="BL39" i="46"/>
  <c r="BD39" i="46"/>
  <c r="BP38" i="46"/>
  <c r="BH38" i="46"/>
  <c r="AZ38" i="46"/>
  <c r="BT37" i="46"/>
  <c r="BL37" i="46"/>
  <c r="BD37" i="46"/>
  <c r="BP36" i="46"/>
  <c r="BH36" i="46"/>
  <c r="AZ36" i="46"/>
  <c r="BT35" i="46"/>
  <c r="BL35" i="46"/>
  <c r="BD35" i="46"/>
  <c r="BP34" i="46"/>
  <c r="BH34" i="46"/>
  <c r="AZ34" i="46"/>
  <c r="BT33" i="46"/>
  <c r="BL33" i="46"/>
  <c r="BD33" i="46"/>
  <c r="BP32" i="46"/>
  <c r="BH32" i="46"/>
  <c r="AZ32" i="46"/>
  <c r="BT31" i="46"/>
  <c r="BL31" i="46"/>
  <c r="BD31" i="46"/>
  <c r="BP30" i="46"/>
  <c r="BH30" i="46"/>
  <c r="AZ30" i="46"/>
  <c r="BT29" i="46"/>
  <c r="BL29" i="46"/>
  <c r="BD29" i="46"/>
  <c r="BP28" i="46"/>
  <c r="BH28" i="46"/>
  <c r="AZ28" i="46"/>
  <c r="BT27" i="46"/>
  <c r="BL27" i="46"/>
  <c r="BD27" i="46"/>
  <c r="BP26" i="46"/>
  <c r="BH26" i="46"/>
  <c r="AZ26" i="46"/>
  <c r="BT25" i="46"/>
  <c r="BL25" i="46"/>
  <c r="BD25" i="46"/>
  <c r="BS65" i="46"/>
  <c r="BK57" i="46"/>
  <c r="BP43" i="46"/>
  <c r="BO42" i="46"/>
  <c r="BK41" i="46"/>
  <c r="BK40" i="46"/>
  <c r="BS39" i="46"/>
  <c r="BK39" i="46"/>
  <c r="BC39" i="46"/>
  <c r="BO38" i="46"/>
  <c r="BG38" i="46"/>
  <c r="BS37" i="46"/>
  <c r="BK37" i="46"/>
  <c r="BC37" i="46"/>
  <c r="BO36" i="46"/>
  <c r="BG36" i="46"/>
  <c r="BS35" i="46"/>
  <c r="BK35" i="46"/>
  <c r="BC35" i="46"/>
  <c r="BO34" i="46"/>
  <c r="BG34" i="46"/>
  <c r="BS33" i="46"/>
  <c r="BK33" i="46"/>
  <c r="BC33" i="46"/>
  <c r="BO32" i="46"/>
  <c r="BG32" i="46"/>
  <c r="BS31" i="46"/>
  <c r="BK31" i="46"/>
  <c r="BC31" i="46"/>
  <c r="BO30" i="46"/>
  <c r="BG30" i="46"/>
  <c r="BS29" i="46"/>
  <c r="BK29" i="46"/>
  <c r="BC29" i="46"/>
  <c r="BO28" i="46"/>
  <c r="BG28" i="46"/>
  <c r="BS27" i="46"/>
  <c r="BS73" i="46"/>
  <c r="BC67" i="46"/>
  <c r="BS60" i="46"/>
  <c r="BP49" i="46"/>
  <c r="BP47" i="46"/>
  <c r="BT44" i="46"/>
  <c r="BL43" i="46"/>
  <c r="BL42" i="46"/>
  <c r="BJ41" i="46"/>
  <c r="BH40" i="46"/>
  <c r="BR39" i="46"/>
  <c r="BJ39" i="46"/>
  <c r="BB39" i="46"/>
  <c r="BN38" i="46"/>
  <c r="BF38" i="46"/>
  <c r="BR37" i="46"/>
  <c r="BJ37" i="46"/>
  <c r="BB37" i="46"/>
  <c r="BN36" i="46"/>
  <c r="BF36" i="46"/>
  <c r="BR35" i="46"/>
  <c r="BJ35" i="46"/>
  <c r="BB35" i="46"/>
  <c r="BN34" i="46"/>
  <c r="BF34" i="46"/>
  <c r="BR33" i="46"/>
  <c r="BJ33" i="46"/>
  <c r="BB33" i="46"/>
  <c r="BN32" i="46"/>
  <c r="BF32" i="46"/>
  <c r="BR31" i="46"/>
  <c r="BJ31" i="46"/>
  <c r="BB31" i="46"/>
  <c r="BN30" i="46"/>
  <c r="BF30" i="46"/>
  <c r="BR29" i="46"/>
  <c r="BJ29" i="46"/>
  <c r="BB29" i="46"/>
  <c r="BN28" i="46"/>
  <c r="BF28" i="46"/>
  <c r="BR27" i="46"/>
  <c r="BJ27" i="46"/>
  <c r="BB27" i="46"/>
  <c r="BN26" i="46"/>
  <c r="BF26" i="46"/>
  <c r="BR25" i="46"/>
  <c r="BJ25" i="46"/>
  <c r="BB25" i="46"/>
  <c r="BN24" i="46"/>
  <c r="BT50" i="46"/>
  <c r="BL48" i="46"/>
  <c r="BQ37" i="46"/>
  <c r="BU36" i="46"/>
  <c r="BP35" i="46"/>
  <c r="BT34" i="46"/>
  <c r="BI33" i="46"/>
  <c r="BM32" i="46"/>
  <c r="BH31" i="46"/>
  <c r="BL30" i="46"/>
  <c r="BA29" i="46"/>
  <c r="BE28" i="46"/>
  <c r="BC27" i="46"/>
  <c r="BD26" i="46"/>
  <c r="BQ25" i="46"/>
  <c r="BP24" i="46"/>
  <c r="BD24" i="46"/>
  <c r="BK23" i="46"/>
  <c r="BA23" i="46"/>
  <c r="BS22" i="46"/>
  <c r="BI22" i="46"/>
  <c r="BA22" i="46"/>
  <c r="BU21" i="46"/>
  <c r="BM21" i="46"/>
  <c r="BE21" i="46"/>
  <c r="BQ20" i="46"/>
  <c r="BI20" i="46"/>
  <c r="BA20" i="46"/>
  <c r="BU19" i="46"/>
  <c r="BM19" i="46"/>
  <c r="BE19" i="46"/>
  <c r="BQ18" i="46"/>
  <c r="BI18" i="46"/>
  <c r="BA18" i="46"/>
  <c r="BU17" i="46"/>
  <c r="BM17" i="46"/>
  <c r="BE17" i="46"/>
  <c r="BQ16" i="46"/>
  <c r="BI16" i="46"/>
  <c r="BA16" i="46"/>
  <c r="BU15" i="46"/>
  <c r="BM15" i="46"/>
  <c r="BE15" i="46"/>
  <c r="BQ14" i="46"/>
  <c r="BI14" i="46"/>
  <c r="BA14" i="46"/>
  <c r="BU13" i="46"/>
  <c r="BM13" i="46"/>
  <c r="BE13" i="46"/>
  <c r="BQ12" i="46"/>
  <c r="BI12" i="46"/>
  <c r="BA12" i="46"/>
  <c r="BU11" i="46"/>
  <c r="BM11" i="46"/>
  <c r="BE11" i="46"/>
  <c r="BQ10" i="46"/>
  <c r="BI10" i="46"/>
  <c r="BA10" i="46"/>
  <c r="BU9" i="46"/>
  <c r="BM9" i="46"/>
  <c r="BE9" i="46"/>
  <c r="BQ8" i="46"/>
  <c r="BI8" i="46"/>
  <c r="BA8" i="46"/>
  <c r="BU7" i="46"/>
  <c r="BM7" i="46"/>
  <c r="BE7" i="46"/>
  <c r="BQ6" i="46"/>
  <c r="BI6" i="46"/>
  <c r="BA6" i="46"/>
  <c r="BQ33" i="46"/>
  <c r="BU24" i="46"/>
  <c r="BC23" i="46"/>
  <c r="BO17" i="46"/>
  <c r="BK16" i="46"/>
  <c r="BG15" i="46"/>
  <c r="BS14" i="46"/>
  <c r="BC14" i="46"/>
  <c r="BO11" i="46"/>
  <c r="BS10" i="46"/>
  <c r="BT48" i="46"/>
  <c r="BL44" i="46"/>
  <c r="BU34" i="46"/>
  <c r="BM30" i="46"/>
  <c r="BH29" i="46"/>
  <c r="BL28" i="46"/>
  <c r="AZ25" i="46"/>
  <c r="BT24" i="46"/>
  <c r="BL23" i="46"/>
  <c r="BN21" i="46"/>
  <c r="BR20" i="46"/>
  <c r="BB18" i="46"/>
  <c r="BF17" i="46"/>
  <c r="BN15" i="46"/>
  <c r="BN11" i="46"/>
  <c r="BR6" i="46"/>
  <c r="BL50" i="46"/>
  <c r="BH47" i="46"/>
  <c r="BT45" i="46"/>
  <c r="BH43" i="46"/>
  <c r="BQ39" i="46"/>
  <c r="BU38" i="46"/>
  <c r="BP37" i="46"/>
  <c r="BT36" i="46"/>
  <c r="BI35" i="46"/>
  <c r="BM34" i="46"/>
  <c r="BH33" i="46"/>
  <c r="BL32" i="46"/>
  <c r="BA31" i="46"/>
  <c r="BE30" i="46"/>
  <c r="AZ29" i="46"/>
  <c r="BD28" i="46"/>
  <c r="BA27" i="46"/>
  <c r="BU26" i="46"/>
  <c r="BP25" i="46"/>
  <c r="BO24" i="46"/>
  <c r="AZ24" i="46"/>
  <c r="BT23" i="46"/>
  <c r="BJ23" i="46"/>
  <c r="AZ23" i="46"/>
  <c r="BP22" i="46"/>
  <c r="BH22" i="46"/>
  <c r="AZ22" i="46"/>
  <c r="BT21" i="46"/>
  <c r="BL21" i="46"/>
  <c r="BD21" i="46"/>
  <c r="BP20" i="46"/>
  <c r="BH20" i="46"/>
  <c r="AZ20" i="46"/>
  <c r="BT19" i="46"/>
  <c r="BL19" i="46"/>
  <c r="BD19" i="46"/>
  <c r="BP18" i="46"/>
  <c r="BH18" i="46"/>
  <c r="AZ18" i="46"/>
  <c r="BT17" i="46"/>
  <c r="BL17" i="46"/>
  <c r="BD17" i="46"/>
  <c r="BP16" i="46"/>
  <c r="BH16" i="46"/>
  <c r="AZ16" i="46"/>
  <c r="BT15" i="46"/>
  <c r="BL15" i="46"/>
  <c r="BD15" i="46"/>
  <c r="BP14" i="46"/>
  <c r="BH14" i="46"/>
  <c r="AZ14" i="46"/>
  <c r="BT13" i="46"/>
  <c r="BL13" i="46"/>
  <c r="BD13" i="46"/>
  <c r="BP12" i="46"/>
  <c r="BH12" i="46"/>
  <c r="AZ12" i="46"/>
  <c r="BT11" i="46"/>
  <c r="BL11" i="46"/>
  <c r="BD11" i="46"/>
  <c r="BP10" i="46"/>
  <c r="BH10" i="46"/>
  <c r="AZ10" i="46"/>
  <c r="BT9" i="46"/>
  <c r="BL9" i="46"/>
  <c r="BD9" i="46"/>
  <c r="BP8" i="46"/>
  <c r="BH8" i="46"/>
  <c r="AZ8" i="46"/>
  <c r="BT7" i="46"/>
  <c r="BL7" i="46"/>
  <c r="BD7" i="46"/>
  <c r="BP6" i="46"/>
  <c r="BH6" i="46"/>
  <c r="AZ6" i="46"/>
  <c r="BC22" i="46"/>
  <c r="BC16" i="46"/>
  <c r="BO15" i="46"/>
  <c r="BK14" i="46"/>
  <c r="BO13" i="46"/>
  <c r="BC12" i="46"/>
  <c r="BO9" i="46"/>
  <c r="BC8" i="46"/>
  <c r="BO7" i="46"/>
  <c r="BC6" i="46"/>
  <c r="BS63" i="46"/>
  <c r="BP33" i="46"/>
  <c r="BT32" i="46"/>
  <c r="BI31" i="46"/>
  <c r="BH27" i="46"/>
  <c r="BR18" i="46"/>
  <c r="BB16" i="46"/>
  <c r="BB14" i="46"/>
  <c r="BF13" i="46"/>
  <c r="BJ12" i="46"/>
  <c r="BJ10" i="46"/>
  <c r="BF9" i="46"/>
  <c r="BR8" i="46"/>
  <c r="BF7" i="46"/>
  <c r="BB6" i="46"/>
  <c r="BT52" i="46"/>
  <c r="BH49" i="46"/>
  <c r="AZ47" i="46"/>
  <c r="BP45" i="46"/>
  <c r="BD43" i="46"/>
  <c r="BP39" i="46"/>
  <c r="BT38" i="46"/>
  <c r="BI37" i="46"/>
  <c r="BM36" i="46"/>
  <c r="BH35" i="46"/>
  <c r="BL34" i="46"/>
  <c r="BA33" i="46"/>
  <c r="BE32" i="46"/>
  <c r="AZ31" i="46"/>
  <c r="BD30" i="46"/>
  <c r="AZ27" i="46"/>
  <c r="BT26" i="46"/>
  <c r="BK25" i="46"/>
  <c r="BM24" i="46"/>
  <c r="BS23" i="46"/>
  <c r="BI23" i="46"/>
  <c r="BO22" i="46"/>
  <c r="BG22" i="46"/>
  <c r="BS21" i="46"/>
  <c r="BK21" i="46"/>
  <c r="BC21" i="46"/>
  <c r="BO20" i="46"/>
  <c r="BG20" i="46"/>
  <c r="BS19" i="46"/>
  <c r="BK19" i="46"/>
  <c r="BC19" i="46"/>
  <c r="BO18" i="46"/>
  <c r="BG18" i="46"/>
  <c r="BS17" i="46"/>
  <c r="BK17" i="46"/>
  <c r="BC17" i="46"/>
  <c r="BO16" i="46"/>
  <c r="BG16" i="46"/>
  <c r="BS15" i="46"/>
  <c r="BK15" i="46"/>
  <c r="BC15" i="46"/>
  <c r="BO14" i="46"/>
  <c r="BG14" i="46"/>
  <c r="BS13" i="46"/>
  <c r="BK13" i="46"/>
  <c r="BC13" i="46"/>
  <c r="BO12" i="46"/>
  <c r="BG12" i="46"/>
  <c r="BS11" i="46"/>
  <c r="BK11" i="46"/>
  <c r="BC11" i="46"/>
  <c r="BO10" i="46"/>
  <c r="BG10" i="46"/>
  <c r="BS9" i="46"/>
  <c r="BK9" i="46"/>
  <c r="BC9" i="46"/>
  <c r="BO8" i="46"/>
  <c r="BG8" i="46"/>
  <c r="BS7" i="46"/>
  <c r="BK7" i="46"/>
  <c r="BC7" i="46"/>
  <c r="BO6" i="46"/>
  <c r="BG6" i="46"/>
  <c r="BG26" i="46"/>
  <c r="BA25" i="46"/>
  <c r="BF24" i="46"/>
  <c r="BK22" i="46"/>
  <c r="BS20" i="46"/>
  <c r="BO19" i="46"/>
  <c r="BK18" i="46"/>
  <c r="BG17" i="46"/>
  <c r="BS16" i="46"/>
  <c r="BK10" i="46"/>
  <c r="BG7" i="46"/>
  <c r="BK6" i="46"/>
  <c r="BF40" i="46"/>
  <c r="BQ35" i="46"/>
  <c r="BE26" i="46"/>
  <c r="BE24" i="46"/>
  <c r="BB23" i="46"/>
  <c r="BJ22" i="46"/>
  <c r="BJ20" i="46"/>
  <c r="BF19" i="46"/>
  <c r="BN17" i="46"/>
  <c r="BR16" i="46"/>
  <c r="BF15" i="46"/>
  <c r="BN13" i="46"/>
  <c r="BR12" i="46"/>
  <c r="BB10" i="46"/>
  <c r="AZ49" i="46"/>
  <c r="BT41" i="46"/>
  <c r="BI39" i="46"/>
  <c r="BM38" i="46"/>
  <c r="BH37" i="46"/>
  <c r="BL36" i="46"/>
  <c r="BA35" i="46"/>
  <c r="BE34" i="46"/>
  <c r="AZ33" i="46"/>
  <c r="BD32" i="46"/>
  <c r="BQ27" i="46"/>
  <c r="BO26" i="46"/>
  <c r="BI25" i="46"/>
  <c r="BL24" i="46"/>
  <c r="BR23" i="46"/>
  <c r="BH23" i="46"/>
  <c r="BN22" i="46"/>
  <c r="BF22" i="46"/>
  <c r="BR21" i="46"/>
  <c r="BJ21" i="46"/>
  <c r="BB21" i="46"/>
  <c r="BN20" i="46"/>
  <c r="BF20" i="46"/>
  <c r="BR19" i="46"/>
  <c r="BJ19" i="46"/>
  <c r="BB19" i="46"/>
  <c r="BN18" i="46"/>
  <c r="BF18" i="46"/>
  <c r="BR17" i="46"/>
  <c r="BJ17" i="46"/>
  <c r="BB17" i="46"/>
  <c r="BN16" i="46"/>
  <c r="BF16" i="46"/>
  <c r="BR15" i="46"/>
  <c r="BJ15" i="46"/>
  <c r="BB15" i="46"/>
  <c r="BN14" i="46"/>
  <c r="BF14" i="46"/>
  <c r="BR13" i="46"/>
  <c r="BJ13" i="46"/>
  <c r="BB13" i="46"/>
  <c r="BN12" i="46"/>
  <c r="BF12" i="46"/>
  <c r="BR11" i="46"/>
  <c r="BJ11" i="46"/>
  <c r="BB11" i="46"/>
  <c r="BN10" i="46"/>
  <c r="BF10" i="46"/>
  <c r="BR9" i="46"/>
  <c r="BJ9" i="46"/>
  <c r="BB9" i="46"/>
  <c r="BN8" i="46"/>
  <c r="BF8" i="46"/>
  <c r="BR7" i="46"/>
  <c r="BJ7" i="46"/>
  <c r="BB7" i="46"/>
  <c r="BN6" i="46"/>
  <c r="BF6" i="46"/>
  <c r="BK12" i="46"/>
  <c r="BS8" i="46"/>
  <c r="BJ8" i="46"/>
  <c r="BC75" i="46"/>
  <c r="BP51" i="46"/>
  <c r="BH41" i="46"/>
  <c r="BT40" i="46"/>
  <c r="BH39" i="46"/>
  <c r="BL38" i="46"/>
  <c r="BA37" i="46"/>
  <c r="BE36" i="46"/>
  <c r="AZ35" i="46"/>
  <c r="BD34" i="46"/>
  <c r="BQ29" i="46"/>
  <c r="BU28" i="46"/>
  <c r="BP27" i="46"/>
  <c r="BM26" i="46"/>
  <c r="BH25" i="46"/>
  <c r="BH24" i="46"/>
  <c r="BQ23" i="46"/>
  <c r="BG23" i="46"/>
  <c r="BM22" i="46"/>
  <c r="BE22" i="46"/>
  <c r="BQ21" i="46"/>
  <c r="BI21" i="46"/>
  <c r="BA21" i="46"/>
  <c r="BU20" i="46"/>
  <c r="BM20" i="46"/>
  <c r="BE20" i="46"/>
  <c r="BQ19" i="46"/>
  <c r="BI19" i="46"/>
  <c r="BA19" i="46"/>
  <c r="BU18" i="46"/>
  <c r="BM18" i="46"/>
  <c r="BE18" i="46"/>
  <c r="BQ17" i="46"/>
  <c r="BI17" i="46"/>
  <c r="BA17" i="46"/>
  <c r="BU16" i="46"/>
  <c r="BM16" i="46"/>
  <c r="BE16" i="46"/>
  <c r="BQ15" i="46"/>
  <c r="BI15" i="46"/>
  <c r="BA15" i="46"/>
  <c r="BU14" i="46"/>
  <c r="BM14" i="46"/>
  <c r="BE14" i="46"/>
  <c r="BQ13" i="46"/>
  <c r="BI13" i="46"/>
  <c r="BA13" i="46"/>
  <c r="BU12" i="46"/>
  <c r="BM12" i="46"/>
  <c r="BE12" i="46"/>
  <c r="BQ11" i="46"/>
  <c r="BI11" i="46"/>
  <c r="BA11" i="46"/>
  <c r="BU10" i="46"/>
  <c r="BM10" i="46"/>
  <c r="BE10" i="46"/>
  <c r="BQ9" i="46"/>
  <c r="BI9" i="46"/>
  <c r="BA9" i="46"/>
  <c r="BU8" i="46"/>
  <c r="BM8" i="46"/>
  <c r="BE8" i="46"/>
  <c r="BQ7" i="46"/>
  <c r="BI7" i="46"/>
  <c r="BA7" i="46"/>
  <c r="BU6" i="46"/>
  <c r="BM6" i="46"/>
  <c r="BE6" i="46"/>
  <c r="BP44" i="46"/>
  <c r="BG40" i="46"/>
  <c r="BD38" i="46"/>
  <c r="BU32" i="46"/>
  <c r="BP31" i="46"/>
  <c r="BT30" i="46"/>
  <c r="BO23" i="46"/>
  <c r="BG21" i="46"/>
  <c r="BC20" i="46"/>
  <c r="BG19" i="46"/>
  <c r="BS18" i="46"/>
  <c r="BC18" i="46"/>
  <c r="BK8" i="46"/>
  <c r="BS6" i="46"/>
  <c r="BL46" i="46"/>
  <c r="BS25" i="46"/>
  <c r="BT22" i="46"/>
  <c r="BB22" i="46"/>
  <c r="BF21" i="46"/>
  <c r="BB20" i="46"/>
  <c r="BN19" i="46"/>
  <c r="BJ18" i="46"/>
  <c r="BJ16" i="46"/>
  <c r="BR14" i="46"/>
  <c r="BB12" i="46"/>
  <c r="BF11" i="46"/>
  <c r="BN9" i="46"/>
  <c r="BN7" i="46"/>
  <c r="BC58" i="46"/>
  <c r="BH51" i="46"/>
  <c r="BH42" i="46"/>
  <c r="BD41" i="46"/>
  <c r="BS40" i="46"/>
  <c r="BA39" i="46"/>
  <c r="BE38" i="46"/>
  <c r="AZ37" i="46"/>
  <c r="BD36" i="46"/>
  <c r="BQ31" i="46"/>
  <c r="BU30" i="46"/>
  <c r="BP29" i="46"/>
  <c r="BT28" i="46"/>
  <c r="BK27" i="46"/>
  <c r="BL26" i="46"/>
  <c r="BC25" i="46"/>
  <c r="BG24" i="46"/>
  <c r="BP23" i="46"/>
  <c r="BD23" i="46"/>
  <c r="BL22" i="46"/>
  <c r="BD22" i="46"/>
  <c r="BP21" i="46"/>
  <c r="BH21" i="46"/>
  <c r="AZ21" i="46"/>
  <c r="BT20" i="46"/>
  <c r="BL20" i="46"/>
  <c r="BD20" i="46"/>
  <c r="BP19" i="46"/>
  <c r="BH19" i="46"/>
  <c r="AZ19" i="46"/>
  <c r="BT18" i="46"/>
  <c r="BL18" i="46"/>
  <c r="BD18" i="46"/>
  <c r="BP17" i="46"/>
  <c r="BH17" i="46"/>
  <c r="AZ17" i="46"/>
  <c r="BT16" i="46"/>
  <c r="BL16" i="46"/>
  <c r="BD16" i="46"/>
  <c r="BP15" i="46"/>
  <c r="BH15" i="46"/>
  <c r="AZ15" i="46"/>
  <c r="BT14" i="46"/>
  <c r="BL14" i="46"/>
  <c r="BD14" i="46"/>
  <c r="BP13" i="46"/>
  <c r="BH13" i="46"/>
  <c r="AZ13" i="46"/>
  <c r="BT12" i="46"/>
  <c r="BL12" i="46"/>
  <c r="BD12" i="46"/>
  <c r="BP11" i="46"/>
  <c r="BH11" i="46"/>
  <c r="AZ11" i="46"/>
  <c r="BT10" i="46"/>
  <c r="BL10" i="46"/>
  <c r="BD10" i="46"/>
  <c r="BP9" i="46"/>
  <c r="BH9" i="46"/>
  <c r="AZ9" i="46"/>
  <c r="BT8" i="46"/>
  <c r="BL8" i="46"/>
  <c r="BD8" i="46"/>
  <c r="BP7" i="46"/>
  <c r="BH7" i="46"/>
  <c r="AZ7" i="46"/>
  <c r="BT6" i="46"/>
  <c r="BL6" i="46"/>
  <c r="BD6" i="46"/>
  <c r="BP53" i="46"/>
  <c r="BT46" i="46"/>
  <c r="BG42" i="46"/>
  <c r="AZ39" i="46"/>
  <c r="BI29" i="46"/>
  <c r="BM28" i="46"/>
  <c r="BI27" i="46"/>
  <c r="BU22" i="46"/>
  <c r="BO21" i="46"/>
  <c r="BK20" i="46"/>
  <c r="BG13" i="46"/>
  <c r="BS12" i="46"/>
  <c r="BG11" i="46"/>
  <c r="BC10" i="46"/>
  <c r="BG9" i="46"/>
  <c r="BJ14" i="46"/>
  <c r="BR10" i="46"/>
  <c r="BB8" i="46"/>
  <c r="BJ6" i="46"/>
  <c r="B115" i="8"/>
  <c r="B154" i="8" s="1"/>
  <c r="B156" i="8" s="1"/>
  <c r="E20" i="8" s="1"/>
  <c r="C116" i="41"/>
  <c r="C120" i="41" s="1"/>
  <c r="C121" i="41" s="1"/>
  <c r="D108" i="7"/>
  <c r="C20" i="7" s="1"/>
  <c r="C16" i="7" s="1"/>
  <c r="L47" i="12"/>
  <c r="I70" i="12" s="1"/>
  <c r="S70" i="12" s="1"/>
  <c r="L114" i="12"/>
  <c r="V114" i="12" s="1"/>
  <c r="V113" i="12"/>
  <c r="L115" i="12"/>
  <c r="V115" i="12" s="1"/>
  <c r="C19" i="8"/>
  <c r="E19" i="8"/>
  <c r="C13" i="39"/>
  <c r="E13" i="39"/>
  <c r="O114" i="12"/>
  <c r="Y114" i="12" s="1"/>
  <c r="Y113" i="12"/>
  <c r="O115" i="12"/>
  <c r="Y115" i="12" s="1"/>
  <c r="C15" i="44"/>
  <c r="Z113" i="12"/>
  <c r="P115" i="12"/>
  <c r="Z115" i="12" s="1"/>
  <c r="P114" i="12"/>
  <c r="Z114" i="12" s="1"/>
  <c r="C20" i="8"/>
  <c r="N114" i="12"/>
  <c r="X114" i="12" s="1"/>
  <c r="X113" i="12"/>
  <c r="N115" i="12"/>
  <c r="X115" i="12" s="1"/>
  <c r="J43" i="12"/>
  <c r="J46" i="12"/>
  <c r="J44" i="12"/>
  <c r="N37" i="12"/>
  <c r="N47" i="12" s="1"/>
  <c r="I90" i="12" s="1"/>
  <c r="S90" i="12" s="1"/>
  <c r="J42" i="12"/>
  <c r="I85" i="12" s="1"/>
  <c r="J38" i="12"/>
  <c r="I87" i="12" s="1"/>
  <c r="S87" i="12" s="1"/>
  <c r="J41" i="12"/>
  <c r="J40" i="12"/>
  <c r="J45" i="12"/>
  <c r="J39" i="12"/>
  <c r="I86" i="12" s="1"/>
  <c r="S86" i="12" s="1"/>
  <c r="J47" i="12"/>
  <c r="I89" i="12" s="1"/>
  <c r="S89" i="12" s="1"/>
  <c r="M47" i="12"/>
  <c r="D108" i="36"/>
  <c r="C19" i="36" s="1"/>
  <c r="D91" i="36"/>
  <c r="D93" i="36" s="1"/>
  <c r="C18" i="36" s="1"/>
  <c r="C74" i="36"/>
  <c r="C76" i="36" s="1"/>
  <c r="D107" i="36" s="1"/>
  <c r="J114" i="12"/>
  <c r="T114" i="12" s="1"/>
  <c r="T113" i="12"/>
  <c r="J115" i="12"/>
  <c r="T115" i="12" s="1"/>
  <c r="C110" i="39"/>
  <c r="W113" i="12"/>
  <c r="M114" i="12"/>
  <c r="W114" i="12" s="1"/>
  <c r="M115" i="12"/>
  <c r="W115" i="12" s="1"/>
  <c r="O73" i="12"/>
  <c r="S65" i="12"/>
  <c r="K73" i="12"/>
  <c r="J73" i="12"/>
  <c r="M73" i="12"/>
  <c r="N73" i="12"/>
  <c r="L73" i="12"/>
  <c r="P73" i="12"/>
  <c r="C18" i="8"/>
  <c r="E18" i="8"/>
  <c r="K115" i="12"/>
  <c r="U115" i="12" s="1"/>
  <c r="K114" i="12"/>
  <c r="U114" i="12" s="1"/>
  <c r="U113" i="12"/>
  <c r="C123" i="41" l="1"/>
  <c r="B125" i="41" s="1"/>
  <c r="B164" i="41" s="1"/>
  <c r="B165" i="41"/>
  <c r="E16" i="8"/>
  <c r="B149" i="41"/>
  <c r="B151" i="41" s="1"/>
  <c r="D109" i="36"/>
  <c r="C20" i="36" s="1"/>
  <c r="J75" i="12"/>
  <c r="T75" i="12" s="1"/>
  <c r="T73" i="12"/>
  <c r="J74" i="12"/>
  <c r="T74" i="12" s="1"/>
  <c r="N38" i="12"/>
  <c r="I88" i="12" s="1"/>
  <c r="S88" i="12" s="1"/>
  <c r="O37" i="12"/>
  <c r="K93" i="12"/>
  <c r="P93" i="12"/>
  <c r="L93" i="12"/>
  <c r="J93" i="12"/>
  <c r="O93" i="12"/>
  <c r="N93" i="12"/>
  <c r="M93" i="12"/>
  <c r="S85" i="12"/>
  <c r="K74" i="12"/>
  <c r="U74" i="12" s="1"/>
  <c r="U73" i="12"/>
  <c r="K75" i="12"/>
  <c r="U75" i="12" s="1"/>
  <c r="W73" i="12"/>
  <c r="M74" i="12"/>
  <c r="W74" i="12" s="1"/>
  <c r="M75" i="12"/>
  <c r="W75" i="12" s="1"/>
  <c r="C19" i="41"/>
  <c r="E19" i="41"/>
  <c r="C116" i="39"/>
  <c r="C115" i="39"/>
  <c r="C114" i="39"/>
  <c r="C113" i="39"/>
  <c r="C117" i="39"/>
  <c r="C16" i="8"/>
  <c r="Y73" i="12"/>
  <c r="O74" i="12"/>
  <c r="Y74" i="12" s="1"/>
  <c r="O75" i="12"/>
  <c r="Y75" i="12" s="1"/>
  <c r="C18" i="41"/>
  <c r="E18" i="41"/>
  <c r="N75" i="12"/>
  <c r="X75" i="12" s="1"/>
  <c r="N74" i="12"/>
  <c r="X74" i="12" s="1"/>
  <c r="X73" i="12"/>
  <c r="Z73" i="12"/>
  <c r="P75" i="12"/>
  <c r="Z75" i="12" s="1"/>
  <c r="P74" i="12"/>
  <c r="Z74" i="12" s="1"/>
  <c r="C16" i="36"/>
  <c r="L75" i="12"/>
  <c r="V75" i="12" s="1"/>
  <c r="V73" i="12"/>
  <c r="L74" i="12"/>
  <c r="V74" i="12" s="1"/>
  <c r="B166" i="41" l="1"/>
  <c r="W93" i="12"/>
  <c r="M94" i="12"/>
  <c r="W94" i="12" s="1"/>
  <c r="M95" i="12"/>
  <c r="W95" i="12" s="1"/>
  <c r="X93" i="12"/>
  <c r="N95" i="12"/>
  <c r="X95" i="12" s="1"/>
  <c r="N94" i="12"/>
  <c r="X94" i="12" s="1"/>
  <c r="U93" i="12"/>
  <c r="K94" i="12"/>
  <c r="U94" i="12" s="1"/>
  <c r="K95" i="12"/>
  <c r="U95" i="12" s="1"/>
  <c r="O95" i="12"/>
  <c r="Y95" i="12" s="1"/>
  <c r="Y93" i="12"/>
  <c r="O94" i="12"/>
  <c r="Y94" i="12" s="1"/>
  <c r="C119" i="39"/>
  <c r="C120" i="39" s="1"/>
  <c r="T93" i="12"/>
  <c r="J95" i="12"/>
  <c r="T95" i="12" s="1"/>
  <c r="J94" i="12"/>
  <c r="T94" i="12" s="1"/>
  <c r="V93" i="12"/>
  <c r="L94" i="12"/>
  <c r="V94" i="12" s="1"/>
  <c r="L95" i="12"/>
  <c r="V95" i="12" s="1"/>
  <c r="P94" i="12"/>
  <c r="Z94" i="12" s="1"/>
  <c r="P95" i="12"/>
  <c r="Z95" i="12" s="1"/>
  <c r="Z93" i="12"/>
  <c r="C20" i="41" l="1"/>
  <c r="C16" i="41" s="1"/>
  <c r="E20" i="41"/>
  <c r="E16" i="41" s="1"/>
  <c r="B148" i="39"/>
  <c r="B150" i="39" s="1"/>
  <c r="B164" i="39"/>
  <c r="C122" i="39"/>
  <c r="C124" i="39" s="1"/>
  <c r="B163" i="39" s="1"/>
  <c r="B165" i="39" s="1"/>
  <c r="E19" i="39" l="1"/>
  <c r="C19" i="39"/>
  <c r="E17" i="39"/>
  <c r="C17" i="39"/>
  <c r="C18" i="39"/>
  <c r="E18" i="39"/>
  <c r="C15" i="39" l="1"/>
  <c r="E15" i="39"/>
</calcChain>
</file>

<file path=xl/comments1.xml><?xml version="1.0" encoding="utf-8"?>
<comments xmlns="http://schemas.openxmlformats.org/spreadsheetml/2006/main">
  <authors>
    <author/>
  </authors>
  <commentList>
    <comment ref="B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Michael Jay Walsh
</t>
        </r>
        <r>
          <rPr>
            <sz val="9"/>
            <color rgb="FF000000"/>
            <rFont val="Tahoma"/>
            <family val="2"/>
            <charset val="1"/>
          </rPr>
          <t xml:space="preserve">Normalized to biomass not food output
</t>
        </r>
      </text>
    </comment>
    <comment ref="H7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Michael Jay Walsh:
</t>
        </r>
        <r>
          <rPr>
            <sz val="9"/>
            <color rgb="FF000000"/>
            <rFont val="Tahoma"/>
            <family val="2"/>
            <charset val="1"/>
          </rPr>
          <t>May want to consider fixing working capital across all options</t>
        </r>
      </text>
    </comment>
    <comment ref="H9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Michael Jay Walsh:
</t>
        </r>
        <r>
          <rPr>
            <sz val="9"/>
            <color rgb="FF000000"/>
            <rFont val="Tahoma"/>
            <family val="2"/>
            <charset val="1"/>
          </rPr>
          <t>May want to consider fixing working capital across all options</t>
        </r>
      </text>
    </comment>
    <comment ref="H11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Michael Jay Walsh:
</t>
        </r>
        <r>
          <rPr>
            <sz val="9"/>
            <color rgb="FF000000"/>
            <rFont val="Tahoma"/>
            <family val="2"/>
            <charset val="1"/>
          </rPr>
          <t>May want to consider fixing working capital across all options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5" authorId="0">
      <text>
        <r>
          <rPr>
            <b/>
            <sz val="9"/>
            <color rgb="FF000000"/>
            <rFont val="Tahoma"/>
            <family val="2"/>
            <charset val="1"/>
          </rPr>
          <t>Fulfilled by Biomass</t>
        </r>
      </text>
    </comment>
    <comment ref="A17" authorId="0">
      <text>
        <r>
          <rPr>
            <b/>
            <sz val="9"/>
            <color rgb="FF000000"/>
            <rFont val="Tahoma"/>
            <family val="2"/>
            <charset val="1"/>
          </rPr>
          <t>Fulfilled by Biomass</t>
        </r>
      </text>
    </comment>
    <comment ref="A19" authorId="0">
      <text>
        <r>
          <rPr>
            <b/>
            <sz val="9"/>
            <color rgb="FF000000"/>
            <rFont val="Tahoma"/>
            <family val="2"/>
            <charset val="1"/>
          </rPr>
          <t>Fulfilled by Biomass</t>
        </r>
      </text>
    </comment>
    <comment ref="A2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Walsh, Michael J.:
</t>
        </r>
        <r>
          <rPr>
            <sz val="9"/>
            <color rgb="FF000000"/>
            <rFont val="Tahoma"/>
            <family val="2"/>
            <charset val="1"/>
          </rPr>
          <t xml:space="preserve">Added for all conversion options, with same # and pay as Operator - Inoculum </t>
        </r>
      </text>
    </comment>
  </commentList>
</comments>
</file>

<file path=xl/sharedStrings.xml><?xml version="1.0" encoding="utf-8"?>
<sst xmlns="http://schemas.openxmlformats.org/spreadsheetml/2006/main" count="4679" uniqueCount="877">
  <si>
    <t>region</t>
  </si>
  <si>
    <t>AgSupplySector</t>
  </si>
  <si>
    <t>AgSupplySubsector</t>
  </si>
  <si>
    <t>AgProductionTechnology</t>
  </si>
  <si>
    <t>USA</t>
  </si>
  <si>
    <t>Algae</t>
  </si>
  <si>
    <t>AlgaeAEZ07</t>
  </si>
  <si>
    <t>AlgaeAEZ08</t>
  </si>
  <si>
    <t>AlgaeAEZ09</t>
  </si>
  <si>
    <t>AlgaeAEZ10</t>
  </si>
  <si>
    <t>AlgaeAEZ11</t>
  </si>
  <si>
    <t>AlgaeAEZ12</t>
  </si>
  <si>
    <t>Africa_Eastern</t>
  </si>
  <si>
    <t>AlgaeAEZ01</t>
  </si>
  <si>
    <t>AlgaeAEZ02</t>
  </si>
  <si>
    <t>AlgaeAEZ03</t>
  </si>
  <si>
    <t>AlgaeAEZ04</t>
  </si>
  <si>
    <t>AlgaeAEZ05</t>
  </si>
  <si>
    <t>AlgaeAEZ06</t>
  </si>
  <si>
    <t>Africa_Northern</t>
  </si>
  <si>
    <t>Africa_Southern</t>
  </si>
  <si>
    <t>Africa_Western</t>
  </si>
  <si>
    <t>Australia_NZ</t>
  </si>
  <si>
    <t>Brazil</t>
  </si>
  <si>
    <t>Canada</t>
  </si>
  <si>
    <t>Central America and Caribbean</t>
  </si>
  <si>
    <t>Central Asia</t>
  </si>
  <si>
    <t>China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</si>
  <si>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</si>
  <si>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</si>
  <si>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</si>
  <si>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</si>
  <si>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</si>
  <si>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</si>
  <si>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</si>
  <si>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</si>
  <si>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</si>
  <si>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</si>
  <si>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</si>
  <si>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</si>
  <si>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</si>
  <si>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</si>
  <si>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</si>
  <si>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</si>
  <si>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</si>
  <si>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</si>
  <si>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Argentina</t>
  </si>
  <si>
    <t>Colombia</t>
  </si>
  <si>
    <t>yield</t>
  </si>
  <si>
    <t>coefficient</t>
  </si>
  <si>
    <t>N fertilizer</t>
  </si>
  <si>
    <t>kg/m^2/year</t>
  </si>
  <si>
    <t>GJ/kg</t>
  </si>
  <si>
    <t>t N/t</t>
  </si>
  <si>
    <t xml:space="preserve">yield improvement </t>
  </si>
  <si>
    <t>cost</t>
  </si>
  <si>
    <t>Power</t>
  </si>
  <si>
    <t>Fixed Costs</t>
  </si>
  <si>
    <t xml:space="preserve">Labor </t>
  </si>
  <si>
    <t>Capital Depreciation</t>
  </si>
  <si>
    <t>Income Tax</t>
  </si>
  <si>
    <t>ROI</t>
  </si>
  <si>
    <t>Total</t>
  </si>
  <si>
    <t>Need to consider how much does cooling/CC increase the power requirement at a large scale?</t>
  </si>
  <si>
    <t>Land Credit</t>
  </si>
  <si>
    <t>$ per facility</t>
  </si>
  <si>
    <t>$ per t</t>
  </si>
  <si>
    <t>Disaggregrated Value</t>
  </si>
  <si>
    <t xml:space="preserve">$2011/kg </t>
  </si>
  <si>
    <t>Input Cost</t>
  </si>
  <si>
    <t xml:space="preserve">$1975/kg </t>
  </si>
  <si>
    <t>Average algae flow rate</t>
  </si>
  <si>
    <t>MT/day, dry</t>
  </si>
  <si>
    <t>(page 10)</t>
  </si>
  <si>
    <t>Operation percentage</t>
  </si>
  <si>
    <t>-</t>
  </si>
  <si>
    <t>/GJ</t>
  </si>
  <si>
    <t>Hourly flow rate, operating</t>
  </si>
  <si>
    <t>kg/hr</t>
  </si>
  <si>
    <t>(consistent with value for scaled pretreatment flow-rate in Page 83, Appendix A, A100)</t>
  </si>
  <si>
    <t>Oil content</t>
  </si>
  <si>
    <t>Table 1, page 13</t>
  </si>
  <si>
    <t>Extraction efficiency</t>
  </si>
  <si>
    <t>Target value for ALU</t>
  </si>
  <si>
    <t>Heat, GJ</t>
  </si>
  <si>
    <t>Algal oil HHV</t>
  </si>
  <si>
    <t>from various internet sources for vegetal oil, to be double-checked!!!</t>
  </si>
  <si>
    <t>Power, GJ</t>
  </si>
  <si>
    <t>Variable Costs, $1975</t>
  </si>
  <si>
    <t>Fixed Costs, $1975</t>
  </si>
  <si>
    <t>Yearly produced LEA</t>
  </si>
  <si>
    <t>MT/yr</t>
  </si>
  <si>
    <t>Capital Depreciation, $1975</t>
  </si>
  <si>
    <t>Yearly produced oil</t>
  </si>
  <si>
    <t>Income Tax+ROI, $1975</t>
  </si>
  <si>
    <t>Yearly produced oil, energy</t>
  </si>
  <si>
    <t>GJ/yr</t>
  </si>
  <si>
    <t>$</t>
  </si>
  <si>
    <t>A600 (storage, assumed to hold algal oil and LEA for feed)</t>
  </si>
  <si>
    <t>A700 (utilities)</t>
  </si>
  <si>
    <t>Direct CAPEX</t>
  </si>
  <si>
    <t>Appendix A, dryer costs only</t>
  </si>
  <si>
    <t>Table 16, Installed costs</t>
  </si>
  <si>
    <t>Variable OM</t>
  </si>
  <si>
    <t>MM$/yr</t>
  </si>
  <si>
    <t>Table 18, excluding feedstock and natural gas for drying</t>
  </si>
  <si>
    <t>Data from Table 18, adapted to new flow rate</t>
  </si>
  <si>
    <t>Table 18</t>
  </si>
  <si>
    <t>Table 18, excluding natural gas for heating</t>
  </si>
  <si>
    <t>Required natural gas</t>
  </si>
  <si>
    <t>not included here, since this is assumed to be accounted for in the A100/A300 requirements</t>
  </si>
  <si>
    <t>Required electricity</t>
  </si>
  <si>
    <t>assumed to be negligible compared to A300 requirements</t>
  </si>
  <si>
    <t>Additional direct capital expenses (see Table 16)</t>
  </si>
  <si>
    <t>% Installed costs, excluding A100</t>
  </si>
  <si>
    <t>Cost, $</t>
  </si>
  <si>
    <t>Adjustment of fixed OM costs (Table 19)</t>
  </si>
  <si>
    <t>2011 salary</t>
  </si>
  <si>
    <t>Original #</t>
  </si>
  <si>
    <t>Adjustement</t>
  </si>
  <si>
    <t>Revised #</t>
  </si>
  <si>
    <t>Total cost</t>
  </si>
  <si>
    <t>Comment</t>
  </si>
  <si>
    <t>Scale-up of A300 (receives less flow in ALU report, since A200 produces EtOH that go to storage)</t>
  </si>
  <si>
    <t>Warehouse</t>
  </si>
  <si>
    <t>Plant manager</t>
  </si>
  <si>
    <t>Original flow rate</t>
  </si>
  <si>
    <t>Appendix A, Table for A300, scaled value for input to extraction column</t>
  </si>
  <si>
    <t>Site Development</t>
  </si>
  <si>
    <t>Plant engineer</t>
  </si>
  <si>
    <t>New flow rate</t>
  </si>
  <si>
    <t>considering that all algae go there, without going for EtOH production first</t>
  </si>
  <si>
    <t>Additional piping</t>
  </si>
  <si>
    <t>Maintenance supervisor</t>
  </si>
  <si>
    <t>Scale-up exponent for capital costs</t>
  </si>
  <si>
    <t>assumed to be the average value for economies of scale</t>
  </si>
  <si>
    <t>Maintenance technician</t>
  </si>
  <si>
    <t>Less equipment, so less maintenance in the new set-up</t>
  </si>
  <si>
    <t>Original Direct CAPEX</t>
  </si>
  <si>
    <t>Total direct costs</t>
  </si>
  <si>
    <t>Lab manager</t>
  </si>
  <si>
    <t>Original power required</t>
  </si>
  <si>
    <t>MW</t>
  </si>
  <si>
    <t>Calculated from Figure 13</t>
  </si>
  <si>
    <t>Lab technician</t>
  </si>
  <si>
    <t>No EtOH prod, no Hydrotreat, no AD, so less analyses required</t>
  </si>
  <si>
    <t>New power required</t>
  </si>
  <si>
    <t>Additional indirect capital expenses (see Table 16)</t>
  </si>
  <si>
    <t xml:space="preserve">% of Direct Costs </t>
  </si>
  <si>
    <t>Shift supervisor</t>
  </si>
  <si>
    <t>Prorateable expenses</t>
  </si>
  <si>
    <t>Shift operators</t>
  </si>
  <si>
    <t>Less processes, so less operators required</t>
  </si>
  <si>
    <t>Field expenses</t>
  </si>
  <si>
    <t>Yard employees</t>
  </si>
  <si>
    <t>Calculation of natural gas requirement for A100</t>
  </si>
  <si>
    <t>A100 - initial seasonal dryer and additional dryer for LEA drying after lipid extraction</t>
  </si>
  <si>
    <t>Home office &amp; construction fee</t>
  </si>
  <si>
    <t>Clerks and secretaries</t>
  </si>
  <si>
    <t>Natural gas costs</t>
  </si>
  <si>
    <t>$/yr</t>
  </si>
  <si>
    <t>Initial CAPEX</t>
  </si>
  <si>
    <t>Appendix A</t>
  </si>
  <si>
    <t>Project contingency</t>
  </si>
  <si>
    <t>Price of natural gas</t>
  </si>
  <si>
    <t>$/kft3</t>
  </si>
  <si>
    <t>Inital flowrate</t>
  </si>
  <si>
    <t>kg/h</t>
  </si>
  <si>
    <t>Other costs (start'ups, permits)</t>
  </si>
  <si>
    <t>Total salaries</t>
  </si>
  <si>
    <t>LHV natural gas</t>
  </si>
  <si>
    <t>BTU/ft3</t>
  </si>
  <si>
    <t xml:space="preserve">Flowrate of LEA </t>
  </si>
  <si>
    <t>Labor burden (90%)</t>
  </si>
  <si>
    <t>BTU/yr</t>
  </si>
  <si>
    <t>Scaling exponent</t>
  </si>
  <si>
    <t>Total indirect costs</t>
  </si>
  <si>
    <t>Maintenance</t>
  </si>
  <si>
    <t>% of ISBL</t>
  </si>
  <si>
    <t>Additional gas dryer</t>
  </si>
  <si>
    <t>Fixed capital investment</t>
  </si>
  <si>
    <t>Property insurance</t>
  </si>
  <si>
    <t>% of FCI</t>
  </si>
  <si>
    <t>Calculation of natural gas requirement for A300</t>
  </si>
  <si>
    <t>Original heat required</t>
  </si>
  <si>
    <t xml:space="preserve">Gcal/hr </t>
  </si>
  <si>
    <t>Email from Jennifer Markham, 01/23/17</t>
  </si>
  <si>
    <t>New heat requirement</t>
  </si>
  <si>
    <t>Land</t>
  </si>
  <si>
    <t>assumed to be similar to ALU report, Table 16</t>
  </si>
  <si>
    <t>Working capital</t>
  </si>
  <si>
    <t>Calculation of solvent (hexane) requirement for A300</t>
  </si>
  <si>
    <t>Total capital investment</t>
  </si>
  <si>
    <t>$2011</t>
  </si>
  <si>
    <t>Original solvent costs</t>
  </si>
  <si>
    <t>Total variable operating costs</t>
  </si>
  <si>
    <t>$2011/yr</t>
  </si>
  <si>
    <t>excluding natural gas and electricity!</t>
  </si>
  <si>
    <t>New solvent costs</t>
  </si>
  <si>
    <t>Total fixed operating costs</t>
  </si>
  <si>
    <t>Solvent price</t>
  </si>
  <si>
    <t>$/lb</t>
  </si>
  <si>
    <t>Table 17</t>
  </si>
  <si>
    <t>Total natural gas requirement</t>
  </si>
  <si>
    <t>Solvent requirement</t>
  </si>
  <si>
    <t>kg/yr</t>
  </si>
  <si>
    <t>Total electricity requirement</t>
  </si>
  <si>
    <t>Capital depreciation</t>
  </si>
  <si>
    <t>Average income tax</t>
  </si>
  <si>
    <t>Average return on investment</t>
  </si>
  <si>
    <t>Ratio</t>
  </si>
  <si>
    <t>Average income tax+average ROI</t>
  </si>
  <si>
    <t>gal/ US ton Algae</t>
  </si>
  <si>
    <t>$/GJ</t>
  </si>
  <si>
    <t>Algae feedstock cost</t>
  </si>
  <si>
    <t>GJ / t Algae</t>
  </si>
  <si>
    <t>Natural Gas</t>
  </si>
  <si>
    <t>Catalysts &amp; Chemicals</t>
  </si>
  <si>
    <t>kg / GJ</t>
  </si>
  <si>
    <t>Waste Disposal</t>
  </si>
  <si>
    <t>Electricity and other utilities</t>
  </si>
  <si>
    <t>Naphtha Credit</t>
  </si>
  <si>
    <t>Fertilizer Credit</t>
  </si>
  <si>
    <t xml:space="preserve">Average Income Tax </t>
  </si>
  <si>
    <t>Average ROI</t>
  </si>
  <si>
    <t>$2011-1975 Conversion</t>
  </si>
  <si>
    <t>$1975/GJ</t>
  </si>
  <si>
    <t>Ref</t>
  </si>
  <si>
    <t>Large Facility</t>
  </si>
  <si>
    <t>Jones 2014</t>
  </si>
  <si>
    <t>http://www.nrel.gov/docs/fy14osti/62368.pdf</t>
  </si>
  <si>
    <t>NREL/TP-5100-64772</t>
  </si>
  <si>
    <t>Baseline Facility</t>
  </si>
  <si>
    <t>Beal 2015</t>
  </si>
  <si>
    <t>Liners</t>
  </si>
  <si>
    <t>Working Capital</t>
  </si>
  <si>
    <t>Baseline +30 @2%</t>
  </si>
  <si>
    <t>Summer +30 @2%</t>
  </si>
  <si>
    <t>Baseline</t>
  </si>
  <si>
    <t>Summer</t>
  </si>
  <si>
    <t>Exp Factor</t>
  </si>
  <si>
    <t>Ring Dryer</t>
  </si>
  <si>
    <t>HTL</t>
  </si>
  <si>
    <t>CHG</t>
  </si>
  <si>
    <t>CHP</t>
  </si>
  <si>
    <t>OA</t>
  </si>
  <si>
    <t>Hydrotreratment</t>
  </si>
  <si>
    <t>WE</t>
  </si>
  <si>
    <t>Wet Extraction</t>
  </si>
  <si>
    <t>Options Matrix</t>
  </si>
  <si>
    <t>DBF</t>
  </si>
  <si>
    <t>DBF,HTL</t>
  </si>
  <si>
    <t>DBF,WE</t>
  </si>
  <si>
    <t>HTL,WE</t>
  </si>
  <si>
    <t>DBF,HTL,WE</t>
  </si>
  <si>
    <t>Direct biomass utilization for food</t>
  </si>
  <si>
    <t>DBF (Direct biomass to food)</t>
  </si>
  <si>
    <t>Fuel only production by HTL</t>
  </si>
  <si>
    <t>HTL (Fuel only production by HTL)</t>
  </si>
  <si>
    <t>WE (Wet Extraction)</t>
  </si>
  <si>
    <t>Capital Options</t>
  </si>
  <si>
    <t>Expense</t>
  </si>
  <si>
    <t>Notes</t>
  </si>
  <si>
    <t>Required for production, infrastructure, PBR/inoculum ponds, water and nutrient delivery, biomass delivery, recycling, etc.</t>
  </si>
  <si>
    <t>Liners (for food production)</t>
  </si>
  <si>
    <t>Liners for erosion control are included with baseline, additional liners necessary for food production to prevent ash in product</t>
  </si>
  <si>
    <t>Co-production module, linear scale</t>
  </si>
  <si>
    <t>HTL/CHG</t>
  </si>
  <si>
    <t>HTL Fuel production and CHG recycling module, powerlog scale</t>
  </si>
  <si>
    <t>Dryer (Biomass)</t>
  </si>
  <si>
    <t>Processor size necessary for fo DBF and WE food production levels</t>
  </si>
  <si>
    <t>Dryer (WE)</t>
  </si>
  <si>
    <t>Processor size necessary for WE food production levels only</t>
  </si>
  <si>
    <t>Hydrotreatment (HTL)</t>
  </si>
  <si>
    <t>Fuel upgrading processor size necessary for HTL and WE fuel production levels</t>
  </si>
  <si>
    <t xml:space="preserve">Hydrotreatment (WE) </t>
  </si>
  <si>
    <t>Fuel upgrading processor size necessary for WE production levels only</t>
  </si>
  <si>
    <t>Working Capital (%FCI)</t>
  </si>
  <si>
    <t>$/annual ton biomass</t>
  </si>
  <si>
    <t>Small Facility</t>
  </si>
  <si>
    <t>Use assumptions</t>
  </si>
  <si>
    <t>Annual Biomass Output</t>
  </si>
  <si>
    <t>Daily Biomass Output</t>
  </si>
  <si>
    <t>Dryer &amp; Food Processor (DBF)</t>
  </si>
  <si>
    <t>Dryer &amp; Food Processor  (WE)</t>
  </si>
  <si>
    <t>Wetted Area</t>
  </si>
  <si>
    <t>Full Area</t>
  </si>
  <si>
    <t>Biomass Normailzed Costs</t>
  </si>
  <si>
    <t xml:space="preserve">Process </t>
  </si>
  <si>
    <t>Summer Factor</t>
  </si>
  <si>
    <t>Target Throughputs</t>
  </si>
  <si>
    <t>WE SCALES</t>
  </si>
  <si>
    <t>Capital &amp; Operational Scaling</t>
  </si>
  <si>
    <t>Baseline Cost ($M)</t>
  </si>
  <si>
    <t>biomass input kg/day</t>
  </si>
  <si>
    <t>Valicor</t>
  </si>
  <si>
    <t>Jones/Davis</t>
  </si>
  <si>
    <t>Liners (foor food production)</t>
  </si>
  <si>
    <t>Dryer &amp; Food Processor (Biomass)</t>
  </si>
  <si>
    <t>Large FCI</t>
  </si>
  <si>
    <t>Large FCI (Millions)</t>
  </si>
  <si>
    <t>Large TCI</t>
  </si>
  <si>
    <t>Large (Millions)</t>
  </si>
  <si>
    <t>SUMMER 30</t>
  </si>
  <si>
    <t>No Season</t>
  </si>
  <si>
    <t>Units</t>
  </si>
  <si>
    <t>Ammonia</t>
  </si>
  <si>
    <t>t/y</t>
  </si>
  <si>
    <t>Biomass</t>
  </si>
  <si>
    <t>kWh/t</t>
  </si>
  <si>
    <t>GJ/t</t>
  </si>
  <si>
    <t>days</t>
  </si>
  <si>
    <t>GJ</t>
  </si>
  <si>
    <t>Winter</t>
  </si>
  <si>
    <t>Spring</t>
  </si>
  <si>
    <t>CO2</t>
  </si>
  <si>
    <t>Fall</t>
  </si>
  <si>
    <t>DAP</t>
  </si>
  <si>
    <t>From Davis Table 15 &amp; Jones Table 15</t>
  </si>
  <si>
    <t>Salary Increase Rate</t>
  </si>
  <si>
    <t>Annual</t>
  </si>
  <si>
    <t xml:space="preserve">Labor Burden </t>
  </si>
  <si>
    <t>Seasonal Adjust</t>
  </si>
  <si>
    <t>Type</t>
  </si>
  <si>
    <t>Field</t>
  </si>
  <si>
    <t>2011 Salary</t>
  </si>
  <si>
    <t>2016 Salary</t>
  </si>
  <si>
    <t>Off</t>
  </si>
  <si>
    <t>Plant Manager</t>
  </si>
  <si>
    <t>Fixed</t>
  </si>
  <si>
    <t>Plant Engineer (civil)</t>
  </si>
  <si>
    <t>Plant Engineer (environmental)</t>
  </si>
  <si>
    <t>Maintenance Supervisor</t>
  </si>
  <si>
    <t>Maintenance Technician</t>
  </si>
  <si>
    <t xml:space="preserve">Lab Manager </t>
  </si>
  <si>
    <t>Lab Technician</t>
  </si>
  <si>
    <t xml:space="preserve">Shift Supervisor </t>
  </si>
  <si>
    <t>Variable</t>
  </si>
  <si>
    <t>Module Operator - Production</t>
  </si>
  <si>
    <t>Module Operator - Inoculum</t>
  </si>
  <si>
    <t>Module Operator - Dewatering</t>
  </si>
  <si>
    <t>Conversion</t>
  </si>
  <si>
    <t>Plant Engineer (conversion)</t>
  </si>
  <si>
    <t>Shift Supervisor</t>
  </si>
  <si>
    <t>Shift Operators</t>
  </si>
  <si>
    <t>Clerks &amp; Secretaries</t>
  </si>
  <si>
    <t>General</t>
  </si>
  <si>
    <t>Yard Employees</t>
  </si>
  <si>
    <t>THIS &amp; THE pd.out is a bit sloppy, can be cleaned up</t>
  </si>
  <si>
    <t xml:space="preserve">Adjustment to account for differing biomass </t>
  </si>
  <si>
    <t>Fixed Total</t>
  </si>
  <si>
    <t>Variable Total</t>
  </si>
  <si>
    <t>Labor Total</t>
  </si>
  <si>
    <t>Workers</t>
  </si>
  <si>
    <t>Workers - Fixed</t>
  </si>
  <si>
    <t>Workers - Variable</t>
  </si>
  <si>
    <t>Var_Biomass</t>
  </si>
  <si>
    <t>Var_Conversion</t>
  </si>
  <si>
    <t>Beal et al 2015</t>
  </si>
  <si>
    <t>Harvest Technician</t>
  </si>
  <si>
    <t>Dewatering technician</t>
  </si>
  <si>
    <t>Physical plant engineering</t>
  </si>
  <si>
    <t>Lab + Scale-up technician</t>
  </si>
  <si>
    <t>IT engineer</t>
  </si>
  <si>
    <t>Production manager</t>
  </si>
  <si>
    <t>Franchise manager</t>
  </si>
  <si>
    <t>Sales manager</t>
  </si>
  <si>
    <t>Accounting</t>
  </si>
  <si>
    <t>Human Resources</t>
  </si>
  <si>
    <t>Labor</t>
  </si>
  <si>
    <t>Diammonium Phosphate</t>
  </si>
  <si>
    <t>ha</t>
  </si>
  <si>
    <t>Table 20</t>
  </si>
  <si>
    <t>Products</t>
  </si>
  <si>
    <t>Annual Average Rates, tonne/day</t>
  </si>
  <si>
    <t>t/t biomass</t>
  </si>
  <si>
    <t>Algal biomass (total including ash)</t>
  </si>
  <si>
    <t>Water in biomass product stream</t>
  </si>
  <si>
    <t>Resource Consumption</t>
  </si>
  <si>
    <t>Output Streams</t>
  </si>
  <si>
    <t>Water lost to blowdown</t>
  </si>
  <si>
    <t>Algae lost in blowdown</t>
  </si>
  <si>
    <t>Air Emissions</t>
  </si>
  <si>
    <t>Water lost to evaporation</t>
  </si>
  <si>
    <t>GCAM Parameters</t>
  </si>
  <si>
    <t>GCAM Technology Name:</t>
  </si>
  <si>
    <t>Baseline for production of algal biomass in Ag Sector, to be applied with a regional factor based on yields</t>
  </si>
  <si>
    <r>
      <t xml:space="preserve">Adapted from </t>
    </r>
    <r>
      <rPr>
        <i/>
        <sz val="11"/>
        <color theme="1"/>
        <rFont val="Calibri"/>
        <family val="2"/>
        <scheme val="minor"/>
      </rPr>
      <t>Process Design and Economics for the Production of Algal Biomass</t>
    </r>
  </si>
  <si>
    <t>units</t>
  </si>
  <si>
    <t>Notes/Tasks</t>
  </si>
  <si>
    <t xml:space="preserve">electricity </t>
  </si>
  <si>
    <t>P fertilizer</t>
  </si>
  <si>
    <t>t DAP / t</t>
  </si>
  <si>
    <t>CO2 fertilizer</t>
  </si>
  <si>
    <t>Water Inputs</t>
  </si>
  <si>
    <t>t Water / t</t>
  </si>
  <si>
    <t>Baseline facility parameters</t>
  </si>
  <si>
    <t>Annual Production</t>
  </si>
  <si>
    <t>Total Discounted Output (30-y)</t>
  </si>
  <si>
    <t>Algal productivity</t>
  </si>
  <si>
    <t>g/m^2/day</t>
  </si>
  <si>
    <t>Figure ES-1</t>
  </si>
  <si>
    <t>Algal yield</t>
  </si>
  <si>
    <t>Operating Days</t>
  </si>
  <si>
    <t>Operating Hours</t>
  </si>
  <si>
    <t>hours</t>
  </si>
  <si>
    <t>Pond Area</t>
  </si>
  <si>
    <t>5000 acres, ES-1</t>
  </si>
  <si>
    <t>Financial Parameters</t>
  </si>
  <si>
    <t>Manufacturing Costs: Adapted from Figure ES-1 ($2011)</t>
  </si>
  <si>
    <t>t/US ton</t>
  </si>
  <si>
    <t>$/US Ton AFDW Biomass Prodcut</t>
  </si>
  <si>
    <t>$/t AFDW Biomass Prodcut</t>
  </si>
  <si>
    <t>remove</t>
  </si>
  <si>
    <t>Offsite CC, cost incoporates energy use which OSBL in Davis 2016</t>
  </si>
  <si>
    <t>(Mixing/Base, + CO2 Delivery + Water Delivery) - Future IAM will break out water and CO2 delivery requirements into resource curves</t>
  </si>
  <si>
    <t>Chilled Water Utility</t>
  </si>
  <si>
    <t>Offsite cooling, cost incoporates energy use which OSBL in Davis 2016,</t>
  </si>
  <si>
    <t>Land Price</t>
  </si>
  <si>
    <t>Appendix C, Crediting land due to land allocation in GCAM</t>
  </si>
  <si>
    <t>Fully Lined Cost</t>
  </si>
  <si>
    <t>Liner Cost</t>
  </si>
  <si>
    <t>CALC: nonLandVariableCost ($1975/kg)</t>
  </si>
  <si>
    <t>$2011/t</t>
  </si>
  <si>
    <t>Deflator</t>
  </si>
  <si>
    <t>$2011/$1975</t>
  </si>
  <si>
    <t>Cost factor</t>
  </si>
  <si>
    <t>$1975/m2/y</t>
  </si>
  <si>
    <t>Operational Parameters</t>
  </si>
  <si>
    <t>Table 20, Page 83</t>
  </si>
  <si>
    <r>
      <t xml:space="preserve">Algal biomass (AFDW) </t>
    </r>
    <r>
      <rPr>
        <vertAlign val="superscript"/>
        <sz val="10"/>
        <color rgb="FF000000"/>
        <rFont val="Arial"/>
        <family val="2"/>
      </rPr>
      <t>a</t>
    </r>
  </si>
  <si>
    <r>
      <t>CO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(counted as biogenic in origin)</t>
    </r>
  </si>
  <si>
    <r>
      <t xml:space="preserve">Total process water input </t>
    </r>
    <r>
      <rPr>
        <vertAlign val="superscript"/>
        <sz val="10"/>
        <color rgb="FF000000"/>
        <rFont val="Arial"/>
        <family val="2"/>
      </rPr>
      <t>b</t>
    </r>
  </si>
  <si>
    <r>
      <t xml:space="preserve">Electricity demand, kWh/day </t>
    </r>
    <r>
      <rPr>
        <vertAlign val="superscript"/>
        <sz val="10"/>
        <color rgb="FF000000"/>
        <rFont val="Arial"/>
        <family val="2"/>
      </rPr>
      <t>c</t>
    </r>
  </si>
  <si>
    <r>
      <t>CO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outgassing from ponds (counted as biogenic)</t>
    </r>
  </si>
  <si>
    <r>
      <t>O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from ponds</t>
    </r>
  </si>
  <si>
    <t>Algal biomass (AFDW) t/day</t>
  </si>
  <si>
    <t>Algal biomass (AFDW) kg/m2/year</t>
  </si>
  <si>
    <t>Electricity demand, kWh/year</t>
  </si>
  <si>
    <t>CALC: electricity input</t>
  </si>
  <si>
    <t>Baseline Operations</t>
  </si>
  <si>
    <t>GJ/kWh</t>
  </si>
  <si>
    <t>E_factor</t>
  </si>
  <si>
    <t xml:space="preserve">Currently ignoring CC energy requirements </t>
  </si>
  <si>
    <t xml:space="preserve">Chiller </t>
  </si>
  <si>
    <t>Chilled water Demand (GJ/hr)</t>
  </si>
  <si>
    <t>Chilled water Demand (GJ/year)</t>
  </si>
  <si>
    <t>Chilled water Demand (GJ/t)</t>
  </si>
  <si>
    <t>Carbon Capture</t>
  </si>
  <si>
    <t>Total CO2 Demand (t CO2/t Algae)</t>
  </si>
  <si>
    <t>Monoethanolamine (t/t)</t>
  </si>
  <si>
    <t>page 84</t>
  </si>
  <si>
    <t>Energy (MJ/tCO2 captured)</t>
  </si>
  <si>
    <t>&lt;-should be treated as primary electricity or as a cost to the production</t>
  </si>
  <si>
    <t>Ammonia Emissions (t NH3/t CO2)</t>
  </si>
  <si>
    <t>CALC: Resource inputs</t>
  </si>
  <si>
    <t>CO2 (counted as biogenic in origin)</t>
  </si>
  <si>
    <t>Water</t>
  </si>
  <si>
    <t>Other Parameters (for future)</t>
  </si>
  <si>
    <t>Mass of output stream</t>
  </si>
  <si>
    <t>Yearly produced dried algae product</t>
  </si>
  <si>
    <t>Summer flowrate</t>
  </si>
  <si>
    <t xml:space="preserve">MT/day dry </t>
  </si>
  <si>
    <t>(page 11, Figure 3)</t>
  </si>
  <si>
    <t>Using the ALU report as a basis, A100 - drying part</t>
  </si>
  <si>
    <t>A600 (storage, assumed to hold the same volume of biomass than WE)</t>
  </si>
  <si>
    <t>scaling exponent and data from Appendix A</t>
  </si>
  <si>
    <t>Assumed #</t>
  </si>
  <si>
    <t>Calculation of natural gas requirement</t>
  </si>
  <si>
    <t>Original flowrate</t>
  </si>
  <si>
    <t>New flowrate</t>
  </si>
  <si>
    <t>Assumed to be divided by 4, much less space is required here compared to WE</t>
  </si>
  <si>
    <t>A100 (redesigned to dry only LEA algae, scaled up to summer)</t>
  </si>
  <si>
    <t>A300 (lipid extraction, scaled up to summer)</t>
  </si>
  <si>
    <t>Scaled up for summer flow rate</t>
  </si>
  <si>
    <t>CAPEX new dryer</t>
  </si>
  <si>
    <t>Scaled up for LEA during summer flow rate</t>
  </si>
  <si>
    <t>Total $</t>
  </si>
  <si>
    <t>Wet Extraction modeled from ALU report (Davis et al, 2014, NREL)</t>
  </si>
  <si>
    <t>Capital Charge Factor</t>
  </si>
  <si>
    <t>Capital Charge Factor (ES-1, fraction avg. cap. Deprc., tax, ROI of TCI)</t>
  </si>
  <si>
    <t>$2011/$1975 Conversion</t>
  </si>
  <si>
    <t>Fixed Operating Costs</t>
  </si>
  <si>
    <t>Other</t>
  </si>
  <si>
    <t>Capital Costs</t>
  </si>
  <si>
    <t xml:space="preserve">Facility Redesign </t>
  </si>
  <si>
    <t>Operating Parameters</t>
  </si>
  <si>
    <t>Current process design report modeling the wet extraction of oil from algal biomass</t>
  </si>
  <si>
    <t>Report models, fermentation pretreatment and AD of residue for nutrient recycling and process energy</t>
  </si>
  <si>
    <t>Modified here to remove AD, fermentation to generate LEA coproduct</t>
  </si>
  <si>
    <t>t/US Ton</t>
  </si>
  <si>
    <t>t/day, dry</t>
  </si>
  <si>
    <t xml:space="preserve">t/day dry </t>
  </si>
  <si>
    <t>t/yr</t>
  </si>
  <si>
    <t>Yearly Biomass Requirement</t>
  </si>
  <si>
    <t>Biomass Input (kg)</t>
  </si>
  <si>
    <t>/kg LEA</t>
  </si>
  <si>
    <t>Output is regionalBiomass Oil (for upgrading)</t>
  </si>
  <si>
    <t>Capital Analysis</t>
  </si>
  <si>
    <t xml:space="preserve">Adjusted </t>
  </si>
  <si>
    <t>Drying using ALU Drying Parameters (Davis et al, 2014, NREL)</t>
  </si>
  <si>
    <t>Drying algal biomass for food consumption</t>
  </si>
  <si>
    <t>Minimal staffing assumption for drying facility</t>
  </si>
  <si>
    <t>Total Costs $1975</t>
  </si>
  <si>
    <t>/kg Dried Algae</t>
  </si>
  <si>
    <t>A600 (storage, assumed to hold the same volume of biomass than WEB)</t>
  </si>
  <si>
    <t>Assumed to be divided by 4, much less space is required here compared to WEB</t>
  </si>
  <si>
    <t>HTL with CHG+CHP method of (Jones et al, 2014, NREL)</t>
  </si>
  <si>
    <t>https://hydrogen.gov/bioenergy/pdfs/pnnl_whole_algae_liquefaction.pdf</t>
  </si>
  <si>
    <t>Readjusting for increased liner cost</t>
  </si>
  <si>
    <t>Sector</t>
  </si>
  <si>
    <t>Agriculture</t>
  </si>
  <si>
    <t xml:space="preserve">Cultivation Model (Davis et al. 2016) </t>
  </si>
  <si>
    <t>http://www.nrel.gov/docs/fy16osti/64772.pdf</t>
  </si>
  <si>
    <t>Algae Food</t>
  </si>
  <si>
    <t>Agriculture/AltFood</t>
  </si>
  <si>
    <t>algae Oil</t>
  </si>
  <si>
    <t>algae HTL</t>
  </si>
  <si>
    <t>Energy/refined liquids</t>
  </si>
  <si>
    <t>ES-1 TCI</t>
  </si>
  <si>
    <t>New TCI</t>
  </si>
  <si>
    <t>New Cost of Capital</t>
  </si>
  <si>
    <t xml:space="preserve">Recalc Cost of Capital </t>
  </si>
  <si>
    <t>Cap Depreciation + Tax + ROI</t>
  </si>
  <si>
    <t>Adjusted to include fully lined ponds</t>
  </si>
  <si>
    <t xml:space="preserve">Table ES-1 </t>
  </si>
  <si>
    <t>Manufacturing Costs</t>
  </si>
  <si>
    <t>$2011/gge</t>
  </si>
  <si>
    <t>$2011/GJ</t>
  </si>
  <si>
    <t>REMOVE</t>
  </si>
  <si>
    <t>Secondary Output: N fertilizer</t>
  </si>
  <si>
    <t>Nitrogen Recycle</t>
  </si>
  <si>
    <t xml:space="preserve">Page 21 </t>
  </si>
  <si>
    <t>Nitrogen fraction of Biomass</t>
  </si>
  <si>
    <t>From Cultivation Paper</t>
  </si>
  <si>
    <t>Recycle rate</t>
  </si>
  <si>
    <t>kg/GJ</t>
  </si>
  <si>
    <t>Output</t>
  </si>
  <si>
    <t>Phosphorus Recycle</t>
  </si>
  <si>
    <t xml:space="preserve">With caveats that it is part of solid phase and will require conversion </t>
  </si>
  <si>
    <t>Secondary Output: P fertilizer</t>
  </si>
  <si>
    <t>$/SCF</t>
  </si>
  <si>
    <t>SCF/GJ</t>
  </si>
  <si>
    <t xml:space="preserve">Recycling Parameters </t>
  </si>
  <si>
    <t>Natural Gas Demand</t>
  </si>
  <si>
    <t>Annual Cost</t>
  </si>
  <si>
    <t>Table 15</t>
  </si>
  <si>
    <t>Price</t>
  </si>
  <si>
    <t>Annual Energy Consumption</t>
  </si>
  <si>
    <t>Energy Requirement</t>
  </si>
  <si>
    <t>Algae Demand</t>
  </si>
  <si>
    <t>Includes oil and naptha production</t>
  </si>
  <si>
    <t>Diesel Fuel Yield</t>
  </si>
  <si>
    <t>Naphtha Fuel Yield</t>
  </si>
  <si>
    <t xml:space="preserve">Naphta </t>
  </si>
  <si>
    <t>t / US ton</t>
  </si>
  <si>
    <t>L/gal</t>
  </si>
  <si>
    <t>L/ t Algae</t>
  </si>
  <si>
    <t>GJ/L</t>
  </si>
  <si>
    <t>Deisel Energy Content</t>
  </si>
  <si>
    <t>Naphta Energy Content</t>
  </si>
  <si>
    <t>Total Energy Out</t>
  </si>
  <si>
    <t>Annual Diesel</t>
  </si>
  <si>
    <t>gal</t>
  </si>
  <si>
    <t>Annual Naphtha</t>
  </si>
  <si>
    <t>t algae</t>
  </si>
  <si>
    <t>pounds</t>
  </si>
  <si>
    <t>Annual Algae Demand</t>
  </si>
  <si>
    <t>Annual GJ Output</t>
  </si>
  <si>
    <t>Variable Name</t>
  </si>
  <si>
    <t>Algae_nonLandVariableCost</t>
  </si>
  <si>
    <t>Algae_electricity</t>
  </si>
  <si>
    <t>Algae_yield</t>
  </si>
  <si>
    <t>Algae_N_fertilizer</t>
  </si>
  <si>
    <t>Algae_P_fertilizer</t>
  </si>
  <si>
    <t>Algae_CO2_fertilizer</t>
  </si>
  <si>
    <t>Algae_water</t>
  </si>
  <si>
    <t>Secondary Output: CO2 fertilizer</t>
  </si>
  <si>
    <t>Carbon Recycle</t>
  </si>
  <si>
    <t xml:space="preserve">Page 22, Figure 10, Water &amp; Soilds Recycle (9%) + H2 Plant Exhaust (21%) </t>
  </si>
  <si>
    <t>Carbon Fraction Of Biomass</t>
  </si>
  <si>
    <t>Table 7</t>
  </si>
  <si>
    <t>Explicity Modeled, As algae</t>
  </si>
  <si>
    <t>Explicity Modeled, As wholesale gas</t>
  </si>
  <si>
    <t>Incoporated into energy output, as naphtha is a refined liquid in GCAM</t>
  </si>
  <si>
    <t>Explicity Modeled, as N fertilizer</t>
  </si>
  <si>
    <t>No changes to capital model</t>
  </si>
  <si>
    <t>HTL_Algae</t>
  </si>
  <si>
    <t>GlobalTechCoef</t>
  </si>
  <si>
    <t>HTL_elect_td_ind</t>
  </si>
  <si>
    <t>HTL_SecOut_N_fertilizer</t>
  </si>
  <si>
    <t>HTL_SecOut_P_fertilizer</t>
  </si>
  <si>
    <t>HTL_SecOut_CO2_CCU</t>
  </si>
  <si>
    <t>HTL_input_cost</t>
  </si>
  <si>
    <t>Future</t>
  </si>
  <si>
    <t>$/kWh</t>
  </si>
  <si>
    <t>Annual Elec Consumption</t>
  </si>
  <si>
    <t>ElecDemand</t>
  </si>
  <si>
    <t>GlobalTechCost</t>
  </si>
  <si>
    <t>GlobalTechSecOutput</t>
  </si>
  <si>
    <t>AltFood_Algae</t>
  </si>
  <si>
    <t>AltFood_wholesale_gas</t>
  </si>
  <si>
    <t>AltFood_electricity</t>
  </si>
  <si>
    <t>AltFood_input_cost</t>
  </si>
  <si>
    <t>&lt;--- Current Model removes feedstock, CH4,Elec,Naphtha,Fert</t>
  </si>
  <si>
    <t>WE_Algae</t>
  </si>
  <si>
    <t>WE_wholesale_gas</t>
  </si>
  <si>
    <t>WE_electricity</t>
  </si>
  <si>
    <t>WE_input_cost</t>
  </si>
  <si>
    <t>Algae_yield_cost_factor</t>
  </si>
  <si>
    <t>Baseline Yield</t>
  </si>
  <si>
    <t>Food</t>
  </si>
  <si>
    <t>Liner Cost 7.11m2 + 31.4% Indirect Cost (Table 10) for remaining 90% coverage: SEEMS HIGH for Liners?</t>
  </si>
  <si>
    <t>nonLandVariableCost - factor</t>
  </si>
  <si>
    <t>nonLandVariableCost  (yield = 8.25)</t>
  </si>
  <si>
    <t>Algae_electricity_factor</t>
  </si>
  <si>
    <t>NOT USED with regional yields</t>
  </si>
  <si>
    <t>NOT USED as cost factors are applied to regional yields</t>
  </si>
  <si>
    <t>GJ/m2/y</t>
  </si>
  <si>
    <t>kg/m2/year</t>
  </si>
  <si>
    <t>NOT USED as factors are applied to regional yields, future work should break this out into demands for mixing+base, water delivery (resource), co2 delivery (resource)</t>
  </si>
  <si>
    <t>Secondary Output</t>
  </si>
  <si>
    <t>WE_SecOut_BiomassOil</t>
  </si>
  <si>
    <t>WE_SecOut_AltFood_LV</t>
  </si>
  <si>
    <t>GlobalSecOut</t>
  </si>
  <si>
    <t>Normalized to Primary Output Product: Need to Confirm</t>
  </si>
  <si>
    <t>base yield</t>
  </si>
  <si>
    <t>per year</t>
  </si>
  <si>
    <t>veg.carbon.density</t>
  </si>
  <si>
    <t>soil.carbon.density</t>
  </si>
  <si>
    <t>Manganaro spreadsheet</t>
  </si>
  <si>
    <t>Table 1, Manganaro, 2014</t>
  </si>
  <si>
    <t>adapted to Manganaro, that assumes constant flowrate</t>
  </si>
  <si>
    <t>Animal feed plant (drying and conditioning of LEA) - Based on Manganaro et al, 2014, spreadsheet</t>
  </si>
  <si>
    <t>Lipid extraction unit</t>
  </si>
  <si>
    <t>CAPEX AF Plant</t>
  </si>
  <si>
    <t>Spreadsheet 'Economics' tab</t>
  </si>
  <si>
    <t>MBTU/h</t>
  </si>
  <si>
    <t>GJ/h</t>
  </si>
  <si>
    <t>No electricity requirement listed on 'Economics' tab</t>
  </si>
  <si>
    <t>Besides heat, capital and labor, no other expenses listed on 'Economics' tab for that part of the process</t>
  </si>
  <si>
    <t>Original numbers from ALU report have been kept, since no details for the extraction only process are available from Manganaro et al, 2014</t>
  </si>
  <si>
    <t>Spreadsheet 'Economics' tab, accounting for heat required for streams 8 and 9</t>
  </si>
  <si>
    <t>Table 17 from ALU report</t>
  </si>
  <si>
    <t>Solvent lost</t>
  </si>
  <si>
    <t>kg lost per kg sludge</t>
  </si>
  <si>
    <t>Beal et al/Tech-Fin validation datasheet</t>
  </si>
  <si>
    <t>kg lost per kg algae</t>
  </si>
  <si>
    <t>Assuming a 20% TS content in sludge</t>
  </si>
  <si>
    <t>Yearly replacement</t>
  </si>
  <si>
    <t>Conversion kg to lb</t>
  </si>
  <si>
    <t>Calculation of solvent (hexane) requirement for lipid extraction</t>
  </si>
  <si>
    <t>Calculation of sulfuric acid requirement for conditioning before LE</t>
  </si>
  <si>
    <t>$/MT algae</t>
  </si>
  <si>
    <t>Cost per algae processed</t>
  </si>
  <si>
    <t>Yearly costs</t>
  </si>
  <si>
    <t>AEZ01</t>
  </si>
  <si>
    <t>AEZ02</t>
  </si>
  <si>
    <t>AEZ03</t>
  </si>
  <si>
    <t>AEZ04</t>
  </si>
  <si>
    <t>AEZ05</t>
  </si>
  <si>
    <t>AEZ06</t>
  </si>
  <si>
    <t>AEZ07</t>
  </si>
  <si>
    <t>AEZ08</t>
  </si>
  <si>
    <t>AEZ09</t>
  </si>
  <si>
    <t>AEZ10</t>
  </si>
  <si>
    <t>AEZ11</t>
  </si>
  <si>
    <t>AEZ12</t>
  </si>
  <si>
    <t>AEZ13</t>
  </si>
  <si>
    <t>AEZ14</t>
  </si>
  <si>
    <t>AEZ15</t>
  </si>
  <si>
    <t>AEZ16</t>
  </si>
  <si>
    <t>AEZ17</t>
  </si>
  <si>
    <t>AEZ18</t>
  </si>
  <si>
    <t># File: Various_SoilC_tCha_LTsage_AEZ.csv</t>
  </si>
  <si>
    <t># Description: Assumed soil carbon content by land use type and AEZ (MgC.ha)</t>
  </si>
  <si>
    <t>MgC/ha</t>
  </si>
  <si>
    <t>Soil Carbon Content</t>
  </si>
  <si>
    <t>kgC/ha</t>
  </si>
  <si>
    <t>Soil Factor</t>
  </si>
  <si>
    <t>CO2 Capture and Delivery</t>
  </si>
  <si>
    <t>GJ/kg (Algal Biomass)</t>
  </si>
  <si>
    <t>GJ / t (MJ/kg)</t>
  </si>
  <si>
    <t>Davis2016 page 84, Fixed to Biomass output (not scalable with Productivity)</t>
  </si>
  <si>
    <t>MJ/t</t>
  </si>
  <si>
    <t>Energy (kWh algae)</t>
  </si>
  <si>
    <t>Energy (GJ/t algae)</t>
  </si>
  <si>
    <t>Elect Cost</t>
  </si>
  <si>
    <t>CO2 Cost</t>
  </si>
  <si>
    <t xml:space="preserve">Amortized Costs </t>
  </si>
  <si>
    <t>Need to Review</t>
  </si>
  <si>
    <t>Algae_CO2_non_energy_cost</t>
  </si>
  <si>
    <t>Algae_CO2_energy_penalty</t>
  </si>
  <si>
    <t>Wet Extraction modeled from Manganaro 2015</t>
  </si>
  <si>
    <t>http://doi.wiley.com/10.1002/bbb.1610</t>
  </si>
  <si>
    <t xml:space="preserve">Modified here to remove cultivation, harvesting, hydrotreatment and nutraceutical models </t>
  </si>
  <si>
    <t>$1975/kg</t>
  </si>
  <si>
    <t>elect_td_ind</t>
  </si>
  <si>
    <t>HTL_wholesale_gas</t>
  </si>
  <si>
    <t>kg/kg</t>
  </si>
  <si>
    <t>kg/GJ confirmed</t>
  </si>
  <si>
    <t>Control Values for Algae Data System</t>
  </si>
  <si>
    <t>Being used prior to implementation in R for control of key GCAM parameters</t>
  </si>
  <si>
    <t>Energy (en_Alg.xlsx)</t>
  </si>
  <si>
    <t>L291.SubsectorShrwtFllt_Alg</t>
  </si>
  <si>
    <t>Sheet</t>
  </si>
  <si>
    <t>Parameter</t>
  </si>
  <si>
    <t>regional algae for htl</t>
  </si>
  <si>
    <t>Share weight</t>
  </si>
  <si>
    <t>Scope</t>
  </si>
  <si>
    <t>Global</t>
  </si>
  <si>
    <t>All regions, by regions, 1975 only</t>
  </si>
  <si>
    <t>may not be necessary</t>
  </si>
  <si>
    <t>Value</t>
  </si>
  <si>
    <t>Value By Year</t>
  </si>
  <si>
    <t>L291.GlobalTechShrwt_Alg</t>
  </si>
  <si>
    <t>pass through sector</t>
  </si>
  <si>
    <t>Values not already defined by technology processes (e.g. shareweights)</t>
  </si>
  <si>
    <t>L292.GlobalTechShrwt_Alg</t>
  </si>
  <si>
    <t>SHUTOFF HTL HERE</t>
  </si>
  <si>
    <t>algae htl biodiesel</t>
  </si>
  <si>
    <t>refining</t>
  </si>
  <si>
    <t>Technology</t>
  </si>
  <si>
    <t>L292.StubTechProd_Alg</t>
  </si>
  <si>
    <t>Review This Sheet, subs.share.weight sets subsector technoloiges SW's (DO NOT TOUCH)</t>
  </si>
  <si>
    <t>AgLU (ag_Alg.xlsx)</t>
  </si>
  <si>
    <t>L221</t>
  </si>
  <si>
    <t>L222</t>
  </si>
  <si>
    <t>L223</t>
  </si>
  <si>
    <t>L291</t>
  </si>
  <si>
    <t>L292</t>
  </si>
  <si>
    <t xml:space="preserve">passthrough sector for regional algae for htl </t>
  </si>
  <si>
    <t>efining processing sector for algae HTL and algale oil hydrotreatment</t>
  </si>
  <si>
    <t>equivalent to L221</t>
  </si>
  <si>
    <t>equivalent to L222</t>
  </si>
  <si>
    <t>L291.DepRsrc</t>
  </si>
  <si>
    <t>L291.DepRsrcPrice</t>
  </si>
  <si>
    <t>All regions, by regions, 1975-2010</t>
  </si>
  <si>
    <t>algae oil</t>
  </si>
  <si>
    <t>DepRsrc</t>
  </si>
  <si>
    <t>DepRsrcPrice</t>
  </si>
  <si>
    <t xml:space="preserve">UNTESTED - NEEDED FOR SECOUT </t>
  </si>
  <si>
    <t>Secondary Output (algae oil)</t>
  </si>
  <si>
    <t>Cultivation</t>
  </si>
  <si>
    <t>L221.AgYield_Alg</t>
  </si>
  <si>
    <t>Yield</t>
  </si>
  <si>
    <t>NEED TO TEST</t>
  </si>
  <si>
    <t>ALL Regions &amp; Years</t>
  </si>
  <si>
    <t>ON  - SET TO FALSE TO TURN OFF ALGAE</t>
  </si>
  <si>
    <t>L222.GlobalTechShrwt_AltF</t>
  </si>
  <si>
    <t>AltFood</t>
  </si>
  <si>
    <t>Algae Coproduction</t>
  </si>
  <si>
    <t>ON  - SET TO FALSE TO TURN OFF FOOD</t>
  </si>
  <si>
    <t>ON  - SET TO FALSE TO TURN OFF Coproduction</t>
  </si>
  <si>
    <t>Global &amp; All Years</t>
  </si>
  <si>
    <t>Algae Food (Coproduction and drying)</t>
  </si>
  <si>
    <t>AltFood -&gt; Feed</t>
  </si>
  <si>
    <t>ON  - SET TO FALSE TO TURN OFF Feed Consumption</t>
  </si>
  <si>
    <t>FeedCrops</t>
  </si>
  <si>
    <t>L223.GlobalTechShrwt_Feed</t>
  </si>
  <si>
    <t>L225</t>
  </si>
  <si>
    <t>Ag Demand (ag_Demand_Alt.xlsx)</t>
  </si>
  <si>
    <t>ON  - SET TO FALSE TO TURN OFF Human Food Consumption</t>
  </si>
  <si>
    <t>L233</t>
  </si>
  <si>
    <t>Food Demand</t>
  </si>
  <si>
    <t>Algae (Human food demand)</t>
  </si>
  <si>
    <t>Builds New Algae Cultivation and Food processing sector</t>
  </si>
  <si>
    <t>Replaces Ag Demand Sector by adding new Flex category (Corn Oil, Alt) and AltFood demand</t>
  </si>
  <si>
    <t>FoodDemand_Meat</t>
  </si>
  <si>
    <t>L233.GlobalTechShrwt_demand</t>
  </si>
  <si>
    <t>ROW</t>
  </si>
  <si>
    <t>GCAM DEFAULT: -0.09</t>
  </si>
  <si>
    <t>GCAM DEFAULT: -0.25</t>
  </si>
  <si>
    <t>L233.PriceElasticity</t>
  </si>
  <si>
    <t>PriceElasticity</t>
  </si>
  <si>
    <t>Demand</t>
  </si>
  <si>
    <t>SHUTOFF Hydrotreatment HERE - Might not be necessary</t>
  </si>
  <si>
    <t>Set to zero to minimize meat response</t>
  </si>
  <si>
    <t xml:space="preserve">Expirements </t>
  </si>
  <si>
    <t>No Algae</t>
  </si>
  <si>
    <t>Shut Yield Off G13</t>
  </si>
  <si>
    <t>Algae - No HTL</t>
  </si>
  <si>
    <t>Shut off G32</t>
  </si>
  <si>
    <t>Shut off G14</t>
  </si>
  <si>
    <t>Algae - No Food</t>
  </si>
  <si>
    <t>WORKS</t>
  </si>
  <si>
    <t xml:space="preserve">CHECK QUERIES </t>
  </si>
  <si>
    <t>Algae On</t>
  </si>
  <si>
    <t>All True</t>
  </si>
  <si>
    <t>Works, but 1 unsovable market (Europe_EastAlgae) has 0 supply and 2.72 demand</t>
  </si>
  <si>
    <t>TODO:</t>
  </si>
  <si>
    <t xml:space="preserve">Need to check Vintaging </t>
  </si>
  <si>
    <t>Shut off G14:16,22</t>
  </si>
  <si>
    <t>1 Unsolvable Market in Canada 2095 fails large</t>
  </si>
  <si>
    <t>VERY small amount of food/coproduction occuring globally E-5 level</t>
  </si>
  <si>
    <t xml:space="preserve">Algae HTL &amp; Coproduction </t>
  </si>
  <si>
    <t>RUN Without Issue</t>
  </si>
  <si>
    <t>Should we use "global solar resource for algae"?</t>
  </si>
  <si>
    <t>Hydrotreatment modeled from Manganaro 2015</t>
  </si>
  <si>
    <t>Output is refined liquids</t>
  </si>
  <si>
    <t>Energy</t>
  </si>
  <si>
    <t>Hydrotreat WE</t>
  </si>
  <si>
    <t>Modified here to keep just the hydrotreatment stage of extracted algal oil after wet extraction process</t>
  </si>
  <si>
    <t>Capital costs from hydrotreatment</t>
  </si>
  <si>
    <t>bbl/day</t>
  </si>
  <si>
    <t>Capacity of modeled process</t>
  </si>
  <si>
    <t>Fixed costs from hydrotreatment</t>
  </si>
  <si>
    <t>Variable costs from hydrotreatment (excluding heat and electricity)</t>
  </si>
  <si>
    <t>Hydrogen</t>
  </si>
  <si>
    <t>Catalyst</t>
  </si>
  <si>
    <t>Hydrotreatment purge gas fuel credit</t>
  </si>
  <si>
    <t>Number of operators for hydrotreatment</t>
  </si>
  <si>
    <t>Cost of 1 operator</t>
  </si>
  <si>
    <t>Electricity requirement</t>
  </si>
  <si>
    <t>Required electricity for HT</t>
  </si>
  <si>
    <t>Heat requirement</t>
  </si>
  <si>
    <t>Required heat for HT</t>
  </si>
  <si>
    <t>Key numbers and conversion factors</t>
  </si>
  <si>
    <t>Conversion bbl to L</t>
  </si>
  <si>
    <t>L/bbl</t>
  </si>
  <si>
    <t>Oil Input (GJ)</t>
  </si>
  <si>
    <t>Efficiency of hydrotreatment</t>
  </si>
  <si>
    <t>kg HTAO/kg AO</t>
  </si>
  <si>
    <t>Nutraceutical credit</t>
  </si>
  <si>
    <t>Nutraceutical initial oil credit</t>
  </si>
  <si>
    <t>Nutraceutical inital price</t>
  </si>
  <si>
    <t>Nutraceutical actual price</t>
  </si>
  <si>
    <t>Energy value of algal oil</t>
  </si>
  <si>
    <t>MJ/kg</t>
  </si>
  <si>
    <t>assumed to be equivalent to diesel</t>
  </si>
  <si>
    <t>Density of hydrotreated algal oil</t>
  </si>
  <si>
    <t>Energy value of hydrotreated algal oil</t>
  </si>
  <si>
    <t>kg/L</t>
  </si>
  <si>
    <t>Yearly produced diesel, in energy units</t>
  </si>
  <si>
    <t>Yearly processed algal oil, in energy units</t>
  </si>
  <si>
    <t>Conversion $2011 to $1975</t>
  </si>
  <si>
    <t>Estimated direct capital costs</t>
  </si>
  <si>
    <t>Land is neglected here</t>
  </si>
  <si>
    <t>Average income tax + average ROI</t>
  </si>
  <si>
    <t>Capital charge factor</t>
  </si>
  <si>
    <t>assumed to be constant for all technologies</t>
  </si>
  <si>
    <t>Hydrogen price per unit</t>
  </si>
  <si>
    <t>Hydrogen requirement</t>
  </si>
  <si>
    <t>Conversion lb to kg</t>
  </si>
  <si>
    <t>kg/lb</t>
  </si>
  <si>
    <t>Spreadsheet 'Economics' tab, including contacting/extraction and centrifuge for biomass (PEAR)</t>
  </si>
  <si>
    <t>kWh/bbl</t>
  </si>
  <si>
    <t>GJ/bbl</t>
  </si>
  <si>
    <t>Yearly produced fuel, after hydrotreatment</t>
  </si>
  <si>
    <t>bbl/yr</t>
  </si>
  <si>
    <t>Calculation of natural gas requirement AF plant, based on ALU report</t>
  </si>
  <si>
    <t>Initial moisture content Manganaro</t>
  </si>
  <si>
    <t>Initial moisture content ALU</t>
  </si>
  <si>
    <t>Final moisture content, both Manganaro &amp; ALU</t>
  </si>
  <si>
    <t>Specific natural gas flowrate for ALU</t>
  </si>
  <si>
    <t>GJ/t biomass processed</t>
  </si>
  <si>
    <t>Corrected mass flow rate for Manganaro</t>
  </si>
  <si>
    <t>This is to account for the extra-humidity of the biomass</t>
  </si>
  <si>
    <t>Yearly required natural gas</t>
  </si>
  <si>
    <t>algae oil biodiesel</t>
  </si>
  <si>
    <t>Yield Improvement</t>
  </si>
  <si>
    <t>Cultivationcoefs</t>
  </si>
  <si>
    <t>Algae_water_factor</t>
  </si>
  <si>
    <t>fixed to biomass output</t>
  </si>
  <si>
    <t>yield depednant</t>
  </si>
  <si>
    <t>t/t</t>
  </si>
  <si>
    <t>static</t>
  </si>
  <si>
    <t>yield dependant</t>
  </si>
  <si>
    <t>Water coefficient</t>
  </si>
  <si>
    <t>t/m2/year</t>
  </si>
  <si>
    <t>t water/m2/y</t>
  </si>
  <si>
    <t>fixed to biomass output,adjusted for output, and units of feedstock carbon market</t>
  </si>
  <si>
    <t>Logistic Improvement</t>
  </si>
  <si>
    <t>Logistic App</t>
  </si>
  <si>
    <t>&lt;&lt;--- Change between "wholesale gas" or "global solar resource"</t>
  </si>
  <si>
    <t>wholesale gas</t>
  </si>
  <si>
    <t>kg C / kg 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</si>
</sst>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0"/>
    <numFmt numFmtId="166" formatCode="_(\$* #,##0.00_);_(\$* \(#,##0.00\);_(\$* \-??_);_(@_)"/>
    <numFmt numFmtId="167" formatCode="\$#,##0_);[Red]&quot;($&quot;#,##0\)"/>
    <numFmt numFmtId="168" formatCode="_(* #,##0.00_);_(* \(#,##0.00\);_(* \-??_);_(@_)"/>
    <numFmt numFmtId="169" formatCode="_(* #,##0_);_(* \(#,##0\);_(* \-??_);_(@_)"/>
    <numFmt numFmtId="170" formatCode="0.0000"/>
    <numFmt numFmtId="171" formatCode="0.0"/>
    <numFmt numFmtId="172" formatCode="#,##0.000"/>
    <numFmt numFmtId="173" formatCode="_(\$* #,##0_);_(\$* \(#,##0\);_(\$* \-??_);_(@_)"/>
    <numFmt numFmtId="174" formatCode="_(* #,##0.000_);_(* \(#,##0.000\);_(* \-??_);_(@_)"/>
    <numFmt numFmtId="175" formatCode="_(\$* #,##0.0_);_(\$* \(#,##0.0\);_(\$* \-??_);_(@_)"/>
    <numFmt numFmtId="176" formatCode="_(\$* #,##0.000_);_(\$* \(#,##0.000\);_(\$* \-??_);_(@_)"/>
    <numFmt numFmtId="177" formatCode="_(\$* #,##0.0000_);_(\$* \(#,##0.0000\);_(\$* \-??_);_(@_)"/>
    <numFmt numFmtId="178" formatCode="_(* #,##0_);_(* \(#,##0\);_(* &quot;-&quot;??_);_(@_)"/>
    <numFmt numFmtId="179" formatCode="_(&quot;$&quot;* #,##0.0000_);_(&quot;$&quot;* \(#,##0.0000\);_(&quot;$&quot;* &quot;-&quot;??_);_(@_)"/>
    <numFmt numFmtId="180" formatCode="_(* #,##0.0000_);_(* \(#,##0.0000\);_(* &quot;-&quot;??_);_(@_)"/>
    <numFmt numFmtId="181" formatCode="_(* #,##0.000000_);_(* \(#,##0.000000\);_(* &quot;-&quot;??_);_(@_)"/>
    <numFmt numFmtId="182" formatCode="#,##0.0"/>
    <numFmt numFmtId="183" formatCode="0.000000"/>
    <numFmt numFmtId="184" formatCode="_(\$* #,##0.00000_);_(\$* \(#,##0.00000\);_(\$* \-??_);_(@_)"/>
    <numFmt numFmtId="185" formatCode="0.000E+00"/>
    <numFmt numFmtId="186" formatCode="0.0E+00"/>
    <numFmt numFmtId="187" formatCode="_(* #,##0.00000_);_(* \(#,##0.00000\);_(* &quot;-&quot;??_);_(@_)"/>
    <numFmt numFmtId="188" formatCode="#,##0.0000"/>
    <numFmt numFmtId="189" formatCode="#,##0.00000"/>
    <numFmt numFmtId="190" formatCode="_(* #,##0.00000_);_(* \(#,##0.00000\);_(* \-??_);_(@_)"/>
    <numFmt numFmtId="191" formatCode="_-* #,##0_-;\-* #,##0_-;_-* &quot;-&quot;??_-;_-@_-"/>
    <numFmt numFmtId="192" formatCode="0.0%"/>
    <numFmt numFmtId="193" formatCode="#,##0.000000"/>
    <numFmt numFmtId="194" formatCode="#,##0.0000000"/>
  </numFmts>
  <fonts count="2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DEEBF7"/>
      </patternFill>
    </fill>
    <fill>
      <patternFill patternType="solid">
        <fgColor rgb="FF000000"/>
        <bgColor rgb="FF003300"/>
      </patternFill>
    </fill>
    <fill>
      <patternFill patternType="solid">
        <fgColor rgb="FFDAE3F3"/>
        <bgColor rgb="FFDEEBF7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168" fontId="11" fillId="0" borderId="0"/>
    <xf numFmtId="166" fontId="11" fillId="0" borderId="0"/>
    <xf numFmtId="9" fontId="11" fillId="0" borderId="0"/>
    <xf numFmtId="0" fontId="10" fillId="0" borderId="0"/>
    <xf numFmtId="0" fontId="11" fillId="0" borderId="0"/>
    <xf numFmtId="0" fontId="12" fillId="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6" fillId="10" borderId="0" applyNumberFormat="0" applyBorder="0" applyAlignment="0" applyProtection="0"/>
    <xf numFmtId="0" fontId="27" fillId="11" borderId="15" applyNumberFormat="0" applyAlignment="0" applyProtection="0"/>
    <xf numFmtId="0" fontId="28" fillId="13" borderId="34" applyNumberFormat="0" applyAlignment="0" applyProtection="0"/>
  </cellStyleXfs>
  <cellXfs count="307">
    <xf numFmtId="0" fontId="0" fillId="0" borderId="0" xfId="0"/>
    <xf numFmtId="0" fontId="11" fillId="0" borderId="0" xfId="5"/>
    <xf numFmtId="2" fontId="11" fillId="0" borderId="0" xfId="5" applyNumberFormat="1"/>
    <xf numFmtId="1" fontId="3" fillId="0" borderId="0" xfId="5" applyNumberFormat="1" applyFont="1"/>
    <xf numFmtId="0" fontId="3" fillId="0" borderId="0" xfId="5" applyFont="1"/>
    <xf numFmtId="164" fontId="11" fillId="0" borderId="0" xfId="5" applyNumberFormat="1"/>
    <xf numFmtId="165" fontId="11" fillId="0" borderId="0" xfId="5" applyNumberFormat="1"/>
    <xf numFmtId="2" fontId="0" fillId="0" borderId="0" xfId="2" applyNumberFormat="1" applyFont="1" applyBorder="1" applyAlignment="1" applyProtection="1"/>
    <xf numFmtId="166" fontId="0" fillId="0" borderId="0" xfId="2" applyFont="1" applyBorder="1" applyAlignment="1" applyProtection="1"/>
    <xf numFmtId="167" fontId="11" fillId="0" borderId="0" xfId="5" applyNumberFormat="1"/>
    <xf numFmtId="169" fontId="0" fillId="0" borderId="0" xfId="1" applyNumberFormat="1" applyFont="1" applyBorder="1" applyAlignment="1" applyProtection="1"/>
    <xf numFmtId="170" fontId="11" fillId="0" borderId="0" xfId="5" applyNumberFormat="1"/>
    <xf numFmtId="171" fontId="11" fillId="0" borderId="0" xfId="5" applyNumberFormat="1"/>
    <xf numFmtId="1" fontId="11" fillId="0" borderId="0" xfId="5" applyNumberFormat="1"/>
    <xf numFmtId="0" fontId="4" fillId="0" borderId="0" xfId="5" applyFont="1"/>
    <xf numFmtId="0" fontId="0" fillId="0" borderId="0" xfId="5" applyFont="1"/>
    <xf numFmtId="0" fontId="4" fillId="0" borderId="1" xfId="5" applyFont="1" applyBorder="1"/>
    <xf numFmtId="0" fontId="4" fillId="0" borderId="2" xfId="5" applyFont="1" applyBorder="1"/>
    <xf numFmtId="0" fontId="4" fillId="0" borderId="3" xfId="5" applyFont="1" applyBorder="1"/>
    <xf numFmtId="0" fontId="4" fillId="0" borderId="0" xfId="5" applyFont="1" applyBorder="1"/>
    <xf numFmtId="0" fontId="0" fillId="0" borderId="6" xfId="5" applyFont="1" applyBorder="1" applyAlignment="1">
      <alignment horizontal="left" indent="4"/>
    </xf>
    <xf numFmtId="0" fontId="0" fillId="0" borderId="8" xfId="5" applyFont="1" applyBorder="1" applyAlignment="1">
      <alignment horizontal="left" indent="4"/>
    </xf>
    <xf numFmtId="0" fontId="0" fillId="0" borderId="9" xfId="5" applyFont="1" applyBorder="1"/>
    <xf numFmtId="0" fontId="0" fillId="0" borderId="0" xfId="5" applyFont="1" applyBorder="1" applyAlignment="1">
      <alignment horizontal="left" indent="4"/>
    </xf>
    <xf numFmtId="0" fontId="11" fillId="0" borderId="0" xfId="5" applyBorder="1"/>
    <xf numFmtId="173" fontId="11" fillId="0" borderId="0" xfId="5" applyNumberFormat="1"/>
    <xf numFmtId="0" fontId="0" fillId="0" borderId="0" xfId="5" applyFont="1" applyBorder="1" applyAlignment="1">
      <alignment horizontal="left" indent="7"/>
    </xf>
    <xf numFmtId="0" fontId="3" fillId="0" borderId="1" xfId="5" applyFont="1" applyBorder="1"/>
    <xf numFmtId="2" fontId="3" fillId="2" borderId="3" xfId="5" applyNumberFormat="1" applyFont="1" applyFill="1" applyBorder="1"/>
    <xf numFmtId="0" fontId="11" fillId="0" borderId="3" xfId="5" applyBorder="1"/>
    <xf numFmtId="0" fontId="4" fillId="0" borderId="10" xfId="5" applyFont="1" applyBorder="1"/>
    <xf numFmtId="169" fontId="0" fillId="0" borderId="9" xfId="1" applyNumberFormat="1" applyFont="1" applyBorder="1" applyAlignment="1" applyProtection="1"/>
    <xf numFmtId="169" fontId="0" fillId="0" borderId="8" xfId="1" applyNumberFormat="1" applyFont="1" applyBorder="1" applyAlignment="1" applyProtection="1"/>
    <xf numFmtId="174" fontId="0" fillId="0" borderId="0" xfId="1" applyNumberFormat="1" applyFont="1" applyBorder="1" applyAlignment="1" applyProtection="1"/>
    <xf numFmtId="0" fontId="0" fillId="0" borderId="6" xfId="5" applyFont="1" applyBorder="1"/>
    <xf numFmtId="0" fontId="11" fillId="0" borderId="7" xfId="5" applyBorder="1"/>
    <xf numFmtId="171" fontId="11" fillId="0" borderId="6" xfId="5" applyNumberFormat="1" applyBorder="1"/>
    <xf numFmtId="168" fontId="11" fillId="0" borderId="0" xfId="5" applyNumberFormat="1"/>
    <xf numFmtId="0" fontId="4" fillId="0" borderId="4" xfId="5" applyFont="1" applyBorder="1"/>
    <xf numFmtId="0" fontId="4" fillId="0" borderId="11" xfId="5" applyFont="1" applyBorder="1"/>
    <xf numFmtId="0" fontId="11" fillId="0" borderId="7" xfId="5" applyBorder="1" applyAlignment="1">
      <alignment horizontal="left" indent="4"/>
    </xf>
    <xf numFmtId="0" fontId="11" fillId="5" borderId="6" xfId="5" applyFill="1" applyBorder="1" applyAlignment="1" applyProtection="1"/>
    <xf numFmtId="0" fontId="11" fillId="5" borderId="0" xfId="5" applyFill="1" applyBorder="1" applyAlignment="1" applyProtection="1"/>
    <xf numFmtId="0" fontId="11" fillId="5" borderId="7" xfId="5" applyFill="1" applyBorder="1" applyAlignment="1" applyProtection="1"/>
    <xf numFmtId="0" fontId="11" fillId="0" borderId="10" xfId="5" applyBorder="1" applyAlignment="1">
      <alignment horizontal="left" indent="4"/>
    </xf>
    <xf numFmtId="0" fontId="4" fillId="0" borderId="12" xfId="5" applyFont="1" applyBorder="1" applyAlignment="1">
      <alignment horizontal="left"/>
    </xf>
    <xf numFmtId="0" fontId="4" fillId="0" borderId="6" xfId="5" applyFont="1" applyBorder="1" applyAlignment="1">
      <alignment horizontal="left"/>
    </xf>
    <xf numFmtId="0" fontId="11" fillId="4" borderId="0" xfId="5" applyFill="1" applyBorder="1" applyAlignment="1" applyProtection="1"/>
    <xf numFmtId="0" fontId="0" fillId="0" borderId="12" xfId="5" applyFont="1" applyBorder="1" applyAlignment="1">
      <alignment horizontal="left" indent="4"/>
    </xf>
    <xf numFmtId="173" fontId="0" fillId="0" borderId="6" xfId="2" applyNumberFormat="1" applyFont="1" applyBorder="1" applyAlignment="1" applyProtection="1"/>
    <xf numFmtId="0" fontId="5" fillId="3" borderId="13" xfId="5" applyFont="1" applyFill="1" applyBorder="1" applyAlignment="1" applyProtection="1"/>
    <xf numFmtId="0" fontId="5" fillId="3" borderId="14" xfId="5" applyFont="1" applyFill="1" applyBorder="1" applyAlignment="1" applyProtection="1"/>
    <xf numFmtId="0" fontId="5" fillId="3" borderId="15" xfId="5" applyFont="1" applyFill="1" applyBorder="1" applyAlignment="1" applyProtection="1"/>
    <xf numFmtId="0" fontId="5" fillId="3" borderId="16" xfId="5" applyFont="1" applyFill="1" applyBorder="1" applyAlignment="1" applyProtection="1"/>
    <xf numFmtId="0" fontId="5" fillId="3" borderId="17" xfId="5" applyFont="1" applyFill="1" applyBorder="1" applyAlignment="1" applyProtection="1"/>
    <xf numFmtId="0" fontId="0" fillId="0" borderId="18" xfId="5" applyFont="1" applyBorder="1" applyAlignment="1">
      <alignment horizontal="left"/>
    </xf>
    <xf numFmtId="173" fontId="0" fillId="0" borderId="4" xfId="2" applyNumberFormat="1" applyFont="1" applyBorder="1" applyAlignment="1" applyProtection="1"/>
    <xf numFmtId="0" fontId="5" fillId="3" borderId="19" xfId="5" applyFont="1" applyFill="1" applyBorder="1" applyAlignment="1" applyProtection="1"/>
    <xf numFmtId="0" fontId="5" fillId="3" borderId="20" xfId="5" applyFont="1" applyFill="1" applyBorder="1" applyAlignment="1" applyProtection="1"/>
    <xf numFmtId="9" fontId="11" fillId="0" borderId="0" xfId="5" applyNumberFormat="1"/>
    <xf numFmtId="0" fontId="0" fillId="0" borderId="21" xfId="5" applyFont="1" applyBorder="1" applyAlignment="1">
      <alignment horizontal="left"/>
    </xf>
    <xf numFmtId="9" fontId="0" fillId="0" borderId="8" xfId="3" applyFont="1" applyBorder="1" applyAlignment="1" applyProtection="1"/>
    <xf numFmtId="0" fontId="4" fillId="0" borderId="0" xfId="5" applyFont="1" applyBorder="1" applyAlignment="1">
      <alignment horizontal="right"/>
    </xf>
    <xf numFmtId="173" fontId="0" fillId="0" borderId="0" xfId="2" applyNumberFormat="1" applyFont="1" applyBorder="1" applyAlignment="1" applyProtection="1"/>
    <xf numFmtId="166" fontId="11" fillId="0" borderId="0" xfId="5" applyNumberFormat="1"/>
    <xf numFmtId="0" fontId="4" fillId="0" borderId="9" xfId="5" applyFont="1" applyBorder="1"/>
    <xf numFmtId="0" fontId="0" fillId="0" borderId="0" xfId="5" applyFont="1" applyBorder="1" applyAlignment="1">
      <alignment horizontal="left"/>
    </xf>
    <xf numFmtId="0" fontId="4" fillId="0" borderId="9" xfId="5" applyFont="1" applyBorder="1" applyAlignment="1">
      <alignment horizontal="left" indent="4"/>
    </xf>
    <xf numFmtId="0" fontId="4" fillId="0" borderId="6" xfId="5" applyFont="1" applyBorder="1"/>
    <xf numFmtId="175" fontId="0" fillId="0" borderId="0" xfId="2" applyNumberFormat="1" applyFont="1" applyBorder="1" applyAlignment="1" applyProtection="1"/>
    <xf numFmtId="0" fontId="11" fillId="5" borderId="4" xfId="5" applyFill="1" applyBorder="1" applyAlignment="1" applyProtection="1"/>
    <xf numFmtId="0" fontId="11" fillId="5" borderId="11" xfId="5" applyFill="1" applyBorder="1" applyAlignment="1" applyProtection="1"/>
    <xf numFmtId="0" fontId="11" fillId="5" borderId="5" xfId="5" applyFill="1" applyBorder="1" applyAlignment="1" applyProtection="1"/>
    <xf numFmtId="0" fontId="5" fillId="3" borderId="22" xfId="5" applyFont="1" applyFill="1" applyBorder="1" applyAlignment="1" applyProtection="1"/>
    <xf numFmtId="0" fontId="0" fillId="0" borderId="8" xfId="5" applyFont="1" applyBorder="1"/>
    <xf numFmtId="0" fontId="9" fillId="0" borderId="6" xfId="5" applyFont="1" applyBorder="1"/>
    <xf numFmtId="0" fontId="11" fillId="0" borderId="10" xfId="5" applyBorder="1"/>
    <xf numFmtId="0" fontId="4" fillId="0" borderId="8" xfId="5" applyFont="1" applyBorder="1"/>
    <xf numFmtId="173" fontId="0" fillId="0" borderId="7" xfId="2" applyNumberFormat="1" applyFont="1" applyBorder="1" applyAlignment="1" applyProtection="1"/>
    <xf numFmtId="0" fontId="11" fillId="0" borderId="5" xfId="5" applyBorder="1"/>
    <xf numFmtId="0" fontId="11" fillId="2" borderId="0" xfId="5" applyFill="1"/>
    <xf numFmtId="0" fontId="11" fillId="2" borderId="7" xfId="5" applyFill="1" applyBorder="1"/>
    <xf numFmtId="173" fontId="0" fillId="0" borderId="10" xfId="2" applyNumberFormat="1" applyFont="1" applyBorder="1" applyAlignment="1" applyProtection="1"/>
    <xf numFmtId="173" fontId="0" fillId="0" borderId="21" xfId="2" applyNumberFormat="1" applyFont="1" applyBorder="1" applyAlignment="1" applyProtection="1"/>
    <xf numFmtId="173" fontId="0" fillId="0" borderId="9" xfId="2" applyNumberFormat="1" applyFont="1" applyBorder="1" applyAlignment="1" applyProtection="1"/>
    <xf numFmtId="176" fontId="4" fillId="0" borderId="0" xfId="5" applyNumberFormat="1" applyFont="1" applyAlignment="1">
      <alignment horizontal="left"/>
    </xf>
    <xf numFmtId="0" fontId="13" fillId="0" borderId="1" xfId="0" applyFont="1" applyBorder="1"/>
    <xf numFmtId="0" fontId="14" fillId="0" borderId="3" xfId="0" applyFont="1" applyBorder="1"/>
    <xf numFmtId="0" fontId="13" fillId="0" borderId="0" xfId="0" applyFont="1" applyBorder="1"/>
    <xf numFmtId="0" fontId="0" fillId="0" borderId="0" xfId="0" applyAlignment="1"/>
    <xf numFmtId="0" fontId="0" fillId="7" borderId="0" xfId="0" applyFill="1"/>
    <xf numFmtId="0" fontId="13" fillId="0" borderId="9" xfId="0" applyFont="1" applyBorder="1"/>
    <xf numFmtId="0" fontId="0" fillId="0" borderId="9" xfId="0" applyFont="1" applyBorder="1"/>
    <xf numFmtId="0" fontId="0" fillId="0" borderId="9" xfId="0" applyBorder="1"/>
    <xf numFmtId="170" fontId="0" fillId="0" borderId="0" xfId="0" applyNumberFormat="1"/>
    <xf numFmtId="0" fontId="14" fillId="0" borderId="0" xfId="0" applyFont="1"/>
    <xf numFmtId="165" fontId="0" fillId="0" borderId="0" xfId="0" applyNumberFormat="1"/>
    <xf numFmtId="2" fontId="0" fillId="0" borderId="0" xfId="0" applyNumberFormat="1"/>
    <xf numFmtId="178" fontId="0" fillId="0" borderId="0" xfId="1" applyNumberFormat="1" applyFont="1"/>
    <xf numFmtId="168" fontId="0" fillId="0" borderId="0" xfId="1" applyFont="1"/>
    <xf numFmtId="2" fontId="0" fillId="7" borderId="0" xfId="0" applyNumberFormat="1" applyFill="1"/>
    <xf numFmtId="168" fontId="0" fillId="7" borderId="0" xfId="1" applyFont="1" applyFill="1"/>
    <xf numFmtId="2" fontId="0" fillId="0" borderId="9" xfId="0" applyNumberFormat="1" applyBorder="1"/>
    <xf numFmtId="168" fontId="0" fillId="0" borderId="9" xfId="1" applyFont="1" applyBorder="1"/>
    <xf numFmtId="1" fontId="0" fillId="0" borderId="0" xfId="0" applyNumberFormat="1"/>
    <xf numFmtId="171" fontId="0" fillId="0" borderId="0" xfId="0" applyNumberFormat="1"/>
    <xf numFmtId="0" fontId="15" fillId="0" borderId="0" xfId="0" applyFont="1"/>
    <xf numFmtId="0" fontId="13" fillId="0" borderId="4" xfId="0" applyFont="1" applyBorder="1"/>
    <xf numFmtId="0" fontId="13" fillId="0" borderId="5" xfId="0" applyFont="1" applyBorder="1"/>
    <xf numFmtId="0" fontId="13" fillId="0" borderId="23" xfId="0" applyFont="1" applyBorder="1" applyAlignment="1">
      <alignment horizontal="center"/>
    </xf>
    <xf numFmtId="0" fontId="13" fillId="0" borderId="0" xfId="0" applyFont="1"/>
    <xf numFmtId="0" fontId="0" fillId="0" borderId="6" xfId="0" applyBorder="1"/>
    <xf numFmtId="0" fontId="0" fillId="0" borderId="7" xfId="0" applyBorder="1"/>
    <xf numFmtId="2" fontId="0" fillId="0" borderId="7" xfId="2" applyNumberFormat="1" applyFont="1" applyBorder="1"/>
    <xf numFmtId="0" fontId="0" fillId="8" borderId="12" xfId="0" applyFill="1" applyBorder="1"/>
    <xf numFmtId="0" fontId="0" fillId="0" borderId="8" xfId="0" applyBorder="1"/>
    <xf numFmtId="0" fontId="0" fillId="0" borderId="10" xfId="0" applyBorder="1"/>
    <xf numFmtId="2" fontId="0" fillId="0" borderId="21" xfId="2" applyNumberFormat="1" applyFont="1" applyBorder="1"/>
    <xf numFmtId="0" fontId="0" fillId="8" borderId="21" xfId="0" applyFill="1" applyBorder="1"/>
    <xf numFmtId="0" fontId="13" fillId="0" borderId="8" xfId="0" applyFont="1" applyBorder="1"/>
    <xf numFmtId="166" fontId="0" fillId="0" borderId="3" xfId="2" applyFont="1" applyBorder="1"/>
    <xf numFmtId="166" fontId="0" fillId="0" borderId="10" xfId="2" applyFont="1" applyBorder="1"/>
    <xf numFmtId="0" fontId="0" fillId="0" borderId="11" xfId="0" applyBorder="1"/>
    <xf numFmtId="6" fontId="0" fillId="0" borderId="11" xfId="0" applyNumberFormat="1" applyBorder="1"/>
    <xf numFmtId="0" fontId="0" fillId="7" borderId="18" xfId="0" applyFill="1" applyBorder="1"/>
    <xf numFmtId="8" fontId="0" fillId="0" borderId="9" xfId="0" applyNumberFormat="1" applyBorder="1"/>
    <xf numFmtId="0" fontId="0" fillId="0" borderId="0" xfId="0" applyBorder="1"/>
    <xf numFmtId="8" fontId="0" fillId="0" borderId="0" xfId="0" applyNumberFormat="1" applyBorder="1"/>
    <xf numFmtId="8" fontId="0" fillId="0" borderId="0" xfId="0" applyNumberFormat="1"/>
    <xf numFmtId="44" fontId="0" fillId="0" borderId="0" xfId="0" applyNumberFormat="1"/>
    <xf numFmtId="179" fontId="0" fillId="0" borderId="0" xfId="2" applyNumberFormat="1" applyFont="1"/>
    <xf numFmtId="0" fontId="13" fillId="0" borderId="0" xfId="0" applyFont="1" applyFill="1" applyBorder="1"/>
    <xf numFmtId="0" fontId="12" fillId="6" borderId="0" xfId="6"/>
    <xf numFmtId="179" fontId="12" fillId="6" borderId="0" xfId="6" applyNumberFormat="1"/>
    <xf numFmtId="0" fontId="16" fillId="9" borderId="24" xfId="0" applyFont="1" applyFill="1" applyBorder="1" applyAlignment="1">
      <alignment vertical="center"/>
    </xf>
    <xf numFmtId="0" fontId="16" fillId="9" borderId="25" xfId="0" applyFont="1" applyFill="1" applyBorder="1" applyAlignment="1">
      <alignment horizontal="center" vertical="center"/>
    </xf>
    <xf numFmtId="0" fontId="17" fillId="9" borderId="26" xfId="0" applyFont="1" applyFill="1" applyBorder="1" applyAlignment="1">
      <alignment vertical="center"/>
    </xf>
    <xf numFmtId="0" fontId="0" fillId="0" borderId="27" xfId="0" applyBorder="1" applyAlignment="1">
      <alignment horizontal="center"/>
    </xf>
    <xf numFmtId="0" fontId="17" fillId="9" borderId="28" xfId="0" applyFont="1" applyFill="1" applyBorder="1" applyAlignment="1">
      <alignment horizontal="center" vertical="center"/>
    </xf>
    <xf numFmtId="3" fontId="17" fillId="9" borderId="28" xfId="0" applyNumberFormat="1" applyFont="1" applyFill="1" applyBorder="1" applyAlignment="1">
      <alignment horizontal="center" vertical="center"/>
    </xf>
    <xf numFmtId="0" fontId="16" fillId="9" borderId="26" xfId="0" applyFont="1" applyFill="1" applyBorder="1" applyAlignment="1">
      <alignment vertical="center"/>
    </xf>
    <xf numFmtId="0" fontId="17" fillId="9" borderId="28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171" fontId="17" fillId="9" borderId="29" xfId="0" applyNumberFormat="1" applyFont="1" applyFill="1" applyBorder="1" applyAlignment="1">
      <alignment vertical="center"/>
    </xf>
    <xf numFmtId="0" fontId="17" fillId="9" borderId="29" xfId="0" applyFont="1" applyFill="1" applyBorder="1" applyAlignment="1">
      <alignment vertical="center"/>
    </xf>
    <xf numFmtId="180" fontId="17" fillId="9" borderId="29" xfId="0" applyNumberFormat="1" applyFont="1" applyFill="1" applyBorder="1" applyAlignment="1">
      <alignment vertical="center"/>
    </xf>
    <xf numFmtId="181" fontId="0" fillId="0" borderId="0" xfId="0" applyNumberFormat="1"/>
    <xf numFmtId="0" fontId="12" fillId="6" borderId="26" xfId="6" applyBorder="1" applyAlignment="1">
      <alignment vertical="center"/>
    </xf>
    <xf numFmtId="164" fontId="12" fillId="6" borderId="29" xfId="6" applyNumberFormat="1" applyBorder="1" applyAlignment="1">
      <alignment vertical="center"/>
    </xf>
    <xf numFmtId="164" fontId="17" fillId="9" borderId="29" xfId="0" applyNumberFormat="1" applyFont="1" applyFill="1" applyBorder="1" applyAlignment="1">
      <alignment vertical="center"/>
    </xf>
    <xf numFmtId="164" fontId="0" fillId="0" borderId="0" xfId="0" applyNumberFormat="1"/>
    <xf numFmtId="0" fontId="16" fillId="9" borderId="30" xfId="0" applyFont="1" applyFill="1" applyBorder="1" applyAlignment="1">
      <alignment horizontal="center" vertical="center"/>
    </xf>
    <xf numFmtId="172" fontId="12" fillId="6" borderId="31" xfId="6" applyNumberFormat="1" applyBorder="1" applyAlignment="1">
      <alignment horizontal="center" vertical="center"/>
    </xf>
    <xf numFmtId="172" fontId="17" fillId="9" borderId="31" xfId="0" applyNumberFormat="1" applyFont="1" applyFill="1" applyBorder="1" applyAlignment="1">
      <alignment horizontal="center" vertical="center"/>
    </xf>
    <xf numFmtId="182" fontId="17" fillId="9" borderId="31" xfId="0" applyNumberFormat="1" applyFont="1" applyFill="1" applyBorder="1" applyAlignment="1">
      <alignment horizontal="center" vertical="center"/>
    </xf>
    <xf numFmtId="166" fontId="0" fillId="0" borderId="0" xfId="2" applyFont="1"/>
    <xf numFmtId="6" fontId="0" fillId="0" borderId="0" xfId="0" applyNumberFormat="1"/>
    <xf numFmtId="3" fontId="0" fillId="0" borderId="0" xfId="0" applyNumberFormat="1"/>
    <xf numFmtId="0" fontId="20" fillId="0" borderId="0" xfId="0" applyFont="1"/>
    <xf numFmtId="3" fontId="20" fillId="0" borderId="0" xfId="0" applyNumberFormat="1" applyFont="1"/>
    <xf numFmtId="49" fontId="20" fillId="0" borderId="0" xfId="0" applyNumberFormat="1" applyFont="1"/>
    <xf numFmtId="0" fontId="0" fillId="0" borderId="0" xfId="0" applyFill="1"/>
    <xf numFmtId="164" fontId="0" fillId="0" borderId="0" xfId="2" applyNumberFormat="1" applyFont="1"/>
    <xf numFmtId="2" fontId="0" fillId="0" borderId="0" xfId="0" applyNumberFormat="1" applyFill="1"/>
    <xf numFmtId="1" fontId="0" fillId="0" borderId="0" xfId="0" applyNumberFormat="1" applyFill="1"/>
    <xf numFmtId="0" fontId="0" fillId="0" borderId="0" xfId="0" applyFont="1"/>
    <xf numFmtId="173" fontId="11" fillId="0" borderId="0" xfId="2" applyNumberFormat="1"/>
    <xf numFmtId="49" fontId="0" fillId="0" borderId="0" xfId="0" applyNumberFormat="1"/>
    <xf numFmtId="183" fontId="0" fillId="0" borderId="0" xfId="0" applyNumberFormat="1"/>
    <xf numFmtId="0" fontId="21" fillId="0" borderId="0" xfId="0" applyFont="1"/>
    <xf numFmtId="49" fontId="14" fillId="0" borderId="0" xfId="0" applyNumberFormat="1" applyFont="1"/>
    <xf numFmtId="0" fontId="22" fillId="0" borderId="0" xfId="0" applyFont="1"/>
    <xf numFmtId="164" fontId="22" fillId="0" borderId="0" xfId="0" applyNumberFormat="1" applyFont="1"/>
    <xf numFmtId="178" fontId="0" fillId="7" borderId="0" xfId="1" applyNumberFormat="1" applyFont="1" applyFill="1"/>
    <xf numFmtId="178" fontId="0" fillId="0" borderId="0" xfId="1" applyNumberFormat="1" applyFont="1" applyFill="1"/>
    <xf numFmtId="168" fontId="0" fillId="0" borderId="0" xfId="1" applyFont="1" applyFill="1"/>
    <xf numFmtId="173" fontId="11" fillId="0" borderId="0" xfId="2" applyNumberFormat="1" applyBorder="1"/>
    <xf numFmtId="2" fontId="0" fillId="0" borderId="0" xfId="0" applyNumberFormat="1" applyBorder="1"/>
    <xf numFmtId="0" fontId="0" fillId="0" borderId="32" xfId="0" applyBorder="1"/>
    <xf numFmtId="173" fontId="11" fillId="0" borderId="32" xfId="2" applyNumberFormat="1" applyBorder="1"/>
    <xf numFmtId="0" fontId="22" fillId="0" borderId="9" xfId="0" applyFont="1" applyBorder="1"/>
    <xf numFmtId="173" fontId="11" fillId="0" borderId="9" xfId="2" applyNumberFormat="1" applyBorder="1"/>
    <xf numFmtId="169" fontId="11" fillId="0" borderId="0" xfId="1" applyNumberFormat="1"/>
    <xf numFmtId="0" fontId="23" fillId="0" borderId="0" xfId="0" applyFont="1" applyFill="1"/>
    <xf numFmtId="165" fontId="0" fillId="7" borderId="0" xfId="0" applyNumberFormat="1" applyFill="1"/>
    <xf numFmtId="0" fontId="23" fillId="0" borderId="0" xfId="0" applyFont="1"/>
    <xf numFmtId="168" fontId="22" fillId="0" borderId="0" xfId="0" applyNumberFormat="1" applyFont="1"/>
    <xf numFmtId="2" fontId="22" fillId="0" borderId="0" xfId="0" applyNumberFormat="1" applyFont="1"/>
    <xf numFmtId="176" fontId="11" fillId="0" borderId="0" xfId="2" applyNumberFormat="1"/>
    <xf numFmtId="177" fontId="11" fillId="0" borderId="0" xfId="2" applyNumberFormat="1"/>
    <xf numFmtId="0" fontId="21" fillId="0" borderId="9" xfId="0" applyFont="1" applyBorder="1"/>
    <xf numFmtId="43" fontId="11" fillId="0" borderId="0" xfId="2" applyNumberFormat="1"/>
    <xf numFmtId="0" fontId="24" fillId="0" borderId="0" xfId="0" applyFont="1"/>
    <xf numFmtId="0" fontId="10" fillId="0" borderId="0" xfId="4"/>
    <xf numFmtId="3" fontId="0" fillId="0" borderId="32" xfId="0" applyNumberFormat="1" applyBorder="1"/>
    <xf numFmtId="0" fontId="0" fillId="0" borderId="33" xfId="0" applyBorder="1"/>
    <xf numFmtId="3" fontId="0" fillId="0" borderId="33" xfId="0" applyNumberFormat="1" applyBorder="1"/>
    <xf numFmtId="184" fontId="11" fillId="0" borderId="0" xfId="2" applyNumberFormat="1"/>
    <xf numFmtId="0" fontId="24" fillId="0" borderId="0" xfId="5" applyFont="1"/>
    <xf numFmtId="0" fontId="11" fillId="7" borderId="0" xfId="5" applyFill="1"/>
    <xf numFmtId="0" fontId="0" fillId="0" borderId="0" xfId="0" applyFont="1" applyBorder="1"/>
    <xf numFmtId="0" fontId="13" fillId="7" borderId="0" xfId="0" applyFont="1" applyFill="1" applyBorder="1"/>
    <xf numFmtId="0" fontId="0" fillId="7" borderId="0" xfId="0" applyFont="1" applyFill="1" applyBorder="1"/>
    <xf numFmtId="0" fontId="0" fillId="7" borderId="0" xfId="0" applyFill="1" applyBorder="1"/>
    <xf numFmtId="166" fontId="11" fillId="0" borderId="0" xfId="2"/>
    <xf numFmtId="0" fontId="0" fillId="0" borderId="5" xfId="0" applyBorder="1"/>
    <xf numFmtId="173" fontId="11" fillId="0" borderId="11" xfId="2" applyNumberFormat="1" applyBorder="1"/>
    <xf numFmtId="44" fontId="8" fillId="0" borderId="9" xfId="2" applyNumberFormat="1" applyFont="1" applyBorder="1"/>
    <xf numFmtId="0" fontId="22" fillId="0" borderId="0" xfId="0" applyFont="1" applyBorder="1"/>
    <xf numFmtId="0" fontId="11" fillId="0" borderId="9" xfId="5" applyBorder="1"/>
    <xf numFmtId="6" fontId="0" fillId="0" borderId="9" xfId="0" applyNumberFormat="1" applyBorder="1"/>
    <xf numFmtId="0" fontId="11" fillId="8" borderId="23" xfId="5" applyFill="1" applyBorder="1"/>
    <xf numFmtId="2" fontId="0" fillId="0" borderId="9" xfId="2" applyNumberFormat="1" applyFont="1" applyBorder="1" applyAlignment="1" applyProtection="1"/>
    <xf numFmtId="164" fontId="0" fillId="0" borderId="9" xfId="0" applyNumberFormat="1" applyBorder="1"/>
    <xf numFmtId="0" fontId="0" fillId="8" borderId="23" xfId="5" applyFont="1" applyFill="1" applyBorder="1"/>
    <xf numFmtId="2" fontId="0" fillId="0" borderId="0" xfId="5" applyNumberFormat="1" applyFont="1"/>
    <xf numFmtId="9" fontId="0" fillId="0" borderId="0" xfId="3" applyFont="1"/>
    <xf numFmtId="165" fontId="0" fillId="0" borderId="0" xfId="0" applyNumberFormat="1" applyFont="1" applyBorder="1"/>
    <xf numFmtId="0" fontId="22" fillId="0" borderId="9" xfId="5" applyFont="1" applyBorder="1"/>
    <xf numFmtId="0" fontId="0" fillId="0" borderId="0" xfId="0" applyFont="1" applyFill="1" applyBorder="1"/>
    <xf numFmtId="17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5" applyFont="1" applyFill="1"/>
    <xf numFmtId="0" fontId="0" fillId="0" borderId="0" xfId="0" applyFill="1" applyBorder="1"/>
    <xf numFmtId="11" fontId="0" fillId="0" borderId="0" xfId="0" applyNumberFormat="1" applyBorder="1"/>
    <xf numFmtId="11" fontId="0" fillId="0" borderId="0" xfId="0" applyNumberFormat="1"/>
    <xf numFmtId="1" fontId="0" fillId="0" borderId="0" xfId="0" applyNumberFormat="1" applyBorder="1"/>
    <xf numFmtId="185" fontId="0" fillId="0" borderId="0" xfId="0" applyNumberFormat="1"/>
    <xf numFmtId="43" fontId="11" fillId="0" borderId="0" xfId="5" applyNumberFormat="1"/>
    <xf numFmtId="0" fontId="1" fillId="0" borderId="0" xfId="0" applyFont="1" applyBorder="1"/>
    <xf numFmtId="0" fontId="21" fillId="0" borderId="0" xfId="5" applyFont="1"/>
    <xf numFmtId="1" fontId="0" fillId="0" borderId="0" xfId="0" applyNumberFormat="1" applyFont="1" applyBorder="1"/>
    <xf numFmtId="0" fontId="1" fillId="0" borderId="11" xfId="0" applyFont="1" applyBorder="1"/>
    <xf numFmtId="170" fontId="0" fillId="0" borderId="11" xfId="0" applyNumberFormat="1" applyFont="1" applyBorder="1"/>
    <xf numFmtId="0" fontId="21" fillId="0" borderId="11" xfId="0" applyFont="1" applyBorder="1"/>
    <xf numFmtId="2" fontId="25" fillId="0" borderId="0" xfId="0" applyNumberFormat="1" applyFont="1"/>
    <xf numFmtId="170" fontId="11" fillId="0" borderId="0" xfId="2" applyNumberFormat="1"/>
    <xf numFmtId="180" fontId="0" fillId="0" borderId="0" xfId="0" applyNumberFormat="1"/>
    <xf numFmtId="186" fontId="11" fillId="0" borderId="0" xfId="5" applyNumberFormat="1"/>
    <xf numFmtId="186" fontId="0" fillId="0" borderId="0" xfId="0" applyNumberFormat="1" applyBorder="1"/>
    <xf numFmtId="178" fontId="0" fillId="0" borderId="0" xfId="0" applyNumberFormat="1"/>
    <xf numFmtId="184" fontId="11" fillId="0" borderId="9" xfId="2" applyNumberFormat="1" applyBorder="1"/>
    <xf numFmtId="0" fontId="21" fillId="0" borderId="0" xfId="0" applyFont="1" applyBorder="1"/>
    <xf numFmtId="177" fontId="11" fillId="0" borderId="9" xfId="2" applyNumberFormat="1" applyBorder="1"/>
    <xf numFmtId="176" fontId="11" fillId="0" borderId="9" xfId="2" applyNumberFormat="1" applyBorder="1"/>
    <xf numFmtId="0" fontId="17" fillId="9" borderId="23" xfId="0" applyFont="1" applyFill="1" applyBorder="1" applyAlignment="1">
      <alignment vertical="center"/>
    </xf>
    <xf numFmtId="0" fontId="17" fillId="9" borderId="23" xfId="0" applyFont="1" applyFill="1" applyBorder="1" applyAlignment="1">
      <alignment horizontal="center" vertical="center"/>
    </xf>
    <xf numFmtId="0" fontId="0" fillId="0" borderId="23" xfId="0" applyBorder="1"/>
    <xf numFmtId="0" fontId="27" fillId="11" borderId="15" xfId="12"/>
    <xf numFmtId="165" fontId="27" fillId="11" borderId="15" xfId="12" applyNumberFormat="1"/>
    <xf numFmtId="184" fontId="27" fillId="11" borderId="15" xfId="12" applyNumberFormat="1"/>
    <xf numFmtId="170" fontId="27" fillId="11" borderId="15" xfId="12" applyNumberFormat="1"/>
    <xf numFmtId="2" fontId="27" fillId="11" borderId="15" xfId="12" applyNumberFormat="1"/>
    <xf numFmtId="168" fontId="27" fillId="11" borderId="15" xfId="12" applyNumberFormat="1"/>
    <xf numFmtId="183" fontId="27" fillId="11" borderId="15" xfId="12" applyNumberFormat="1"/>
    <xf numFmtId="164" fontId="27" fillId="11" borderId="15" xfId="12" applyNumberFormat="1"/>
    <xf numFmtId="177" fontId="27" fillId="11" borderId="15" xfId="12" applyNumberFormat="1"/>
    <xf numFmtId="176" fontId="27" fillId="11" borderId="15" xfId="12" applyNumberFormat="1"/>
    <xf numFmtId="43" fontId="0" fillId="0" borderId="0" xfId="0" applyNumberFormat="1"/>
    <xf numFmtId="180" fontId="27" fillId="11" borderId="15" xfId="12" applyNumberFormat="1"/>
    <xf numFmtId="187" fontId="27" fillId="11" borderId="15" xfId="12" applyNumberFormat="1"/>
    <xf numFmtId="0" fontId="26" fillId="10" borderId="0" xfId="11"/>
    <xf numFmtId="0" fontId="22" fillId="0" borderId="0" xfId="5" applyFont="1"/>
    <xf numFmtId="0" fontId="0" fillId="8" borderId="0" xfId="0" applyFill="1"/>
    <xf numFmtId="1" fontId="0" fillId="8" borderId="0" xfId="0" applyNumberFormat="1" applyFill="1"/>
    <xf numFmtId="3" fontId="0" fillId="8" borderId="0" xfId="0" applyNumberFormat="1" applyFill="1"/>
    <xf numFmtId="173" fontId="11" fillId="12" borderId="0" xfId="2" applyNumberFormat="1" applyFill="1"/>
    <xf numFmtId="188" fontId="0" fillId="8" borderId="0" xfId="0" applyNumberFormat="1" applyFill="1"/>
    <xf numFmtId="189" fontId="0" fillId="8" borderId="0" xfId="0" applyNumberFormat="1" applyFill="1"/>
    <xf numFmtId="3" fontId="0" fillId="0" borderId="0" xfId="0" applyNumberFormat="1" applyFill="1"/>
    <xf numFmtId="0" fontId="3" fillId="0" borderId="0" xfId="0" applyFont="1"/>
    <xf numFmtId="182" fontId="0" fillId="8" borderId="0" xfId="0" applyNumberFormat="1" applyFill="1"/>
    <xf numFmtId="188" fontId="27" fillId="11" borderId="15" xfId="12" applyNumberFormat="1"/>
    <xf numFmtId="2" fontId="26" fillId="10" borderId="0" xfId="11" applyNumberFormat="1"/>
    <xf numFmtId="190" fontId="27" fillId="11" borderId="15" xfId="12" applyNumberFormat="1"/>
    <xf numFmtId="0" fontId="2" fillId="0" borderId="0" xfId="7"/>
    <xf numFmtId="0" fontId="2" fillId="0" borderId="0" xfId="7" applyFill="1"/>
    <xf numFmtId="0" fontId="28" fillId="13" borderId="34" xfId="13"/>
    <xf numFmtId="0" fontId="25" fillId="0" borderId="0" xfId="0" applyFont="1"/>
    <xf numFmtId="173" fontId="0" fillId="0" borderId="0" xfId="0" applyNumberFormat="1"/>
    <xf numFmtId="191" fontId="0" fillId="0" borderId="0" xfId="0" applyNumberFormat="1"/>
    <xf numFmtId="0" fontId="4" fillId="0" borderId="0" xfId="0" applyFont="1"/>
    <xf numFmtId="164" fontId="4" fillId="0" borderId="0" xfId="0" applyNumberFormat="1" applyFont="1"/>
    <xf numFmtId="2" fontId="4" fillId="0" borderId="0" xfId="0" applyNumberFormat="1" applyFont="1"/>
    <xf numFmtId="191" fontId="4" fillId="0" borderId="0" xfId="0" applyNumberFormat="1" applyFont="1"/>
    <xf numFmtId="164" fontId="11" fillId="0" borderId="0" xfId="2" applyNumberFormat="1"/>
    <xf numFmtId="169" fontId="11" fillId="0" borderId="0" xfId="1" applyNumberFormat="1" applyFill="1"/>
    <xf numFmtId="9" fontId="11" fillId="8" borderId="0" xfId="3" applyNumberFormat="1" applyFill="1"/>
    <xf numFmtId="9" fontId="11" fillId="8" borderId="0" xfId="3" applyFill="1"/>
    <xf numFmtId="0" fontId="12" fillId="6" borderId="0" xfId="6" applyBorder="1" applyAlignment="1">
      <alignment vertical="center"/>
    </xf>
    <xf numFmtId="172" fontId="12" fillId="6" borderId="12" xfId="6" applyNumberFormat="1" applyBorder="1" applyAlignment="1">
      <alignment horizontal="center" vertical="center"/>
    </xf>
    <xf numFmtId="0" fontId="27" fillId="11" borderId="22" xfId="12" applyBorder="1"/>
    <xf numFmtId="192" fontId="28" fillId="13" borderId="34" xfId="13" applyNumberFormat="1"/>
    <xf numFmtId="179" fontId="0" fillId="0" borderId="0" xfId="0" applyNumberFormat="1"/>
    <xf numFmtId="0" fontId="3" fillId="0" borderId="6" xfId="5" applyFont="1" applyBorder="1"/>
    <xf numFmtId="0" fontId="11" fillId="0" borderId="8" xfId="5" applyBorder="1"/>
    <xf numFmtId="164" fontId="11" fillId="0" borderId="6" xfId="5" applyNumberFormat="1" applyBorder="1"/>
    <xf numFmtId="0" fontId="11" fillId="0" borderId="6" xfId="5" applyBorder="1"/>
    <xf numFmtId="165" fontId="11" fillId="0" borderId="0" xfId="5" applyNumberFormat="1" applyBorder="1"/>
    <xf numFmtId="165" fontId="11" fillId="0" borderId="4" xfId="5" applyNumberFormat="1" applyBorder="1"/>
    <xf numFmtId="193" fontId="27" fillId="11" borderId="15" xfId="12" applyNumberFormat="1"/>
    <xf numFmtId="194" fontId="27" fillId="11" borderId="15" xfId="12" applyNumberFormat="1"/>
    <xf numFmtId="189" fontId="27" fillId="11" borderId="15" xfId="12" applyNumberFormat="1"/>
    <xf numFmtId="192" fontId="0" fillId="0" borderId="0" xfId="3" applyNumberFormat="1" applyFont="1"/>
    <xf numFmtId="192" fontId="11" fillId="0" borderId="0" xfId="3" applyNumberFormat="1"/>
    <xf numFmtId="2" fontId="11" fillId="0" borderId="6" xfId="5" applyNumberFormat="1" applyBorder="1"/>
  </cellXfs>
  <cellStyles count="14">
    <cellStyle name="Bad" xfId="11" builtinId="27"/>
    <cellStyle name="Comma" xfId="1" builtinId="3"/>
    <cellStyle name="Comma 2" xfId="8"/>
    <cellStyle name="Currency" xfId="2" builtinId="4"/>
    <cellStyle name="Currency 2" xfId="9"/>
    <cellStyle name="Explanatory Text" xfId="5" builtinId="53" customBuiltin="1"/>
    <cellStyle name="Good" xfId="6" builtinId="26"/>
    <cellStyle name="Hyperlink" xfId="4" builtinId="8"/>
    <cellStyle name="Input" xfId="13" builtinId="20"/>
    <cellStyle name="Normal" xfId="0" builtinId="0"/>
    <cellStyle name="Normal 2" xfId="7"/>
    <cellStyle name="Output" xfId="12" builtinId="21"/>
    <cellStyle name="Percent" xfId="3" builtinId="5"/>
    <cellStyle name="Percent 2" xfId="1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A9D18E"/>
      <rgbColor rgb="FF808080"/>
      <rgbColor rgb="FF9999FF"/>
      <rgbColor rgb="FF993366"/>
      <rgbColor rgb="FFF2F2F2"/>
      <rgbColor rgb="FFDEEBF7"/>
      <rgbColor rgb="FF660066"/>
      <rgbColor rgb="FFF86F6C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6EFCE"/>
      <rgbColor rgb="FFFFEB9C"/>
      <rgbColor rgb="FF9DC3E6"/>
      <rgbColor rgb="FFF4B183"/>
      <rgbColor rgb="FFDDD9C3"/>
      <rgbColor rgb="FFFFC7CE"/>
      <rgbColor rgb="FF3366FF"/>
      <rgbColor rgb="FF33CCCC"/>
      <rgbColor rgb="FF99CC00"/>
      <rgbColor rgb="FFFFC000"/>
      <rgbColor rgb="FFFF9900"/>
      <rgbColor rgb="FFF86A6B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Cultivationcoefs!$M$2:$AC$2</c:f>
              <c:numCache>
                <c:formatCode>General</c:formatCode>
                <c:ptCount val="1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  <c:pt idx="7">
                  <c:v>2055</c:v>
                </c:pt>
                <c:pt idx="8">
                  <c:v>2060</c:v>
                </c:pt>
                <c:pt idx="9">
                  <c:v>2065</c:v>
                </c:pt>
                <c:pt idx="10">
                  <c:v>2070</c:v>
                </c:pt>
                <c:pt idx="11">
                  <c:v>2075</c:v>
                </c:pt>
                <c:pt idx="12">
                  <c:v>2080</c:v>
                </c:pt>
                <c:pt idx="13">
                  <c:v>2085</c:v>
                </c:pt>
                <c:pt idx="14">
                  <c:v>2090</c:v>
                </c:pt>
                <c:pt idx="15">
                  <c:v>2095</c:v>
                </c:pt>
                <c:pt idx="16">
                  <c:v>2100</c:v>
                </c:pt>
              </c:numCache>
            </c:numRef>
          </c:xVal>
          <c:yVal>
            <c:numRef>
              <c:f>Cultivationcoefs!$M$3:$AC$3</c:f>
              <c:numCache>
                <c:formatCode>General</c:formatCode>
                <c:ptCount val="17"/>
                <c:pt idx="0">
                  <c:v>1.0474258731775667</c:v>
                </c:pt>
                <c:pt idx="1">
                  <c:v>1.0758581800212434</c:v>
                </c:pt>
                <c:pt idx="2">
                  <c:v>1.1192029220221176</c:v>
                </c:pt>
                <c:pt idx="3">
                  <c:v>1.1824255238063563</c:v>
                </c:pt>
                <c:pt idx="4">
                  <c:v>1.2689414213699952</c:v>
                </c:pt>
                <c:pt idx="5">
                  <c:v>1.3775406687981455</c:v>
                </c:pt>
                <c:pt idx="6">
                  <c:v>1.5</c:v>
                </c:pt>
                <c:pt idx="7">
                  <c:v>1.6224593312018545</c:v>
                </c:pt>
                <c:pt idx="8">
                  <c:v>1.7310585786300048</c:v>
                </c:pt>
                <c:pt idx="9">
                  <c:v>1.8175744761936437</c:v>
                </c:pt>
                <c:pt idx="10">
                  <c:v>1.8807970779778822</c:v>
                </c:pt>
                <c:pt idx="11">
                  <c:v>1.9241418199787566</c:v>
                </c:pt>
                <c:pt idx="12">
                  <c:v>1.9525741268224333</c:v>
                </c:pt>
                <c:pt idx="13">
                  <c:v>1.9706877692486438</c:v>
                </c:pt>
                <c:pt idx="14">
                  <c:v>1.9820137900379085</c:v>
                </c:pt>
                <c:pt idx="15">
                  <c:v>1.9890130573694069</c:v>
                </c:pt>
                <c:pt idx="16">
                  <c:v>1.9933071490757153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45536"/>
        <c:axId val="103425152"/>
      </c:scatterChart>
      <c:valAx>
        <c:axId val="6494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25152"/>
        <c:crosses val="autoZero"/>
        <c:crossBetween val="midCat"/>
      </c:valAx>
      <c:valAx>
        <c:axId val="10342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'Cultivationcoefs (2)'!$M$2:$AC$2</c:f>
              <c:numCache>
                <c:formatCode>General</c:formatCode>
                <c:ptCount val="1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  <c:pt idx="7">
                  <c:v>2055</c:v>
                </c:pt>
                <c:pt idx="8">
                  <c:v>2060</c:v>
                </c:pt>
                <c:pt idx="9">
                  <c:v>2065</c:v>
                </c:pt>
                <c:pt idx="10">
                  <c:v>2070</c:v>
                </c:pt>
                <c:pt idx="11">
                  <c:v>2075</c:v>
                </c:pt>
                <c:pt idx="12">
                  <c:v>2080</c:v>
                </c:pt>
                <c:pt idx="13">
                  <c:v>2085</c:v>
                </c:pt>
                <c:pt idx="14">
                  <c:v>2090</c:v>
                </c:pt>
                <c:pt idx="15">
                  <c:v>2095</c:v>
                </c:pt>
                <c:pt idx="16">
                  <c:v>2100</c:v>
                </c:pt>
              </c:numCache>
            </c:numRef>
          </c:xVal>
          <c:yVal>
            <c:numRef>
              <c:f>'Cultivationcoefs (2)'!$M$3:$AC$3</c:f>
              <c:numCache>
                <c:formatCode>General</c:formatCode>
                <c:ptCount val="17"/>
                <c:pt idx="0">
                  <c:v>1.0474258731775667</c:v>
                </c:pt>
                <c:pt idx="1">
                  <c:v>1.0758581800212434</c:v>
                </c:pt>
                <c:pt idx="2">
                  <c:v>1.1192029220221176</c:v>
                </c:pt>
                <c:pt idx="3">
                  <c:v>1.1824255238063563</c:v>
                </c:pt>
                <c:pt idx="4">
                  <c:v>1.2689414213699952</c:v>
                </c:pt>
                <c:pt idx="5">
                  <c:v>1.3775406687981455</c:v>
                </c:pt>
                <c:pt idx="6">
                  <c:v>1.5</c:v>
                </c:pt>
                <c:pt idx="7">
                  <c:v>1.6224593312018545</c:v>
                </c:pt>
                <c:pt idx="8">
                  <c:v>1.7310585786300048</c:v>
                </c:pt>
                <c:pt idx="9">
                  <c:v>1.8175744761936437</c:v>
                </c:pt>
                <c:pt idx="10">
                  <c:v>1.8807970779778822</c:v>
                </c:pt>
                <c:pt idx="11">
                  <c:v>1.9241418199787566</c:v>
                </c:pt>
                <c:pt idx="12">
                  <c:v>1.9525741268224333</c:v>
                </c:pt>
                <c:pt idx="13">
                  <c:v>1.9706877692486438</c:v>
                </c:pt>
                <c:pt idx="14">
                  <c:v>1.9820137900379085</c:v>
                </c:pt>
                <c:pt idx="15">
                  <c:v>1.9890130573694069</c:v>
                </c:pt>
                <c:pt idx="16">
                  <c:v>1.9933071490757153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04768"/>
        <c:axId val="107506304"/>
      </c:scatterChart>
      <c:valAx>
        <c:axId val="10750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06304"/>
        <c:crosses val="autoZero"/>
        <c:crossBetween val="midCat"/>
      </c:valAx>
      <c:valAx>
        <c:axId val="1075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0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CultivationcoefsOLDTEST!$L$3</c:f>
              <c:strCache>
                <c:ptCount val="1"/>
                <c:pt idx="0">
                  <c:v>Logistic App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CultivationcoefsOLDTEST!$M$3:$AC$3</c:f>
              <c:numCache>
                <c:formatCode>General</c:formatCode>
                <c:ptCount val="17"/>
                <c:pt idx="0">
                  <c:v>1.0474258731775667</c:v>
                </c:pt>
                <c:pt idx="1">
                  <c:v>1.0758581800212434</c:v>
                </c:pt>
                <c:pt idx="2">
                  <c:v>1.1192029220221176</c:v>
                </c:pt>
                <c:pt idx="3">
                  <c:v>1.1824255238063563</c:v>
                </c:pt>
                <c:pt idx="4">
                  <c:v>1.2689414213699952</c:v>
                </c:pt>
                <c:pt idx="5">
                  <c:v>1.3775406687981455</c:v>
                </c:pt>
                <c:pt idx="6">
                  <c:v>1.5</c:v>
                </c:pt>
                <c:pt idx="7">
                  <c:v>1.6224593312018545</c:v>
                </c:pt>
                <c:pt idx="8">
                  <c:v>1.7310585786300048</c:v>
                </c:pt>
                <c:pt idx="9">
                  <c:v>1.8175744761936437</c:v>
                </c:pt>
                <c:pt idx="10">
                  <c:v>1.8807970779778822</c:v>
                </c:pt>
                <c:pt idx="11">
                  <c:v>1.9241418199787566</c:v>
                </c:pt>
                <c:pt idx="12">
                  <c:v>1.9525741268224333</c:v>
                </c:pt>
                <c:pt idx="13">
                  <c:v>1.9706877692486438</c:v>
                </c:pt>
                <c:pt idx="14">
                  <c:v>1.9820137900379085</c:v>
                </c:pt>
                <c:pt idx="15">
                  <c:v>1.9890130573694069</c:v>
                </c:pt>
                <c:pt idx="16">
                  <c:v>1.9933071490757153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89184"/>
        <c:axId val="115788416"/>
      </c:scatterChart>
      <c:valAx>
        <c:axId val="11578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88416"/>
        <c:crosses val="autoZero"/>
        <c:crossBetween val="midCat"/>
      </c:valAx>
      <c:valAx>
        <c:axId val="11578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8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523875</xdr:colOff>
      <xdr:row>7</xdr:row>
      <xdr:rowOff>91167</xdr:rowOff>
    </xdr:from>
    <xdr:to>
      <xdr:col>26</xdr:col>
      <xdr:colOff>415017</xdr:colOff>
      <xdr:row>21</xdr:row>
      <xdr:rowOff>167367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523875</xdr:colOff>
      <xdr:row>7</xdr:row>
      <xdr:rowOff>91167</xdr:rowOff>
    </xdr:from>
    <xdr:to>
      <xdr:col>26</xdr:col>
      <xdr:colOff>415017</xdr:colOff>
      <xdr:row>21</xdr:row>
      <xdr:rowOff>167367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6</xdr:row>
      <xdr:rowOff>166687</xdr:rowOff>
    </xdr:from>
    <xdr:to>
      <xdr:col>17</xdr:col>
      <xdr:colOff>171450</xdr:colOff>
      <xdr:row>21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50</xdr:row>
      <xdr:rowOff>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50</xdr:row>
      <xdr:rowOff>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50</xdr:row>
      <xdr:rowOff>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50</xdr:row>
      <xdr:rowOff>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133350</xdr:colOff>
      <xdr:row>50</xdr:row>
      <xdr:rowOff>0</xdr:rowOff>
    </xdr:to>
    <xdr:sp macro="" textlink="">
      <xdr:nvSpPr>
        <xdr:cNvPr id="51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50</xdr:row>
      <xdr:rowOff>0</xdr:rowOff>
    </xdr:to>
    <xdr:sp macro="" textlink="">
      <xdr:nvSpPr>
        <xdr:cNvPr id="51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50</xdr:row>
      <xdr:rowOff>0</xdr:rowOff>
    </xdr:to>
    <xdr:sp macro="" textlink="">
      <xdr:nvSpPr>
        <xdr:cNvPr id="5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50</xdr:row>
      <xdr:rowOff>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rel.gov/docs/fy16osti/6477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rel.gov/docs/fy14osti/62368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rel.gov/docs/fy14osti/62368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rel.gov/docs/fy14osti/62368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nrel.gov/docs/fy14osti/62368.pd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2:AC51"/>
  <sheetViews>
    <sheetView topLeftCell="D7" workbookViewId="0">
      <selection activeCell="F33" sqref="F33"/>
    </sheetView>
  </sheetViews>
  <sheetFormatPr defaultColWidth="8.85546875" defaultRowHeight="15" x14ac:dyDescent="0.25"/>
  <cols>
    <col min="1" max="1" width="22.28515625" customWidth="1"/>
    <col min="2" max="2" width="19.85546875" customWidth="1"/>
    <col min="3" max="3" width="23.140625" customWidth="1"/>
    <col min="4" max="4" width="26.42578125" bestFit="1" customWidth="1"/>
    <col min="5" max="5" width="27.42578125" customWidth="1"/>
    <col min="6" max="6" width="35.85546875" customWidth="1"/>
  </cols>
  <sheetData>
    <row r="2" spans="1:29" x14ac:dyDescent="0.25">
      <c r="A2" t="s">
        <v>701</v>
      </c>
    </row>
    <row r="3" spans="1:29" x14ac:dyDescent="0.25">
      <c r="A3" t="s">
        <v>702</v>
      </c>
    </row>
    <row r="4" spans="1:29" x14ac:dyDescent="0.25">
      <c r="A4" t="s">
        <v>717</v>
      </c>
    </row>
    <row r="6" spans="1:29" x14ac:dyDescent="0.25">
      <c r="A6" s="172" t="s">
        <v>725</v>
      </c>
    </row>
    <row r="7" spans="1:29" x14ac:dyDescent="0.25">
      <c r="A7" t="s">
        <v>766</v>
      </c>
    </row>
    <row r="8" spans="1:29" x14ac:dyDescent="0.25">
      <c r="A8" t="s">
        <v>726</v>
      </c>
      <c r="B8" t="s">
        <v>743</v>
      </c>
    </row>
    <row r="9" spans="1:29" x14ac:dyDescent="0.25">
      <c r="A9" t="s">
        <v>727</v>
      </c>
      <c r="B9" t="s">
        <v>755</v>
      </c>
    </row>
    <row r="10" spans="1:29" x14ac:dyDescent="0.25">
      <c r="A10" t="s">
        <v>728</v>
      </c>
      <c r="B10" t="s">
        <v>756</v>
      </c>
    </row>
    <row r="11" spans="1:29" x14ac:dyDescent="0.25">
      <c r="A11" t="s">
        <v>760</v>
      </c>
      <c r="B11" t="s">
        <v>188</v>
      </c>
      <c r="H11" t="s">
        <v>714</v>
      </c>
    </row>
    <row r="12" spans="1:29" x14ac:dyDescent="0.25">
      <c r="A12" t="s">
        <v>706</v>
      </c>
      <c r="B12" t="s">
        <v>510</v>
      </c>
      <c r="C12" t="s">
        <v>722</v>
      </c>
      <c r="D12" t="s">
        <v>705</v>
      </c>
      <c r="E12" t="s">
        <v>709</v>
      </c>
      <c r="F12" t="s">
        <v>122</v>
      </c>
      <c r="G12" t="s">
        <v>713</v>
      </c>
      <c r="H12">
        <v>1975</v>
      </c>
      <c r="I12">
        <v>1990</v>
      </c>
      <c r="J12">
        <v>2005</v>
      </c>
      <c r="K12">
        <v>2010</v>
      </c>
      <c r="L12">
        <v>2015</v>
      </c>
      <c r="M12">
        <v>2020</v>
      </c>
      <c r="N12">
        <v>2025</v>
      </c>
      <c r="O12">
        <v>2030</v>
      </c>
      <c r="P12">
        <v>2035</v>
      </c>
      <c r="Q12">
        <v>2040</v>
      </c>
      <c r="R12">
        <v>2045</v>
      </c>
      <c r="S12">
        <v>2050</v>
      </c>
      <c r="T12">
        <v>2055</v>
      </c>
      <c r="U12">
        <v>2060</v>
      </c>
      <c r="V12">
        <v>2065</v>
      </c>
      <c r="W12">
        <v>2070</v>
      </c>
      <c r="X12">
        <v>2075</v>
      </c>
      <c r="Y12">
        <v>2080</v>
      </c>
      <c r="Z12">
        <v>2085</v>
      </c>
      <c r="AA12">
        <v>2090</v>
      </c>
      <c r="AB12">
        <v>2095</v>
      </c>
      <c r="AC12">
        <v>2100</v>
      </c>
    </row>
    <row r="13" spans="1:29" x14ac:dyDescent="0.25">
      <c r="A13" t="s">
        <v>745</v>
      </c>
      <c r="B13" t="s">
        <v>5</v>
      </c>
      <c r="C13" t="s">
        <v>5</v>
      </c>
      <c r="D13" t="s">
        <v>744</v>
      </c>
      <c r="E13" t="s">
        <v>747</v>
      </c>
      <c r="F13" s="132" t="s">
        <v>748</v>
      </c>
      <c r="G13" s="278" t="b">
        <v>1</v>
      </c>
    </row>
    <row r="14" spans="1:29" x14ac:dyDescent="0.25">
      <c r="A14" t="s">
        <v>860</v>
      </c>
      <c r="B14" t="s">
        <v>5</v>
      </c>
      <c r="C14" t="s">
        <v>5</v>
      </c>
      <c r="D14" t="s">
        <v>861</v>
      </c>
      <c r="G14" s="293"/>
    </row>
    <row r="15" spans="1:29" x14ac:dyDescent="0.25">
      <c r="A15" t="s">
        <v>708</v>
      </c>
      <c r="B15" t="s">
        <v>750</v>
      </c>
      <c r="C15" t="s">
        <v>514</v>
      </c>
      <c r="D15" t="s">
        <v>749</v>
      </c>
      <c r="E15" t="s">
        <v>754</v>
      </c>
      <c r="F15" s="132" t="s">
        <v>752</v>
      </c>
      <c r="G15" s="278" t="b">
        <v>1</v>
      </c>
      <c r="H15" s="278">
        <v>0</v>
      </c>
      <c r="I15" s="278">
        <v>0</v>
      </c>
      <c r="J15" s="278">
        <v>0</v>
      </c>
      <c r="K15" s="278">
        <v>0</v>
      </c>
      <c r="L15" s="278">
        <v>0</v>
      </c>
      <c r="M15" s="278">
        <v>1</v>
      </c>
      <c r="N15" s="278">
        <v>1</v>
      </c>
      <c r="O15" s="278">
        <v>1</v>
      </c>
      <c r="P15" s="278">
        <v>1</v>
      </c>
      <c r="Q15" s="278">
        <v>1</v>
      </c>
      <c r="R15" s="278">
        <v>1</v>
      </c>
      <c r="S15" s="278">
        <v>1</v>
      </c>
      <c r="T15" s="278">
        <v>1</v>
      </c>
      <c r="U15" s="278">
        <v>1</v>
      </c>
      <c r="V15" s="278">
        <v>1</v>
      </c>
      <c r="W15" s="278">
        <v>1</v>
      </c>
      <c r="X15" s="278">
        <v>1</v>
      </c>
      <c r="Y15" s="278">
        <v>1</v>
      </c>
      <c r="Z15" s="278">
        <v>1</v>
      </c>
      <c r="AA15" s="278">
        <v>1</v>
      </c>
      <c r="AB15" s="278">
        <v>1</v>
      </c>
      <c r="AC15" s="278">
        <v>1</v>
      </c>
    </row>
    <row r="16" spans="1:29" x14ac:dyDescent="0.25">
      <c r="A16" t="s">
        <v>708</v>
      </c>
      <c r="B16" t="s">
        <v>750</v>
      </c>
      <c r="C16" t="s">
        <v>751</v>
      </c>
      <c r="D16" t="s">
        <v>749</v>
      </c>
      <c r="E16" t="s">
        <v>754</v>
      </c>
      <c r="F16" s="132" t="s">
        <v>753</v>
      </c>
      <c r="G16" s="278" t="b">
        <v>0</v>
      </c>
      <c r="H16" s="278">
        <v>0</v>
      </c>
      <c r="I16" s="278">
        <v>0</v>
      </c>
      <c r="J16" s="278">
        <v>0</v>
      </c>
      <c r="K16" s="278">
        <v>0</v>
      </c>
      <c r="L16" s="278">
        <v>0</v>
      </c>
      <c r="M16" s="278">
        <v>1</v>
      </c>
      <c r="N16" s="278">
        <v>1</v>
      </c>
      <c r="O16" s="278">
        <v>1</v>
      </c>
      <c r="P16" s="278">
        <v>1</v>
      </c>
      <c r="Q16" s="278">
        <v>1</v>
      </c>
      <c r="R16" s="278">
        <v>1</v>
      </c>
      <c r="S16" s="278">
        <v>1</v>
      </c>
      <c r="T16" s="278">
        <v>1</v>
      </c>
      <c r="U16" s="278">
        <v>1</v>
      </c>
      <c r="V16" s="278">
        <v>1</v>
      </c>
      <c r="W16" s="278">
        <v>1</v>
      </c>
      <c r="X16" s="278">
        <v>1</v>
      </c>
      <c r="Y16" s="278">
        <v>1</v>
      </c>
      <c r="Z16" s="278">
        <v>1</v>
      </c>
      <c r="AA16" s="278">
        <v>1</v>
      </c>
      <c r="AB16" s="278">
        <v>1</v>
      </c>
      <c r="AC16" s="278">
        <v>1</v>
      </c>
    </row>
    <row r="17" spans="1:29" x14ac:dyDescent="0.25">
      <c r="A17" t="s">
        <v>708</v>
      </c>
      <c r="B17" t="s">
        <v>758</v>
      </c>
      <c r="C17" t="s">
        <v>750</v>
      </c>
      <c r="D17" t="s">
        <v>759</v>
      </c>
      <c r="E17" t="s">
        <v>754</v>
      </c>
      <c r="F17" s="132" t="s">
        <v>757</v>
      </c>
      <c r="G17" s="278" t="b">
        <v>1</v>
      </c>
      <c r="H17" s="278">
        <v>0</v>
      </c>
      <c r="I17" s="278">
        <v>0</v>
      </c>
      <c r="J17" s="278">
        <v>0</v>
      </c>
      <c r="K17" s="278">
        <v>0</v>
      </c>
      <c r="L17" s="278">
        <v>0</v>
      </c>
      <c r="M17" s="278">
        <v>1</v>
      </c>
      <c r="N17" s="278">
        <v>1</v>
      </c>
      <c r="O17" s="278">
        <v>1</v>
      </c>
      <c r="P17" s="278">
        <v>1</v>
      </c>
      <c r="Q17" s="278">
        <v>1</v>
      </c>
      <c r="R17" s="278">
        <v>1</v>
      </c>
      <c r="S17" s="278">
        <v>1</v>
      </c>
      <c r="T17" s="278">
        <v>1</v>
      </c>
      <c r="U17" s="278">
        <v>1</v>
      </c>
      <c r="V17" s="278">
        <v>1</v>
      </c>
      <c r="W17" s="278">
        <v>1</v>
      </c>
      <c r="X17" s="278">
        <v>1</v>
      </c>
      <c r="Y17" s="278">
        <v>1</v>
      </c>
      <c r="Z17" s="278">
        <v>1</v>
      </c>
      <c r="AA17" s="278">
        <v>1</v>
      </c>
      <c r="AB17" s="278">
        <v>1</v>
      </c>
      <c r="AC17" s="278">
        <v>1</v>
      </c>
    </row>
    <row r="19" spans="1:29" x14ac:dyDescent="0.25">
      <c r="A19" s="172" t="s">
        <v>761</v>
      </c>
    </row>
    <row r="20" spans="1:29" x14ac:dyDescent="0.25">
      <c r="A20" s="279" t="s">
        <v>767</v>
      </c>
    </row>
    <row r="21" spans="1:29" x14ac:dyDescent="0.25">
      <c r="A21" t="s">
        <v>763</v>
      </c>
      <c r="B21" t="s">
        <v>764</v>
      </c>
      <c r="C21" t="s">
        <v>765</v>
      </c>
    </row>
    <row r="22" spans="1:29" x14ac:dyDescent="0.25">
      <c r="A22" t="s">
        <v>706</v>
      </c>
      <c r="B22" t="s">
        <v>510</v>
      </c>
      <c r="C22" t="s">
        <v>722</v>
      </c>
      <c r="D22" t="s">
        <v>705</v>
      </c>
      <c r="E22" t="s">
        <v>709</v>
      </c>
      <c r="F22" t="s">
        <v>122</v>
      </c>
      <c r="G22" t="s">
        <v>713</v>
      </c>
      <c r="H22">
        <v>1975</v>
      </c>
      <c r="I22">
        <v>1990</v>
      </c>
      <c r="J22">
        <v>2005</v>
      </c>
      <c r="K22">
        <v>2010</v>
      </c>
      <c r="L22">
        <v>2015</v>
      </c>
      <c r="M22">
        <v>2020</v>
      </c>
      <c r="N22">
        <v>2025</v>
      </c>
      <c r="O22">
        <v>2030</v>
      </c>
      <c r="P22">
        <v>2035</v>
      </c>
      <c r="Q22">
        <v>2040</v>
      </c>
      <c r="R22">
        <v>2045</v>
      </c>
      <c r="S22">
        <v>2050</v>
      </c>
      <c r="T22">
        <v>2055</v>
      </c>
      <c r="U22">
        <v>2060</v>
      </c>
      <c r="V22">
        <v>2065</v>
      </c>
      <c r="W22">
        <v>2070</v>
      </c>
      <c r="X22">
        <v>2075</v>
      </c>
      <c r="Y22">
        <v>2080</v>
      </c>
      <c r="Z22">
        <v>2085</v>
      </c>
      <c r="AA22">
        <v>2090</v>
      </c>
      <c r="AB22">
        <v>2095</v>
      </c>
      <c r="AC22">
        <v>2100</v>
      </c>
    </row>
    <row r="23" spans="1:29" x14ac:dyDescent="0.25">
      <c r="A23" t="s">
        <v>708</v>
      </c>
      <c r="B23" t="s">
        <v>758</v>
      </c>
      <c r="C23" t="s">
        <v>750</v>
      </c>
      <c r="D23" t="s">
        <v>769</v>
      </c>
      <c r="E23" t="s">
        <v>754</v>
      </c>
      <c r="F23" s="132" t="s">
        <v>762</v>
      </c>
      <c r="G23" s="278" t="b">
        <v>1</v>
      </c>
      <c r="H23" s="278">
        <v>0</v>
      </c>
      <c r="I23" s="278">
        <v>0</v>
      </c>
      <c r="J23" s="278">
        <v>0</v>
      </c>
      <c r="K23" s="278">
        <v>0</v>
      </c>
      <c r="L23" s="278">
        <v>0</v>
      </c>
      <c r="M23" s="278">
        <v>0.2</v>
      </c>
      <c r="N23" s="278">
        <v>0.4</v>
      </c>
      <c r="O23" s="278">
        <v>0.6</v>
      </c>
      <c r="P23" s="278">
        <v>0.8</v>
      </c>
      <c r="Q23" s="278">
        <v>1</v>
      </c>
      <c r="R23" s="278">
        <v>1</v>
      </c>
      <c r="S23" s="278">
        <v>1</v>
      </c>
      <c r="T23" s="278">
        <v>1</v>
      </c>
      <c r="U23" s="278">
        <v>1</v>
      </c>
      <c r="V23" s="278">
        <v>1</v>
      </c>
      <c r="W23" s="278">
        <v>1</v>
      </c>
      <c r="X23" s="278">
        <v>1</v>
      </c>
      <c r="Y23" s="278">
        <v>1</v>
      </c>
      <c r="Z23" s="278">
        <v>1</v>
      </c>
      <c r="AA23" s="278">
        <v>1</v>
      </c>
      <c r="AB23" s="278">
        <v>1</v>
      </c>
      <c r="AC23" s="278">
        <v>1</v>
      </c>
    </row>
    <row r="24" spans="1:29" x14ac:dyDescent="0.25">
      <c r="A24" t="s">
        <v>774</v>
      </c>
      <c r="B24" t="s">
        <v>775</v>
      </c>
      <c r="C24" t="s">
        <v>768</v>
      </c>
      <c r="D24" t="s">
        <v>773</v>
      </c>
      <c r="E24" t="s">
        <v>4</v>
      </c>
      <c r="F24" t="s">
        <v>771</v>
      </c>
      <c r="G24" s="278">
        <v>0</v>
      </c>
      <c r="H24" t="s">
        <v>777</v>
      </c>
    </row>
    <row r="25" spans="1:29" x14ac:dyDescent="0.25">
      <c r="A25" t="s">
        <v>774</v>
      </c>
      <c r="B25" t="s">
        <v>775</v>
      </c>
      <c r="C25" t="s">
        <v>768</v>
      </c>
      <c r="D25" t="s">
        <v>773</v>
      </c>
      <c r="E25" t="s">
        <v>770</v>
      </c>
      <c r="F25" t="s">
        <v>772</v>
      </c>
      <c r="G25" s="278">
        <v>0</v>
      </c>
      <c r="H25" t="s">
        <v>777</v>
      </c>
    </row>
    <row r="27" spans="1:29" x14ac:dyDescent="0.25">
      <c r="A27" s="172" t="s">
        <v>703</v>
      </c>
    </row>
    <row r="28" spans="1:29" x14ac:dyDescent="0.25">
      <c r="A28" t="s">
        <v>729</v>
      </c>
      <c r="B28" t="s">
        <v>731</v>
      </c>
      <c r="C28" t="s">
        <v>733</v>
      </c>
    </row>
    <row r="29" spans="1:29" x14ac:dyDescent="0.25">
      <c r="A29" t="s">
        <v>730</v>
      </c>
      <c r="B29" t="s">
        <v>732</v>
      </c>
      <c r="C29" t="s">
        <v>734</v>
      </c>
    </row>
    <row r="30" spans="1:29" x14ac:dyDescent="0.25">
      <c r="A30" t="s">
        <v>706</v>
      </c>
      <c r="B30" t="s">
        <v>510</v>
      </c>
      <c r="C30" t="s">
        <v>722</v>
      </c>
      <c r="D30" t="s">
        <v>705</v>
      </c>
      <c r="E30" t="s">
        <v>709</v>
      </c>
      <c r="F30" t="s">
        <v>122</v>
      </c>
      <c r="G30" t="s">
        <v>713</v>
      </c>
      <c r="H30">
        <v>1975</v>
      </c>
      <c r="I30">
        <v>1990</v>
      </c>
      <c r="J30">
        <v>2005</v>
      </c>
      <c r="K30">
        <v>2010</v>
      </c>
      <c r="L30">
        <v>2015</v>
      </c>
      <c r="M30">
        <v>2020</v>
      </c>
      <c r="N30">
        <v>2025</v>
      </c>
      <c r="O30">
        <v>2030</v>
      </c>
      <c r="P30">
        <v>2035</v>
      </c>
      <c r="Q30">
        <v>2040</v>
      </c>
      <c r="R30">
        <v>2045</v>
      </c>
      <c r="S30">
        <v>2050</v>
      </c>
      <c r="T30">
        <v>2055</v>
      </c>
      <c r="U30">
        <v>2060</v>
      </c>
      <c r="V30">
        <v>2065</v>
      </c>
      <c r="W30">
        <v>2070</v>
      </c>
      <c r="X30">
        <v>2075</v>
      </c>
      <c r="Y30">
        <v>2080</v>
      </c>
      <c r="Z30">
        <v>2085</v>
      </c>
      <c r="AA30">
        <v>2090</v>
      </c>
      <c r="AB30">
        <v>2095</v>
      </c>
      <c r="AC30">
        <v>2100</v>
      </c>
    </row>
    <row r="31" spans="1:29" x14ac:dyDescent="0.25">
      <c r="A31" t="s">
        <v>708</v>
      </c>
      <c r="B31" t="s">
        <v>707</v>
      </c>
      <c r="C31" t="s">
        <v>707</v>
      </c>
      <c r="D31" t="s">
        <v>704</v>
      </c>
      <c r="E31" t="s">
        <v>711</v>
      </c>
      <c r="F31" t="s">
        <v>712</v>
      </c>
      <c r="H31" s="278">
        <v>1</v>
      </c>
    </row>
    <row r="32" spans="1:29" x14ac:dyDescent="0.25">
      <c r="A32" t="s">
        <v>708</v>
      </c>
      <c r="B32" t="s">
        <v>707</v>
      </c>
      <c r="C32" t="s">
        <v>707</v>
      </c>
      <c r="D32" t="s">
        <v>715</v>
      </c>
      <c r="E32" t="s">
        <v>710</v>
      </c>
      <c r="F32" t="s">
        <v>716</v>
      </c>
      <c r="G32" s="278" t="b">
        <v>1</v>
      </c>
      <c r="H32" s="278">
        <v>0</v>
      </c>
      <c r="I32" s="278">
        <v>0</v>
      </c>
      <c r="J32" s="278">
        <v>0</v>
      </c>
      <c r="K32" s="278">
        <v>0</v>
      </c>
      <c r="L32" s="278">
        <v>0</v>
      </c>
      <c r="M32" s="278">
        <v>1</v>
      </c>
      <c r="N32" s="278">
        <v>1</v>
      </c>
      <c r="O32" s="278">
        <v>1</v>
      </c>
      <c r="P32" s="278">
        <v>1</v>
      </c>
      <c r="Q32" s="278">
        <v>1</v>
      </c>
      <c r="R32" s="278">
        <v>1</v>
      </c>
      <c r="S32" s="278">
        <v>1</v>
      </c>
      <c r="T32" s="278">
        <v>1</v>
      </c>
      <c r="U32" s="278">
        <v>1</v>
      </c>
      <c r="V32" s="278">
        <v>1</v>
      </c>
      <c r="W32" s="278">
        <v>1</v>
      </c>
      <c r="X32" s="278">
        <v>1</v>
      </c>
      <c r="Y32" s="278">
        <v>1</v>
      </c>
      <c r="Z32" s="278">
        <v>1</v>
      </c>
      <c r="AA32" s="278">
        <v>1</v>
      </c>
      <c r="AB32" s="278">
        <v>1</v>
      </c>
      <c r="AC32" s="278">
        <v>1</v>
      </c>
    </row>
    <row r="33" spans="1:29" x14ac:dyDescent="0.25">
      <c r="A33" t="s">
        <v>708</v>
      </c>
      <c r="B33" t="s">
        <v>721</v>
      </c>
      <c r="C33" t="s">
        <v>720</v>
      </c>
      <c r="D33" t="s">
        <v>718</v>
      </c>
      <c r="E33" t="s">
        <v>710</v>
      </c>
      <c r="F33" s="132" t="s">
        <v>719</v>
      </c>
      <c r="G33" s="278" t="b">
        <v>0</v>
      </c>
      <c r="H33" s="278">
        <v>0</v>
      </c>
      <c r="I33" s="278">
        <v>0</v>
      </c>
      <c r="J33" s="278">
        <v>0</v>
      </c>
      <c r="K33" s="278">
        <v>0</v>
      </c>
      <c r="L33" s="278">
        <v>0</v>
      </c>
      <c r="M33" s="278">
        <v>0.1</v>
      </c>
      <c r="N33" s="278">
        <v>0.25</v>
      </c>
      <c r="O33" s="278">
        <v>0.45</v>
      </c>
      <c r="P33" s="278">
        <v>0.7</v>
      </c>
      <c r="Q33" s="278">
        <v>1</v>
      </c>
      <c r="R33" s="278">
        <v>1</v>
      </c>
      <c r="S33" s="278">
        <v>1</v>
      </c>
      <c r="T33" s="278">
        <v>1</v>
      </c>
      <c r="U33" s="278">
        <v>1</v>
      </c>
      <c r="V33" s="278">
        <v>1</v>
      </c>
      <c r="W33" s="278">
        <v>1</v>
      </c>
      <c r="X33" s="278">
        <v>1</v>
      </c>
      <c r="Y33" s="278">
        <v>1</v>
      </c>
      <c r="Z33" s="278">
        <v>1</v>
      </c>
      <c r="AA33" s="278">
        <v>1</v>
      </c>
      <c r="AB33" s="278">
        <v>1</v>
      </c>
      <c r="AC33" s="278">
        <v>1</v>
      </c>
    </row>
    <row r="34" spans="1:29" x14ac:dyDescent="0.25">
      <c r="A34" t="s">
        <v>708</v>
      </c>
      <c r="B34" t="s">
        <v>721</v>
      </c>
      <c r="C34" t="s">
        <v>859</v>
      </c>
      <c r="D34" t="s">
        <v>718</v>
      </c>
      <c r="E34" t="s">
        <v>710</v>
      </c>
      <c r="F34" s="132" t="s">
        <v>776</v>
      </c>
      <c r="G34" s="278" t="b">
        <v>1</v>
      </c>
      <c r="H34" s="278">
        <v>0</v>
      </c>
      <c r="I34" s="278">
        <v>0</v>
      </c>
      <c r="J34" s="278">
        <v>0</v>
      </c>
      <c r="K34" s="278">
        <v>0</v>
      </c>
      <c r="L34" s="278">
        <v>0</v>
      </c>
      <c r="M34" s="278">
        <v>1</v>
      </c>
      <c r="N34" s="278">
        <v>1</v>
      </c>
      <c r="O34" s="278">
        <v>1</v>
      </c>
      <c r="P34" s="278">
        <v>1</v>
      </c>
      <c r="Q34" s="278">
        <v>1</v>
      </c>
      <c r="R34" s="278">
        <v>1</v>
      </c>
      <c r="S34" s="278">
        <v>1</v>
      </c>
      <c r="T34" s="278">
        <v>1</v>
      </c>
      <c r="U34" s="278">
        <v>1</v>
      </c>
      <c r="V34" s="278">
        <v>1</v>
      </c>
      <c r="W34" s="278">
        <v>1</v>
      </c>
      <c r="X34" s="278">
        <v>1</v>
      </c>
      <c r="Y34" s="278">
        <v>1</v>
      </c>
      <c r="Z34" s="278">
        <v>1</v>
      </c>
      <c r="AA34" s="278">
        <v>1</v>
      </c>
      <c r="AB34" s="278">
        <v>1</v>
      </c>
      <c r="AC34" s="278">
        <v>1</v>
      </c>
    </row>
    <row r="35" spans="1:29" x14ac:dyDescent="0.25">
      <c r="D35" t="s">
        <v>723</v>
      </c>
      <c r="F35" t="s">
        <v>724</v>
      </c>
    </row>
    <row r="36" spans="1:29" x14ac:dyDescent="0.25">
      <c r="A36" s="276" t="s">
        <v>739</v>
      </c>
      <c r="B36" s="276" t="s">
        <v>738</v>
      </c>
      <c r="C36" s="276" t="s">
        <v>738</v>
      </c>
      <c r="D36" t="s">
        <v>735</v>
      </c>
      <c r="E36" t="s">
        <v>710</v>
      </c>
      <c r="F36" s="277" t="s">
        <v>741</v>
      </c>
      <c r="H36" t="s">
        <v>746</v>
      </c>
    </row>
    <row r="37" spans="1:29" x14ac:dyDescent="0.25">
      <c r="A37" s="276" t="s">
        <v>740</v>
      </c>
      <c r="B37" s="276" t="s">
        <v>738</v>
      </c>
      <c r="C37" s="276" t="s">
        <v>738</v>
      </c>
      <c r="D37" t="s">
        <v>736</v>
      </c>
      <c r="E37" t="s">
        <v>737</v>
      </c>
      <c r="F37" s="277" t="s">
        <v>741</v>
      </c>
      <c r="G37" s="278">
        <v>0.05</v>
      </c>
      <c r="H37" t="s">
        <v>746</v>
      </c>
    </row>
    <row r="40" spans="1:29" x14ac:dyDescent="0.25">
      <c r="A40" t="s">
        <v>778</v>
      </c>
    </row>
    <row r="41" spans="1:29" x14ac:dyDescent="0.25">
      <c r="A41" t="s">
        <v>779</v>
      </c>
      <c r="B41" t="s">
        <v>780</v>
      </c>
      <c r="D41" t="s">
        <v>785</v>
      </c>
    </row>
    <row r="42" spans="1:29" x14ac:dyDescent="0.25">
      <c r="A42" t="s">
        <v>787</v>
      </c>
      <c r="B42" t="s">
        <v>788</v>
      </c>
      <c r="D42" t="s">
        <v>789</v>
      </c>
    </row>
    <row r="43" spans="1:29" x14ac:dyDescent="0.25">
      <c r="A43" t="s">
        <v>781</v>
      </c>
      <c r="B43" t="s">
        <v>782</v>
      </c>
      <c r="C43" t="s">
        <v>785</v>
      </c>
      <c r="D43" t="s">
        <v>793</v>
      </c>
    </row>
    <row r="44" spans="1:29" x14ac:dyDescent="0.25">
      <c r="A44" t="s">
        <v>784</v>
      </c>
      <c r="B44" t="s">
        <v>792</v>
      </c>
      <c r="C44" t="s">
        <v>785</v>
      </c>
      <c r="D44" t="s">
        <v>794</v>
      </c>
    </row>
    <row r="45" spans="1:29" x14ac:dyDescent="0.25">
      <c r="A45" t="s">
        <v>795</v>
      </c>
      <c r="B45" t="s">
        <v>783</v>
      </c>
      <c r="D45" t="s">
        <v>796</v>
      </c>
    </row>
    <row r="47" spans="1:29" x14ac:dyDescent="0.25">
      <c r="A47" t="s">
        <v>786</v>
      </c>
    </row>
    <row r="49" spans="1:1" x14ac:dyDescent="0.25">
      <c r="A49" t="s">
        <v>790</v>
      </c>
    </row>
    <row r="50" spans="1:1" x14ac:dyDescent="0.25">
      <c r="A50" t="s">
        <v>791</v>
      </c>
    </row>
    <row r="51" spans="1:1" x14ac:dyDescent="0.25">
      <c r="A51" t="s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-0.499984740745262"/>
  </sheetPr>
  <dimension ref="A1:H132"/>
  <sheetViews>
    <sheetView workbookViewId="0">
      <selection activeCell="C14" sqref="C14"/>
    </sheetView>
  </sheetViews>
  <sheetFormatPr defaultColWidth="8.85546875" defaultRowHeight="15" x14ac:dyDescent="0.25"/>
  <cols>
    <col min="1" max="1" width="44" customWidth="1"/>
    <col min="2" max="2" width="43.140625" bestFit="1" customWidth="1"/>
    <col min="3" max="3" width="31.42578125" customWidth="1"/>
    <col min="4" max="4" width="25.42578125" customWidth="1"/>
    <col min="5" max="5" width="13.28515625" customWidth="1"/>
    <col min="6" max="6" width="11.7109375" bestFit="1" customWidth="1"/>
    <col min="8" max="8" width="14.28515625" bestFit="1" customWidth="1"/>
    <col min="11" max="11" width="14.28515625" bestFit="1" customWidth="1"/>
    <col min="13" max="13" width="14.28515625" bestFit="1" customWidth="1"/>
    <col min="16" max="16" width="14.28515625" bestFit="1" customWidth="1"/>
  </cols>
  <sheetData>
    <row r="1" spans="1:8" ht="27" customHeight="1" x14ac:dyDescent="0.4">
      <c r="A1" s="193" t="s">
        <v>512</v>
      </c>
    </row>
    <row r="2" spans="1:8" x14ac:dyDescent="0.25">
      <c r="A2" s="194" t="s">
        <v>513</v>
      </c>
      <c r="B2" t="s">
        <v>231</v>
      </c>
    </row>
    <row r="3" spans="1:8" x14ac:dyDescent="0.25">
      <c r="A3" s="89" t="s">
        <v>387</v>
      </c>
    </row>
    <row r="4" spans="1:8" x14ac:dyDescent="0.25">
      <c r="A4" t="s">
        <v>386</v>
      </c>
    </row>
    <row r="5" spans="1:8" x14ac:dyDescent="0.25">
      <c r="A5" t="s">
        <v>524</v>
      </c>
    </row>
    <row r="8" spans="1:8" x14ac:dyDescent="0.25">
      <c r="A8" s="86" t="s">
        <v>385</v>
      </c>
      <c r="B8" s="87" t="s">
        <v>5</v>
      </c>
    </row>
    <row r="9" spans="1:8" x14ac:dyDescent="0.25">
      <c r="A9" t="s">
        <v>510</v>
      </c>
      <c r="B9" t="s">
        <v>511</v>
      </c>
    </row>
    <row r="10" spans="1:8" s="90" customFormat="1" x14ac:dyDescent="0.25"/>
    <row r="11" spans="1:8" s="93" customFormat="1" x14ac:dyDescent="0.25">
      <c r="A11" s="91" t="s">
        <v>384</v>
      </c>
      <c r="B11" s="181" t="s">
        <v>569</v>
      </c>
      <c r="C11" s="92" t="s">
        <v>49</v>
      </c>
      <c r="D11" s="92" t="s">
        <v>388</v>
      </c>
      <c r="E11" s="92" t="s">
        <v>389</v>
      </c>
    </row>
    <row r="12" spans="1:8" x14ac:dyDescent="0.25">
      <c r="A12" t="s">
        <v>610</v>
      </c>
      <c r="B12" t="s">
        <v>572</v>
      </c>
      <c r="C12">
        <f>B32</f>
        <v>8.25</v>
      </c>
      <c r="D12" t="s">
        <v>619</v>
      </c>
      <c r="E12" s="223" t="s">
        <v>616</v>
      </c>
      <c r="H12">
        <f>Algae_yield/365*1000</f>
        <v>22.602739726027398</v>
      </c>
    </row>
    <row r="13" spans="1:8" x14ac:dyDescent="0.25">
      <c r="A13" t="s">
        <v>614</v>
      </c>
      <c r="B13" s="1" t="s">
        <v>570</v>
      </c>
      <c r="C13" s="11">
        <f>D67</f>
        <v>9.2223347792268817E-2</v>
      </c>
      <c r="D13" s="1" t="s">
        <v>70</v>
      </c>
      <c r="E13" s="223" t="s">
        <v>617</v>
      </c>
    </row>
    <row r="14" spans="1:8" x14ac:dyDescent="0.25">
      <c r="A14" t="s">
        <v>390</v>
      </c>
      <c r="B14" s="15" t="s">
        <v>571</v>
      </c>
      <c r="C14" s="11">
        <f>C102/1000</f>
        <v>1.6331441860465117E-3</v>
      </c>
      <c r="D14" s="1" t="s">
        <v>52</v>
      </c>
      <c r="E14" s="223" t="s">
        <v>620</v>
      </c>
    </row>
    <row r="15" spans="1:8" x14ac:dyDescent="0.25">
      <c r="A15" t="s">
        <v>613</v>
      </c>
      <c r="B15" s="249" t="s">
        <v>609</v>
      </c>
      <c r="C15" s="252">
        <f>D68</f>
        <v>0.76084261928621777</v>
      </c>
      <c r="D15" s="249" t="s">
        <v>427</v>
      </c>
      <c r="E15" s="223" t="s">
        <v>864</v>
      </c>
      <c r="G15" s="294">
        <f>D68</f>
        <v>0.76084261928621777</v>
      </c>
    </row>
    <row r="16" spans="1:8" x14ac:dyDescent="0.25">
      <c r="A16" t="s">
        <v>390</v>
      </c>
      <c r="B16" s="249" t="s">
        <v>615</v>
      </c>
      <c r="C16" s="260">
        <f>C101</f>
        <v>1.374359710352926E-2</v>
      </c>
      <c r="D16" s="249" t="s">
        <v>618</v>
      </c>
      <c r="E16" s="259" t="s">
        <v>864</v>
      </c>
    </row>
    <row r="17" spans="1:8" x14ac:dyDescent="0.25">
      <c r="A17" t="s">
        <v>50</v>
      </c>
      <c r="B17" s="249" t="s">
        <v>573</v>
      </c>
      <c r="C17" s="303">
        <f>C120</f>
        <v>1.937984496124031E-2</v>
      </c>
      <c r="D17" s="249" t="s">
        <v>53</v>
      </c>
      <c r="E17" t="s">
        <v>863</v>
      </c>
    </row>
    <row r="18" spans="1:8" x14ac:dyDescent="0.25">
      <c r="A18" t="s">
        <v>391</v>
      </c>
      <c r="B18" s="249" t="s">
        <v>574</v>
      </c>
      <c r="C18" s="302">
        <f>C121</f>
        <v>9.6899224806201549E-3</v>
      </c>
      <c r="D18" s="249" t="s">
        <v>392</v>
      </c>
      <c r="E18" t="s">
        <v>863</v>
      </c>
    </row>
    <row r="19" spans="1:8" x14ac:dyDescent="0.25">
      <c r="A19" t="s">
        <v>393</v>
      </c>
      <c r="B19" s="249" t="s">
        <v>575</v>
      </c>
      <c r="C19" s="301">
        <f>C119*12/44</f>
        <v>0.60676532769556024</v>
      </c>
      <c r="D19" s="249" t="s">
        <v>876</v>
      </c>
      <c r="E19" t="s">
        <v>871</v>
      </c>
    </row>
    <row r="20" spans="1:8" x14ac:dyDescent="0.25">
      <c r="A20" t="s">
        <v>394</v>
      </c>
      <c r="B20" t="s">
        <v>576</v>
      </c>
      <c r="C20" s="97">
        <f>C122</f>
        <v>51.918604651162788</v>
      </c>
      <c r="D20" t="s">
        <v>395</v>
      </c>
    </row>
    <row r="21" spans="1:8" x14ac:dyDescent="0.25">
      <c r="A21" t="s">
        <v>394</v>
      </c>
      <c r="B21" s="249" t="s">
        <v>862</v>
      </c>
      <c r="C21" s="256">
        <f>C123</f>
        <v>0.43691695479157155</v>
      </c>
      <c r="D21" s="292" t="s">
        <v>870</v>
      </c>
      <c r="E21" t="s">
        <v>864</v>
      </c>
    </row>
    <row r="22" spans="1:8" x14ac:dyDescent="0.25">
      <c r="A22" t="s">
        <v>680</v>
      </c>
      <c r="B22" s="249" t="s">
        <v>692</v>
      </c>
      <c r="C22" s="273">
        <f>C111/1000</f>
        <v>1.4234186046511628E-3</v>
      </c>
      <c r="D22" s="249" t="s">
        <v>681</v>
      </c>
      <c r="E22" t="s">
        <v>683</v>
      </c>
    </row>
    <row r="23" spans="1:8" x14ac:dyDescent="0.25">
      <c r="A23" t="s">
        <v>688</v>
      </c>
      <c r="B23" s="249" t="s">
        <v>691</v>
      </c>
      <c r="C23" s="273">
        <f>C115/1000/D66</f>
        <v>2.2264216429330526E-2</v>
      </c>
      <c r="D23" s="249" t="s">
        <v>696</v>
      </c>
    </row>
    <row r="26" spans="1:8" x14ac:dyDescent="0.25">
      <c r="E26" s="97"/>
      <c r="H26" s="99"/>
    </row>
    <row r="27" spans="1:8" s="90" customFormat="1" x14ac:dyDescent="0.25">
      <c r="E27" s="100"/>
      <c r="H27" s="101"/>
    </row>
    <row r="28" spans="1:8" s="93" customFormat="1" x14ac:dyDescent="0.25">
      <c r="A28" s="93" t="s">
        <v>396</v>
      </c>
      <c r="C28" s="93" t="s">
        <v>305</v>
      </c>
      <c r="D28" s="92" t="s">
        <v>389</v>
      </c>
      <c r="E28" s="102"/>
      <c r="H28" s="103"/>
    </row>
    <row r="29" spans="1:8" x14ac:dyDescent="0.25">
      <c r="A29" t="s">
        <v>397</v>
      </c>
      <c r="B29">
        <f>516*330</f>
        <v>170280</v>
      </c>
      <c r="C29" t="s">
        <v>307</v>
      </c>
      <c r="D29" t="s">
        <v>372</v>
      </c>
    </row>
    <row r="30" spans="1:8" x14ac:dyDescent="0.25">
      <c r="A30" t="s">
        <v>398</v>
      </c>
      <c r="B30" s="104">
        <f t="array" ref="B30">SUM($B$29/(1.1)^{1,2,3,4,5,6,7,8,9,10,11,12,13,14,15,16,17,18,19,20,21,22,23,24,25,26,27,28,29,30})</f>
        <v>1605214.9954387702</v>
      </c>
      <c r="C30" t="s">
        <v>307</v>
      </c>
      <c r="E30" s="98"/>
    </row>
    <row r="31" spans="1:8" x14ac:dyDescent="0.25">
      <c r="A31" t="s">
        <v>399</v>
      </c>
      <c r="B31">
        <v>25</v>
      </c>
      <c r="C31" s="104" t="s">
        <v>400</v>
      </c>
      <c r="D31" t="s">
        <v>401</v>
      </c>
    </row>
    <row r="32" spans="1:8" x14ac:dyDescent="0.25">
      <c r="A32" t="s">
        <v>402</v>
      </c>
      <c r="B32" s="97">
        <f>B31*330/1000</f>
        <v>8.25</v>
      </c>
      <c r="C32" s="104" t="s">
        <v>51</v>
      </c>
      <c r="E32" s="98"/>
      <c r="H32" s="99"/>
    </row>
    <row r="33" spans="1:8" x14ac:dyDescent="0.25">
      <c r="A33" t="s">
        <v>403</v>
      </c>
      <c r="B33">
        <v>330</v>
      </c>
      <c r="C33" t="s">
        <v>311</v>
      </c>
      <c r="E33" s="98"/>
      <c r="H33" s="99"/>
    </row>
    <row r="34" spans="1:8" x14ac:dyDescent="0.25">
      <c r="A34" t="s">
        <v>404</v>
      </c>
      <c r="B34">
        <f>B33*24</f>
        <v>7920</v>
      </c>
      <c r="C34" t="s">
        <v>405</v>
      </c>
      <c r="E34" s="98"/>
      <c r="H34" s="99"/>
    </row>
    <row r="35" spans="1:8" x14ac:dyDescent="0.25">
      <c r="A35" t="s">
        <v>406</v>
      </c>
      <c r="B35">
        <v>2023.4280000000001</v>
      </c>
      <c r="C35" t="s">
        <v>371</v>
      </c>
      <c r="D35" t="s">
        <v>407</v>
      </c>
      <c r="E35" s="98"/>
      <c r="H35" s="99"/>
    </row>
    <row r="36" spans="1:8" x14ac:dyDescent="0.25">
      <c r="A36" t="s">
        <v>410</v>
      </c>
      <c r="B36">
        <v>0.90718500000000002</v>
      </c>
      <c r="E36" s="105"/>
    </row>
    <row r="37" spans="1:8" s="90" customFormat="1" x14ac:dyDescent="0.25"/>
    <row r="38" spans="1:8" x14ac:dyDescent="0.25">
      <c r="A38" s="106" t="s">
        <v>408</v>
      </c>
    </row>
    <row r="39" spans="1:8" x14ac:dyDescent="0.25">
      <c r="B39" t="s">
        <v>409</v>
      </c>
    </row>
    <row r="40" spans="1:8" x14ac:dyDescent="0.25">
      <c r="B40" s="107"/>
      <c r="C40" s="108" t="s">
        <v>411</v>
      </c>
      <c r="D40" s="108" t="s">
        <v>412</v>
      </c>
      <c r="E40" s="109" t="s">
        <v>413</v>
      </c>
      <c r="F40" s="110" t="s">
        <v>262</v>
      </c>
    </row>
    <row r="41" spans="1:8" x14ac:dyDescent="0.25">
      <c r="A41">
        <f>D41*172000</f>
        <v>17253371.693755958</v>
      </c>
      <c r="B41" s="111" t="s">
        <v>315</v>
      </c>
      <c r="C41" s="112">
        <v>91</v>
      </c>
      <c r="D41" s="113">
        <f t="shared" ref="D41:D49" si="0">C41/$B$36</f>
        <v>100.31030054509279</v>
      </c>
      <c r="E41" s="114" t="b">
        <v>1</v>
      </c>
      <c r="F41" t="s">
        <v>414</v>
      </c>
    </row>
    <row r="42" spans="1:8" x14ac:dyDescent="0.25">
      <c r="A42">
        <f t="shared" ref="A42:A48" si="1">D42*172000</f>
        <v>2843962.3671026309</v>
      </c>
      <c r="B42" s="111" t="s">
        <v>306</v>
      </c>
      <c r="C42" s="112">
        <v>15</v>
      </c>
      <c r="D42" s="113">
        <f t="shared" si="0"/>
        <v>16.534664925015296</v>
      </c>
      <c r="E42" s="114" t="b">
        <v>1</v>
      </c>
    </row>
    <row r="43" spans="1:8" x14ac:dyDescent="0.25">
      <c r="A43">
        <f t="shared" si="1"/>
        <v>1137584.9468410523</v>
      </c>
      <c r="B43" s="111" t="s">
        <v>370</v>
      </c>
      <c r="C43" s="112">
        <v>6</v>
      </c>
      <c r="D43" s="113">
        <f t="shared" si="0"/>
        <v>6.6138659700061178</v>
      </c>
      <c r="E43" s="114" t="b">
        <v>0</v>
      </c>
    </row>
    <row r="44" spans="1:8" x14ac:dyDescent="0.25">
      <c r="A44">
        <f t="shared" si="1"/>
        <v>5308729.7519249106</v>
      </c>
      <c r="B44" s="111" t="s">
        <v>56</v>
      </c>
      <c r="C44" s="112">
        <v>28</v>
      </c>
      <c r="D44" s="113">
        <f t="shared" si="0"/>
        <v>30.864707860028549</v>
      </c>
      <c r="E44" s="114" t="b">
        <v>1</v>
      </c>
      <c r="F44" t="s">
        <v>415</v>
      </c>
    </row>
    <row r="45" spans="1:8" x14ac:dyDescent="0.25">
      <c r="A45">
        <f t="shared" si="1"/>
        <v>758389.96456070151</v>
      </c>
      <c r="B45" s="111" t="s">
        <v>416</v>
      </c>
      <c r="C45" s="112">
        <v>4</v>
      </c>
      <c r="D45" s="113">
        <f t="shared" si="0"/>
        <v>4.4092439800040788</v>
      </c>
      <c r="E45" s="114" t="b">
        <v>1</v>
      </c>
      <c r="F45" t="s">
        <v>417</v>
      </c>
    </row>
    <row r="46" spans="1:8" x14ac:dyDescent="0.25">
      <c r="A46">
        <f t="shared" si="1"/>
        <v>11755044.450690875</v>
      </c>
      <c r="B46" s="111" t="s">
        <v>57</v>
      </c>
      <c r="C46" s="112">
        <v>62</v>
      </c>
      <c r="D46" s="113">
        <f t="shared" si="0"/>
        <v>68.343281690063222</v>
      </c>
      <c r="E46" s="114" t="b">
        <v>0</v>
      </c>
    </row>
    <row r="47" spans="1:8" x14ac:dyDescent="0.25">
      <c r="A47">
        <f t="shared" si="1"/>
        <v>11755044.450690875</v>
      </c>
      <c r="B47" s="111" t="s">
        <v>59</v>
      </c>
      <c r="C47" s="112">
        <v>62</v>
      </c>
      <c r="D47" s="113">
        <f t="shared" si="0"/>
        <v>68.343281690063222</v>
      </c>
      <c r="E47" s="114" t="b">
        <v>1</v>
      </c>
      <c r="F47" t="s">
        <v>509</v>
      </c>
    </row>
    <row r="48" spans="1:8" x14ac:dyDescent="0.25">
      <c r="A48">
        <f t="shared" si="1"/>
        <v>7773497.1367471907</v>
      </c>
      <c r="B48" s="111" t="s">
        <v>60</v>
      </c>
      <c r="C48" s="112">
        <v>41</v>
      </c>
      <c r="D48" s="113">
        <f t="shared" si="0"/>
        <v>45.194750795041806</v>
      </c>
      <c r="E48" s="114" t="b">
        <v>1</v>
      </c>
      <c r="F48" t="s">
        <v>509</v>
      </c>
    </row>
    <row r="49" spans="1:6" x14ac:dyDescent="0.25">
      <c r="A49">
        <f>D49*172000</f>
        <v>34506743.387511916</v>
      </c>
      <c r="B49" s="115" t="s">
        <v>61</v>
      </c>
      <c r="C49" s="116">
        <v>182</v>
      </c>
      <c r="D49" s="117">
        <f t="shared" si="0"/>
        <v>200.62060109018557</v>
      </c>
      <c r="E49" s="118" t="b">
        <v>1</v>
      </c>
      <c r="F49" t="s">
        <v>509</v>
      </c>
    </row>
    <row r="50" spans="1:6" x14ac:dyDescent="0.25">
      <c r="A50" s="305">
        <f>SUM(A47:A49)/D59</f>
        <v>0.13848099686045615</v>
      </c>
      <c r="B50" s="119" t="s">
        <v>62</v>
      </c>
      <c r="C50" s="120">
        <f>SUM(C41:C49)</f>
        <v>491</v>
      </c>
      <c r="D50" s="121">
        <f>SUM(D41:D49)</f>
        <v>541.23469854550058</v>
      </c>
      <c r="E50" s="90"/>
      <c r="F50" t="s">
        <v>63</v>
      </c>
    </row>
    <row r="52" spans="1:6" x14ac:dyDescent="0.25">
      <c r="B52" s="107" t="s">
        <v>418</v>
      </c>
      <c r="C52" s="122" t="s">
        <v>65</v>
      </c>
      <c r="D52" s="123">
        <v>22843635</v>
      </c>
      <c r="E52" s="124"/>
      <c r="F52" t="s">
        <v>419</v>
      </c>
    </row>
    <row r="53" spans="1:6" x14ac:dyDescent="0.25">
      <c r="B53" s="119" t="s">
        <v>64</v>
      </c>
      <c r="C53" s="93" t="s">
        <v>66</v>
      </c>
      <c r="D53" s="125">
        <f>D52/B30</f>
        <v>14.230888114620379</v>
      </c>
      <c r="E53" s="118" t="b">
        <v>1</v>
      </c>
    </row>
    <row r="54" spans="1:6" x14ac:dyDescent="0.25">
      <c r="B54" s="88"/>
      <c r="C54" s="126"/>
      <c r="D54" s="127"/>
    </row>
    <row r="55" spans="1:6" x14ac:dyDescent="0.25">
      <c r="B55" s="107" t="s">
        <v>420</v>
      </c>
      <c r="C55" s="122" t="s">
        <v>65</v>
      </c>
      <c r="D55" s="123">
        <f>-7.11*1.314*10000*0.9*2023</f>
        <v>-170099625.78000003</v>
      </c>
      <c r="E55" s="124"/>
      <c r="F55" t="s">
        <v>612</v>
      </c>
    </row>
    <row r="56" spans="1:6" x14ac:dyDescent="0.25">
      <c r="B56" s="119" t="s">
        <v>421</v>
      </c>
      <c r="C56" s="93" t="s">
        <v>66</v>
      </c>
      <c r="D56" s="125">
        <f>D55/B30</f>
        <v>-105.96688061308879</v>
      </c>
      <c r="E56" s="118" t="b">
        <v>0</v>
      </c>
      <c r="F56" s="128"/>
    </row>
    <row r="57" spans="1:6" x14ac:dyDescent="0.25">
      <c r="B57" s="88"/>
      <c r="C57" s="126"/>
      <c r="D57" s="127"/>
    </row>
    <row r="58" spans="1:6" x14ac:dyDescent="0.25">
      <c r="A58" t="s">
        <v>522</v>
      </c>
      <c r="B58" s="107" t="s">
        <v>479</v>
      </c>
      <c r="C58" s="206">
        <v>0.13700000000000001</v>
      </c>
      <c r="D58" s="259"/>
    </row>
    <row r="59" spans="1:6" x14ac:dyDescent="0.25">
      <c r="A59" t="s">
        <v>523</v>
      </c>
      <c r="B59" s="107" t="s">
        <v>519</v>
      </c>
      <c r="C59" s="122" t="s">
        <v>65</v>
      </c>
      <c r="D59" s="207">
        <v>390200000</v>
      </c>
      <c r="E59" s="124"/>
    </row>
    <row r="60" spans="1:6" x14ac:dyDescent="0.25">
      <c r="B60" s="111" t="s">
        <v>520</v>
      </c>
      <c r="C60" s="126" t="s">
        <v>65</v>
      </c>
      <c r="D60" s="177">
        <f>D59-IF(E56,D55,0)</f>
        <v>390200000</v>
      </c>
      <c r="E60" s="124"/>
    </row>
    <row r="61" spans="1:6" x14ac:dyDescent="0.25">
      <c r="B61" s="111" t="s">
        <v>521</v>
      </c>
      <c r="C61" s="126" t="s">
        <v>65</v>
      </c>
      <c r="D61" s="177">
        <f>D60*C58</f>
        <v>53457400.000000007</v>
      </c>
      <c r="E61" s="124"/>
    </row>
    <row r="62" spans="1:6" x14ac:dyDescent="0.25">
      <c r="B62" s="115" t="s">
        <v>521</v>
      </c>
      <c r="C62" s="93" t="s">
        <v>66</v>
      </c>
      <c r="D62" s="208">
        <f>-D60/B30</f>
        <v>-243.08270300785631</v>
      </c>
      <c r="E62" s="118" t="b">
        <v>1</v>
      </c>
    </row>
    <row r="63" spans="1:6" x14ac:dyDescent="0.25">
      <c r="E63" s="129"/>
    </row>
    <row r="64" spans="1:6" x14ac:dyDescent="0.25">
      <c r="A64" s="110" t="s">
        <v>422</v>
      </c>
      <c r="B64" s="110" t="s">
        <v>67</v>
      </c>
      <c r="C64" t="s">
        <v>423</v>
      </c>
      <c r="D64" s="129">
        <f>D50-SUMIFS(D41:D62,E41:E62,TRUE)</f>
        <v>303.80896255330521</v>
      </c>
    </row>
    <row r="65" spans="1:4" x14ac:dyDescent="0.25">
      <c r="B65" s="110" t="s">
        <v>67</v>
      </c>
      <c r="C65" t="s">
        <v>68</v>
      </c>
      <c r="D65" s="130">
        <f>D64/1000</f>
        <v>0.3038089625533052</v>
      </c>
    </row>
    <row r="66" spans="1:4" x14ac:dyDescent="0.25">
      <c r="B66" s="131" t="s">
        <v>424</v>
      </c>
      <c r="C66" t="s">
        <v>425</v>
      </c>
      <c r="D66" s="94">
        <v>3.2942738452482621</v>
      </c>
    </row>
    <row r="67" spans="1:4" x14ac:dyDescent="0.25">
      <c r="B67" s="132" t="s">
        <v>69</v>
      </c>
      <c r="C67" s="132" t="s">
        <v>70</v>
      </c>
      <c r="D67" s="133">
        <f>D65/D66</f>
        <v>9.2223347792268817E-2</v>
      </c>
    </row>
    <row r="68" spans="1:4" x14ac:dyDescent="0.25">
      <c r="B68" s="132" t="s">
        <v>426</v>
      </c>
      <c r="C68" s="132" t="s">
        <v>427</v>
      </c>
      <c r="D68" s="133">
        <f>Algae_nonLandVariableCost*Algae_yield</f>
        <v>0.76084261928621777</v>
      </c>
    </row>
    <row r="69" spans="1:4" x14ac:dyDescent="0.25">
      <c r="B69" s="132"/>
      <c r="C69" s="132"/>
      <c r="D69" s="133"/>
    </row>
    <row r="70" spans="1:4" x14ac:dyDescent="0.25">
      <c r="B70" s="132"/>
      <c r="C70" s="132"/>
      <c r="D70" s="133"/>
    </row>
    <row r="71" spans="1:4" x14ac:dyDescent="0.25">
      <c r="B71" s="132"/>
      <c r="C71" s="132"/>
      <c r="D71" s="133"/>
    </row>
    <row r="73" spans="1:4" s="90" customFormat="1" x14ac:dyDescent="0.25"/>
    <row r="74" spans="1:4" x14ac:dyDescent="0.25">
      <c r="A74" s="106" t="s">
        <v>428</v>
      </c>
    </row>
    <row r="75" spans="1:4" x14ac:dyDescent="0.25">
      <c r="B75" s="95" t="s">
        <v>429</v>
      </c>
    </row>
    <row r="76" spans="1:4" ht="15.75" thickBot="1" x14ac:dyDescent="0.3">
      <c r="B76" s="134" t="s">
        <v>373</v>
      </c>
      <c r="C76" s="135" t="s">
        <v>374</v>
      </c>
    </row>
    <row r="77" spans="1:4" ht="15.75" thickBot="1" x14ac:dyDescent="0.3">
      <c r="B77" s="136" t="s">
        <v>430</v>
      </c>
      <c r="C77" s="137">
        <v>516</v>
      </c>
    </row>
    <row r="78" spans="1:4" ht="15.75" thickBot="1" x14ac:dyDescent="0.3">
      <c r="B78" s="136" t="s">
        <v>376</v>
      </c>
      <c r="C78" s="138">
        <v>528</v>
      </c>
    </row>
    <row r="79" spans="1:4" ht="15.75" thickBot="1" x14ac:dyDescent="0.3">
      <c r="B79" s="136" t="s">
        <v>377</v>
      </c>
      <c r="C79" s="139">
        <v>2082</v>
      </c>
    </row>
    <row r="80" spans="1:4" ht="15.75" thickBot="1" x14ac:dyDescent="0.3">
      <c r="B80" s="140" t="s">
        <v>378</v>
      </c>
      <c r="C80" s="141"/>
    </row>
    <row r="81" spans="1:3" ht="16.5" thickBot="1" x14ac:dyDescent="0.3">
      <c r="B81" s="136" t="s">
        <v>431</v>
      </c>
      <c r="C81" s="139">
        <v>1148</v>
      </c>
    </row>
    <row r="82" spans="1:3" ht="15.75" thickBot="1" x14ac:dyDescent="0.3">
      <c r="B82" s="136" t="s">
        <v>306</v>
      </c>
      <c r="C82" s="138">
        <v>10</v>
      </c>
    </row>
    <row r="83" spans="1:3" ht="15.75" thickBot="1" x14ac:dyDescent="0.3">
      <c r="B83" s="136" t="s">
        <v>317</v>
      </c>
      <c r="C83" s="138">
        <v>5</v>
      </c>
    </row>
    <row r="84" spans="1:3" ht="15.75" thickBot="1" x14ac:dyDescent="0.3">
      <c r="B84" s="136" t="s">
        <v>432</v>
      </c>
      <c r="C84" s="139">
        <v>26790</v>
      </c>
    </row>
    <row r="85" spans="1:3" ht="15.75" thickBot="1" x14ac:dyDescent="0.3">
      <c r="B85" s="136" t="s">
        <v>433</v>
      </c>
      <c r="C85" s="139">
        <v>234084</v>
      </c>
    </row>
    <row r="86" spans="1:3" ht="15.75" thickBot="1" x14ac:dyDescent="0.3">
      <c r="B86" s="140" t="s">
        <v>379</v>
      </c>
      <c r="C86" s="141"/>
    </row>
    <row r="87" spans="1:3" ht="15.75" thickBot="1" x14ac:dyDescent="0.3">
      <c r="B87" s="136" t="s">
        <v>380</v>
      </c>
      <c r="C87" s="139">
        <v>6272</v>
      </c>
    </row>
    <row r="88" spans="1:3" ht="15.75" thickBot="1" x14ac:dyDescent="0.3">
      <c r="B88" s="136" t="s">
        <v>381</v>
      </c>
      <c r="C88" s="138">
        <v>0.33</v>
      </c>
    </row>
    <row r="89" spans="1:3" ht="15.75" thickBot="1" x14ac:dyDescent="0.3">
      <c r="B89" s="140" t="s">
        <v>382</v>
      </c>
      <c r="C89" s="141"/>
    </row>
    <row r="90" spans="1:3" ht="15.75" thickBot="1" x14ac:dyDescent="0.3">
      <c r="A90" s="99"/>
      <c r="B90" s="136" t="s">
        <v>383</v>
      </c>
      <c r="C90" s="139">
        <v>18060</v>
      </c>
    </row>
    <row r="91" spans="1:3" ht="16.5" thickBot="1" x14ac:dyDescent="0.3">
      <c r="B91" s="136" t="s">
        <v>434</v>
      </c>
      <c r="C91" s="138">
        <v>114</v>
      </c>
    </row>
    <row r="92" spans="1:3" ht="16.5" thickBot="1" x14ac:dyDescent="0.3">
      <c r="B92" s="136" t="s">
        <v>435</v>
      </c>
      <c r="C92" s="138">
        <v>890</v>
      </c>
    </row>
    <row r="93" spans="1:3" x14ac:dyDescent="0.25">
      <c r="B93" s="142"/>
      <c r="C93" s="143"/>
    </row>
    <row r="94" spans="1:3" x14ac:dyDescent="0.25">
      <c r="B94" s="246" t="s">
        <v>436</v>
      </c>
      <c r="C94" s="247">
        <v>516</v>
      </c>
    </row>
    <row r="95" spans="1:3" x14ac:dyDescent="0.25">
      <c r="B95" s="246" t="s">
        <v>437</v>
      </c>
      <c r="C95" s="248">
        <f>C94/B35/10000*1000000*330/1000</f>
        <v>8.415421749624894</v>
      </c>
    </row>
    <row r="96" spans="1:3" x14ac:dyDescent="0.25">
      <c r="B96" s="246" t="s">
        <v>438</v>
      </c>
      <c r="C96" s="248">
        <f>C85*330</f>
        <v>77247720</v>
      </c>
    </row>
    <row r="98" spans="1:4" ht="15.75" thickBot="1" x14ac:dyDescent="0.3">
      <c r="A98" s="110" t="s">
        <v>439</v>
      </c>
    </row>
    <row r="99" spans="1:4" ht="15.75" thickBot="1" x14ac:dyDescent="0.3">
      <c r="A99" t="s">
        <v>440</v>
      </c>
      <c r="B99" s="136" t="s">
        <v>309</v>
      </c>
      <c r="C99" s="144">
        <f>C85/$C$94</f>
        <v>453.6511627906977</v>
      </c>
    </row>
    <row r="100" spans="1:4" ht="15.75" thickBot="1" x14ac:dyDescent="0.3">
      <c r="B100" s="136" t="s">
        <v>441</v>
      </c>
      <c r="C100" s="145">
        <v>3.5999999999999999E-3</v>
      </c>
    </row>
    <row r="101" spans="1:4" ht="15.75" thickBot="1" x14ac:dyDescent="0.3">
      <c r="B101" s="136" t="s">
        <v>442</v>
      </c>
      <c r="C101" s="146">
        <f>C85*330*C100/(B35*10000)</f>
        <v>1.374359710352926E-2</v>
      </c>
      <c r="D101" s="147"/>
    </row>
    <row r="102" spans="1:4" ht="15.75" thickBot="1" x14ac:dyDescent="0.3">
      <c r="B102" s="148" t="s">
        <v>682</v>
      </c>
      <c r="C102" s="149">
        <f>C100*C99</f>
        <v>1.6331441860465117</v>
      </c>
      <c r="D102" t="s">
        <v>443</v>
      </c>
    </row>
    <row r="103" spans="1:4" ht="15.75" thickBot="1" x14ac:dyDescent="0.3"/>
    <row r="104" spans="1:4" ht="15.75" thickBot="1" x14ac:dyDescent="0.3">
      <c r="A104" t="s">
        <v>444</v>
      </c>
      <c r="B104" s="136" t="s">
        <v>445</v>
      </c>
      <c r="C104" s="144">
        <v>17</v>
      </c>
    </row>
    <row r="105" spans="1:4" ht="15.75" thickBot="1" x14ac:dyDescent="0.3">
      <c r="B105" s="136" t="s">
        <v>446</v>
      </c>
      <c r="C105" s="145">
        <f>C104*B34</f>
        <v>134640</v>
      </c>
    </row>
    <row r="106" spans="1:4" ht="15.75" thickBot="1" x14ac:dyDescent="0.3">
      <c r="B106" s="136" t="s">
        <v>447</v>
      </c>
      <c r="C106" s="150">
        <f>C105/B29</f>
        <v>0.79069767441860461</v>
      </c>
    </row>
    <row r="108" spans="1:4" x14ac:dyDescent="0.25">
      <c r="A108" t="s">
        <v>448</v>
      </c>
      <c r="B108" t="s">
        <v>449</v>
      </c>
      <c r="C108" s="151">
        <f>(C91+C81)/C94</f>
        <v>2.445736434108527</v>
      </c>
    </row>
    <row r="109" spans="1:4" x14ac:dyDescent="0.25">
      <c r="B109" t="s">
        <v>450</v>
      </c>
      <c r="C109">
        <v>1.78</v>
      </c>
      <c r="D109" t="s">
        <v>451</v>
      </c>
    </row>
    <row r="110" spans="1:4" x14ac:dyDescent="0.25">
      <c r="B110" t="s">
        <v>452</v>
      </c>
      <c r="C110">
        <v>582</v>
      </c>
      <c r="D110" t="s">
        <v>451</v>
      </c>
    </row>
    <row r="111" spans="1:4" x14ac:dyDescent="0.25">
      <c r="B111" t="s">
        <v>686</v>
      </c>
      <c r="C111" s="97">
        <f>C110*C108/1000</f>
        <v>1.4234186046511628</v>
      </c>
      <c r="D111" t="s">
        <v>453</v>
      </c>
    </row>
    <row r="112" spans="1:4" x14ac:dyDescent="0.25">
      <c r="B112" t="s">
        <v>454</v>
      </c>
      <c r="C112">
        <v>0.14699999999999999</v>
      </c>
      <c r="D112" t="s">
        <v>451</v>
      </c>
    </row>
    <row r="113" spans="1:5" x14ac:dyDescent="0.25">
      <c r="B113" t="s">
        <v>685</v>
      </c>
      <c r="C113" s="105">
        <f>C111/C100</f>
        <v>395.39405684754524</v>
      </c>
      <c r="D113" t="s">
        <v>684</v>
      </c>
    </row>
    <row r="114" spans="1:5" x14ac:dyDescent="0.25">
      <c r="B114" s="262" t="s">
        <v>687</v>
      </c>
      <c r="C114" s="274">
        <f>C113*0.0682</f>
        <v>26.965874677002585</v>
      </c>
      <c r="D114" s="262" t="s">
        <v>690</v>
      </c>
    </row>
    <row r="115" spans="1:5" x14ac:dyDescent="0.25">
      <c r="B115" s="262" t="s">
        <v>689</v>
      </c>
      <c r="C115" s="274">
        <f>D41-C114</f>
        <v>73.344425868090198</v>
      </c>
      <c r="D115" s="262" t="s">
        <v>690</v>
      </c>
    </row>
    <row r="116" spans="1:5" x14ac:dyDescent="0.25">
      <c r="C116" s="97"/>
    </row>
    <row r="118" spans="1:5" ht="15.75" thickBot="1" x14ac:dyDescent="0.3">
      <c r="C118" s="152" t="s">
        <v>375</v>
      </c>
    </row>
    <row r="119" spans="1:5" ht="15.75" thickBot="1" x14ac:dyDescent="0.3">
      <c r="A119" s="110" t="s">
        <v>455</v>
      </c>
      <c r="B119" s="148" t="s">
        <v>456</v>
      </c>
      <c r="C119" s="153">
        <f>C81/$C$94</f>
        <v>2.2248062015503876</v>
      </c>
      <c r="D119" t="s">
        <v>865</v>
      </c>
      <c r="E119" t="s">
        <v>866</v>
      </c>
    </row>
    <row r="120" spans="1:5" ht="15.75" thickBot="1" x14ac:dyDescent="0.3">
      <c r="B120" s="148" t="s">
        <v>306</v>
      </c>
      <c r="C120" s="153">
        <f>C82/$C$94</f>
        <v>1.937984496124031E-2</v>
      </c>
      <c r="D120" t="s">
        <v>865</v>
      </c>
      <c r="E120" t="s">
        <v>866</v>
      </c>
    </row>
    <row r="121" spans="1:5" ht="15.75" thickBot="1" x14ac:dyDescent="0.3">
      <c r="B121" s="148" t="s">
        <v>317</v>
      </c>
      <c r="C121" s="153">
        <f>C83/$C$94</f>
        <v>9.6899224806201549E-3</v>
      </c>
      <c r="D121" t="s">
        <v>865</v>
      </c>
      <c r="E121" t="s">
        <v>866</v>
      </c>
    </row>
    <row r="122" spans="1:5" ht="15.75" thickBot="1" x14ac:dyDescent="0.3">
      <c r="B122" s="148" t="s">
        <v>457</v>
      </c>
      <c r="C122" s="153">
        <f>C84/$C$94</f>
        <v>51.918604651162788</v>
      </c>
      <c r="D122" t="s">
        <v>865</v>
      </c>
      <c r="E122" t="s">
        <v>867</v>
      </c>
    </row>
    <row r="123" spans="1:5" x14ac:dyDescent="0.25">
      <c r="B123" s="290" t="s">
        <v>868</v>
      </c>
      <c r="C123" s="291">
        <f>330*C84/(B35*10000)</f>
        <v>0.43691695479157155</v>
      </c>
      <c r="D123" t="s">
        <v>869</v>
      </c>
    </row>
    <row r="124" spans="1:5" x14ac:dyDescent="0.25">
      <c r="C124" s="291"/>
    </row>
    <row r="126" spans="1:5" ht="15.75" thickBot="1" x14ac:dyDescent="0.3">
      <c r="A126" t="s">
        <v>458</v>
      </c>
      <c r="C126" s="152" t="s">
        <v>375</v>
      </c>
    </row>
    <row r="127" spans="1:5" ht="15.75" thickBot="1" x14ac:dyDescent="0.3">
      <c r="B127" s="136" t="s">
        <v>459</v>
      </c>
      <c r="C127" s="154">
        <f>SUM(C77:C79)/C94</f>
        <v>6.058139534883721</v>
      </c>
    </row>
    <row r="128" spans="1:5" ht="15.75" thickBot="1" x14ac:dyDescent="0.3">
      <c r="B128" s="136" t="s">
        <v>380</v>
      </c>
      <c r="C128" s="154">
        <f>C87/$C$94</f>
        <v>12.155038759689923</v>
      </c>
    </row>
    <row r="129" spans="2:3" ht="15.75" thickBot="1" x14ac:dyDescent="0.3">
      <c r="B129" s="136" t="s">
        <v>381</v>
      </c>
      <c r="C129" s="154">
        <f>C88/$C$94</f>
        <v>6.3953488372093029E-4</v>
      </c>
    </row>
    <row r="130" spans="2:3" ht="15.75" thickBot="1" x14ac:dyDescent="0.3">
      <c r="B130" s="136" t="s">
        <v>383</v>
      </c>
      <c r="C130" s="155">
        <f>C90/$C$94</f>
        <v>35</v>
      </c>
    </row>
    <row r="131" spans="2:3" ht="16.5" thickBot="1" x14ac:dyDescent="0.3">
      <c r="B131" s="136" t="s">
        <v>434</v>
      </c>
      <c r="C131" s="154">
        <f>C91/$C$94</f>
        <v>0.22093023255813954</v>
      </c>
    </row>
    <row r="132" spans="2:3" ht="16.5" thickBot="1" x14ac:dyDescent="0.3">
      <c r="B132" s="136" t="s">
        <v>435</v>
      </c>
      <c r="C132" s="154">
        <f>C92/$C$94</f>
        <v>1.7248062015503876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cellWatches>
    <cellWatch r="C13"/>
    <cellWatch r="C14"/>
  </cellWatch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499984740745262"/>
  </sheetPr>
  <dimension ref="A1:P108"/>
  <sheetViews>
    <sheetView workbookViewId="0">
      <selection activeCell="E14" sqref="E14"/>
    </sheetView>
  </sheetViews>
  <sheetFormatPr defaultColWidth="8.85546875" defaultRowHeight="15" x14ac:dyDescent="0.25"/>
  <cols>
    <col min="1" max="1" width="26.42578125" customWidth="1"/>
    <col min="2" max="2" width="23.42578125" customWidth="1"/>
    <col min="3" max="3" width="15.28515625" bestFit="1" customWidth="1"/>
    <col min="4" max="4" width="14.28515625" bestFit="1" customWidth="1"/>
    <col min="5" max="5" width="19.42578125" customWidth="1"/>
    <col min="6" max="6" width="10" bestFit="1" customWidth="1"/>
    <col min="7" max="7" width="15" customWidth="1"/>
    <col min="13" max="13" width="12.42578125" customWidth="1"/>
    <col min="14" max="14" width="11.85546875" bestFit="1" customWidth="1"/>
    <col min="20" max="20" width="12" bestFit="1" customWidth="1"/>
  </cols>
  <sheetData>
    <row r="1" spans="1:6" ht="26.25" x14ac:dyDescent="0.4">
      <c r="A1" s="193" t="s">
        <v>500</v>
      </c>
    </row>
    <row r="2" spans="1:6" x14ac:dyDescent="0.25">
      <c r="A2" s="194" t="s">
        <v>230</v>
      </c>
    </row>
    <row r="3" spans="1:6" x14ac:dyDescent="0.25">
      <c r="A3" t="s">
        <v>501</v>
      </c>
    </row>
    <row r="4" spans="1:6" x14ac:dyDescent="0.25">
      <c r="A4" s="194"/>
    </row>
    <row r="6" spans="1:6" x14ac:dyDescent="0.25">
      <c r="A6" s="194"/>
    </row>
    <row r="7" spans="1:6" x14ac:dyDescent="0.25">
      <c r="A7" s="86" t="s">
        <v>385</v>
      </c>
      <c r="B7" s="87" t="s">
        <v>514</v>
      </c>
    </row>
    <row r="8" spans="1:6" x14ac:dyDescent="0.25">
      <c r="A8" t="s">
        <v>510</v>
      </c>
      <c r="B8" t="s">
        <v>515</v>
      </c>
    </row>
    <row r="9" spans="1:6" s="90" customFormat="1" x14ac:dyDescent="0.25"/>
    <row r="10" spans="1:6" s="93" customFormat="1" x14ac:dyDescent="0.25">
      <c r="A10" s="91" t="s">
        <v>384</v>
      </c>
      <c r="B10" s="92"/>
      <c r="C10" s="92"/>
      <c r="E10" s="92" t="s">
        <v>389</v>
      </c>
    </row>
    <row r="12" spans="1:6" x14ac:dyDescent="0.25">
      <c r="B12" s="209" t="s">
        <v>569</v>
      </c>
      <c r="C12" t="s">
        <v>504</v>
      </c>
    </row>
    <row r="13" spans="1:6" x14ac:dyDescent="0.25">
      <c r="A13" t="s">
        <v>495</v>
      </c>
      <c r="B13" s="249" t="s">
        <v>600</v>
      </c>
      <c r="C13" s="249">
        <v>1</v>
      </c>
      <c r="D13" t="s">
        <v>588</v>
      </c>
    </row>
    <row r="14" spans="1:6" x14ac:dyDescent="0.25">
      <c r="A14" t="s">
        <v>84</v>
      </c>
      <c r="B14" s="249" t="s">
        <v>601</v>
      </c>
      <c r="C14" s="250">
        <f>C78/B30/1000</f>
        <v>2.761595883209492E-3</v>
      </c>
      <c r="D14" t="s">
        <v>588</v>
      </c>
      <c r="E14" t="s">
        <v>875</v>
      </c>
      <c r="F14" t="s">
        <v>874</v>
      </c>
    </row>
    <row r="15" spans="1:6" x14ac:dyDescent="0.25">
      <c r="A15" t="s">
        <v>87</v>
      </c>
      <c r="B15" s="249" t="s">
        <v>602</v>
      </c>
      <c r="C15" s="250">
        <f>B44/B30/1000</f>
        <v>0</v>
      </c>
      <c r="D15" t="s">
        <v>588</v>
      </c>
    </row>
    <row r="16" spans="1:6" x14ac:dyDescent="0.25">
      <c r="A16" s="93" t="s">
        <v>503</v>
      </c>
      <c r="B16" s="249" t="s">
        <v>603</v>
      </c>
      <c r="C16" s="251">
        <f>SUM(C17:C20)</f>
        <v>2.5188648952133241E-2</v>
      </c>
      <c r="D16" s="93" t="s">
        <v>598</v>
      </c>
      <c r="E16" s="93"/>
    </row>
    <row r="17" spans="1:15" x14ac:dyDescent="0.25">
      <c r="A17" t="s">
        <v>88</v>
      </c>
      <c r="C17" s="198">
        <f>C76/B30/B25/1000</f>
        <v>0</v>
      </c>
      <c r="E17" t="s">
        <v>594</v>
      </c>
    </row>
    <row r="18" spans="1:15" x14ac:dyDescent="0.25">
      <c r="A18" t="s">
        <v>89</v>
      </c>
      <c r="C18" s="198">
        <f>D92/B30/B25/1000</f>
        <v>1.5434809870063875E-3</v>
      </c>
    </row>
    <row r="19" spans="1:15" x14ac:dyDescent="0.25">
      <c r="A19" t="s">
        <v>92</v>
      </c>
      <c r="C19" s="198">
        <f>D107/B30/B25/1000</f>
        <v>5.5512656892314069E-3</v>
      </c>
    </row>
    <row r="20" spans="1:15" x14ac:dyDescent="0.25">
      <c r="A20" t="s">
        <v>94</v>
      </c>
      <c r="C20" s="198">
        <f>D108/B30/B25/1000</f>
        <v>1.8093902275895447E-2</v>
      </c>
    </row>
    <row r="21" spans="1:15" x14ac:dyDescent="0.25">
      <c r="B21" s="156"/>
      <c r="C21" s="156"/>
    </row>
    <row r="22" spans="1:15" s="90" customFormat="1" x14ac:dyDescent="0.25"/>
    <row r="23" spans="1:15" x14ac:dyDescent="0.25">
      <c r="A23" s="186" t="s">
        <v>486</v>
      </c>
      <c r="C23" s="157"/>
    </row>
    <row r="24" spans="1:15" x14ac:dyDescent="0.25">
      <c r="C24" s="128"/>
      <c r="L24" s="98"/>
    </row>
    <row r="25" spans="1:15" x14ac:dyDescent="0.25">
      <c r="A25" s="170" t="s">
        <v>481</v>
      </c>
      <c r="B25" s="96">
        <v>3.2942738452482598</v>
      </c>
      <c r="L25" s="98"/>
    </row>
    <row r="26" spans="1:15" x14ac:dyDescent="0.25">
      <c r="C26" s="97"/>
      <c r="L26" s="97"/>
      <c r="O26" s="99"/>
    </row>
    <row r="27" spans="1:15" x14ac:dyDescent="0.25">
      <c r="A27" t="s">
        <v>71</v>
      </c>
      <c r="B27">
        <v>1215</v>
      </c>
      <c r="C27" t="s">
        <v>72</v>
      </c>
      <c r="D27" t="s">
        <v>73</v>
      </c>
    </row>
    <row r="28" spans="1:15" x14ac:dyDescent="0.25">
      <c r="A28" t="s">
        <v>74</v>
      </c>
      <c r="B28">
        <v>0.9</v>
      </c>
      <c r="C28" t="s">
        <v>75</v>
      </c>
      <c r="L28" s="98"/>
    </row>
    <row r="29" spans="1:15" x14ac:dyDescent="0.25">
      <c r="A29" t="s">
        <v>77</v>
      </c>
      <c r="B29">
        <f>B27*1000/24/B28</f>
        <v>56250</v>
      </c>
      <c r="C29" t="s">
        <v>78</v>
      </c>
      <c r="D29" t="s">
        <v>79</v>
      </c>
    </row>
    <row r="30" spans="1:15" x14ac:dyDescent="0.25">
      <c r="A30" t="s">
        <v>460</v>
      </c>
      <c r="B30" s="104">
        <f>B27*365</f>
        <v>443475</v>
      </c>
      <c r="C30" t="s">
        <v>91</v>
      </c>
      <c r="L30" s="98"/>
      <c r="O30" s="99"/>
    </row>
    <row r="31" spans="1:15" x14ac:dyDescent="0.25">
      <c r="A31" t="s">
        <v>461</v>
      </c>
      <c r="B31" s="104">
        <f>WE!B34</f>
        <v>9376.2573234786723</v>
      </c>
      <c r="C31" t="s">
        <v>462</v>
      </c>
      <c r="D31" t="s">
        <v>463</v>
      </c>
      <c r="L31" s="105"/>
    </row>
    <row r="32" spans="1:15" x14ac:dyDescent="0.25">
      <c r="B32" s="104">
        <f>B31/B28/24*1000</f>
        <v>434085.98719808669</v>
      </c>
      <c r="C32" t="s">
        <v>78</v>
      </c>
    </row>
    <row r="34" spans="1:15" s="90" customFormat="1" x14ac:dyDescent="0.25">
      <c r="L34" s="174"/>
      <c r="O34" s="101"/>
    </row>
    <row r="35" spans="1:15" s="162" customFormat="1" x14ac:dyDescent="0.25">
      <c r="A35" s="184" t="s">
        <v>485</v>
      </c>
      <c r="L35" s="175"/>
      <c r="O35" s="176"/>
    </row>
    <row r="36" spans="1:15" s="162" customFormat="1" x14ac:dyDescent="0.25">
      <c r="L36" s="175"/>
      <c r="O36" s="176"/>
    </row>
    <row r="37" spans="1:15" x14ac:dyDescent="0.25">
      <c r="A37" t="s">
        <v>468</v>
      </c>
    </row>
    <row r="38" spans="1:15" x14ac:dyDescent="0.25">
      <c r="A38" t="s">
        <v>470</v>
      </c>
      <c r="B38">
        <f>WED!B61</f>
        <v>1160785864601.3774</v>
      </c>
      <c r="C38" t="s">
        <v>174</v>
      </c>
    </row>
    <row r="40" spans="1:15" x14ac:dyDescent="0.25">
      <c r="A40" s="91" t="s">
        <v>464</v>
      </c>
      <c r="B40" s="93"/>
      <c r="C40" s="93"/>
      <c r="D40" s="93"/>
      <c r="E40" s="93"/>
      <c r="F40" s="93"/>
      <c r="G40" s="93"/>
      <c r="H40" s="93"/>
      <c r="I40" s="93"/>
      <c r="J40" s="93"/>
      <c r="K40" s="93"/>
    </row>
    <row r="41" spans="1:15" x14ac:dyDescent="0.25">
      <c r="A41" t="s">
        <v>100</v>
      </c>
      <c r="B41" s="167">
        <f>WED!B45*(B32/WED!B46)^WED!B48</f>
        <v>146688342.47623947</v>
      </c>
      <c r="C41" t="s">
        <v>97</v>
      </c>
      <c r="D41" t="s">
        <v>466</v>
      </c>
    </row>
    <row r="42" spans="1:15" x14ac:dyDescent="0.25">
      <c r="A42" t="s">
        <v>103</v>
      </c>
      <c r="B42">
        <v>0</v>
      </c>
      <c r="C42" t="s">
        <v>160</v>
      </c>
    </row>
    <row r="43" spans="1:15" x14ac:dyDescent="0.25">
      <c r="A43" t="s">
        <v>109</v>
      </c>
      <c r="B43" s="104">
        <f>B38*(1.05506*10^(-6))</f>
        <v>1224698.7343063294</v>
      </c>
      <c r="C43" t="s">
        <v>96</v>
      </c>
    </row>
    <row r="44" spans="1:15" x14ac:dyDescent="0.25">
      <c r="A44" t="s">
        <v>111</v>
      </c>
      <c r="B44">
        <v>0</v>
      </c>
      <c r="C44" t="s">
        <v>96</v>
      </c>
    </row>
    <row r="46" spans="1:15" x14ac:dyDescent="0.25">
      <c r="A46" s="91" t="s">
        <v>465</v>
      </c>
      <c r="B46" s="93"/>
      <c r="C46" s="93"/>
      <c r="D46" s="93"/>
      <c r="E46" s="93"/>
      <c r="F46" s="93"/>
      <c r="G46" s="93"/>
      <c r="H46" s="93"/>
      <c r="I46" s="93"/>
      <c r="J46" s="93"/>
      <c r="K46" s="93"/>
    </row>
    <row r="47" spans="1:15" x14ac:dyDescent="0.25">
      <c r="A47" t="s">
        <v>100</v>
      </c>
      <c r="B47" s="167">
        <f>WED!B92</f>
        <v>4500000</v>
      </c>
      <c r="C47" t="s">
        <v>97</v>
      </c>
      <c r="D47" t="s">
        <v>102</v>
      </c>
    </row>
    <row r="48" spans="1:15" x14ac:dyDescent="0.25">
      <c r="A48" t="s">
        <v>103</v>
      </c>
      <c r="B48" s="167">
        <f>WED!B93</f>
        <v>0</v>
      </c>
      <c r="C48" t="s">
        <v>160</v>
      </c>
      <c r="D48" t="s">
        <v>107</v>
      </c>
    </row>
    <row r="49" spans="1:15" x14ac:dyDescent="0.25">
      <c r="A49" t="s">
        <v>109</v>
      </c>
      <c r="B49" s="167">
        <f>WED!B94</f>
        <v>0</v>
      </c>
      <c r="C49" t="s">
        <v>96</v>
      </c>
    </row>
    <row r="50" spans="1:15" x14ac:dyDescent="0.25">
      <c r="A50" t="s">
        <v>111</v>
      </c>
      <c r="B50" s="167">
        <f>WED!B95</f>
        <v>0</v>
      </c>
      <c r="C50" t="s">
        <v>96</v>
      </c>
    </row>
    <row r="52" spans="1:15" s="90" customFormat="1" x14ac:dyDescent="0.25">
      <c r="L52" s="174"/>
      <c r="O52" s="101"/>
    </row>
    <row r="53" spans="1:15" s="162" customFormat="1" x14ac:dyDescent="0.25">
      <c r="A53" s="184" t="s">
        <v>484</v>
      </c>
      <c r="L53" s="175"/>
      <c r="O53" s="176"/>
    </row>
    <row r="55" spans="1:15" x14ac:dyDescent="0.25">
      <c r="A55" t="s">
        <v>113</v>
      </c>
      <c r="B55" t="s">
        <v>114</v>
      </c>
    </row>
    <row r="56" spans="1:15" x14ac:dyDescent="0.25">
      <c r="A56" t="s">
        <v>124</v>
      </c>
      <c r="B56">
        <v>4</v>
      </c>
      <c r="C56" s="167">
        <f>B56/100*$B$47</f>
        <v>180000</v>
      </c>
    </row>
    <row r="57" spans="1:15" x14ac:dyDescent="0.25">
      <c r="A57" t="s">
        <v>128</v>
      </c>
      <c r="B57">
        <v>9</v>
      </c>
      <c r="C57" s="167">
        <f>B57/100*$B$47</f>
        <v>405000</v>
      </c>
    </row>
    <row r="58" spans="1:15" x14ac:dyDescent="0.25">
      <c r="A58" t="s">
        <v>132</v>
      </c>
      <c r="B58">
        <v>4.5</v>
      </c>
      <c r="C58" s="167">
        <f>B58/100*$B$47</f>
        <v>202500</v>
      </c>
    </row>
    <row r="60" spans="1:15" x14ac:dyDescent="0.25">
      <c r="A60" s="95" t="s">
        <v>139</v>
      </c>
      <c r="C60" s="167">
        <f>B41+B47+C56+C57+C58</f>
        <v>151975842.47623947</v>
      </c>
      <c r="D60" s="95"/>
    </row>
    <row r="62" spans="1:15" x14ac:dyDescent="0.25">
      <c r="A62" t="s">
        <v>147</v>
      </c>
      <c r="B62" t="s">
        <v>148</v>
      </c>
      <c r="C62" t="s">
        <v>115</v>
      </c>
    </row>
    <row r="63" spans="1:15" x14ac:dyDescent="0.25">
      <c r="A63" t="s">
        <v>150</v>
      </c>
      <c r="B63">
        <v>10</v>
      </c>
      <c r="C63" s="167">
        <f>B63/100*$C$60</f>
        <v>15197584.247623948</v>
      </c>
    </row>
    <row r="64" spans="1:15" x14ac:dyDescent="0.25">
      <c r="A64" t="s">
        <v>153</v>
      </c>
      <c r="B64">
        <v>10</v>
      </c>
      <c r="C64" s="167">
        <f>B64/100*$C$60</f>
        <v>15197584.247623948</v>
      </c>
    </row>
    <row r="65" spans="1:16" x14ac:dyDescent="0.25">
      <c r="A65" t="s">
        <v>157</v>
      </c>
      <c r="B65">
        <v>20</v>
      </c>
      <c r="C65" s="167">
        <f>B65/100*$C$60</f>
        <v>30395168.495247897</v>
      </c>
    </row>
    <row r="66" spans="1:16" x14ac:dyDescent="0.25">
      <c r="A66" t="s">
        <v>163</v>
      </c>
      <c r="B66">
        <v>10</v>
      </c>
      <c r="C66" s="167">
        <f>B66/100*$C$60</f>
        <v>15197584.247623948</v>
      </c>
    </row>
    <row r="67" spans="1:16" x14ac:dyDescent="0.25">
      <c r="A67" t="s">
        <v>168</v>
      </c>
      <c r="B67">
        <v>10</v>
      </c>
      <c r="C67" s="167">
        <f>B67/100*$C$60</f>
        <v>15197584.247623948</v>
      </c>
    </row>
    <row r="68" spans="1:16" x14ac:dyDescent="0.25">
      <c r="C68" s="167"/>
    </row>
    <row r="69" spans="1:16" x14ac:dyDescent="0.25">
      <c r="A69" s="95" t="s">
        <v>176</v>
      </c>
      <c r="C69" s="167">
        <f>SUM(C63:C67)</f>
        <v>91185505.485743687</v>
      </c>
      <c r="D69" s="95" t="s">
        <v>97</v>
      </c>
    </row>
    <row r="70" spans="1:16" x14ac:dyDescent="0.25">
      <c r="A70" s="95" t="s">
        <v>180</v>
      </c>
      <c r="C70" s="167">
        <f>C60+C69</f>
        <v>243161347.96198314</v>
      </c>
      <c r="D70" s="95" t="s">
        <v>97</v>
      </c>
    </row>
    <row r="72" spans="1:16" x14ac:dyDescent="0.25">
      <c r="A72" t="s">
        <v>188</v>
      </c>
      <c r="C72" s="167">
        <f>1800000/4</f>
        <v>450000</v>
      </c>
      <c r="D72" t="s">
        <v>471</v>
      </c>
    </row>
    <row r="73" spans="1:16" x14ac:dyDescent="0.25">
      <c r="A73" t="s">
        <v>190</v>
      </c>
      <c r="C73" s="167">
        <f>D73/100*C70</f>
        <v>12158067.398099158</v>
      </c>
      <c r="D73">
        <v>5</v>
      </c>
      <c r="E73" t="s">
        <v>182</v>
      </c>
      <c r="P73" s="158"/>
    </row>
    <row r="74" spans="1:16" x14ac:dyDescent="0.25">
      <c r="P74" s="158"/>
    </row>
    <row r="75" spans="1:16" x14ac:dyDescent="0.25">
      <c r="A75" s="159" t="s">
        <v>192</v>
      </c>
      <c r="C75" s="160">
        <f>C70+C72+C73</f>
        <v>255769415.3600823</v>
      </c>
      <c r="D75" s="161" t="s">
        <v>193</v>
      </c>
      <c r="P75" s="158"/>
    </row>
    <row r="76" spans="1:16" x14ac:dyDescent="0.25">
      <c r="A76" s="159" t="s">
        <v>195</v>
      </c>
      <c r="C76" s="160">
        <f>B42+B48</f>
        <v>0</v>
      </c>
      <c r="D76" s="161" t="s">
        <v>196</v>
      </c>
      <c r="E76" t="s">
        <v>197</v>
      </c>
      <c r="P76" s="158"/>
    </row>
    <row r="77" spans="1:16" x14ac:dyDescent="0.25">
      <c r="P77" s="158"/>
    </row>
    <row r="78" spans="1:16" x14ac:dyDescent="0.25">
      <c r="A78" s="159" t="s">
        <v>203</v>
      </c>
      <c r="C78" s="160">
        <f>B43</f>
        <v>1224698.7343063294</v>
      </c>
      <c r="D78" s="161" t="s">
        <v>96</v>
      </c>
      <c r="P78" s="158"/>
    </row>
    <row r="79" spans="1:16" x14ac:dyDescent="0.25">
      <c r="A79" s="159" t="s">
        <v>206</v>
      </c>
      <c r="C79" s="160">
        <f>B44+B50</f>
        <v>0</v>
      </c>
      <c r="D79" s="161" t="s">
        <v>96</v>
      </c>
    </row>
    <row r="80" spans="1:16" s="90" customFormat="1" x14ac:dyDescent="0.25"/>
    <row r="81" spans="1:10" x14ac:dyDescent="0.25">
      <c r="A81" s="159" t="s">
        <v>482</v>
      </c>
    </row>
    <row r="82" spans="1:10" x14ac:dyDescent="0.25">
      <c r="A82" s="91" t="s">
        <v>369</v>
      </c>
      <c r="B82" s="93"/>
      <c r="C82" s="93"/>
      <c r="D82" s="93"/>
      <c r="E82" s="93"/>
      <c r="F82" s="93"/>
      <c r="G82" s="93"/>
      <c r="H82" s="93"/>
      <c r="I82" s="93"/>
      <c r="J82" s="93"/>
    </row>
    <row r="83" spans="1:10" x14ac:dyDescent="0.25">
      <c r="A83" t="s">
        <v>116</v>
      </c>
      <c r="B83" t="s">
        <v>117</v>
      </c>
      <c r="C83" t="s">
        <v>467</v>
      </c>
      <c r="D83" t="s">
        <v>121</v>
      </c>
      <c r="E83" t="s">
        <v>122</v>
      </c>
    </row>
    <row r="84" spans="1:10" x14ac:dyDescent="0.25">
      <c r="A84" t="s">
        <v>149</v>
      </c>
      <c r="B84">
        <v>50743</v>
      </c>
      <c r="C84">
        <v>1</v>
      </c>
      <c r="D84" s="158">
        <f>B84*C84</f>
        <v>50743</v>
      </c>
      <c r="E84" t="s">
        <v>502</v>
      </c>
      <c r="F84" s="167"/>
    </row>
    <row r="85" spans="1:10" x14ac:dyDescent="0.25">
      <c r="A85" s="179" t="s">
        <v>151</v>
      </c>
      <c r="B85" s="179">
        <v>42286</v>
      </c>
      <c r="C85" s="179">
        <v>4</v>
      </c>
      <c r="D85" s="195">
        <f>B85*C85</f>
        <v>169144</v>
      </c>
      <c r="F85" s="167"/>
    </row>
    <row r="86" spans="1:10" x14ac:dyDescent="0.25">
      <c r="A86" t="s">
        <v>169</v>
      </c>
      <c r="D86" s="158">
        <f>SUM(D84:D85)</f>
        <v>219887</v>
      </c>
    </row>
    <row r="87" spans="1:10" x14ac:dyDescent="0.25">
      <c r="A87" s="196" t="s">
        <v>173</v>
      </c>
      <c r="B87" s="196"/>
      <c r="C87" s="196"/>
      <c r="D87" s="197">
        <f>0.9*D86</f>
        <v>197898.30000000002</v>
      </c>
    </row>
    <row r="89" spans="1:10" x14ac:dyDescent="0.25">
      <c r="A89" t="s">
        <v>177</v>
      </c>
      <c r="B89">
        <v>3</v>
      </c>
      <c r="C89" t="s">
        <v>178</v>
      </c>
      <c r="D89" s="158">
        <f>B89/100*B47</f>
        <v>135000</v>
      </c>
    </row>
    <row r="90" spans="1:10" x14ac:dyDescent="0.25">
      <c r="A90" t="s">
        <v>181</v>
      </c>
      <c r="B90">
        <v>0.7</v>
      </c>
      <c r="C90" t="s">
        <v>182</v>
      </c>
      <c r="D90" s="158">
        <f>B90/100*C70</f>
        <v>1702129.4357338818</v>
      </c>
    </row>
    <row r="91" spans="1:10" x14ac:dyDescent="0.25">
      <c r="D91" s="158"/>
    </row>
    <row r="92" spans="1:10" x14ac:dyDescent="0.25">
      <c r="A92" s="159" t="s">
        <v>199</v>
      </c>
      <c r="D92" s="167">
        <f>SUM(D86:D90)</f>
        <v>2254914.7357338816</v>
      </c>
      <c r="E92" s="161" t="s">
        <v>196</v>
      </c>
    </row>
    <row r="93" spans="1:10" x14ac:dyDescent="0.25">
      <c r="D93" s="158"/>
    </row>
    <row r="94" spans="1:10" s="90" customFormat="1" x14ac:dyDescent="0.25"/>
    <row r="95" spans="1:10" s="162" customFormat="1" x14ac:dyDescent="0.25">
      <c r="A95" s="159" t="s">
        <v>498</v>
      </c>
    </row>
    <row r="97" spans="1:10" x14ac:dyDescent="0.25">
      <c r="A97" s="181" t="s">
        <v>480</v>
      </c>
      <c r="B97" s="93"/>
      <c r="C97" s="93"/>
      <c r="D97" s="93"/>
      <c r="E97" s="93"/>
      <c r="F97" s="93"/>
      <c r="G97" s="93"/>
      <c r="H97" s="93"/>
      <c r="I97" s="93"/>
      <c r="J97" s="93"/>
    </row>
    <row r="98" spans="1:10" x14ac:dyDescent="0.25">
      <c r="A98" t="s">
        <v>192</v>
      </c>
      <c r="D98" s="167">
        <v>459800000</v>
      </c>
    </row>
    <row r="99" spans="1:10" x14ac:dyDescent="0.25">
      <c r="A99" t="s">
        <v>207</v>
      </c>
      <c r="D99" s="167">
        <v>14500000</v>
      </c>
    </row>
    <row r="100" spans="1:10" x14ac:dyDescent="0.25">
      <c r="A100" t="s">
        <v>208</v>
      </c>
      <c r="D100" s="167">
        <v>8300000</v>
      </c>
    </row>
    <row r="101" spans="1:10" x14ac:dyDescent="0.25">
      <c r="A101" t="s">
        <v>209</v>
      </c>
      <c r="D101" s="167">
        <v>39300000</v>
      </c>
    </row>
    <row r="103" spans="1:10" x14ac:dyDescent="0.25">
      <c r="A103" t="s">
        <v>210</v>
      </c>
      <c r="D103">
        <f>(D99+D100+D101)/D98</f>
        <v>0.13505872118312309</v>
      </c>
    </row>
    <row r="105" spans="1:10" x14ac:dyDescent="0.25">
      <c r="A105" s="181" t="s">
        <v>499</v>
      </c>
      <c r="B105" s="191"/>
      <c r="C105" s="191"/>
      <c r="D105" s="191"/>
      <c r="E105" s="191"/>
      <c r="F105" s="191"/>
      <c r="G105" s="191"/>
      <c r="H105" s="191"/>
      <c r="I105" s="191"/>
      <c r="J105" s="191"/>
    </row>
    <row r="106" spans="1:10" x14ac:dyDescent="0.25">
      <c r="A106" t="s">
        <v>192</v>
      </c>
      <c r="D106" s="167">
        <f>C75</f>
        <v>255769415.3600823</v>
      </c>
    </row>
    <row r="107" spans="1:10" x14ac:dyDescent="0.25">
      <c r="A107" t="s">
        <v>207</v>
      </c>
      <c r="D107" s="167">
        <f>ROUND(C70/30,-4)</f>
        <v>8110000</v>
      </c>
    </row>
    <row r="108" spans="1:10" x14ac:dyDescent="0.25">
      <c r="A108" t="s">
        <v>211</v>
      </c>
      <c r="D108" s="167">
        <f>D103*D106-D107</f>
        <v>26433890.15628776</v>
      </c>
    </row>
  </sheetData>
  <hyperlinks>
    <hyperlink ref="A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-0.499984740745262"/>
  </sheetPr>
  <dimension ref="A1:U156"/>
  <sheetViews>
    <sheetView workbookViewId="0">
      <selection activeCell="B62" sqref="B62"/>
    </sheetView>
  </sheetViews>
  <sheetFormatPr defaultColWidth="8.85546875" defaultRowHeight="15" x14ac:dyDescent="0.25"/>
  <cols>
    <col min="1" max="1" width="52.28515625" customWidth="1"/>
    <col min="2" max="2" width="23" customWidth="1"/>
    <col min="3" max="3" width="13.85546875" customWidth="1"/>
    <col min="4" max="4" width="30.28515625" customWidth="1"/>
    <col min="5" max="5" width="18.7109375" customWidth="1"/>
    <col min="6" max="6" width="12.7109375" customWidth="1"/>
    <col min="7" max="7" width="11.42578125" customWidth="1"/>
    <col min="8" max="8" width="11.28515625" customWidth="1"/>
    <col min="9" max="9" width="10.85546875" customWidth="1"/>
    <col min="10" max="10" width="11.140625" customWidth="1"/>
    <col min="11" max="11" width="11.28515625" customWidth="1"/>
    <col min="12" max="34" width="10.85546875" customWidth="1"/>
  </cols>
  <sheetData>
    <row r="1" spans="1:12" ht="27" customHeight="1" x14ac:dyDescent="0.4">
      <c r="A1" s="193" t="s">
        <v>693</v>
      </c>
    </row>
    <row r="2" spans="1:12" x14ac:dyDescent="0.25">
      <c r="A2" t="s">
        <v>694</v>
      </c>
      <c r="G2" s="194"/>
    </row>
    <row r="5" spans="1:12" x14ac:dyDescent="0.25">
      <c r="A5" t="s">
        <v>695</v>
      </c>
    </row>
    <row r="6" spans="1:12" x14ac:dyDescent="0.25">
      <c r="A6" t="s">
        <v>497</v>
      </c>
    </row>
    <row r="7" spans="1:12" x14ac:dyDescent="0.25">
      <c r="A7" s="86" t="s">
        <v>385</v>
      </c>
      <c r="B7" s="87" t="s">
        <v>516</v>
      </c>
    </row>
    <row r="8" spans="1:12" x14ac:dyDescent="0.25">
      <c r="A8" t="s">
        <v>510</v>
      </c>
      <c r="B8" t="s">
        <v>611</v>
      </c>
    </row>
    <row r="9" spans="1:12" s="90" customFormat="1" x14ac:dyDescent="0.25"/>
    <row r="10" spans="1:12" s="93" customFormat="1" x14ac:dyDescent="0.25">
      <c r="A10" s="91" t="s">
        <v>384</v>
      </c>
      <c r="B10" s="92"/>
      <c r="C10" s="92"/>
      <c r="E10" s="92" t="s">
        <v>389</v>
      </c>
    </row>
    <row r="11" spans="1:12" x14ac:dyDescent="0.25">
      <c r="B11" s="209" t="s">
        <v>569</v>
      </c>
      <c r="C11" s="172" t="s">
        <v>496</v>
      </c>
      <c r="D11" s="209" t="s">
        <v>569</v>
      </c>
      <c r="E11" s="172" t="s">
        <v>76</v>
      </c>
      <c r="H11" s="172"/>
    </row>
    <row r="12" spans="1:12" x14ac:dyDescent="0.25">
      <c r="A12" t="s">
        <v>495</v>
      </c>
      <c r="B12" s="249" t="s">
        <v>605</v>
      </c>
      <c r="C12" s="275">
        <f>B35*1000/(B36*1000)</f>
        <v>1.3114754098360657</v>
      </c>
      <c r="D12" s="249" t="s">
        <v>605</v>
      </c>
      <c r="E12" s="253">
        <f>B35*1000/B38</f>
        <v>113.79800853485064</v>
      </c>
      <c r="F12" t="s">
        <v>588</v>
      </c>
      <c r="H12" s="172"/>
    </row>
    <row r="13" spans="1:12" x14ac:dyDescent="0.25">
      <c r="A13" t="s">
        <v>84</v>
      </c>
      <c r="B13" s="249" t="s">
        <v>606</v>
      </c>
      <c r="C13" s="255">
        <f>B117/B36/1000</f>
        <v>3.2906866746729704E-3</v>
      </c>
      <c r="D13" s="249" t="s">
        <v>606</v>
      </c>
      <c r="E13" s="256">
        <f>B117/B38</f>
        <v>0.28553611259608985</v>
      </c>
      <c r="F13" t="s">
        <v>588</v>
      </c>
      <c r="H13" s="172"/>
    </row>
    <row r="14" spans="1:12" x14ac:dyDescent="0.25">
      <c r="A14" t="s">
        <v>87</v>
      </c>
      <c r="B14" s="249" t="s">
        <v>607</v>
      </c>
      <c r="C14" s="255">
        <f>B118/B36/1000</f>
        <v>1.5497812228976269E-4</v>
      </c>
      <c r="D14" s="249" t="s">
        <v>607</v>
      </c>
      <c r="E14" s="256">
        <f>B118/B38</f>
        <v>1.3447603783322224E-2</v>
      </c>
      <c r="F14" t="s">
        <v>588</v>
      </c>
      <c r="H14" s="163"/>
    </row>
    <row r="15" spans="1:12" x14ac:dyDescent="0.25">
      <c r="A15" t="s">
        <v>742</v>
      </c>
      <c r="B15" s="249" t="s">
        <v>622</v>
      </c>
      <c r="C15" s="261">
        <f>B38/(B36*1000)</f>
        <v>1.1524590163934428E-2</v>
      </c>
      <c r="D15" s="249" t="s">
        <v>623</v>
      </c>
      <c r="E15" s="252">
        <f>B36/B38</f>
        <v>8.6770981507823614E-2</v>
      </c>
      <c r="F15" t="s">
        <v>624</v>
      </c>
      <c r="I15" s="262"/>
      <c r="J15" s="262"/>
      <c r="K15" s="262"/>
      <c r="L15" s="262"/>
    </row>
    <row r="16" spans="1:12" x14ac:dyDescent="0.25">
      <c r="A16" s="93" t="s">
        <v>477</v>
      </c>
      <c r="B16" s="249" t="s">
        <v>608</v>
      </c>
      <c r="C16" s="257">
        <f>SUM(C17:C20)</f>
        <v>5.4095084169251503E-2</v>
      </c>
      <c r="D16" s="249" t="s">
        <v>608</v>
      </c>
      <c r="E16" s="258">
        <f>SUM(E17:E20)</f>
        <v>4.6938835481142833</v>
      </c>
      <c r="F16" s="93" t="s">
        <v>598</v>
      </c>
      <c r="G16" s="93"/>
    </row>
    <row r="17" spans="1:9" x14ac:dyDescent="0.25">
      <c r="A17" t="s">
        <v>88</v>
      </c>
      <c r="C17" s="190">
        <f>B116/B26/B36/1000</f>
        <v>5.6128221751473879E-3</v>
      </c>
      <c r="E17" s="189">
        <f>B116/B26/B38</f>
        <v>0.48703008916641627</v>
      </c>
      <c r="G17" t="s">
        <v>594</v>
      </c>
    </row>
    <row r="18" spans="1:9" x14ac:dyDescent="0.25">
      <c r="A18" t="s">
        <v>89</v>
      </c>
      <c r="C18" s="190">
        <f>B141/B26/B36/1000</f>
        <v>4.8132826544188398E-3</v>
      </c>
      <c r="E18" s="189">
        <f>B141/B26/B38</f>
        <v>0.41765326019850529</v>
      </c>
    </row>
    <row r="19" spans="1:9" x14ac:dyDescent="0.25">
      <c r="A19" t="s">
        <v>92</v>
      </c>
      <c r="C19" s="190">
        <f>B155/B26/B36/1000</f>
        <v>1.026256839775835E-2</v>
      </c>
      <c r="E19" s="189">
        <f>B155/B26/B38</f>
        <v>0.89049313266466479</v>
      </c>
      <c r="H19" s="156"/>
    </row>
    <row r="20" spans="1:9" x14ac:dyDescent="0.25">
      <c r="A20" t="s">
        <v>94</v>
      </c>
      <c r="C20" s="190">
        <f>B156/B26/B36/1000</f>
        <v>3.3406410941926923E-2</v>
      </c>
      <c r="E20" s="189">
        <f>B156/B26/B38</f>
        <v>2.8987070660846967</v>
      </c>
    </row>
    <row r="21" spans="1:9" x14ac:dyDescent="0.25">
      <c r="D21" s="156"/>
    </row>
    <row r="23" spans="1:9" s="90" customFormat="1" x14ac:dyDescent="0.25">
      <c r="I23" s="185"/>
    </row>
    <row r="24" spans="1:9" x14ac:dyDescent="0.25">
      <c r="A24" s="186" t="s">
        <v>486</v>
      </c>
      <c r="I24" s="96"/>
    </row>
    <row r="25" spans="1:9" x14ac:dyDescent="0.25">
      <c r="A25" s="186"/>
      <c r="I25" s="96"/>
    </row>
    <row r="26" spans="1:9" x14ac:dyDescent="0.25">
      <c r="A26" s="170" t="s">
        <v>481</v>
      </c>
      <c r="B26" s="96">
        <v>3.2942738452482598</v>
      </c>
      <c r="I26" s="96"/>
    </row>
    <row r="27" spans="1:9" x14ac:dyDescent="0.25">
      <c r="I27" s="96"/>
    </row>
    <row r="28" spans="1:9" x14ac:dyDescent="0.25">
      <c r="A28" t="s">
        <v>71</v>
      </c>
      <c r="B28" s="265">
        <f>8506/E34</f>
        <v>9376.2573234786723</v>
      </c>
      <c r="C28" t="s">
        <v>491</v>
      </c>
      <c r="D28" t="s">
        <v>630</v>
      </c>
      <c r="I28" s="96"/>
    </row>
    <row r="29" spans="1:9" x14ac:dyDescent="0.25">
      <c r="A29" t="s">
        <v>74</v>
      </c>
      <c r="B29">
        <v>0.9</v>
      </c>
      <c r="C29" t="s">
        <v>75</v>
      </c>
      <c r="I29" s="96"/>
    </row>
    <row r="30" spans="1:9" x14ac:dyDescent="0.25">
      <c r="A30" t="s">
        <v>77</v>
      </c>
      <c r="B30" s="183">
        <f>B28*1000/24/B29</f>
        <v>434085.98719808669</v>
      </c>
      <c r="C30" t="s">
        <v>78</v>
      </c>
      <c r="I30" s="96"/>
    </row>
    <row r="31" spans="1:9" x14ac:dyDescent="0.25">
      <c r="A31" t="s">
        <v>80</v>
      </c>
      <c r="B31" s="264">
        <v>0.25</v>
      </c>
      <c r="C31" t="s">
        <v>75</v>
      </c>
      <c r="D31" t="s">
        <v>631</v>
      </c>
      <c r="I31" s="96"/>
    </row>
    <row r="32" spans="1:9" x14ac:dyDescent="0.25">
      <c r="A32" t="s">
        <v>82</v>
      </c>
      <c r="B32" s="264">
        <v>0.95</v>
      </c>
      <c r="C32" t="s">
        <v>75</v>
      </c>
      <c r="D32" t="s">
        <v>631</v>
      </c>
      <c r="I32" s="96"/>
    </row>
    <row r="33" spans="1:15" x14ac:dyDescent="0.25">
      <c r="A33" t="s">
        <v>85</v>
      </c>
      <c r="B33">
        <v>37</v>
      </c>
      <c r="C33" t="s">
        <v>310</v>
      </c>
      <c r="D33" t="s">
        <v>86</v>
      </c>
      <c r="I33" s="96"/>
    </row>
    <row r="34" spans="1:15" x14ac:dyDescent="0.25">
      <c r="A34" t="s">
        <v>461</v>
      </c>
      <c r="B34" s="265">
        <f>B28</f>
        <v>9376.2573234786723</v>
      </c>
      <c r="C34" t="s">
        <v>492</v>
      </c>
      <c r="D34" t="s">
        <v>632</v>
      </c>
      <c r="E34">
        <v>0.90718500000000002</v>
      </c>
      <c r="F34" t="s">
        <v>490</v>
      </c>
      <c r="I34" s="96"/>
    </row>
    <row r="35" spans="1:15" x14ac:dyDescent="0.25">
      <c r="A35" t="s">
        <v>494</v>
      </c>
      <c r="B35" s="183">
        <f>B28*365*B29</f>
        <v>3080100.5307627441</v>
      </c>
      <c r="C35" t="s">
        <v>493</v>
      </c>
      <c r="I35" s="96"/>
    </row>
    <row r="36" spans="1:15" x14ac:dyDescent="0.25">
      <c r="A36" t="s">
        <v>90</v>
      </c>
      <c r="B36" s="183">
        <f>B28*365*B29*(1-B31*B32)</f>
        <v>2348576.6547065922</v>
      </c>
      <c r="C36" t="s">
        <v>493</v>
      </c>
      <c r="I36" s="96"/>
    </row>
    <row r="37" spans="1:15" x14ac:dyDescent="0.25">
      <c r="A37" t="s">
        <v>93</v>
      </c>
      <c r="B37" s="183">
        <f>B28*365*B29*B31*B32</f>
        <v>731523.8760561517</v>
      </c>
      <c r="C37" t="s">
        <v>493</v>
      </c>
      <c r="I37" s="96"/>
    </row>
    <row r="38" spans="1:15" x14ac:dyDescent="0.25">
      <c r="A38" t="s">
        <v>95</v>
      </c>
      <c r="B38" s="183">
        <f>B37*B33</f>
        <v>27066383.414077614</v>
      </c>
      <c r="C38" t="s">
        <v>96</v>
      </c>
      <c r="I38" s="96"/>
    </row>
    <row r="39" spans="1:15" x14ac:dyDescent="0.25">
      <c r="A39" t="s">
        <v>848</v>
      </c>
      <c r="B39" s="183">
        <v>3650000</v>
      </c>
      <c r="C39" t="s">
        <v>849</v>
      </c>
      <c r="I39" s="96"/>
    </row>
    <row r="40" spans="1:15" x14ac:dyDescent="0.25">
      <c r="C40" s="128"/>
    </row>
    <row r="41" spans="1:15" s="90" customFormat="1" x14ac:dyDescent="0.25">
      <c r="L41" s="174"/>
      <c r="O41" s="101"/>
    </row>
    <row r="42" spans="1:15" s="162" customFormat="1" x14ac:dyDescent="0.25">
      <c r="A42" s="184" t="s">
        <v>485</v>
      </c>
      <c r="L42" s="175"/>
      <c r="O42" s="176"/>
    </row>
    <row r="43" spans="1:15" s="162" customFormat="1" x14ac:dyDescent="0.25">
      <c r="L43" s="175"/>
      <c r="O43" s="176"/>
    </row>
    <row r="44" spans="1:15" x14ac:dyDescent="0.25">
      <c r="A44" s="91" t="s">
        <v>633</v>
      </c>
      <c r="B44" s="91"/>
      <c r="C44" s="91"/>
      <c r="D44" s="91"/>
      <c r="E44" s="93"/>
      <c r="F44" s="93"/>
      <c r="G44" s="93"/>
      <c r="H44" s="93"/>
      <c r="I44" s="93"/>
      <c r="J44" s="93"/>
      <c r="L44" s="105"/>
    </row>
    <row r="45" spans="1:15" x14ac:dyDescent="0.25">
      <c r="A45" s="95"/>
      <c r="J45" s="126"/>
      <c r="L45" s="105"/>
    </row>
    <row r="46" spans="1:15" x14ac:dyDescent="0.25">
      <c r="A46" t="s">
        <v>635</v>
      </c>
      <c r="B46" s="266">
        <f>839*10^6</f>
        <v>839000000</v>
      </c>
      <c r="C46" t="s">
        <v>97</v>
      </c>
      <c r="D46" t="s">
        <v>636</v>
      </c>
      <c r="F46" s="126"/>
      <c r="G46" s="126"/>
      <c r="H46" s="126"/>
      <c r="I46" s="126"/>
      <c r="J46" s="126"/>
      <c r="L46" s="105"/>
    </row>
    <row r="47" spans="1:15" x14ac:dyDescent="0.25">
      <c r="E47" s="126"/>
      <c r="F47" s="126"/>
      <c r="G47" s="126"/>
      <c r="H47" s="126"/>
      <c r="I47" s="126"/>
    </row>
    <row r="48" spans="1:15" x14ac:dyDescent="0.25">
      <c r="A48" t="s">
        <v>100</v>
      </c>
      <c r="B48" s="167">
        <f>B46</f>
        <v>839000000</v>
      </c>
      <c r="C48" s="168" t="s">
        <v>193</v>
      </c>
    </row>
    <row r="49" spans="1:12" x14ac:dyDescent="0.25">
      <c r="A49" t="s">
        <v>103</v>
      </c>
      <c r="B49" s="264">
        <v>0</v>
      </c>
      <c r="C49" t="s">
        <v>104</v>
      </c>
      <c r="D49" t="s">
        <v>640</v>
      </c>
    </row>
    <row r="50" spans="1:12" x14ac:dyDescent="0.25">
      <c r="A50" t="s">
        <v>109</v>
      </c>
      <c r="B50" s="183">
        <f>B59</f>
        <v>7721213.8345710048</v>
      </c>
      <c r="C50" t="s">
        <v>96</v>
      </c>
    </row>
    <row r="51" spans="1:12" x14ac:dyDescent="0.25">
      <c r="A51" t="s">
        <v>111</v>
      </c>
      <c r="B51" s="264">
        <v>0</v>
      </c>
      <c r="C51" t="s">
        <v>96</v>
      </c>
      <c r="D51" t="s">
        <v>639</v>
      </c>
    </row>
    <row r="53" spans="1:12" x14ac:dyDescent="0.25">
      <c r="A53" s="95" t="s">
        <v>850</v>
      </c>
    </row>
    <row r="54" spans="1:12" x14ac:dyDescent="0.25">
      <c r="A54" t="s">
        <v>851</v>
      </c>
      <c r="B54" s="288">
        <v>0.85</v>
      </c>
      <c r="I54" s="126"/>
      <c r="J54" s="126"/>
      <c r="K54" s="126"/>
      <c r="L54" s="126"/>
    </row>
    <row r="55" spans="1:12" x14ac:dyDescent="0.25">
      <c r="A55" t="s">
        <v>852</v>
      </c>
      <c r="B55" s="289">
        <v>0.8</v>
      </c>
      <c r="I55" s="126"/>
      <c r="J55" s="126"/>
      <c r="K55" s="126"/>
      <c r="L55" s="126"/>
    </row>
    <row r="56" spans="1:12" x14ac:dyDescent="0.25">
      <c r="A56" t="s">
        <v>853</v>
      </c>
      <c r="B56" s="289">
        <v>0.1</v>
      </c>
      <c r="I56" s="126"/>
      <c r="J56" s="126"/>
      <c r="K56" s="126"/>
      <c r="L56" s="126"/>
    </row>
    <row r="57" spans="1:12" x14ac:dyDescent="0.25">
      <c r="A57" t="s">
        <v>854</v>
      </c>
      <c r="B57" s="105">
        <f>WED!B53/WED!B35</f>
        <v>3.0684398702327687</v>
      </c>
      <c r="C57" t="s">
        <v>855</v>
      </c>
      <c r="I57" s="126"/>
      <c r="J57" s="126"/>
      <c r="K57" s="126"/>
      <c r="L57" s="126"/>
    </row>
    <row r="58" spans="1:12" x14ac:dyDescent="0.25">
      <c r="A58" t="s">
        <v>856</v>
      </c>
      <c r="B58" s="105">
        <f>B57*(B54-B56)/(B55-B56)</f>
        <v>3.2876141466779658</v>
      </c>
      <c r="C58" t="s">
        <v>855</v>
      </c>
      <c r="D58" t="s">
        <v>857</v>
      </c>
    </row>
    <row r="59" spans="1:12" x14ac:dyDescent="0.25">
      <c r="A59" t="s">
        <v>858</v>
      </c>
      <c r="B59" s="183">
        <f>B58*B36</f>
        <v>7721213.8345710048</v>
      </c>
      <c r="C59" t="s">
        <v>96</v>
      </c>
    </row>
    <row r="61" spans="1:12" x14ac:dyDescent="0.25">
      <c r="A61" s="91" t="s">
        <v>634</v>
      </c>
      <c r="B61" s="91"/>
      <c r="C61" s="91"/>
      <c r="D61" s="91"/>
      <c r="E61" s="93"/>
      <c r="F61" s="93"/>
      <c r="G61" s="93"/>
      <c r="H61" s="93"/>
      <c r="I61" s="93"/>
      <c r="J61" s="93"/>
    </row>
    <row r="62" spans="1:12" x14ac:dyDescent="0.25">
      <c r="A62" t="s">
        <v>100</v>
      </c>
      <c r="B62" s="267">
        <f>B71*(B69/B68)^B70</f>
        <v>552311343.20819068</v>
      </c>
      <c r="C62" s="168" t="s">
        <v>193</v>
      </c>
      <c r="D62" t="s">
        <v>641</v>
      </c>
    </row>
    <row r="63" spans="1:12" x14ac:dyDescent="0.25">
      <c r="A63" t="s">
        <v>103</v>
      </c>
      <c r="B63" s="164">
        <f>(B86+B90)/(10^6)</f>
        <v>43.425589329475024</v>
      </c>
      <c r="C63" t="s">
        <v>104</v>
      </c>
      <c r="D63" t="s">
        <v>106</v>
      </c>
    </row>
    <row r="64" spans="1:12" x14ac:dyDescent="0.25">
      <c r="A64" t="s">
        <v>109</v>
      </c>
      <c r="B64" s="183">
        <f>B79</f>
        <v>7216.0675199999996</v>
      </c>
      <c r="C64" t="s">
        <v>96</v>
      </c>
      <c r="J64" s="110"/>
    </row>
    <row r="65" spans="1:5" x14ac:dyDescent="0.25">
      <c r="A65" t="s">
        <v>111</v>
      </c>
      <c r="B65" s="287">
        <f>B73*B39</f>
        <v>363978</v>
      </c>
      <c r="C65" t="s">
        <v>96</v>
      </c>
    </row>
    <row r="66" spans="1:5" x14ac:dyDescent="0.25">
      <c r="B66" s="104"/>
    </row>
    <row r="67" spans="1:5" x14ac:dyDescent="0.25">
      <c r="A67" s="95" t="s">
        <v>123</v>
      </c>
    </row>
    <row r="68" spans="1:5" x14ac:dyDescent="0.25">
      <c r="A68" t="s">
        <v>126</v>
      </c>
      <c r="B68">
        <v>23398</v>
      </c>
      <c r="C68" t="s">
        <v>78</v>
      </c>
      <c r="D68" t="s">
        <v>127</v>
      </c>
    </row>
    <row r="69" spans="1:5" x14ac:dyDescent="0.25">
      <c r="A69" t="s">
        <v>130</v>
      </c>
      <c r="B69" s="104">
        <f>B34/B29*1000/24</f>
        <v>434085.98719808669</v>
      </c>
      <c r="C69" t="s">
        <v>78</v>
      </c>
      <c r="D69" t="s">
        <v>131</v>
      </c>
    </row>
    <row r="70" spans="1:5" x14ac:dyDescent="0.25">
      <c r="A70" t="s">
        <v>134</v>
      </c>
      <c r="B70">
        <v>0.7</v>
      </c>
      <c r="C70" t="s">
        <v>75</v>
      </c>
      <c r="D70" t="s">
        <v>135</v>
      </c>
    </row>
    <row r="71" spans="1:5" x14ac:dyDescent="0.25">
      <c r="A71" t="s">
        <v>138</v>
      </c>
      <c r="B71" s="158">
        <v>71500000</v>
      </c>
      <c r="C71" t="s">
        <v>97</v>
      </c>
      <c r="D71" t="s">
        <v>102</v>
      </c>
    </row>
    <row r="72" spans="1:5" x14ac:dyDescent="0.25">
      <c r="A72" t="s">
        <v>141</v>
      </c>
      <c r="B72" s="264">
        <f>4.3+23.4</f>
        <v>27.7</v>
      </c>
      <c r="C72" t="s">
        <v>846</v>
      </c>
      <c r="D72" t="s">
        <v>845</v>
      </c>
    </row>
    <row r="73" spans="1:5" x14ac:dyDescent="0.25">
      <c r="A73" t="s">
        <v>146</v>
      </c>
      <c r="B73" s="97">
        <f>B72*3.6/1000</f>
        <v>9.9720000000000003E-2</v>
      </c>
      <c r="C73" t="s">
        <v>847</v>
      </c>
    </row>
    <row r="74" spans="1:5" x14ac:dyDescent="0.25">
      <c r="B74" s="97"/>
    </row>
    <row r="75" spans="1:5" x14ac:dyDescent="0.25">
      <c r="B75" s="97"/>
    </row>
    <row r="76" spans="1:5" x14ac:dyDescent="0.25">
      <c r="A76" s="95" t="s">
        <v>183</v>
      </c>
    </row>
    <row r="77" spans="1:5" x14ac:dyDescent="0.25">
      <c r="A77" t="s">
        <v>184</v>
      </c>
      <c r="B77" s="265">
        <f>587.7+556.4</f>
        <v>1144.0999999999999</v>
      </c>
      <c r="C77" t="s">
        <v>637</v>
      </c>
      <c r="D77" t="s">
        <v>642</v>
      </c>
    </row>
    <row r="78" spans="1:5" x14ac:dyDescent="0.25">
      <c r="A78" t="s">
        <v>187</v>
      </c>
      <c r="B78" s="104">
        <f>B77*B55/1000</f>
        <v>0.91527999999999998</v>
      </c>
      <c r="C78" t="s">
        <v>638</v>
      </c>
    </row>
    <row r="79" spans="1:5" x14ac:dyDescent="0.25">
      <c r="A79" t="s">
        <v>187</v>
      </c>
      <c r="B79" s="104">
        <f>B78*24*365*B29</f>
        <v>7216.0675199999996</v>
      </c>
      <c r="C79" t="s">
        <v>96</v>
      </c>
      <c r="D79" s="158">
        <f>B79*947817/B56/1000*B55</f>
        <v>54716091.748830728</v>
      </c>
      <c r="E79" t="s">
        <v>160</v>
      </c>
    </row>
    <row r="81" spans="1:15" x14ac:dyDescent="0.25">
      <c r="A81" s="95" t="s">
        <v>651</v>
      </c>
    </row>
    <row r="82" spans="1:15" x14ac:dyDescent="0.25">
      <c r="A82" t="s">
        <v>644</v>
      </c>
      <c r="B82" s="268">
        <v>5.0000000000000001E-4</v>
      </c>
      <c r="C82" t="s">
        <v>645</v>
      </c>
      <c r="D82" t="s">
        <v>646</v>
      </c>
    </row>
    <row r="83" spans="1:15" x14ac:dyDescent="0.25">
      <c r="A83" t="s">
        <v>198</v>
      </c>
      <c r="B83" s="269">
        <f>B82/0.2</f>
        <v>2.5000000000000001E-3</v>
      </c>
      <c r="C83" t="s">
        <v>647</v>
      </c>
      <c r="D83" t="s">
        <v>648</v>
      </c>
    </row>
    <row r="84" spans="1:15" x14ac:dyDescent="0.25">
      <c r="A84" t="s">
        <v>649</v>
      </c>
      <c r="B84" s="270">
        <f>B83*B30*24*365*B29</f>
        <v>8555834.8076742887</v>
      </c>
      <c r="C84" t="s">
        <v>205</v>
      </c>
    </row>
    <row r="85" spans="1:15" x14ac:dyDescent="0.25">
      <c r="A85" s="166" t="s">
        <v>200</v>
      </c>
      <c r="B85" s="166">
        <v>0.53939999999999999</v>
      </c>
      <c r="C85" s="166" t="s">
        <v>201</v>
      </c>
      <c r="D85" s="166" t="s">
        <v>643</v>
      </c>
    </row>
    <row r="86" spans="1:15" x14ac:dyDescent="0.25">
      <c r="A86" s="166" t="s">
        <v>204</v>
      </c>
      <c r="B86" s="270">
        <f>B84*E86*B85</f>
        <v>10174359.429475022</v>
      </c>
      <c r="C86" s="166" t="s">
        <v>160</v>
      </c>
      <c r="D86" s="166" t="s">
        <v>650</v>
      </c>
      <c r="E86">
        <v>2.2046199999999998</v>
      </c>
    </row>
    <row r="87" spans="1:15" x14ac:dyDescent="0.25">
      <c r="B87" s="158"/>
    </row>
    <row r="88" spans="1:15" x14ac:dyDescent="0.25">
      <c r="A88" s="271" t="s">
        <v>652</v>
      </c>
      <c r="B88" s="158"/>
    </row>
    <row r="89" spans="1:15" x14ac:dyDescent="0.25">
      <c r="A89" t="s">
        <v>654</v>
      </c>
      <c r="B89" s="272">
        <v>11.9</v>
      </c>
      <c r="C89" t="s">
        <v>653</v>
      </c>
      <c r="D89" t="s">
        <v>636</v>
      </c>
    </row>
    <row r="90" spans="1:15" x14ac:dyDescent="0.25">
      <c r="A90" t="s">
        <v>655</v>
      </c>
      <c r="B90" s="158">
        <f>B89*B28*E34*365*B29</f>
        <v>33251229.900000002</v>
      </c>
      <c r="C90" t="s">
        <v>160</v>
      </c>
    </row>
    <row r="91" spans="1:15" x14ac:dyDescent="0.25">
      <c r="B91" s="158"/>
    </row>
    <row r="93" spans="1:15" s="90" customFormat="1" x14ac:dyDescent="0.25">
      <c r="L93" s="174"/>
      <c r="O93" s="101"/>
    </row>
    <row r="94" spans="1:15" x14ac:dyDescent="0.25">
      <c r="A94" s="159" t="s">
        <v>484</v>
      </c>
    </row>
    <row r="96" spans="1:15" x14ac:dyDescent="0.25">
      <c r="A96" t="s">
        <v>113</v>
      </c>
      <c r="B96" t="s">
        <v>114</v>
      </c>
      <c r="C96" t="s">
        <v>115</v>
      </c>
    </row>
    <row r="97" spans="1:21" x14ac:dyDescent="0.25">
      <c r="A97" t="s">
        <v>124</v>
      </c>
      <c r="B97">
        <v>4</v>
      </c>
      <c r="C97" s="158">
        <f>B97/100*($B$62)</f>
        <v>22092453.728327628</v>
      </c>
    </row>
    <row r="98" spans="1:21" x14ac:dyDescent="0.25">
      <c r="A98" t="s">
        <v>128</v>
      </c>
      <c r="B98">
        <v>9</v>
      </c>
      <c r="C98" s="158">
        <f>B98/100*($B$62)</f>
        <v>49708020.888737157</v>
      </c>
    </row>
    <row r="99" spans="1:21" x14ac:dyDescent="0.25">
      <c r="A99" t="s">
        <v>132</v>
      </c>
      <c r="B99">
        <v>4.5</v>
      </c>
      <c r="C99" s="158">
        <f>B99/100*($B$62)</f>
        <v>24854010.444368578</v>
      </c>
    </row>
    <row r="101" spans="1:21" x14ac:dyDescent="0.25">
      <c r="A101" s="95" t="s">
        <v>139</v>
      </c>
      <c r="C101" s="167">
        <f>B48+B62+C97+C98+C99</f>
        <v>1487965828.269624</v>
      </c>
    </row>
    <row r="103" spans="1:21" x14ac:dyDescent="0.25">
      <c r="A103" t="s">
        <v>147</v>
      </c>
      <c r="B103" t="s">
        <v>148</v>
      </c>
      <c r="C103" t="s">
        <v>115</v>
      </c>
    </row>
    <row r="104" spans="1:21" x14ac:dyDescent="0.25">
      <c r="A104" t="s">
        <v>150</v>
      </c>
      <c r="B104">
        <v>10</v>
      </c>
      <c r="C104" s="158">
        <f>B104/100*$C$101</f>
        <v>148796582.82696241</v>
      </c>
    </row>
    <row r="105" spans="1:21" x14ac:dyDescent="0.25">
      <c r="A105" t="s">
        <v>153</v>
      </c>
      <c r="B105">
        <v>10</v>
      </c>
      <c r="C105" s="158">
        <f>B105/100*$C$101</f>
        <v>148796582.82696241</v>
      </c>
    </row>
    <row r="106" spans="1:21" x14ac:dyDescent="0.25">
      <c r="A106" t="s">
        <v>157</v>
      </c>
      <c r="B106">
        <v>20</v>
      </c>
      <c r="C106" s="158">
        <f>B106/100*$C$101</f>
        <v>297593165.65392482</v>
      </c>
    </row>
    <row r="107" spans="1:21" x14ac:dyDescent="0.25">
      <c r="A107" t="s">
        <v>163</v>
      </c>
      <c r="B107">
        <v>10</v>
      </c>
      <c r="C107" s="158">
        <f>B107/100*$C$101</f>
        <v>148796582.82696241</v>
      </c>
    </row>
    <row r="108" spans="1:21" x14ac:dyDescent="0.25">
      <c r="A108" t="s">
        <v>168</v>
      </c>
      <c r="B108">
        <v>10</v>
      </c>
      <c r="C108" s="158">
        <f>B108/100*$C$101</f>
        <v>148796582.82696241</v>
      </c>
    </row>
    <row r="109" spans="1:21" x14ac:dyDescent="0.25">
      <c r="U109" s="158"/>
    </row>
    <row r="110" spans="1:21" x14ac:dyDescent="0.25">
      <c r="A110" s="95" t="s">
        <v>176</v>
      </c>
      <c r="C110" s="167">
        <f>SUM(C104:C108)</f>
        <v>892779496.96177459</v>
      </c>
    </row>
    <row r="111" spans="1:21" x14ac:dyDescent="0.25">
      <c r="A111" s="95" t="s">
        <v>180</v>
      </c>
      <c r="C111" s="167">
        <f>C101+C110</f>
        <v>2380745325.2313986</v>
      </c>
    </row>
    <row r="112" spans="1:21" x14ac:dyDescent="0.25">
      <c r="A112" t="s">
        <v>188</v>
      </c>
      <c r="C112" s="167">
        <v>1800000</v>
      </c>
      <c r="D112" t="s">
        <v>189</v>
      </c>
    </row>
    <row r="113" spans="1:18" x14ac:dyDescent="0.25">
      <c r="A113" t="s">
        <v>190</v>
      </c>
      <c r="C113" s="167">
        <f>D113/100*C111</f>
        <v>119037266.26156993</v>
      </c>
      <c r="D113">
        <v>5</v>
      </c>
      <c r="E113" t="s">
        <v>182</v>
      </c>
    </row>
    <row r="114" spans="1:18" x14ac:dyDescent="0.25">
      <c r="C114" s="158"/>
    </row>
    <row r="115" spans="1:18" x14ac:dyDescent="0.25">
      <c r="A115" s="159" t="s">
        <v>192</v>
      </c>
      <c r="B115" s="167">
        <f>C111+C112+C113</f>
        <v>2501582591.4929686</v>
      </c>
      <c r="C115" s="171" t="s">
        <v>193</v>
      </c>
    </row>
    <row r="116" spans="1:18" x14ac:dyDescent="0.25">
      <c r="A116" s="159" t="s">
        <v>195</v>
      </c>
      <c r="B116" s="167">
        <f>(B49+B63+Q8)*10^6</f>
        <v>43425589.329475023</v>
      </c>
      <c r="C116" s="171" t="s">
        <v>196</v>
      </c>
      <c r="D116" t="s">
        <v>197</v>
      </c>
    </row>
    <row r="117" spans="1:18" s="110" customFormat="1" x14ac:dyDescent="0.25">
      <c r="A117" s="159" t="s">
        <v>203</v>
      </c>
      <c r="B117" s="160">
        <f>B50+B64</f>
        <v>7728429.9020910049</v>
      </c>
      <c r="C117" s="171" t="s">
        <v>96</v>
      </c>
      <c r="G117" s="95"/>
      <c r="H117"/>
      <c r="I117"/>
      <c r="J117"/>
    </row>
    <row r="118" spans="1:18" x14ac:dyDescent="0.25">
      <c r="A118" s="159" t="s">
        <v>206</v>
      </c>
      <c r="B118" s="160">
        <f>B65</f>
        <v>363978</v>
      </c>
      <c r="C118" s="171" t="s">
        <v>96</v>
      </c>
    </row>
    <row r="119" spans="1:18" x14ac:dyDescent="0.25">
      <c r="H119" s="158"/>
    </row>
    <row r="120" spans="1:18" s="90" customFormat="1" x14ac:dyDescent="0.25"/>
    <row r="121" spans="1:18" x14ac:dyDescent="0.25">
      <c r="A121" s="159" t="s">
        <v>482</v>
      </c>
    </row>
    <row r="122" spans="1:18" x14ac:dyDescent="0.25">
      <c r="A122" s="91" t="s">
        <v>369</v>
      </c>
      <c r="B122" s="93"/>
      <c r="C122" s="93"/>
      <c r="D122" s="93"/>
      <c r="E122" s="93"/>
      <c r="F122" s="93"/>
      <c r="G122" s="93"/>
      <c r="H122" s="93"/>
      <c r="I122" s="93"/>
      <c r="J122" s="93"/>
    </row>
    <row r="123" spans="1:18" x14ac:dyDescent="0.25">
      <c r="A123" t="s">
        <v>116</v>
      </c>
      <c r="B123" t="s">
        <v>117</v>
      </c>
      <c r="C123" t="s">
        <v>118</v>
      </c>
      <c r="D123" t="s">
        <v>119</v>
      </c>
      <c r="E123" t="s">
        <v>120</v>
      </c>
      <c r="F123" t="s">
        <v>121</v>
      </c>
      <c r="G123" t="s">
        <v>122</v>
      </c>
    </row>
    <row r="124" spans="1:18" x14ac:dyDescent="0.25">
      <c r="A124" t="s">
        <v>125</v>
      </c>
      <c r="B124" s="167">
        <v>155400</v>
      </c>
      <c r="C124">
        <v>1</v>
      </c>
      <c r="D124" s="264">
        <v>1</v>
      </c>
      <c r="E124">
        <f>C124*D124</f>
        <v>1</v>
      </c>
      <c r="F124" s="167">
        <f>E124*B124</f>
        <v>155400</v>
      </c>
    </row>
    <row r="125" spans="1:18" x14ac:dyDescent="0.25">
      <c r="A125" t="s">
        <v>129</v>
      </c>
      <c r="B125" s="167">
        <v>74000</v>
      </c>
      <c r="C125">
        <v>2</v>
      </c>
      <c r="D125" s="264">
        <v>0.5</v>
      </c>
      <c r="E125">
        <f t="shared" ref="E125:E133" si="0">C125*D125</f>
        <v>1</v>
      </c>
      <c r="F125" s="167">
        <f t="shared" ref="F125:F133" si="1">E125*B125</f>
        <v>74000</v>
      </c>
    </row>
    <row r="126" spans="1:18" x14ac:dyDescent="0.25">
      <c r="A126" t="s">
        <v>133</v>
      </c>
      <c r="B126" s="167">
        <v>60257</v>
      </c>
      <c r="C126">
        <v>1</v>
      </c>
      <c r="D126" s="264">
        <v>1</v>
      </c>
      <c r="E126">
        <f t="shared" si="0"/>
        <v>1</v>
      </c>
      <c r="F126" s="167">
        <f t="shared" si="1"/>
        <v>60257</v>
      </c>
    </row>
    <row r="127" spans="1:18" x14ac:dyDescent="0.25">
      <c r="A127" t="s">
        <v>136</v>
      </c>
      <c r="B127" s="167">
        <v>42286</v>
      </c>
      <c r="C127">
        <v>12</v>
      </c>
      <c r="D127" s="265">
        <v>1</v>
      </c>
      <c r="E127" s="104">
        <f t="shared" si="0"/>
        <v>12</v>
      </c>
      <c r="F127" s="167">
        <f t="shared" si="1"/>
        <v>507432</v>
      </c>
      <c r="G127" t="s">
        <v>137</v>
      </c>
    </row>
    <row r="128" spans="1:18" x14ac:dyDescent="0.25">
      <c r="A128" t="s">
        <v>140</v>
      </c>
      <c r="B128" s="167">
        <v>59200</v>
      </c>
      <c r="C128">
        <v>1</v>
      </c>
      <c r="D128" s="264">
        <v>1</v>
      </c>
      <c r="E128">
        <f t="shared" si="0"/>
        <v>1</v>
      </c>
      <c r="F128" s="167">
        <f t="shared" si="1"/>
        <v>59200</v>
      </c>
      <c r="M128" s="110"/>
      <c r="R128" s="110"/>
    </row>
    <row r="129" spans="1:10" x14ac:dyDescent="0.25">
      <c r="A129" t="s">
        <v>144</v>
      </c>
      <c r="B129" s="167">
        <v>42286</v>
      </c>
      <c r="C129">
        <v>4</v>
      </c>
      <c r="D129" s="264">
        <v>1</v>
      </c>
      <c r="E129">
        <f t="shared" si="0"/>
        <v>4</v>
      </c>
      <c r="F129" s="167">
        <f t="shared" si="1"/>
        <v>169144</v>
      </c>
      <c r="G129" t="s">
        <v>145</v>
      </c>
    </row>
    <row r="130" spans="1:10" x14ac:dyDescent="0.25">
      <c r="A130" t="s">
        <v>149</v>
      </c>
      <c r="B130" s="167">
        <v>50743</v>
      </c>
      <c r="C130" s="264">
        <v>2</v>
      </c>
      <c r="D130" s="264">
        <v>1</v>
      </c>
      <c r="E130">
        <f t="shared" si="0"/>
        <v>2</v>
      </c>
      <c r="F130" s="167">
        <f t="shared" si="1"/>
        <v>101486</v>
      </c>
    </row>
    <row r="131" spans="1:10" x14ac:dyDescent="0.25">
      <c r="A131" t="s">
        <v>151</v>
      </c>
      <c r="B131" s="167">
        <v>42286</v>
      </c>
      <c r="C131" s="264">
        <v>20</v>
      </c>
      <c r="D131" s="264">
        <v>1</v>
      </c>
      <c r="E131">
        <f t="shared" si="0"/>
        <v>20</v>
      </c>
      <c r="F131" s="167">
        <f t="shared" si="1"/>
        <v>845720</v>
      </c>
      <c r="G131" t="s">
        <v>152</v>
      </c>
    </row>
    <row r="132" spans="1:10" x14ac:dyDescent="0.25">
      <c r="A132" t="s">
        <v>154</v>
      </c>
      <c r="B132" s="167">
        <v>29600</v>
      </c>
      <c r="C132">
        <v>4</v>
      </c>
      <c r="D132">
        <v>0.5</v>
      </c>
      <c r="E132">
        <f t="shared" si="0"/>
        <v>2</v>
      </c>
      <c r="F132" s="167">
        <f t="shared" si="1"/>
        <v>59200</v>
      </c>
    </row>
    <row r="133" spans="1:10" x14ac:dyDescent="0.25">
      <c r="A133" s="126" t="s">
        <v>158</v>
      </c>
      <c r="B133" s="177">
        <v>38057</v>
      </c>
      <c r="C133" s="126">
        <v>3</v>
      </c>
      <c r="D133" s="178">
        <v>0.66666666699999999</v>
      </c>
      <c r="E133" s="178">
        <f t="shared" si="0"/>
        <v>2.0000000010000001</v>
      </c>
      <c r="F133" s="177">
        <f t="shared" si="1"/>
        <v>76114.000038056998</v>
      </c>
    </row>
    <row r="134" spans="1:10" x14ac:dyDescent="0.25">
      <c r="A134" t="s">
        <v>169</v>
      </c>
      <c r="F134" s="167">
        <f>SUM(F124:F133)</f>
        <v>2107953.0000380571</v>
      </c>
    </row>
    <row r="135" spans="1:10" x14ac:dyDescent="0.25">
      <c r="A135" s="179" t="s">
        <v>173</v>
      </c>
      <c r="B135" s="179"/>
      <c r="C135" s="179"/>
      <c r="D135" s="179"/>
      <c r="E135" s="179"/>
      <c r="F135" s="180">
        <f>0.9*F134</f>
        <v>1897157.7000342514</v>
      </c>
      <c r="G135" s="179"/>
      <c r="H135" s="179"/>
      <c r="I135" s="179"/>
      <c r="J135" s="179"/>
    </row>
    <row r="137" spans="1:10" x14ac:dyDescent="0.25">
      <c r="A137" s="181" t="s">
        <v>483</v>
      </c>
      <c r="B137" s="182"/>
      <c r="C137" s="93"/>
      <c r="D137" s="93"/>
      <c r="E137" s="93"/>
      <c r="F137" s="93"/>
      <c r="G137" s="93"/>
      <c r="H137" s="93"/>
      <c r="I137" s="93"/>
      <c r="J137" s="93"/>
    </row>
    <row r="138" spans="1:10" x14ac:dyDescent="0.25">
      <c r="A138" t="s">
        <v>177</v>
      </c>
      <c r="B138" s="192">
        <f>D138/100*(B62)</f>
        <v>16569340.29624572</v>
      </c>
      <c r="C138" s="170" t="s">
        <v>196</v>
      </c>
      <c r="D138">
        <v>3</v>
      </c>
      <c r="E138" t="s">
        <v>178</v>
      </c>
    </row>
    <row r="139" spans="1:10" x14ac:dyDescent="0.25">
      <c r="A139" t="s">
        <v>181</v>
      </c>
      <c r="B139" s="167">
        <f>D139/100*C111</f>
        <v>16665217.276619788</v>
      </c>
      <c r="C139" s="170" t="s">
        <v>196</v>
      </c>
      <c r="D139">
        <v>0.7</v>
      </c>
      <c r="E139" t="s">
        <v>182</v>
      </c>
    </row>
    <row r="140" spans="1:10" x14ac:dyDescent="0.25">
      <c r="A140" s="110"/>
    </row>
    <row r="141" spans="1:10" x14ac:dyDescent="0.25">
      <c r="A141" s="159" t="s">
        <v>199</v>
      </c>
      <c r="B141" s="167">
        <f>SUM(B138:B139)+SUM(F134:F135)</f>
        <v>37239668.272937819</v>
      </c>
      <c r="C141" s="171" t="s">
        <v>196</v>
      </c>
    </row>
    <row r="143" spans="1:10" s="90" customFormat="1" x14ac:dyDescent="0.25"/>
    <row r="144" spans="1:10" s="162" customFormat="1" x14ac:dyDescent="0.25">
      <c r="A144" s="159" t="s">
        <v>498</v>
      </c>
    </row>
    <row r="146" spans="1:10" x14ac:dyDescent="0.25">
      <c r="A146" s="181" t="s">
        <v>480</v>
      </c>
      <c r="B146" s="93"/>
      <c r="C146" s="93"/>
      <c r="D146" s="93"/>
      <c r="E146" s="93"/>
      <c r="F146" s="93"/>
      <c r="G146" s="93"/>
      <c r="H146" s="93"/>
      <c r="I146" s="93"/>
      <c r="J146" s="93"/>
    </row>
    <row r="147" spans="1:10" x14ac:dyDescent="0.25">
      <c r="A147" t="s">
        <v>192</v>
      </c>
      <c r="B147" s="167">
        <v>459800000</v>
      </c>
      <c r="C147" s="171" t="s">
        <v>193</v>
      </c>
    </row>
    <row r="148" spans="1:10" x14ac:dyDescent="0.25">
      <c r="A148" t="s">
        <v>207</v>
      </c>
      <c r="B148" s="167">
        <v>14500000</v>
      </c>
      <c r="C148" s="170" t="s">
        <v>196</v>
      </c>
    </row>
    <row r="149" spans="1:10" x14ac:dyDescent="0.25">
      <c r="A149" t="s">
        <v>208</v>
      </c>
      <c r="B149" s="167">
        <v>8300000</v>
      </c>
      <c r="C149" s="170" t="s">
        <v>196</v>
      </c>
    </row>
    <row r="150" spans="1:10" x14ac:dyDescent="0.25">
      <c r="A150" t="s">
        <v>209</v>
      </c>
      <c r="B150" s="167">
        <v>39300000</v>
      </c>
      <c r="C150" s="170" t="s">
        <v>196</v>
      </c>
    </row>
    <row r="151" spans="1:10" x14ac:dyDescent="0.25">
      <c r="A151" s="172" t="s">
        <v>479</v>
      </c>
      <c r="B151" s="173">
        <f>(B148+B149+B150)/B147</f>
        <v>0.13505872118312309</v>
      </c>
    </row>
    <row r="153" spans="1:10" x14ac:dyDescent="0.25">
      <c r="A153" s="181" t="s">
        <v>499</v>
      </c>
      <c r="B153" s="191"/>
      <c r="C153" s="191"/>
      <c r="D153" s="191"/>
      <c r="E153" s="191"/>
      <c r="F153" s="191"/>
      <c r="G153" s="191"/>
      <c r="H153" s="191"/>
      <c r="I153" s="191"/>
      <c r="J153" s="191"/>
    </row>
    <row r="154" spans="1:10" x14ac:dyDescent="0.25">
      <c r="A154" t="s">
        <v>192</v>
      </c>
      <c r="B154" s="167">
        <f>B115</f>
        <v>2501582591.4929686</v>
      </c>
      <c r="C154" s="171" t="s">
        <v>193</v>
      </c>
    </row>
    <row r="155" spans="1:10" x14ac:dyDescent="0.25">
      <c r="A155" t="s">
        <v>207</v>
      </c>
      <c r="B155" s="167">
        <f>ROUND(C111/30,-5)</f>
        <v>79400000</v>
      </c>
      <c r="C155" s="170" t="s">
        <v>196</v>
      </c>
    </row>
    <row r="156" spans="1:10" x14ac:dyDescent="0.25">
      <c r="A156" t="s">
        <v>211</v>
      </c>
      <c r="B156" s="167">
        <f>B151*B154-B155</f>
        <v>258460545.74100333</v>
      </c>
      <c r="C156" s="170" t="s">
        <v>196</v>
      </c>
    </row>
  </sheetData>
  <pageMargins left="0.7" right="0.7" top="0.75" bottom="0.75" header="0.51180555555555496" footer="0.51180555555555496"/>
  <pageSetup firstPageNumber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U166"/>
  <sheetViews>
    <sheetView topLeftCell="A2" workbookViewId="0">
      <selection activeCell="A39" sqref="A39"/>
    </sheetView>
  </sheetViews>
  <sheetFormatPr defaultColWidth="8.85546875" defaultRowHeight="15" x14ac:dyDescent="0.25"/>
  <cols>
    <col min="1" max="1" width="52.28515625" customWidth="1"/>
    <col min="2" max="2" width="23" customWidth="1"/>
    <col min="3" max="3" width="13.28515625" customWidth="1"/>
    <col min="4" max="4" width="30.28515625" customWidth="1"/>
    <col min="5" max="5" width="18.7109375" customWidth="1"/>
    <col min="6" max="6" width="12.7109375" customWidth="1"/>
    <col min="7" max="7" width="11.42578125" customWidth="1"/>
    <col min="8" max="8" width="11.28515625" customWidth="1"/>
    <col min="9" max="9" width="10.85546875" customWidth="1"/>
    <col min="10" max="10" width="11.140625" customWidth="1"/>
    <col min="11" max="11" width="11.28515625" customWidth="1"/>
    <col min="12" max="34" width="10.85546875" customWidth="1"/>
  </cols>
  <sheetData>
    <row r="1" spans="1:12" ht="27" customHeight="1" x14ac:dyDescent="0.4">
      <c r="A1" s="193" t="s">
        <v>478</v>
      </c>
    </row>
    <row r="2" spans="1:12" x14ac:dyDescent="0.25">
      <c r="A2" s="194" t="s">
        <v>230</v>
      </c>
    </row>
    <row r="3" spans="1:12" x14ac:dyDescent="0.25">
      <c r="A3" t="s">
        <v>487</v>
      </c>
    </row>
    <row r="4" spans="1:12" x14ac:dyDescent="0.25">
      <c r="A4" t="s">
        <v>488</v>
      </c>
    </row>
    <row r="5" spans="1:12" x14ac:dyDescent="0.25">
      <c r="A5" t="s">
        <v>489</v>
      </c>
    </row>
    <row r="6" spans="1:12" x14ac:dyDescent="0.25">
      <c r="A6" t="s">
        <v>497</v>
      </c>
    </row>
    <row r="7" spans="1:12" x14ac:dyDescent="0.25">
      <c r="A7" s="86" t="s">
        <v>385</v>
      </c>
      <c r="B7" s="87" t="s">
        <v>516</v>
      </c>
    </row>
    <row r="8" spans="1:12" x14ac:dyDescent="0.25">
      <c r="A8" t="s">
        <v>510</v>
      </c>
      <c r="B8" t="s">
        <v>611</v>
      </c>
    </row>
    <row r="9" spans="1:12" s="90" customFormat="1" x14ac:dyDescent="0.25"/>
    <row r="10" spans="1:12" s="93" customFormat="1" x14ac:dyDescent="0.25">
      <c r="A10" s="91" t="s">
        <v>384</v>
      </c>
      <c r="B10" s="92"/>
      <c r="C10" s="92"/>
      <c r="E10" s="92" t="s">
        <v>389</v>
      </c>
    </row>
    <row r="11" spans="1:12" x14ac:dyDescent="0.25">
      <c r="B11" s="209" t="s">
        <v>569</v>
      </c>
      <c r="C11" s="172" t="s">
        <v>496</v>
      </c>
      <c r="D11" s="209" t="s">
        <v>569</v>
      </c>
      <c r="E11" s="172" t="s">
        <v>76</v>
      </c>
      <c r="H11" s="172"/>
    </row>
    <row r="12" spans="1:12" x14ac:dyDescent="0.25">
      <c r="A12" t="s">
        <v>495</v>
      </c>
      <c r="B12" s="249" t="s">
        <v>605</v>
      </c>
      <c r="C12" s="254">
        <f>B35*1000/(B36*1000)</f>
        <v>1.35189941868325</v>
      </c>
      <c r="D12" s="249" t="s">
        <v>605</v>
      </c>
      <c r="E12" s="253">
        <f>B35*1000/B38</f>
        <v>103.8302997580754</v>
      </c>
      <c r="F12" t="s">
        <v>588</v>
      </c>
      <c r="H12" s="172"/>
    </row>
    <row r="13" spans="1:12" x14ac:dyDescent="0.25">
      <c r="A13" t="s">
        <v>84</v>
      </c>
      <c r="B13" s="249" t="s">
        <v>606</v>
      </c>
      <c r="C13" s="255">
        <f>B127/B36/1000</f>
        <v>5.6846452183945484E-3</v>
      </c>
      <c r="D13" s="249" t="s">
        <v>606</v>
      </c>
      <c r="E13" s="256">
        <f>B127/B38</f>
        <v>0.4365993570876065</v>
      </c>
      <c r="F13" t="s">
        <v>588</v>
      </c>
      <c r="H13" s="172"/>
    </row>
    <row r="14" spans="1:12" x14ac:dyDescent="0.25">
      <c r="A14" t="s">
        <v>87</v>
      </c>
      <c r="B14" s="249" t="s">
        <v>607</v>
      </c>
      <c r="C14" s="255">
        <f>B128/B36/1000</f>
        <v>2.84634151345064E-4</v>
      </c>
      <c r="D14" s="249" t="s">
        <v>607</v>
      </c>
      <c r="E14" s="256">
        <f>B128/B38</f>
        <v>2.1860834354325443E-2</v>
      </c>
      <c r="F14" t="s">
        <v>588</v>
      </c>
      <c r="H14" s="163"/>
    </row>
    <row r="15" spans="1:12" x14ac:dyDescent="0.25">
      <c r="A15" t="s">
        <v>621</v>
      </c>
      <c r="B15" s="249" t="s">
        <v>622</v>
      </c>
      <c r="C15" s="261">
        <f>B38/(B36*1000)</f>
        <v>1.3020278491280249E-2</v>
      </c>
      <c r="D15" s="249" t="s">
        <v>623</v>
      </c>
      <c r="E15" s="252">
        <f>B36/B38</f>
        <v>7.6803272731048366E-2</v>
      </c>
      <c r="F15" t="s">
        <v>624</v>
      </c>
      <c r="H15" s="262" t="s">
        <v>625</v>
      </c>
      <c r="I15" s="262"/>
      <c r="J15" s="262"/>
      <c r="K15" s="262"/>
      <c r="L15" s="262"/>
    </row>
    <row r="16" spans="1:12" x14ac:dyDescent="0.25">
      <c r="A16" s="93" t="s">
        <v>477</v>
      </c>
      <c r="B16" s="249" t="s">
        <v>608</v>
      </c>
      <c r="C16" s="257">
        <f>SUM(C17:C20)</f>
        <v>0.11288840187127996</v>
      </c>
      <c r="D16" s="249" t="s">
        <v>608</v>
      </c>
      <c r="E16" s="258">
        <f>SUM(E17:E20)</f>
        <v>8.6701987170921058</v>
      </c>
      <c r="F16" s="93" t="s">
        <v>598</v>
      </c>
      <c r="G16" s="93"/>
    </row>
    <row r="17" spans="1:9" x14ac:dyDescent="0.25">
      <c r="A17" t="s">
        <v>88</v>
      </c>
      <c r="C17" s="190">
        <f>B126/B26/B36/1000</f>
        <v>3.8711152039601626E-2</v>
      </c>
      <c r="E17" s="189">
        <f>B126/B26/B38</f>
        <v>2.9731431678306031</v>
      </c>
      <c r="G17" t="s">
        <v>594</v>
      </c>
    </row>
    <row r="18" spans="1:9" x14ac:dyDescent="0.25">
      <c r="A18" t="s">
        <v>89</v>
      </c>
      <c r="C18" s="190">
        <f>B151/B26/B36/1000</f>
        <v>1.1517219076834928E-2</v>
      </c>
      <c r="E18" s="189">
        <f>B151/B26/B38</f>
        <v>0.884560117861386</v>
      </c>
    </row>
    <row r="19" spans="1:9" x14ac:dyDescent="0.25">
      <c r="A19" t="s">
        <v>92</v>
      </c>
      <c r="C19" s="190">
        <f>B165/B26/B36/1000</f>
        <v>1.470310533945245E-2</v>
      </c>
      <c r="E19" s="189">
        <f>B165/B26/B38</f>
        <v>1.1292466093792999</v>
      </c>
      <c r="H19" s="156"/>
    </row>
    <row r="20" spans="1:9" x14ac:dyDescent="0.25">
      <c r="A20" t="s">
        <v>94</v>
      </c>
      <c r="C20" s="190">
        <f>B166/B26/B36/1000</f>
        <v>4.7956925415390948E-2</v>
      </c>
      <c r="E20" s="189">
        <f>B166/B26/B38</f>
        <v>3.6832488220208157</v>
      </c>
    </row>
    <row r="21" spans="1:9" x14ac:dyDescent="0.25">
      <c r="D21" s="156"/>
    </row>
    <row r="23" spans="1:9" s="90" customFormat="1" x14ac:dyDescent="0.25">
      <c r="I23" s="185"/>
    </row>
    <row r="24" spans="1:9" x14ac:dyDescent="0.25">
      <c r="A24" s="186" t="s">
        <v>486</v>
      </c>
      <c r="I24" s="96"/>
    </row>
    <row r="25" spans="1:9" x14ac:dyDescent="0.25">
      <c r="A25" s="186"/>
      <c r="I25" s="96"/>
    </row>
    <row r="26" spans="1:9" x14ac:dyDescent="0.25">
      <c r="A26" s="170" t="s">
        <v>481</v>
      </c>
      <c r="B26" s="96">
        <v>3.2942738452482598</v>
      </c>
      <c r="I26" s="96"/>
    </row>
    <row r="27" spans="1:9" x14ac:dyDescent="0.25">
      <c r="I27" s="96"/>
    </row>
    <row r="28" spans="1:9" x14ac:dyDescent="0.25">
      <c r="A28" t="s">
        <v>71</v>
      </c>
      <c r="B28">
        <v>1215</v>
      </c>
      <c r="C28" t="s">
        <v>491</v>
      </c>
      <c r="D28" t="s">
        <v>73</v>
      </c>
      <c r="I28" s="96"/>
    </row>
    <row r="29" spans="1:9" x14ac:dyDescent="0.25">
      <c r="A29" t="s">
        <v>74</v>
      </c>
      <c r="B29">
        <v>0.9</v>
      </c>
      <c r="C29" t="s">
        <v>75</v>
      </c>
      <c r="I29" s="96"/>
    </row>
    <row r="30" spans="1:9" x14ac:dyDescent="0.25">
      <c r="A30" t="s">
        <v>77</v>
      </c>
      <c r="B30">
        <f>B28*1000/24/B29</f>
        <v>56250</v>
      </c>
      <c r="C30" t="s">
        <v>78</v>
      </c>
      <c r="D30" t="s">
        <v>79</v>
      </c>
      <c r="I30" s="96"/>
    </row>
    <row r="31" spans="1:9" x14ac:dyDescent="0.25">
      <c r="A31" t="s">
        <v>80</v>
      </c>
      <c r="B31" s="162">
        <v>0.27400000000000002</v>
      </c>
      <c r="C31" t="s">
        <v>75</v>
      </c>
      <c r="D31" t="s">
        <v>81</v>
      </c>
      <c r="I31" s="96"/>
    </row>
    <row r="32" spans="1:9" x14ac:dyDescent="0.25">
      <c r="A32" t="s">
        <v>82</v>
      </c>
      <c r="B32">
        <v>0.95</v>
      </c>
      <c r="C32" t="s">
        <v>75</v>
      </c>
      <c r="D32" t="s">
        <v>83</v>
      </c>
      <c r="I32" s="96"/>
    </row>
    <row r="33" spans="1:15" x14ac:dyDescent="0.25">
      <c r="A33" t="s">
        <v>85</v>
      </c>
      <c r="B33">
        <v>37</v>
      </c>
      <c r="C33" t="s">
        <v>310</v>
      </c>
      <c r="D33" t="s">
        <v>86</v>
      </c>
      <c r="I33" s="96"/>
    </row>
    <row r="34" spans="1:15" x14ac:dyDescent="0.25">
      <c r="A34" t="s">
        <v>461</v>
      </c>
      <c r="B34" s="104">
        <f>2229*E34</f>
        <v>2022.1153650000001</v>
      </c>
      <c r="C34" t="s">
        <v>492</v>
      </c>
      <c r="D34" t="s">
        <v>463</v>
      </c>
      <c r="E34">
        <v>0.90718500000000002</v>
      </c>
      <c r="F34" t="s">
        <v>490</v>
      </c>
      <c r="I34" s="96"/>
    </row>
    <row r="35" spans="1:15" x14ac:dyDescent="0.25">
      <c r="A35" t="s">
        <v>494</v>
      </c>
      <c r="B35" s="183">
        <f>B28*365*B29</f>
        <v>399127.5</v>
      </c>
      <c r="C35" t="s">
        <v>493</v>
      </c>
      <c r="I35" s="96"/>
    </row>
    <row r="36" spans="1:15" x14ac:dyDescent="0.25">
      <c r="A36" t="s">
        <v>90</v>
      </c>
      <c r="B36" s="183">
        <f>B28*365*B29*(1-B31*B32)</f>
        <v>295234.61174999998</v>
      </c>
      <c r="C36" t="s">
        <v>493</v>
      </c>
      <c r="I36" s="96"/>
    </row>
    <row r="37" spans="1:15" x14ac:dyDescent="0.25">
      <c r="A37" t="s">
        <v>93</v>
      </c>
      <c r="B37" s="183">
        <f>B28*365*B29*B31*B32</f>
        <v>103892.88825</v>
      </c>
      <c r="C37" t="s">
        <v>493</v>
      </c>
      <c r="I37" s="96"/>
    </row>
    <row r="38" spans="1:15" x14ac:dyDescent="0.25">
      <c r="A38" t="s">
        <v>95</v>
      </c>
      <c r="B38" s="183">
        <f>B37*B33</f>
        <v>3844036.8652500003</v>
      </c>
      <c r="C38" t="s">
        <v>96</v>
      </c>
      <c r="I38" s="96"/>
    </row>
    <row r="39" spans="1:15" x14ac:dyDescent="0.25">
      <c r="C39" s="128"/>
    </row>
    <row r="40" spans="1:15" s="90" customFormat="1" x14ac:dyDescent="0.25">
      <c r="L40" s="174"/>
      <c r="O40" s="101"/>
    </row>
    <row r="41" spans="1:15" s="162" customFormat="1" x14ac:dyDescent="0.25">
      <c r="A41" s="184" t="s">
        <v>485</v>
      </c>
      <c r="L41" s="175"/>
      <c r="O41" s="176"/>
    </row>
    <row r="42" spans="1:15" s="162" customFormat="1" x14ac:dyDescent="0.25">
      <c r="L42" s="175"/>
      <c r="O42" s="176"/>
    </row>
    <row r="43" spans="1:15" x14ac:dyDescent="0.25">
      <c r="A43" s="91" t="s">
        <v>472</v>
      </c>
      <c r="B43" s="91"/>
      <c r="C43" s="91"/>
      <c r="D43" s="91"/>
      <c r="E43" s="93"/>
      <c r="F43" s="93"/>
      <c r="G43" s="93"/>
      <c r="H43" s="93"/>
      <c r="I43" s="93"/>
      <c r="J43" s="93"/>
      <c r="L43" s="105"/>
    </row>
    <row r="44" spans="1:15" x14ac:dyDescent="0.25">
      <c r="A44" s="95" t="s">
        <v>156</v>
      </c>
      <c r="J44" s="126"/>
      <c r="L44" s="105"/>
    </row>
    <row r="45" spans="1:15" x14ac:dyDescent="0.25">
      <c r="A45" t="s">
        <v>161</v>
      </c>
      <c r="B45" s="158">
        <v>18612122</v>
      </c>
      <c r="C45" t="s">
        <v>97</v>
      </c>
      <c r="D45" t="s">
        <v>162</v>
      </c>
      <c r="J45" s="126"/>
      <c r="L45" s="105"/>
    </row>
    <row r="46" spans="1:15" x14ac:dyDescent="0.25">
      <c r="A46" t="s">
        <v>166</v>
      </c>
      <c r="B46">
        <v>32872</v>
      </c>
      <c r="C46" t="s">
        <v>167</v>
      </c>
      <c r="D46" t="s">
        <v>162</v>
      </c>
      <c r="J46" s="126"/>
      <c r="L46" s="105"/>
    </row>
    <row r="47" spans="1:15" x14ac:dyDescent="0.25">
      <c r="A47" t="s">
        <v>172</v>
      </c>
      <c r="B47" s="104">
        <f>B73*(1-B32*B31)</f>
        <v>69248.089606041671</v>
      </c>
      <c r="C47" t="s">
        <v>167</v>
      </c>
      <c r="D47" t="s">
        <v>474</v>
      </c>
      <c r="J47" s="126"/>
      <c r="L47" s="105"/>
    </row>
    <row r="48" spans="1:15" x14ac:dyDescent="0.25">
      <c r="A48" t="s">
        <v>175</v>
      </c>
      <c r="B48">
        <v>0.8</v>
      </c>
      <c r="D48" t="s">
        <v>162</v>
      </c>
      <c r="J48" s="126"/>
      <c r="L48" s="105"/>
    </row>
    <row r="49" spans="1:12" x14ac:dyDescent="0.25">
      <c r="A49" t="s">
        <v>475</v>
      </c>
      <c r="B49" s="158">
        <f>B45*(B47/B46)^B48</f>
        <v>33780122.906849518</v>
      </c>
      <c r="C49" t="s">
        <v>97</v>
      </c>
      <c r="D49" t="s">
        <v>476</v>
      </c>
      <c r="F49" s="126"/>
      <c r="G49" s="126"/>
      <c r="H49" s="126"/>
      <c r="I49" s="126"/>
      <c r="J49" s="126"/>
      <c r="L49" s="105"/>
    </row>
    <row r="50" spans="1:12" x14ac:dyDescent="0.25">
      <c r="E50" s="126"/>
      <c r="F50" s="126"/>
      <c r="G50" s="126"/>
      <c r="H50" s="126"/>
      <c r="I50" s="126"/>
    </row>
    <row r="51" spans="1:12" x14ac:dyDescent="0.25">
      <c r="A51" t="s">
        <v>100</v>
      </c>
      <c r="B51" s="167">
        <f>B49</f>
        <v>33780122.906849518</v>
      </c>
      <c r="C51" s="168" t="s">
        <v>193</v>
      </c>
      <c r="D51" t="s">
        <v>101</v>
      </c>
    </row>
    <row r="52" spans="1:12" x14ac:dyDescent="0.25">
      <c r="A52" t="s">
        <v>103</v>
      </c>
      <c r="B52" s="162">
        <v>0</v>
      </c>
      <c r="C52" t="s">
        <v>104</v>
      </c>
      <c r="D52" t="s">
        <v>105</v>
      </c>
    </row>
    <row r="53" spans="1:12" x14ac:dyDescent="0.25">
      <c r="A53" t="s">
        <v>109</v>
      </c>
      <c r="B53" s="104">
        <f>B61*(1.05506*10^(-6))</f>
        <v>1224698.7343063294</v>
      </c>
      <c r="C53" t="s">
        <v>96</v>
      </c>
    </row>
    <row r="54" spans="1:12" x14ac:dyDescent="0.25">
      <c r="A54" t="s">
        <v>111</v>
      </c>
      <c r="B54">
        <v>0</v>
      </c>
      <c r="C54" t="s">
        <v>96</v>
      </c>
      <c r="D54" t="s">
        <v>112</v>
      </c>
    </row>
    <row r="56" spans="1:12" x14ac:dyDescent="0.25">
      <c r="A56" s="95" t="s">
        <v>155</v>
      </c>
    </row>
    <row r="57" spans="1:12" x14ac:dyDescent="0.25">
      <c r="A57" t="s">
        <v>159</v>
      </c>
      <c r="B57" s="158">
        <f>3.72*10^6</f>
        <v>3720000</v>
      </c>
      <c r="C57" t="s">
        <v>160</v>
      </c>
      <c r="I57" s="126"/>
      <c r="J57" s="126"/>
      <c r="K57" s="126"/>
      <c r="L57" s="126"/>
    </row>
    <row r="58" spans="1:12" x14ac:dyDescent="0.25">
      <c r="A58" t="s">
        <v>164</v>
      </c>
      <c r="B58">
        <v>5.0999999999999996</v>
      </c>
      <c r="C58" t="s">
        <v>165</v>
      </c>
      <c r="I58" s="126"/>
      <c r="J58" s="126"/>
      <c r="K58" s="126"/>
      <c r="L58" s="126"/>
    </row>
    <row r="59" spans="1:12" x14ac:dyDescent="0.25">
      <c r="A59" t="s">
        <v>170</v>
      </c>
      <c r="B59">
        <v>930</v>
      </c>
      <c r="C59" t="s">
        <v>171</v>
      </c>
      <c r="I59" s="126"/>
      <c r="J59" s="126"/>
      <c r="K59" s="126"/>
      <c r="L59" s="126"/>
    </row>
    <row r="60" spans="1:12" x14ac:dyDescent="0.25">
      <c r="B60">
        <f>B57/B58*1000*B59</f>
        <v>678352941176.4707</v>
      </c>
      <c r="C60" t="s">
        <v>174</v>
      </c>
      <c r="I60" s="126"/>
      <c r="J60" s="126"/>
      <c r="K60" s="126"/>
      <c r="L60" s="126"/>
    </row>
    <row r="61" spans="1:12" x14ac:dyDescent="0.25">
      <c r="A61" t="s">
        <v>179</v>
      </c>
      <c r="B61">
        <f>B60*(B28/B29*1000/24)/B46</f>
        <v>1160785864601.3774</v>
      </c>
      <c r="C61" t="s">
        <v>174</v>
      </c>
      <c r="I61" s="126"/>
      <c r="J61" s="126"/>
      <c r="K61" s="126"/>
      <c r="L61" s="126"/>
    </row>
    <row r="65" spans="1:10" x14ac:dyDescent="0.25">
      <c r="A65" s="91" t="s">
        <v>473</v>
      </c>
      <c r="B65" s="91"/>
      <c r="C65" s="91"/>
      <c r="D65" s="91"/>
      <c r="E65" s="93"/>
      <c r="F65" s="93"/>
      <c r="G65" s="93"/>
      <c r="H65" s="93"/>
      <c r="I65" s="93"/>
      <c r="J65" s="93"/>
    </row>
    <row r="66" spans="1:10" x14ac:dyDescent="0.25">
      <c r="A66" t="s">
        <v>100</v>
      </c>
      <c r="B66" s="167">
        <f>B75*(B73/B72)^B74</f>
        <v>188724138.16051182</v>
      </c>
      <c r="C66" s="168" t="s">
        <v>193</v>
      </c>
    </row>
    <row r="67" spans="1:10" x14ac:dyDescent="0.25">
      <c r="A67" t="s">
        <v>103</v>
      </c>
      <c r="B67" s="164">
        <f>(8.58+0.25+0.36+0.22)*B73/B72</f>
        <v>37.649833921880791</v>
      </c>
      <c r="C67" t="s">
        <v>104</v>
      </c>
      <c r="D67" t="s">
        <v>106</v>
      </c>
    </row>
    <row r="68" spans="1:10" x14ac:dyDescent="0.25">
      <c r="A68" t="s">
        <v>109</v>
      </c>
      <c r="B68" s="165">
        <f>B82</f>
        <v>453605.28968287888</v>
      </c>
      <c r="C68" t="s">
        <v>96</v>
      </c>
      <c r="J68" s="110"/>
    </row>
    <row r="69" spans="1:10" x14ac:dyDescent="0.25">
      <c r="A69" t="s">
        <v>111</v>
      </c>
      <c r="B69" s="104">
        <f>B77*24*365*B29*3.6</f>
        <v>84033.853163150692</v>
      </c>
      <c r="C69" t="s">
        <v>96</v>
      </c>
    </row>
    <row r="70" spans="1:10" x14ac:dyDescent="0.25">
      <c r="B70" s="104"/>
    </row>
    <row r="71" spans="1:10" x14ac:dyDescent="0.25">
      <c r="A71" s="95" t="s">
        <v>123</v>
      </c>
    </row>
    <row r="72" spans="1:10" x14ac:dyDescent="0.25">
      <c r="A72" t="s">
        <v>126</v>
      </c>
      <c r="B72">
        <v>23398</v>
      </c>
      <c r="C72" t="s">
        <v>78</v>
      </c>
      <c r="D72" t="s">
        <v>127</v>
      </c>
    </row>
    <row r="73" spans="1:10" x14ac:dyDescent="0.25">
      <c r="A73" t="s">
        <v>130</v>
      </c>
      <c r="B73" s="104">
        <f>B34/B29*1000/24</f>
        <v>93616.452083333337</v>
      </c>
      <c r="C73" t="s">
        <v>78</v>
      </c>
      <c r="D73" t="s">
        <v>131</v>
      </c>
    </row>
    <row r="74" spans="1:10" x14ac:dyDescent="0.25">
      <c r="A74" t="s">
        <v>134</v>
      </c>
      <c r="B74">
        <v>0.7</v>
      </c>
      <c r="C74" t="s">
        <v>75</v>
      </c>
      <c r="D74" t="s">
        <v>135</v>
      </c>
    </row>
    <row r="75" spans="1:10" x14ac:dyDescent="0.25">
      <c r="A75" t="s">
        <v>138</v>
      </c>
      <c r="B75" s="158">
        <v>71500000</v>
      </c>
      <c r="C75" t="s">
        <v>97</v>
      </c>
      <c r="D75" t="s">
        <v>102</v>
      </c>
    </row>
    <row r="76" spans="1:10" x14ac:dyDescent="0.25">
      <c r="A76" t="s">
        <v>141</v>
      </c>
      <c r="B76">
        <f>18.5*0.04</f>
        <v>0.74</v>
      </c>
      <c r="C76" t="s">
        <v>142</v>
      </c>
      <c r="D76" t="s">
        <v>143</v>
      </c>
    </row>
    <row r="77" spans="1:10" x14ac:dyDescent="0.25">
      <c r="A77" t="s">
        <v>146</v>
      </c>
      <c r="B77" s="97">
        <f>B76*B73/B72</f>
        <v>2.9607733371085847</v>
      </c>
      <c r="C77" t="s">
        <v>142</v>
      </c>
    </row>
    <row r="78" spans="1:10" x14ac:dyDescent="0.25">
      <c r="B78" s="97"/>
    </row>
    <row r="79" spans="1:10" x14ac:dyDescent="0.25">
      <c r="A79" s="95" t="s">
        <v>183</v>
      </c>
    </row>
    <row r="80" spans="1:10" x14ac:dyDescent="0.25">
      <c r="A80" t="s">
        <v>184</v>
      </c>
      <c r="B80">
        <v>5.72</v>
      </c>
      <c r="C80" t="s">
        <v>185</v>
      </c>
      <c r="D80" t="s">
        <v>186</v>
      </c>
    </row>
    <row r="81" spans="1:10" x14ac:dyDescent="0.25">
      <c r="A81" t="s">
        <v>187</v>
      </c>
      <c r="B81" s="97">
        <f>B80*(B28/B29*1000/24)/B72</f>
        <v>13.751175314129412</v>
      </c>
      <c r="C81" t="s">
        <v>185</v>
      </c>
    </row>
    <row r="82" spans="1:10" x14ac:dyDescent="0.25">
      <c r="A82" t="s">
        <v>187</v>
      </c>
      <c r="B82" s="104">
        <f>B81*24*365*B29*4.184</f>
        <v>453605.28968287888</v>
      </c>
      <c r="C82" t="s">
        <v>96</v>
      </c>
      <c r="D82" s="158">
        <f>B82*947817/B59/1000*B58</f>
        <v>2357706.9943461525</v>
      </c>
      <c r="E82" t="s">
        <v>160</v>
      </c>
    </row>
    <row r="84" spans="1:10" x14ac:dyDescent="0.25">
      <c r="A84" s="95" t="s">
        <v>191</v>
      </c>
    </row>
    <row r="85" spans="1:10" x14ac:dyDescent="0.25">
      <c r="A85" t="s">
        <v>194</v>
      </c>
      <c r="B85" s="158">
        <f>8.58*10^6</f>
        <v>8580000</v>
      </c>
      <c r="C85" t="s">
        <v>160</v>
      </c>
      <c r="D85" t="s">
        <v>107</v>
      </c>
    </row>
    <row r="86" spans="1:10" x14ac:dyDescent="0.25">
      <c r="A86" t="s">
        <v>198</v>
      </c>
      <c r="B86" s="158">
        <f>B85*B73/B72</f>
        <v>34328966.530258998</v>
      </c>
      <c r="C86" t="s">
        <v>160</v>
      </c>
    </row>
    <row r="87" spans="1:10" x14ac:dyDescent="0.25">
      <c r="A87" s="166" t="s">
        <v>200</v>
      </c>
      <c r="B87" s="166">
        <v>0.53939999999999999</v>
      </c>
      <c r="C87" s="166" t="s">
        <v>201</v>
      </c>
      <c r="D87" s="166" t="s">
        <v>202</v>
      </c>
    </row>
    <row r="88" spans="1:10" x14ac:dyDescent="0.25">
      <c r="A88" s="166" t="s">
        <v>204</v>
      </c>
      <c r="B88">
        <f>B86/B87*0.4536</f>
        <v>28868407.894188877</v>
      </c>
      <c r="C88" s="166" t="s">
        <v>205</v>
      </c>
    </row>
    <row r="89" spans="1:10" x14ac:dyDescent="0.25">
      <c r="B89" s="158"/>
    </row>
    <row r="90" spans="1:10" x14ac:dyDescent="0.25">
      <c r="B90" s="158"/>
    </row>
    <row r="91" spans="1:10" x14ac:dyDescent="0.25">
      <c r="A91" s="91" t="s">
        <v>98</v>
      </c>
      <c r="B91" s="91"/>
      <c r="C91" s="91"/>
      <c r="D91" s="91"/>
      <c r="E91" s="93"/>
      <c r="F91" s="93"/>
      <c r="G91" s="93"/>
      <c r="H91" s="93"/>
      <c r="I91" s="93"/>
      <c r="J91" s="93"/>
    </row>
    <row r="92" spans="1:10" x14ac:dyDescent="0.25">
      <c r="A92" t="s">
        <v>100</v>
      </c>
      <c r="B92" s="167">
        <v>4500000</v>
      </c>
      <c r="C92" s="168" t="s">
        <v>193</v>
      </c>
      <c r="D92" t="s">
        <v>102</v>
      </c>
    </row>
    <row r="93" spans="1:10" x14ac:dyDescent="0.25">
      <c r="A93" t="s">
        <v>103</v>
      </c>
      <c r="B93">
        <v>0</v>
      </c>
      <c r="C93" t="s">
        <v>104</v>
      </c>
      <c r="D93" t="s">
        <v>107</v>
      </c>
    </row>
    <row r="94" spans="1:10" x14ac:dyDescent="0.25">
      <c r="A94" t="s">
        <v>109</v>
      </c>
      <c r="B94">
        <v>0</v>
      </c>
      <c r="C94" t="s">
        <v>96</v>
      </c>
    </row>
    <row r="95" spans="1:10" x14ac:dyDescent="0.25">
      <c r="A95" t="s">
        <v>111</v>
      </c>
      <c r="B95">
        <v>0</v>
      </c>
      <c r="C95" t="s">
        <v>96</v>
      </c>
    </row>
    <row r="97" spans="1:15" x14ac:dyDescent="0.25">
      <c r="A97" s="91" t="s">
        <v>99</v>
      </c>
      <c r="B97" s="93"/>
      <c r="C97" s="93"/>
      <c r="D97" s="93"/>
      <c r="E97" s="93"/>
      <c r="F97" s="93"/>
      <c r="G97" s="93"/>
      <c r="H97" s="93"/>
      <c r="I97" s="93"/>
      <c r="J97" s="93"/>
    </row>
    <row r="98" spans="1:15" x14ac:dyDescent="0.25">
      <c r="A98" t="s">
        <v>100</v>
      </c>
      <c r="B98" s="167">
        <v>5700000</v>
      </c>
      <c r="C98" s="168" t="s">
        <v>193</v>
      </c>
      <c r="D98" t="s">
        <v>102</v>
      </c>
    </row>
    <row r="99" spans="1:15" x14ac:dyDescent="0.25">
      <c r="A99" t="s">
        <v>103</v>
      </c>
      <c r="B99">
        <v>0.2</v>
      </c>
      <c r="C99" t="s">
        <v>104</v>
      </c>
      <c r="D99" t="s">
        <v>108</v>
      </c>
    </row>
    <row r="100" spans="1:15" x14ac:dyDescent="0.25">
      <c r="A100" t="s">
        <v>109</v>
      </c>
      <c r="B100">
        <v>0</v>
      </c>
      <c r="C100" t="s">
        <v>96</v>
      </c>
      <c r="D100" t="s">
        <v>110</v>
      </c>
    </row>
    <row r="101" spans="1:15" x14ac:dyDescent="0.25">
      <c r="A101" t="s">
        <v>111</v>
      </c>
      <c r="B101">
        <v>0</v>
      </c>
      <c r="C101" t="s">
        <v>96</v>
      </c>
      <c r="D101" t="s">
        <v>110</v>
      </c>
    </row>
    <row r="103" spans="1:15" s="90" customFormat="1" x14ac:dyDescent="0.25">
      <c r="L103" s="174"/>
      <c r="O103" s="101"/>
    </row>
    <row r="104" spans="1:15" x14ac:dyDescent="0.25">
      <c r="A104" s="159" t="s">
        <v>484</v>
      </c>
    </row>
    <row r="106" spans="1:15" x14ac:dyDescent="0.25">
      <c r="A106" t="s">
        <v>113</v>
      </c>
      <c r="B106" t="s">
        <v>114</v>
      </c>
      <c r="C106" t="s">
        <v>115</v>
      </c>
    </row>
    <row r="107" spans="1:15" x14ac:dyDescent="0.25">
      <c r="A107" t="s">
        <v>124</v>
      </c>
      <c r="B107">
        <v>4</v>
      </c>
      <c r="C107" s="158">
        <f>B107/100*($B$66+$B$92+$B$98)</f>
        <v>7956965.5264204731</v>
      </c>
    </row>
    <row r="108" spans="1:15" x14ac:dyDescent="0.25">
      <c r="A108" t="s">
        <v>128</v>
      </c>
      <c r="B108">
        <v>9</v>
      </c>
      <c r="C108" s="158">
        <f>B108/100*($B$66+$B$92+$B$98)</f>
        <v>17903172.434446063</v>
      </c>
    </row>
    <row r="109" spans="1:15" x14ac:dyDescent="0.25">
      <c r="A109" t="s">
        <v>132</v>
      </c>
      <c r="B109">
        <v>4.5</v>
      </c>
      <c r="C109" s="158">
        <f>B109/100*($B$66+$B$92+$B$98)</f>
        <v>8951586.2172230314</v>
      </c>
    </row>
    <row r="111" spans="1:15" x14ac:dyDescent="0.25">
      <c r="A111" s="95" t="s">
        <v>139</v>
      </c>
      <c r="C111" s="167">
        <f>B51+B66+B92+B98+C107+C108+C109</f>
        <v>267515985.24545091</v>
      </c>
    </row>
    <row r="113" spans="1:21" x14ac:dyDescent="0.25">
      <c r="A113" t="s">
        <v>147</v>
      </c>
      <c r="B113" t="s">
        <v>148</v>
      </c>
      <c r="C113" t="s">
        <v>115</v>
      </c>
    </row>
    <row r="114" spans="1:21" x14ac:dyDescent="0.25">
      <c r="A114" t="s">
        <v>150</v>
      </c>
      <c r="B114">
        <v>10</v>
      </c>
      <c r="C114" s="158">
        <f>B114/100*$C$111</f>
        <v>26751598.524545092</v>
      </c>
    </row>
    <row r="115" spans="1:21" x14ac:dyDescent="0.25">
      <c r="A115" t="s">
        <v>153</v>
      </c>
      <c r="B115">
        <v>10</v>
      </c>
      <c r="C115" s="158">
        <f>B115/100*$C$111</f>
        <v>26751598.524545092</v>
      </c>
    </row>
    <row r="116" spans="1:21" x14ac:dyDescent="0.25">
      <c r="A116" t="s">
        <v>157</v>
      </c>
      <c r="B116">
        <v>20</v>
      </c>
      <c r="C116" s="158">
        <f>B116/100*$C$111</f>
        <v>53503197.049090184</v>
      </c>
    </row>
    <row r="117" spans="1:21" x14ac:dyDescent="0.25">
      <c r="A117" t="s">
        <v>163</v>
      </c>
      <c r="B117">
        <v>10</v>
      </c>
      <c r="C117" s="158">
        <f>B117/100*$C$111</f>
        <v>26751598.524545092</v>
      </c>
    </row>
    <row r="118" spans="1:21" x14ac:dyDescent="0.25">
      <c r="A118" t="s">
        <v>168</v>
      </c>
      <c r="B118">
        <v>10</v>
      </c>
      <c r="C118" s="158">
        <f>B118/100*$C$111</f>
        <v>26751598.524545092</v>
      </c>
    </row>
    <row r="119" spans="1:21" x14ac:dyDescent="0.25">
      <c r="U119" s="158"/>
    </row>
    <row r="120" spans="1:21" x14ac:dyDescent="0.25">
      <c r="A120" s="95" t="s">
        <v>176</v>
      </c>
      <c r="C120" s="167">
        <f>SUM(C114:C118)</f>
        <v>160509591.14727056</v>
      </c>
    </row>
    <row r="121" spans="1:21" x14ac:dyDescent="0.25">
      <c r="A121" s="95" t="s">
        <v>180</v>
      </c>
      <c r="C121" s="167">
        <f>C111+C120</f>
        <v>428025576.39272147</v>
      </c>
    </row>
    <row r="122" spans="1:21" x14ac:dyDescent="0.25">
      <c r="A122" t="s">
        <v>188</v>
      </c>
      <c r="C122" s="167">
        <v>1800000</v>
      </c>
      <c r="D122" t="s">
        <v>189</v>
      </c>
    </row>
    <row r="123" spans="1:21" x14ac:dyDescent="0.25">
      <c r="A123" t="s">
        <v>190</v>
      </c>
      <c r="C123" s="167">
        <f>D123/100*C121</f>
        <v>21401278.819636077</v>
      </c>
      <c r="D123">
        <v>5</v>
      </c>
      <c r="E123" t="s">
        <v>182</v>
      </c>
    </row>
    <row r="124" spans="1:21" x14ac:dyDescent="0.25">
      <c r="C124" s="158"/>
    </row>
    <row r="125" spans="1:21" x14ac:dyDescent="0.25">
      <c r="A125" s="159" t="s">
        <v>192</v>
      </c>
      <c r="B125" s="167">
        <f>C121+C122+C123</f>
        <v>451226855.21235752</v>
      </c>
      <c r="C125" s="171" t="s">
        <v>193</v>
      </c>
    </row>
    <row r="126" spans="1:21" x14ac:dyDescent="0.25">
      <c r="A126" s="159" t="s">
        <v>195</v>
      </c>
      <c r="B126" s="167">
        <f>(B52+B67+B93+Q8)*10^6</f>
        <v>37649833.921880789</v>
      </c>
      <c r="C126" s="171" t="s">
        <v>196</v>
      </c>
      <c r="D126" t="s">
        <v>197</v>
      </c>
    </row>
    <row r="127" spans="1:21" s="110" customFormat="1" x14ac:dyDescent="0.25">
      <c r="A127" s="159" t="s">
        <v>203</v>
      </c>
      <c r="B127" s="160">
        <f>B53+B68</f>
        <v>1678304.0239892083</v>
      </c>
      <c r="C127" s="171" t="s">
        <v>96</v>
      </c>
      <c r="G127" s="95"/>
      <c r="H127"/>
      <c r="I127"/>
      <c r="J127"/>
    </row>
    <row r="128" spans="1:21" x14ac:dyDescent="0.25">
      <c r="A128" s="159" t="s">
        <v>206</v>
      </c>
      <c r="B128" s="160">
        <f>B69</f>
        <v>84033.853163150692</v>
      </c>
      <c r="C128" s="171" t="s">
        <v>96</v>
      </c>
    </row>
    <row r="129" spans="1:18" x14ac:dyDescent="0.25">
      <c r="H129" s="158"/>
    </row>
    <row r="130" spans="1:18" s="90" customFormat="1" x14ac:dyDescent="0.25"/>
    <row r="131" spans="1:18" x14ac:dyDescent="0.25">
      <c r="A131" s="159" t="s">
        <v>482</v>
      </c>
    </row>
    <row r="132" spans="1:18" x14ac:dyDescent="0.25">
      <c r="A132" s="91" t="s">
        <v>369</v>
      </c>
      <c r="B132" s="93"/>
      <c r="C132" s="93"/>
      <c r="D132" s="93"/>
      <c r="E132" s="93"/>
      <c r="F132" s="93"/>
      <c r="G132" s="93"/>
      <c r="H132" s="93"/>
      <c r="I132" s="93"/>
      <c r="J132" s="93"/>
    </row>
    <row r="133" spans="1:18" x14ac:dyDescent="0.25">
      <c r="A133" t="s">
        <v>116</v>
      </c>
      <c r="B133" t="s">
        <v>117</v>
      </c>
      <c r="C133" t="s">
        <v>118</v>
      </c>
      <c r="D133" t="s">
        <v>119</v>
      </c>
      <c r="E133" t="s">
        <v>120</v>
      </c>
      <c r="F133" t="s">
        <v>121</v>
      </c>
      <c r="G133" t="s">
        <v>122</v>
      </c>
    </row>
    <row r="134" spans="1:18" x14ac:dyDescent="0.25">
      <c r="A134" t="s">
        <v>125</v>
      </c>
      <c r="B134" s="167">
        <v>155400</v>
      </c>
      <c r="C134">
        <v>1</v>
      </c>
      <c r="D134">
        <v>1</v>
      </c>
      <c r="E134">
        <f>C134*D134</f>
        <v>1</v>
      </c>
      <c r="F134" s="167">
        <f>E134*B134</f>
        <v>155400</v>
      </c>
    </row>
    <row r="135" spans="1:18" x14ac:dyDescent="0.25">
      <c r="A135" t="s">
        <v>129</v>
      </c>
      <c r="B135" s="167">
        <v>74000</v>
      </c>
      <c r="C135">
        <v>2</v>
      </c>
      <c r="D135">
        <v>0.5</v>
      </c>
      <c r="E135">
        <f t="shared" ref="E135:E143" si="0">C135*D135</f>
        <v>1</v>
      </c>
      <c r="F135" s="167">
        <f t="shared" ref="F135:F143" si="1">E135*B135</f>
        <v>74000</v>
      </c>
    </row>
    <row r="136" spans="1:18" x14ac:dyDescent="0.25">
      <c r="A136" t="s">
        <v>133</v>
      </c>
      <c r="B136" s="167">
        <v>60257</v>
      </c>
      <c r="C136">
        <v>1</v>
      </c>
      <c r="D136">
        <v>1</v>
      </c>
      <c r="E136">
        <f t="shared" si="0"/>
        <v>1</v>
      </c>
      <c r="F136" s="167">
        <f t="shared" si="1"/>
        <v>60257</v>
      </c>
    </row>
    <row r="137" spans="1:18" x14ac:dyDescent="0.25">
      <c r="A137" t="s">
        <v>136</v>
      </c>
      <c r="B137" s="167">
        <v>42286</v>
      </c>
      <c r="C137">
        <v>12</v>
      </c>
      <c r="D137" s="151">
        <v>0.33333333300000001</v>
      </c>
      <c r="E137" s="151">
        <f t="shared" si="0"/>
        <v>3.9999999960000001</v>
      </c>
      <c r="F137" s="167">
        <f t="shared" si="1"/>
        <v>169143.99983085602</v>
      </c>
      <c r="G137" t="s">
        <v>137</v>
      </c>
    </row>
    <row r="138" spans="1:18" x14ac:dyDescent="0.25">
      <c r="A138" t="s">
        <v>140</v>
      </c>
      <c r="B138" s="167">
        <v>59200</v>
      </c>
      <c r="C138">
        <v>1</v>
      </c>
      <c r="D138">
        <v>1</v>
      </c>
      <c r="E138">
        <f t="shared" si="0"/>
        <v>1</v>
      </c>
      <c r="F138" s="167">
        <f t="shared" si="1"/>
        <v>59200</v>
      </c>
      <c r="M138" s="110"/>
      <c r="R138" s="110"/>
    </row>
    <row r="139" spans="1:18" x14ac:dyDescent="0.25">
      <c r="A139" t="s">
        <v>144</v>
      </c>
      <c r="B139" s="167">
        <v>42286</v>
      </c>
      <c r="C139">
        <v>4</v>
      </c>
      <c r="D139">
        <v>0.5</v>
      </c>
      <c r="E139">
        <f t="shared" si="0"/>
        <v>2</v>
      </c>
      <c r="F139" s="167">
        <f t="shared" si="1"/>
        <v>84572</v>
      </c>
      <c r="G139" t="s">
        <v>145</v>
      </c>
    </row>
    <row r="140" spans="1:18" x14ac:dyDescent="0.25">
      <c r="A140" t="s">
        <v>149</v>
      </c>
      <c r="B140" s="167">
        <v>50743</v>
      </c>
      <c r="C140">
        <v>4</v>
      </c>
      <c r="D140">
        <v>0.5</v>
      </c>
      <c r="E140">
        <f t="shared" si="0"/>
        <v>2</v>
      </c>
      <c r="F140" s="167">
        <f t="shared" si="1"/>
        <v>101486</v>
      </c>
    </row>
    <row r="141" spans="1:18" x14ac:dyDescent="0.25">
      <c r="A141" t="s">
        <v>151</v>
      </c>
      <c r="B141" s="167">
        <v>42286</v>
      </c>
      <c r="C141">
        <v>20</v>
      </c>
      <c r="D141">
        <v>0.4</v>
      </c>
      <c r="E141">
        <f t="shared" si="0"/>
        <v>8</v>
      </c>
      <c r="F141" s="167">
        <f t="shared" si="1"/>
        <v>338288</v>
      </c>
      <c r="G141" t="s">
        <v>152</v>
      </c>
    </row>
    <row r="142" spans="1:18" x14ac:dyDescent="0.25">
      <c r="A142" t="s">
        <v>154</v>
      </c>
      <c r="B142" s="167">
        <v>29600</v>
      </c>
      <c r="C142">
        <v>4</v>
      </c>
      <c r="D142">
        <v>0.5</v>
      </c>
      <c r="E142">
        <f t="shared" si="0"/>
        <v>2</v>
      </c>
      <c r="F142" s="167">
        <f t="shared" si="1"/>
        <v>59200</v>
      </c>
    </row>
    <row r="143" spans="1:18" x14ac:dyDescent="0.25">
      <c r="A143" s="126" t="s">
        <v>158</v>
      </c>
      <c r="B143" s="177">
        <v>38057</v>
      </c>
      <c r="C143" s="126">
        <v>3</v>
      </c>
      <c r="D143" s="178">
        <v>0.66666666699999999</v>
      </c>
      <c r="E143" s="178">
        <f t="shared" si="0"/>
        <v>2.0000000010000001</v>
      </c>
      <c r="F143" s="177">
        <f t="shared" si="1"/>
        <v>76114.000038056998</v>
      </c>
    </row>
    <row r="144" spans="1:18" x14ac:dyDescent="0.25">
      <c r="A144" t="s">
        <v>169</v>
      </c>
      <c r="F144" s="167">
        <f>SUM(F134:F143)</f>
        <v>1177660.9998689131</v>
      </c>
    </row>
    <row r="145" spans="1:10" x14ac:dyDescent="0.25">
      <c r="A145" s="179" t="s">
        <v>173</v>
      </c>
      <c r="B145" s="179"/>
      <c r="C145" s="179"/>
      <c r="D145" s="179"/>
      <c r="E145" s="179"/>
      <c r="F145" s="180">
        <f>0.9*F144</f>
        <v>1059894.8998820218</v>
      </c>
      <c r="G145" s="179"/>
      <c r="H145" s="179"/>
      <c r="I145" s="179"/>
      <c r="J145" s="179"/>
    </row>
    <row r="147" spans="1:10" x14ac:dyDescent="0.25">
      <c r="A147" s="181" t="s">
        <v>483</v>
      </c>
      <c r="B147" s="182"/>
      <c r="C147" s="93"/>
      <c r="D147" s="93"/>
      <c r="E147" s="93"/>
      <c r="F147" s="93"/>
      <c r="G147" s="93"/>
      <c r="H147" s="93"/>
      <c r="I147" s="93"/>
      <c r="J147" s="93"/>
    </row>
    <row r="148" spans="1:10" x14ac:dyDescent="0.25">
      <c r="A148" t="s">
        <v>177</v>
      </c>
      <c r="B148" s="192">
        <f>D148/100*(B66+B92+B98)</f>
        <v>5967724.1448153546</v>
      </c>
      <c r="C148" s="170" t="s">
        <v>196</v>
      </c>
      <c r="D148">
        <v>3</v>
      </c>
      <c r="E148" t="s">
        <v>178</v>
      </c>
    </row>
    <row r="149" spans="1:10" x14ac:dyDescent="0.25">
      <c r="A149" t="s">
        <v>181</v>
      </c>
      <c r="B149" s="167">
        <f>D149/100*C121</f>
        <v>2996179.0347490502</v>
      </c>
      <c r="C149" s="170" t="s">
        <v>196</v>
      </c>
      <c r="D149">
        <v>0.7</v>
      </c>
      <c r="E149" t="s">
        <v>182</v>
      </c>
    </row>
    <row r="150" spans="1:10" x14ac:dyDescent="0.25">
      <c r="A150" s="110"/>
    </row>
    <row r="151" spans="1:10" x14ac:dyDescent="0.25">
      <c r="A151" s="159" t="s">
        <v>199</v>
      </c>
      <c r="B151" s="167">
        <f>SUM(B148:B149)+SUM(F144:F145)</f>
        <v>11201459.07931534</v>
      </c>
      <c r="C151" s="171" t="s">
        <v>196</v>
      </c>
    </row>
    <row r="153" spans="1:10" s="90" customFormat="1" x14ac:dyDescent="0.25"/>
    <row r="154" spans="1:10" s="162" customFormat="1" x14ac:dyDescent="0.25">
      <c r="A154" s="159" t="s">
        <v>498</v>
      </c>
    </row>
    <row r="156" spans="1:10" x14ac:dyDescent="0.25">
      <c r="A156" s="181" t="s">
        <v>480</v>
      </c>
      <c r="B156" s="93"/>
      <c r="C156" s="93"/>
      <c r="D156" s="93"/>
      <c r="E156" s="93"/>
      <c r="F156" s="93"/>
      <c r="G156" s="93"/>
      <c r="H156" s="93"/>
      <c r="I156" s="93"/>
      <c r="J156" s="93"/>
    </row>
    <row r="157" spans="1:10" x14ac:dyDescent="0.25">
      <c r="A157" t="s">
        <v>192</v>
      </c>
      <c r="B157" s="167">
        <v>459800000</v>
      </c>
      <c r="C157" s="171" t="s">
        <v>193</v>
      </c>
    </row>
    <row r="158" spans="1:10" x14ac:dyDescent="0.25">
      <c r="A158" t="s">
        <v>207</v>
      </c>
      <c r="B158" s="167">
        <v>14500000</v>
      </c>
      <c r="C158" s="170" t="s">
        <v>196</v>
      </c>
    </row>
    <row r="159" spans="1:10" x14ac:dyDescent="0.25">
      <c r="A159" t="s">
        <v>208</v>
      </c>
      <c r="B159" s="167">
        <v>8300000</v>
      </c>
      <c r="C159" s="170" t="s">
        <v>196</v>
      </c>
    </row>
    <row r="160" spans="1:10" x14ac:dyDescent="0.25">
      <c r="A160" t="s">
        <v>209</v>
      </c>
      <c r="B160" s="167">
        <v>39300000</v>
      </c>
      <c r="C160" s="170" t="s">
        <v>196</v>
      </c>
    </row>
    <row r="161" spans="1:10" x14ac:dyDescent="0.25">
      <c r="A161" s="172" t="s">
        <v>479</v>
      </c>
      <c r="B161" s="173">
        <f>(B158+B159+B160)/B157</f>
        <v>0.13505872118312309</v>
      </c>
    </row>
    <row r="163" spans="1:10" x14ac:dyDescent="0.25">
      <c r="A163" s="181" t="s">
        <v>499</v>
      </c>
      <c r="B163" s="191"/>
      <c r="C163" s="191"/>
      <c r="D163" s="191"/>
      <c r="E163" s="191"/>
      <c r="F163" s="191"/>
      <c r="G163" s="191"/>
      <c r="H163" s="191"/>
      <c r="I163" s="191"/>
      <c r="J163" s="191"/>
    </row>
    <row r="164" spans="1:10" x14ac:dyDescent="0.25">
      <c r="A164" t="s">
        <v>192</v>
      </c>
      <c r="B164" s="167">
        <f>B125</f>
        <v>451226855.21235752</v>
      </c>
      <c r="C164" s="171" t="s">
        <v>193</v>
      </c>
    </row>
    <row r="165" spans="1:10" x14ac:dyDescent="0.25">
      <c r="A165" t="s">
        <v>207</v>
      </c>
      <c r="B165" s="167">
        <f>ROUND(C121/30,-5)</f>
        <v>14300000</v>
      </c>
      <c r="C165" s="170" t="s">
        <v>196</v>
      </c>
    </row>
    <row r="166" spans="1:10" x14ac:dyDescent="0.25">
      <c r="A166" t="s">
        <v>211</v>
      </c>
      <c r="B166" s="167">
        <f>B161*B164-B165</f>
        <v>46642122.028463244</v>
      </c>
      <c r="C166" s="170" t="s">
        <v>196</v>
      </c>
    </row>
  </sheetData>
  <hyperlinks>
    <hyperlink ref="A2" r:id="rId1"/>
  </hyperlinks>
  <pageMargins left="0.7" right="0.7" top="0.75" bottom="0.75" header="0.51180555555555496" footer="0.51180555555555496"/>
  <pageSetup firstPageNumber="0"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E79"/>
  <sheetViews>
    <sheetView topLeftCell="A28" zoomScale="101" workbookViewId="0">
      <selection activeCell="G59" sqref="G59"/>
    </sheetView>
  </sheetViews>
  <sheetFormatPr defaultColWidth="11.42578125" defaultRowHeight="15" x14ac:dyDescent="0.25"/>
  <cols>
    <col min="1" max="1" width="43.28515625" customWidth="1"/>
    <col min="2" max="2" width="15.28515625" customWidth="1"/>
    <col min="3" max="3" width="10.140625" customWidth="1"/>
  </cols>
  <sheetData>
    <row r="1" spans="1:5" ht="26.25" x14ac:dyDescent="0.4">
      <c r="A1" s="193" t="s">
        <v>798</v>
      </c>
    </row>
    <row r="2" spans="1:5" x14ac:dyDescent="0.25">
      <c r="A2" t="s">
        <v>694</v>
      </c>
    </row>
    <row r="4" spans="1:5" x14ac:dyDescent="0.25">
      <c r="A4" t="s">
        <v>802</v>
      </c>
    </row>
    <row r="5" spans="1:5" x14ac:dyDescent="0.25">
      <c r="A5" t="s">
        <v>799</v>
      </c>
    </row>
    <row r="7" spans="1:5" x14ac:dyDescent="0.25">
      <c r="A7" s="86" t="s">
        <v>385</v>
      </c>
      <c r="B7" s="87" t="s">
        <v>801</v>
      </c>
    </row>
    <row r="8" spans="1:5" x14ac:dyDescent="0.25">
      <c r="A8" t="s">
        <v>510</v>
      </c>
      <c r="B8" t="s">
        <v>800</v>
      </c>
    </row>
    <row r="9" spans="1:5" s="90" customFormat="1" x14ac:dyDescent="0.25"/>
    <row r="10" spans="1:5" s="93" customFormat="1" x14ac:dyDescent="0.25">
      <c r="A10" s="91" t="s">
        <v>384</v>
      </c>
      <c r="B10" s="92"/>
      <c r="C10" s="92"/>
      <c r="E10" s="92" t="s">
        <v>389</v>
      </c>
    </row>
    <row r="11" spans="1:5" x14ac:dyDescent="0.25">
      <c r="B11" s="209" t="s">
        <v>569</v>
      </c>
      <c r="C11" s="172" t="s">
        <v>76</v>
      </c>
    </row>
    <row r="12" spans="1:5" x14ac:dyDescent="0.25">
      <c r="A12" t="s">
        <v>820</v>
      </c>
      <c r="B12" s="282"/>
      <c r="C12" s="284">
        <f>B77/B76</f>
        <v>1.1679292929292928</v>
      </c>
    </row>
    <row r="13" spans="1:5" x14ac:dyDescent="0.25">
      <c r="A13" t="s">
        <v>84</v>
      </c>
      <c r="B13" s="282"/>
      <c r="C13" s="285">
        <f>B64/B76</f>
        <v>0</v>
      </c>
    </row>
    <row r="14" spans="1:5" x14ac:dyDescent="0.25">
      <c r="A14" t="s">
        <v>87</v>
      </c>
      <c r="B14" s="282"/>
      <c r="C14" s="285">
        <f>B61/B76</f>
        <v>0</v>
      </c>
    </row>
    <row r="15" spans="1:5" x14ac:dyDescent="0.25">
      <c r="A15" s="93" t="s">
        <v>477</v>
      </c>
      <c r="B15" s="282"/>
      <c r="C15" s="283">
        <f>SUM(C16:C19)</f>
        <v>0.79127828942343525</v>
      </c>
    </row>
    <row r="16" spans="1:5" x14ac:dyDescent="0.25">
      <c r="A16" t="s">
        <v>88</v>
      </c>
      <c r="C16" s="283">
        <f>B46/B79/B76</f>
        <v>0.62801849876718374</v>
      </c>
    </row>
    <row r="17" spans="1:5" x14ac:dyDescent="0.25">
      <c r="A17" t="s">
        <v>89</v>
      </c>
      <c r="C17" s="283">
        <f>B58/B79/B76</f>
        <v>2.3872373942646553E-2</v>
      </c>
    </row>
    <row r="18" spans="1:5" x14ac:dyDescent="0.25">
      <c r="A18" t="s">
        <v>92</v>
      </c>
      <c r="C18" s="283">
        <f>B38/B79/B76</f>
        <v>3.2763512298257573E-2</v>
      </c>
    </row>
    <row r="19" spans="1:5" x14ac:dyDescent="0.25">
      <c r="A19" t="s">
        <v>94</v>
      </c>
      <c r="C19" s="283">
        <f>B39/B79/B76</f>
        <v>0.10662390441534746</v>
      </c>
    </row>
    <row r="20" spans="1:5" s="204" customFormat="1" x14ac:dyDescent="0.25">
      <c r="A20" s="202"/>
      <c r="B20" s="203"/>
      <c r="C20" s="203"/>
      <c r="E20" s="203"/>
    </row>
    <row r="21" spans="1:5" x14ac:dyDescent="0.25">
      <c r="A21" s="186" t="s">
        <v>803</v>
      </c>
    </row>
    <row r="22" spans="1:5" x14ac:dyDescent="0.25">
      <c r="A22" t="s">
        <v>805</v>
      </c>
      <c r="B22" s="183">
        <v>10000</v>
      </c>
      <c r="C22" t="s">
        <v>804</v>
      </c>
    </row>
    <row r="23" spans="1:5" x14ac:dyDescent="0.25">
      <c r="A23" t="s">
        <v>836</v>
      </c>
      <c r="B23" s="167">
        <f>38.6*10^6</f>
        <v>38600000</v>
      </c>
      <c r="C23" s="168" t="s">
        <v>193</v>
      </c>
    </row>
    <row r="24" spans="1:5" x14ac:dyDescent="0.25">
      <c r="B24" s="167"/>
      <c r="C24" s="168"/>
    </row>
    <row r="25" spans="1:5" x14ac:dyDescent="0.25">
      <c r="A25" t="s">
        <v>147</v>
      </c>
      <c r="B25" t="s">
        <v>148</v>
      </c>
      <c r="C25" s="168"/>
    </row>
    <row r="26" spans="1:5" x14ac:dyDescent="0.25">
      <c r="A26" t="s">
        <v>150</v>
      </c>
      <c r="B26">
        <v>10</v>
      </c>
      <c r="C26" s="280">
        <f>$B$23*B26/100</f>
        <v>3860000</v>
      </c>
      <c r="D26" s="168"/>
    </row>
    <row r="27" spans="1:5" x14ac:dyDescent="0.25">
      <c r="A27" t="s">
        <v>153</v>
      </c>
      <c r="B27">
        <v>10</v>
      </c>
      <c r="C27" s="280">
        <f>$B$23*B27/100</f>
        <v>3860000</v>
      </c>
      <c r="D27" s="168"/>
    </row>
    <row r="28" spans="1:5" x14ac:dyDescent="0.25">
      <c r="A28" t="s">
        <v>157</v>
      </c>
      <c r="B28">
        <v>20</v>
      </c>
      <c r="C28" s="280">
        <f>$B$23*B28/100</f>
        <v>7720000</v>
      </c>
      <c r="D28" s="168"/>
    </row>
    <row r="29" spans="1:5" x14ac:dyDescent="0.25">
      <c r="A29" t="s">
        <v>163</v>
      </c>
      <c r="B29">
        <v>10</v>
      </c>
      <c r="C29" s="280">
        <f>$B$23*B29/100</f>
        <v>3860000</v>
      </c>
      <c r="D29" s="168"/>
    </row>
    <row r="30" spans="1:5" x14ac:dyDescent="0.25">
      <c r="A30" t="s">
        <v>168</v>
      </c>
      <c r="B30">
        <v>10</v>
      </c>
      <c r="C30" s="280">
        <f>$B$23*B30/100</f>
        <v>3860000</v>
      </c>
      <c r="D30" s="168"/>
    </row>
    <row r="31" spans="1:5" x14ac:dyDescent="0.25">
      <c r="B31" s="167"/>
      <c r="C31" s="168"/>
    </row>
    <row r="32" spans="1:5" x14ac:dyDescent="0.25">
      <c r="A32" t="s">
        <v>176</v>
      </c>
      <c r="B32" s="167">
        <f>SUM(C26:C30)</f>
        <v>23160000</v>
      </c>
      <c r="C32" s="168" t="s">
        <v>193</v>
      </c>
    </row>
    <row r="33" spans="1:4" x14ac:dyDescent="0.25">
      <c r="A33" t="s">
        <v>180</v>
      </c>
      <c r="B33" s="167">
        <f>B32+B23</f>
        <v>61760000</v>
      </c>
      <c r="C33" s="168" t="s">
        <v>193</v>
      </c>
    </row>
    <row r="34" spans="1:4" x14ac:dyDescent="0.25">
      <c r="A34" t="s">
        <v>190</v>
      </c>
      <c r="B34" s="167">
        <f>0.05*B33</f>
        <v>3088000</v>
      </c>
      <c r="C34" s="168" t="s">
        <v>193</v>
      </c>
    </row>
    <row r="35" spans="1:4" x14ac:dyDescent="0.25">
      <c r="A35" t="s">
        <v>839</v>
      </c>
      <c r="B35" s="286">
        <f>WE!B151</f>
        <v>0.13505872118312309</v>
      </c>
      <c r="C35" s="168" t="s">
        <v>75</v>
      </c>
      <c r="D35" t="s">
        <v>840</v>
      </c>
    </row>
    <row r="36" spans="1:4" x14ac:dyDescent="0.25">
      <c r="B36" s="167"/>
      <c r="C36" s="168"/>
    </row>
    <row r="37" spans="1:4" x14ac:dyDescent="0.25">
      <c r="A37" s="271" t="s">
        <v>192</v>
      </c>
      <c r="B37" s="167">
        <f>B33+B34</f>
        <v>64848000</v>
      </c>
      <c r="C37" s="168" t="s">
        <v>193</v>
      </c>
      <c r="D37" t="s">
        <v>837</v>
      </c>
    </row>
    <row r="38" spans="1:4" x14ac:dyDescent="0.25">
      <c r="A38" s="271" t="s">
        <v>207</v>
      </c>
      <c r="B38" s="167">
        <f>ROUND(B33/30,0)</f>
        <v>2058667</v>
      </c>
      <c r="C38" s="168" t="s">
        <v>196</v>
      </c>
    </row>
    <row r="39" spans="1:4" x14ac:dyDescent="0.25">
      <c r="A39" s="271" t="s">
        <v>838</v>
      </c>
      <c r="B39" s="167">
        <f>B35*B37-B38</f>
        <v>6699620.9512831662</v>
      </c>
      <c r="C39" s="168" t="s">
        <v>196</v>
      </c>
    </row>
    <row r="41" spans="1:4" x14ac:dyDescent="0.25">
      <c r="A41" s="186" t="s">
        <v>807</v>
      </c>
    </row>
    <row r="42" spans="1:4" x14ac:dyDescent="0.25">
      <c r="A42" t="s">
        <v>808</v>
      </c>
      <c r="B42" s="167">
        <f>28147*1000</f>
        <v>28147000</v>
      </c>
      <c r="C42" t="s">
        <v>196</v>
      </c>
    </row>
    <row r="43" spans="1:4" x14ac:dyDescent="0.25">
      <c r="A43" t="s">
        <v>809</v>
      </c>
      <c r="B43" s="167">
        <f>13797*1000</f>
        <v>13797000</v>
      </c>
      <c r="C43" t="s">
        <v>196</v>
      </c>
    </row>
    <row r="44" spans="1:4" x14ac:dyDescent="0.25">
      <c r="A44" t="s">
        <v>810</v>
      </c>
      <c r="B44" s="167">
        <f>-271*1000</f>
        <v>-271000</v>
      </c>
      <c r="C44" t="s">
        <v>196</v>
      </c>
    </row>
    <row r="45" spans="1:4" x14ac:dyDescent="0.25">
      <c r="A45" t="s">
        <v>823</v>
      </c>
      <c r="B45" s="167">
        <f>-B48/B49*B50</f>
        <v>-2212000</v>
      </c>
      <c r="C45" t="s">
        <v>196</v>
      </c>
    </row>
    <row r="46" spans="1:4" x14ac:dyDescent="0.25">
      <c r="A46" t="s">
        <v>62</v>
      </c>
      <c r="B46" s="280">
        <f>SUM(B42:B45)</f>
        <v>39461000</v>
      </c>
      <c r="C46" t="s">
        <v>196</v>
      </c>
    </row>
    <row r="48" spans="1:4" x14ac:dyDescent="0.25">
      <c r="A48" t="s">
        <v>824</v>
      </c>
      <c r="B48">
        <f>22120*1000</f>
        <v>22120000</v>
      </c>
      <c r="C48" t="s">
        <v>160</v>
      </c>
    </row>
    <row r="49" spans="1:3" x14ac:dyDescent="0.25">
      <c r="A49" t="s">
        <v>825</v>
      </c>
      <c r="B49">
        <v>30</v>
      </c>
      <c r="C49" t="s">
        <v>201</v>
      </c>
    </row>
    <row r="50" spans="1:3" x14ac:dyDescent="0.25">
      <c r="A50" t="s">
        <v>826</v>
      </c>
      <c r="B50">
        <v>3</v>
      </c>
      <c r="C50" t="s">
        <v>201</v>
      </c>
    </row>
    <row r="52" spans="1:3" x14ac:dyDescent="0.25">
      <c r="A52" t="s">
        <v>841</v>
      </c>
      <c r="B52">
        <v>0.68</v>
      </c>
      <c r="C52" t="s">
        <v>201</v>
      </c>
    </row>
    <row r="53" spans="1:3" x14ac:dyDescent="0.25">
      <c r="A53" t="s">
        <v>842</v>
      </c>
      <c r="B53" s="281">
        <f>B42/B52*B74</f>
        <v>18775704.705882352</v>
      </c>
      <c r="C53" t="s">
        <v>205</v>
      </c>
    </row>
    <row r="55" spans="1:3" x14ac:dyDescent="0.25">
      <c r="A55" s="186" t="s">
        <v>806</v>
      </c>
    </row>
    <row r="56" spans="1:3" x14ac:dyDescent="0.25">
      <c r="A56" t="s">
        <v>811</v>
      </c>
      <c r="B56">
        <v>5</v>
      </c>
    </row>
    <row r="57" spans="1:3" x14ac:dyDescent="0.25">
      <c r="A57" t="s">
        <v>812</v>
      </c>
      <c r="B57" s="280">
        <f>300*1000</f>
        <v>300000</v>
      </c>
      <c r="C57" t="s">
        <v>196</v>
      </c>
    </row>
    <row r="58" spans="1:3" x14ac:dyDescent="0.25">
      <c r="A58" t="s">
        <v>62</v>
      </c>
      <c r="B58" s="280">
        <f>B56*B57</f>
        <v>1500000</v>
      </c>
      <c r="C58" t="s">
        <v>196</v>
      </c>
    </row>
    <row r="60" spans="1:3" x14ac:dyDescent="0.25">
      <c r="A60" s="186" t="s">
        <v>813</v>
      </c>
    </row>
    <row r="61" spans="1:3" x14ac:dyDescent="0.25">
      <c r="A61" t="s">
        <v>814</v>
      </c>
      <c r="B61">
        <v>0</v>
      </c>
      <c r="C61" t="s">
        <v>96</v>
      </c>
    </row>
    <row r="63" spans="1:3" x14ac:dyDescent="0.25">
      <c r="A63" s="186" t="s">
        <v>815</v>
      </c>
    </row>
    <row r="64" spans="1:3" x14ac:dyDescent="0.25">
      <c r="A64" t="s">
        <v>816</v>
      </c>
      <c r="B64">
        <v>0</v>
      </c>
      <c r="C64" t="s">
        <v>96</v>
      </c>
    </row>
    <row r="66" spans="1:5" s="204" customFormat="1" x14ac:dyDescent="0.25">
      <c r="A66" s="202"/>
      <c r="B66" s="203"/>
      <c r="C66" s="203"/>
      <c r="E66" s="203"/>
    </row>
    <row r="67" spans="1:5" x14ac:dyDescent="0.25">
      <c r="A67" s="186" t="s">
        <v>817</v>
      </c>
    </row>
    <row r="68" spans="1:5" x14ac:dyDescent="0.25">
      <c r="A68" t="s">
        <v>818</v>
      </c>
      <c r="B68">
        <v>158.99</v>
      </c>
      <c r="C68" t="s">
        <v>819</v>
      </c>
    </row>
    <row r="69" spans="1:5" x14ac:dyDescent="0.25">
      <c r="A69" t="s">
        <v>831</v>
      </c>
      <c r="B69">
        <v>44</v>
      </c>
      <c r="C69" t="s">
        <v>828</v>
      </c>
      <c r="D69" t="s">
        <v>829</v>
      </c>
    </row>
    <row r="70" spans="1:5" x14ac:dyDescent="0.25">
      <c r="A70" t="s">
        <v>830</v>
      </c>
      <c r="B70">
        <v>0.83</v>
      </c>
      <c r="C70" t="s">
        <v>832</v>
      </c>
      <c r="D70" t="s">
        <v>829</v>
      </c>
    </row>
    <row r="71" spans="1:5" x14ac:dyDescent="0.25">
      <c r="A71" t="s">
        <v>827</v>
      </c>
      <c r="B71">
        <f>WE!B33</f>
        <v>37</v>
      </c>
      <c r="C71" t="s">
        <v>828</v>
      </c>
    </row>
    <row r="72" spans="1:5" x14ac:dyDescent="0.25">
      <c r="A72" t="s">
        <v>821</v>
      </c>
      <c r="B72">
        <v>0.72</v>
      </c>
      <c r="C72" t="s">
        <v>822</v>
      </c>
    </row>
    <row r="73" spans="1:5" x14ac:dyDescent="0.25">
      <c r="A73" t="s">
        <v>74</v>
      </c>
      <c r="B73">
        <v>0.9</v>
      </c>
      <c r="C73" t="s">
        <v>75</v>
      </c>
    </row>
    <row r="74" spans="1:5" x14ac:dyDescent="0.25">
      <c r="A74" t="s">
        <v>843</v>
      </c>
      <c r="B74">
        <v>0.4536</v>
      </c>
      <c r="C74" t="s">
        <v>844</v>
      </c>
    </row>
    <row r="76" spans="1:5" x14ac:dyDescent="0.25">
      <c r="A76" t="s">
        <v>833</v>
      </c>
      <c r="B76" s="281">
        <f>B22*365*B73*B68*B70*B69/1000</f>
        <v>19073744.118000001</v>
      </c>
      <c r="C76" t="s">
        <v>96</v>
      </c>
    </row>
    <row r="77" spans="1:5" x14ac:dyDescent="0.25">
      <c r="A77" t="s">
        <v>834</v>
      </c>
      <c r="B77" s="281">
        <f>B22*365*B73*B68*B70/B72*B71/1000</f>
        <v>22276784.481249999</v>
      </c>
      <c r="C77" t="s">
        <v>96</v>
      </c>
    </row>
    <row r="79" spans="1:5" x14ac:dyDescent="0.25">
      <c r="A79" t="s">
        <v>835</v>
      </c>
      <c r="B79">
        <f>WE!B26</f>
        <v>3.2942738452482598</v>
      </c>
      <c r="C79" t="s">
        <v>425</v>
      </c>
    </row>
  </sheetData>
  <pageMargins left="0.7" right="0.7" top="0.75" bottom="0.75" header="0.3" footer="0.3"/>
  <ignoredErrors>
    <ignoredError sqref="C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-0.499984740745262"/>
  </sheetPr>
  <dimension ref="A1:AMK94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31.85546875" style="1" customWidth="1"/>
    <col min="2" max="2" width="21.140625" style="1" bestFit="1" customWidth="1"/>
    <col min="3" max="3" width="8.42578125" style="1" bestFit="1" customWidth="1"/>
    <col min="4" max="4" width="16.28515625" style="1" customWidth="1"/>
    <col min="5" max="9" width="8.85546875" style="1"/>
    <col min="10" max="10" width="16.28515625" style="1" bestFit="1" customWidth="1"/>
    <col min="11" max="1025" width="8.85546875" style="1"/>
  </cols>
  <sheetData>
    <row r="1" spans="1:1025" ht="25.5" customHeight="1" x14ac:dyDescent="0.4">
      <c r="A1" s="199" t="s">
        <v>507</v>
      </c>
      <c r="B1"/>
      <c r="C1"/>
      <c r="F1"/>
      <c r="G1"/>
      <c r="H1"/>
    </row>
    <row r="2" spans="1:1025" x14ac:dyDescent="0.25">
      <c r="A2" t="s">
        <v>508</v>
      </c>
      <c r="B2"/>
      <c r="C2"/>
      <c r="D2"/>
      <c r="H2"/>
    </row>
    <row r="3" spans="1:1025" x14ac:dyDescent="0.25">
      <c r="A3" t="s">
        <v>551</v>
      </c>
      <c r="B3"/>
      <c r="C3"/>
      <c r="D3"/>
      <c r="H3"/>
    </row>
    <row r="4" spans="1:1025" x14ac:dyDescent="0.25">
      <c r="A4" t="s">
        <v>586</v>
      </c>
      <c r="B4"/>
      <c r="C4"/>
      <c r="D4"/>
      <c r="H4"/>
    </row>
    <row r="5" spans="1:1025" x14ac:dyDescent="0.25">
      <c r="A5"/>
      <c r="B5"/>
      <c r="C5"/>
      <c r="D5"/>
      <c r="H5"/>
    </row>
    <row r="6" spans="1:1025" x14ac:dyDescent="0.25">
      <c r="A6"/>
      <c r="B6"/>
      <c r="C6"/>
      <c r="D6"/>
      <c r="H6"/>
    </row>
    <row r="7" spans="1:1025" x14ac:dyDescent="0.25">
      <c r="A7" s="86" t="s">
        <v>385</v>
      </c>
      <c r="B7" s="87" t="s">
        <v>517</v>
      </c>
      <c r="C7"/>
      <c r="D7"/>
      <c r="H7"/>
    </row>
    <row r="8" spans="1:1025" x14ac:dyDescent="0.25">
      <c r="A8" t="s">
        <v>510</v>
      </c>
      <c r="B8" t="s">
        <v>518</v>
      </c>
      <c r="C8"/>
      <c r="D8"/>
      <c r="H8"/>
    </row>
    <row r="9" spans="1:1025" s="90" customFormat="1" x14ac:dyDescent="0.25">
      <c r="E9" s="200"/>
      <c r="F9" s="200"/>
      <c r="G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  <c r="BS9" s="200"/>
      <c r="BT9" s="200"/>
      <c r="BU9" s="200"/>
      <c r="BV9" s="200"/>
      <c r="BW9" s="200"/>
      <c r="BX9" s="200"/>
      <c r="BY9" s="200"/>
      <c r="BZ9" s="200"/>
      <c r="CA9" s="200"/>
      <c r="CB9" s="200"/>
      <c r="CC9" s="200"/>
      <c r="CD9" s="200"/>
      <c r="CE9" s="200"/>
      <c r="CF9" s="200"/>
      <c r="CG9" s="200"/>
      <c r="CH9" s="200"/>
      <c r="CI9" s="200"/>
      <c r="CJ9" s="200"/>
      <c r="CK9" s="200"/>
      <c r="CL9" s="200"/>
      <c r="CM9" s="200"/>
      <c r="CN9" s="200"/>
      <c r="CO9" s="200"/>
      <c r="CP9" s="200"/>
      <c r="CQ9" s="200"/>
      <c r="CR9" s="200"/>
      <c r="CS9" s="200"/>
      <c r="CT9" s="200"/>
      <c r="CU9" s="200"/>
      <c r="CV9" s="200"/>
      <c r="CW9" s="200"/>
      <c r="CX9" s="200"/>
      <c r="CY9" s="200"/>
      <c r="CZ9" s="200"/>
      <c r="DA9" s="200"/>
      <c r="DB9" s="200"/>
      <c r="DC9" s="200"/>
      <c r="DD9" s="200"/>
      <c r="DE9" s="200"/>
      <c r="DF9" s="200"/>
      <c r="DG9" s="200"/>
      <c r="DH9" s="200"/>
      <c r="DI9" s="200"/>
      <c r="DJ9" s="200"/>
      <c r="DK9" s="200"/>
      <c r="DL9" s="200"/>
      <c r="DM9" s="200"/>
      <c r="DN9" s="200"/>
      <c r="DO9" s="200"/>
      <c r="DP9" s="200"/>
      <c r="DQ9" s="200"/>
      <c r="DR9" s="200"/>
      <c r="DS9" s="200"/>
      <c r="DT9" s="200"/>
      <c r="DU9" s="200"/>
      <c r="DV9" s="200"/>
      <c r="DW9" s="200"/>
      <c r="DX9" s="200"/>
      <c r="DY9" s="200"/>
      <c r="DZ9" s="200"/>
      <c r="EA9" s="200"/>
      <c r="EB9" s="200"/>
      <c r="EC9" s="200"/>
      <c r="ED9" s="200"/>
      <c r="EE9" s="200"/>
      <c r="EF9" s="200"/>
      <c r="EG9" s="200"/>
      <c r="EH9" s="200"/>
      <c r="EI9" s="200"/>
      <c r="EJ9" s="200"/>
      <c r="EK9" s="200"/>
      <c r="EL9" s="200"/>
      <c r="EM9" s="200"/>
      <c r="EN9" s="200"/>
      <c r="EO9" s="200"/>
      <c r="EP9" s="200"/>
      <c r="EQ9" s="200"/>
      <c r="ER9" s="200"/>
      <c r="ES9" s="200"/>
      <c r="ET9" s="200"/>
      <c r="EU9" s="200"/>
      <c r="EV9" s="200"/>
      <c r="EW9" s="200"/>
      <c r="EX9" s="200"/>
      <c r="EY9" s="200"/>
      <c r="EZ9" s="200"/>
      <c r="FA9" s="200"/>
      <c r="FB9" s="200"/>
      <c r="FC9" s="200"/>
      <c r="FD9" s="200"/>
      <c r="FE9" s="200"/>
      <c r="FF9" s="200"/>
      <c r="FG9" s="200"/>
      <c r="FH9" s="200"/>
      <c r="FI9" s="200"/>
      <c r="FJ9" s="200"/>
      <c r="FK9" s="200"/>
      <c r="FL9" s="200"/>
      <c r="FM9" s="200"/>
      <c r="FN9" s="200"/>
      <c r="FO9" s="200"/>
      <c r="FP9" s="200"/>
      <c r="FQ9" s="200"/>
      <c r="FR9" s="200"/>
      <c r="FS9" s="200"/>
      <c r="FT9" s="200"/>
      <c r="FU9" s="200"/>
      <c r="FV9" s="200"/>
      <c r="FW9" s="200"/>
      <c r="FX9" s="200"/>
      <c r="FY9" s="200"/>
      <c r="FZ9" s="200"/>
      <c r="GA9" s="200"/>
      <c r="GB9" s="200"/>
      <c r="GC9" s="200"/>
      <c r="GD9" s="200"/>
      <c r="GE9" s="200"/>
      <c r="GF9" s="200"/>
      <c r="GG9" s="200"/>
      <c r="GH9" s="200"/>
      <c r="GI9" s="200"/>
      <c r="GJ9" s="200"/>
      <c r="GK9" s="200"/>
      <c r="GL9" s="200"/>
      <c r="GM9" s="200"/>
      <c r="GN9" s="200"/>
      <c r="GO9" s="200"/>
      <c r="GP9" s="200"/>
      <c r="GQ9" s="200"/>
      <c r="GR9" s="200"/>
      <c r="GS9" s="200"/>
      <c r="GT9" s="200"/>
      <c r="GU9" s="200"/>
      <c r="GV9" s="200"/>
      <c r="GW9" s="200"/>
      <c r="GX9" s="200"/>
      <c r="GY9" s="200"/>
      <c r="GZ9" s="200"/>
      <c r="HA9" s="200"/>
      <c r="HB9" s="200"/>
      <c r="HC9" s="200"/>
      <c r="HD9" s="200"/>
      <c r="HE9" s="200"/>
      <c r="HF9" s="200"/>
      <c r="HG9" s="200"/>
      <c r="HH9" s="200"/>
      <c r="HI9" s="200"/>
      <c r="HJ9" s="200"/>
      <c r="HK9" s="200"/>
      <c r="HL9" s="200"/>
      <c r="HM9" s="200"/>
      <c r="HN9" s="200"/>
      <c r="HO9" s="200"/>
      <c r="HP9" s="200"/>
      <c r="HQ9" s="200"/>
      <c r="HR9" s="200"/>
      <c r="HS9" s="200"/>
      <c r="HT9" s="200"/>
      <c r="HU9" s="200"/>
      <c r="HV9" s="200"/>
      <c r="HW9" s="200"/>
      <c r="HX9" s="200"/>
      <c r="HY9" s="200"/>
      <c r="HZ9" s="200"/>
      <c r="IA9" s="200"/>
      <c r="IB9" s="200"/>
      <c r="IC9" s="200"/>
      <c r="ID9" s="200"/>
      <c r="IE9" s="200"/>
      <c r="IF9" s="200"/>
      <c r="IG9" s="200"/>
      <c r="IH9" s="200"/>
      <c r="II9" s="200"/>
      <c r="IJ9" s="200"/>
      <c r="IK9" s="200"/>
      <c r="IL9" s="200"/>
      <c r="IM9" s="200"/>
      <c r="IN9" s="200"/>
      <c r="IO9" s="200"/>
      <c r="IP9" s="200"/>
      <c r="IQ9" s="200"/>
      <c r="IR9" s="200"/>
      <c r="IS9" s="200"/>
      <c r="IT9" s="200"/>
      <c r="IU9" s="200"/>
      <c r="IV9" s="200"/>
      <c r="IW9" s="200"/>
      <c r="IX9" s="200"/>
      <c r="IY9" s="200"/>
      <c r="IZ9" s="200"/>
      <c r="JA9" s="200"/>
      <c r="JB9" s="200"/>
      <c r="JC9" s="200"/>
      <c r="JD9" s="200"/>
      <c r="JE9" s="200"/>
      <c r="JF9" s="200"/>
      <c r="JG9" s="200"/>
      <c r="JH9" s="200"/>
      <c r="JI9" s="200"/>
      <c r="JJ9" s="200"/>
      <c r="JK9" s="200"/>
      <c r="JL9" s="200"/>
      <c r="JM9" s="200"/>
      <c r="JN9" s="200"/>
      <c r="JO9" s="200"/>
      <c r="JP9" s="200"/>
      <c r="JQ9" s="200"/>
      <c r="JR9" s="200"/>
      <c r="JS9" s="200"/>
      <c r="JT9" s="200"/>
      <c r="JU9" s="200"/>
      <c r="JV9" s="200"/>
      <c r="JW9" s="200"/>
      <c r="JX9" s="200"/>
      <c r="JY9" s="200"/>
      <c r="JZ9" s="200"/>
      <c r="KA9" s="200"/>
      <c r="KB9" s="200"/>
      <c r="KC9" s="200"/>
      <c r="KD9" s="200"/>
      <c r="KE9" s="200"/>
      <c r="KF9" s="200"/>
      <c r="KG9" s="200"/>
      <c r="KH9" s="200"/>
      <c r="KI9" s="200"/>
      <c r="KJ9" s="200"/>
      <c r="KK9" s="200"/>
      <c r="KL9" s="200"/>
      <c r="KM9" s="200"/>
      <c r="KN9" s="200"/>
      <c r="KO9" s="200"/>
      <c r="KP9" s="200"/>
      <c r="KQ9" s="200"/>
      <c r="KR9" s="200"/>
      <c r="KS9" s="200"/>
      <c r="KT9" s="200"/>
      <c r="KU9" s="200"/>
      <c r="KV9" s="200"/>
      <c r="KW9" s="200"/>
      <c r="KX9" s="200"/>
      <c r="KY9" s="200"/>
      <c r="KZ9" s="200"/>
      <c r="LA9" s="200"/>
      <c r="LB9" s="200"/>
      <c r="LC9" s="200"/>
      <c r="LD9" s="200"/>
      <c r="LE9" s="200"/>
      <c r="LF9" s="200"/>
      <c r="LG9" s="200"/>
      <c r="LH9" s="200"/>
      <c r="LI9" s="200"/>
      <c r="LJ9" s="200"/>
      <c r="LK9" s="200"/>
      <c r="LL9" s="200"/>
      <c r="LM9" s="200"/>
      <c r="LN9" s="200"/>
      <c r="LO9" s="200"/>
      <c r="LP9" s="200"/>
      <c r="LQ9" s="200"/>
      <c r="LR9" s="200"/>
      <c r="LS9" s="200"/>
      <c r="LT9" s="200"/>
      <c r="LU9" s="200"/>
      <c r="LV9" s="200"/>
      <c r="LW9" s="200"/>
      <c r="LX9" s="200"/>
      <c r="LY9" s="200"/>
      <c r="LZ9" s="200"/>
      <c r="MA9" s="200"/>
      <c r="MB9" s="200"/>
      <c r="MC9" s="200"/>
      <c r="MD9" s="200"/>
      <c r="ME9" s="200"/>
      <c r="MF9" s="200"/>
      <c r="MG9" s="200"/>
      <c r="MH9" s="200"/>
      <c r="MI9" s="200"/>
      <c r="MJ9" s="200"/>
      <c r="MK9" s="200"/>
      <c r="ML9" s="200"/>
      <c r="MM9" s="200"/>
      <c r="MN9" s="200"/>
      <c r="MO9" s="200"/>
      <c r="MP9" s="200"/>
      <c r="MQ9" s="200"/>
      <c r="MR9" s="200"/>
      <c r="MS9" s="200"/>
      <c r="MT9" s="200"/>
      <c r="MU9" s="200"/>
      <c r="MV9" s="200"/>
      <c r="MW9" s="200"/>
      <c r="MX9" s="200"/>
      <c r="MY9" s="200"/>
      <c r="MZ9" s="200"/>
      <c r="NA9" s="200"/>
      <c r="NB9" s="200"/>
      <c r="NC9" s="200"/>
      <c r="ND9" s="200"/>
      <c r="NE9" s="200"/>
      <c r="NF9" s="200"/>
      <c r="NG9" s="200"/>
      <c r="NH9" s="200"/>
      <c r="NI9" s="200"/>
      <c r="NJ9" s="200"/>
      <c r="NK9" s="200"/>
      <c r="NL9" s="200"/>
      <c r="NM9" s="200"/>
      <c r="NN9" s="200"/>
      <c r="NO9" s="200"/>
      <c r="NP9" s="200"/>
      <c r="NQ9" s="200"/>
      <c r="NR9" s="200"/>
      <c r="NS9" s="200"/>
      <c r="NT9" s="200"/>
      <c r="NU9" s="200"/>
      <c r="NV9" s="200"/>
      <c r="NW9" s="200"/>
      <c r="NX9" s="200"/>
      <c r="NY9" s="200"/>
      <c r="NZ9" s="200"/>
      <c r="OA9" s="200"/>
      <c r="OB9" s="200"/>
      <c r="OC9" s="200"/>
      <c r="OD9" s="200"/>
      <c r="OE9" s="200"/>
      <c r="OF9" s="200"/>
      <c r="OG9" s="200"/>
      <c r="OH9" s="200"/>
      <c r="OI9" s="200"/>
      <c r="OJ9" s="200"/>
      <c r="OK9" s="200"/>
      <c r="OL9" s="200"/>
      <c r="OM9" s="200"/>
      <c r="ON9" s="200"/>
      <c r="OO9" s="200"/>
      <c r="OP9" s="200"/>
      <c r="OQ9" s="200"/>
      <c r="OR9" s="200"/>
      <c r="OS9" s="200"/>
      <c r="OT9" s="200"/>
      <c r="OU9" s="200"/>
      <c r="OV9" s="200"/>
      <c r="OW9" s="200"/>
      <c r="OX9" s="200"/>
      <c r="OY9" s="200"/>
      <c r="OZ9" s="200"/>
      <c r="PA9" s="200"/>
      <c r="PB9" s="200"/>
      <c r="PC9" s="200"/>
      <c r="PD9" s="200"/>
      <c r="PE9" s="200"/>
      <c r="PF9" s="200"/>
      <c r="PG9" s="200"/>
      <c r="PH9" s="200"/>
      <c r="PI9" s="200"/>
      <c r="PJ9" s="200"/>
      <c r="PK9" s="200"/>
      <c r="PL9" s="200"/>
      <c r="PM9" s="200"/>
      <c r="PN9" s="200"/>
      <c r="PO9" s="200"/>
      <c r="PP9" s="200"/>
      <c r="PQ9" s="200"/>
      <c r="PR9" s="200"/>
      <c r="PS9" s="200"/>
      <c r="PT9" s="200"/>
      <c r="PU9" s="200"/>
      <c r="PV9" s="200"/>
      <c r="PW9" s="200"/>
      <c r="PX9" s="200"/>
      <c r="PY9" s="200"/>
      <c r="PZ9" s="200"/>
      <c r="QA9" s="200"/>
      <c r="QB9" s="200"/>
      <c r="QC9" s="200"/>
      <c r="QD9" s="200"/>
      <c r="QE9" s="200"/>
      <c r="QF9" s="200"/>
      <c r="QG9" s="200"/>
      <c r="QH9" s="200"/>
      <c r="QI9" s="200"/>
      <c r="QJ9" s="200"/>
      <c r="QK9" s="200"/>
      <c r="QL9" s="200"/>
      <c r="QM9" s="200"/>
      <c r="QN9" s="200"/>
      <c r="QO9" s="200"/>
      <c r="QP9" s="200"/>
      <c r="QQ9" s="200"/>
      <c r="QR9" s="200"/>
      <c r="QS9" s="200"/>
      <c r="QT9" s="200"/>
      <c r="QU9" s="200"/>
      <c r="QV9" s="200"/>
      <c r="QW9" s="200"/>
      <c r="QX9" s="200"/>
      <c r="QY9" s="200"/>
      <c r="QZ9" s="200"/>
      <c r="RA9" s="200"/>
      <c r="RB9" s="200"/>
      <c r="RC9" s="200"/>
      <c r="RD9" s="200"/>
      <c r="RE9" s="200"/>
      <c r="RF9" s="200"/>
      <c r="RG9" s="200"/>
      <c r="RH9" s="200"/>
      <c r="RI9" s="200"/>
      <c r="RJ9" s="200"/>
      <c r="RK9" s="200"/>
      <c r="RL9" s="200"/>
      <c r="RM9" s="200"/>
      <c r="RN9" s="200"/>
      <c r="RO9" s="200"/>
      <c r="RP9" s="200"/>
      <c r="RQ9" s="200"/>
      <c r="RR9" s="200"/>
      <c r="RS9" s="200"/>
      <c r="RT9" s="200"/>
      <c r="RU9" s="200"/>
      <c r="RV9" s="200"/>
      <c r="RW9" s="200"/>
      <c r="RX9" s="200"/>
      <c r="RY9" s="200"/>
      <c r="RZ9" s="200"/>
      <c r="SA9" s="200"/>
      <c r="SB9" s="200"/>
      <c r="SC9" s="200"/>
      <c r="SD9" s="200"/>
      <c r="SE9" s="200"/>
      <c r="SF9" s="200"/>
      <c r="SG9" s="200"/>
      <c r="SH9" s="200"/>
      <c r="SI9" s="200"/>
      <c r="SJ9" s="200"/>
      <c r="SK9" s="200"/>
      <c r="SL9" s="200"/>
      <c r="SM9" s="200"/>
      <c r="SN9" s="200"/>
      <c r="SO9" s="200"/>
      <c r="SP9" s="200"/>
      <c r="SQ9" s="200"/>
      <c r="SR9" s="200"/>
      <c r="SS9" s="200"/>
      <c r="ST9" s="200"/>
      <c r="SU9" s="200"/>
      <c r="SV9" s="200"/>
      <c r="SW9" s="200"/>
      <c r="SX9" s="200"/>
      <c r="SY9" s="200"/>
      <c r="SZ9" s="200"/>
      <c r="TA9" s="200"/>
      <c r="TB9" s="200"/>
      <c r="TC9" s="200"/>
      <c r="TD9" s="200"/>
      <c r="TE9" s="200"/>
      <c r="TF9" s="200"/>
      <c r="TG9" s="200"/>
      <c r="TH9" s="200"/>
      <c r="TI9" s="200"/>
      <c r="TJ9" s="200"/>
      <c r="TK9" s="200"/>
      <c r="TL9" s="200"/>
      <c r="TM9" s="200"/>
      <c r="TN9" s="200"/>
      <c r="TO9" s="200"/>
      <c r="TP9" s="200"/>
      <c r="TQ9" s="200"/>
      <c r="TR9" s="200"/>
      <c r="TS9" s="200"/>
      <c r="TT9" s="200"/>
      <c r="TU9" s="200"/>
      <c r="TV9" s="200"/>
      <c r="TW9" s="200"/>
      <c r="TX9" s="200"/>
      <c r="TY9" s="200"/>
      <c r="TZ9" s="200"/>
      <c r="UA9" s="200"/>
      <c r="UB9" s="200"/>
      <c r="UC9" s="200"/>
      <c r="UD9" s="200"/>
      <c r="UE9" s="200"/>
      <c r="UF9" s="200"/>
      <c r="UG9" s="200"/>
      <c r="UH9" s="200"/>
      <c r="UI9" s="200"/>
      <c r="UJ9" s="200"/>
      <c r="UK9" s="200"/>
      <c r="UL9" s="200"/>
      <c r="UM9" s="200"/>
      <c r="UN9" s="200"/>
      <c r="UO9" s="200"/>
      <c r="UP9" s="200"/>
      <c r="UQ9" s="200"/>
      <c r="UR9" s="200"/>
      <c r="US9" s="200"/>
      <c r="UT9" s="200"/>
      <c r="UU9" s="200"/>
      <c r="UV9" s="200"/>
      <c r="UW9" s="200"/>
      <c r="UX9" s="200"/>
      <c r="UY9" s="200"/>
      <c r="UZ9" s="200"/>
      <c r="VA9" s="200"/>
      <c r="VB9" s="200"/>
      <c r="VC9" s="200"/>
      <c r="VD9" s="200"/>
      <c r="VE9" s="200"/>
      <c r="VF9" s="200"/>
      <c r="VG9" s="200"/>
      <c r="VH9" s="200"/>
      <c r="VI9" s="200"/>
      <c r="VJ9" s="200"/>
      <c r="VK9" s="200"/>
      <c r="VL9" s="200"/>
      <c r="VM9" s="200"/>
      <c r="VN9" s="200"/>
      <c r="VO9" s="200"/>
      <c r="VP9" s="200"/>
      <c r="VQ9" s="200"/>
      <c r="VR9" s="200"/>
      <c r="VS9" s="200"/>
      <c r="VT9" s="200"/>
      <c r="VU9" s="200"/>
      <c r="VV9" s="200"/>
      <c r="VW9" s="200"/>
      <c r="VX9" s="200"/>
      <c r="VY9" s="200"/>
      <c r="VZ9" s="200"/>
      <c r="WA9" s="200"/>
      <c r="WB9" s="200"/>
      <c r="WC9" s="200"/>
      <c r="WD9" s="200"/>
      <c r="WE9" s="200"/>
      <c r="WF9" s="200"/>
      <c r="WG9" s="200"/>
      <c r="WH9" s="200"/>
      <c r="WI9" s="200"/>
      <c r="WJ9" s="200"/>
      <c r="WK9" s="200"/>
      <c r="WL9" s="200"/>
      <c r="WM9" s="200"/>
      <c r="WN9" s="200"/>
      <c r="WO9" s="200"/>
      <c r="WP9" s="200"/>
      <c r="WQ9" s="200"/>
      <c r="WR9" s="200"/>
      <c r="WS9" s="200"/>
      <c r="WT9" s="200"/>
      <c r="WU9" s="200"/>
      <c r="WV9" s="200"/>
      <c r="WW9" s="200"/>
      <c r="WX9" s="200"/>
      <c r="WY9" s="200"/>
      <c r="WZ9" s="200"/>
      <c r="XA9" s="200"/>
      <c r="XB9" s="200"/>
      <c r="XC9" s="200"/>
      <c r="XD9" s="200"/>
      <c r="XE9" s="200"/>
      <c r="XF9" s="200"/>
      <c r="XG9" s="200"/>
      <c r="XH9" s="200"/>
      <c r="XI9" s="200"/>
      <c r="XJ9" s="200"/>
      <c r="XK9" s="200"/>
      <c r="XL9" s="200"/>
      <c r="XM9" s="200"/>
      <c r="XN9" s="200"/>
      <c r="XO9" s="200"/>
      <c r="XP9" s="200"/>
      <c r="XQ9" s="200"/>
      <c r="XR9" s="200"/>
      <c r="XS9" s="200"/>
      <c r="XT9" s="200"/>
      <c r="XU9" s="200"/>
      <c r="XV9" s="200"/>
      <c r="XW9" s="200"/>
      <c r="XX9" s="200"/>
      <c r="XY9" s="200"/>
      <c r="XZ9" s="200"/>
      <c r="YA9" s="200"/>
      <c r="YB9" s="200"/>
      <c r="YC9" s="200"/>
      <c r="YD9" s="200"/>
      <c r="YE9" s="200"/>
      <c r="YF9" s="200"/>
      <c r="YG9" s="200"/>
      <c r="YH9" s="200"/>
      <c r="YI9" s="200"/>
      <c r="YJ9" s="200"/>
      <c r="YK9" s="200"/>
      <c r="YL9" s="200"/>
      <c r="YM9" s="200"/>
      <c r="YN9" s="200"/>
      <c r="YO9" s="200"/>
      <c r="YP9" s="200"/>
      <c r="YQ9" s="200"/>
      <c r="YR9" s="200"/>
      <c r="YS9" s="200"/>
      <c r="YT9" s="200"/>
      <c r="YU9" s="200"/>
      <c r="YV9" s="200"/>
      <c r="YW9" s="200"/>
      <c r="YX9" s="200"/>
      <c r="YY9" s="200"/>
      <c r="YZ9" s="200"/>
      <c r="ZA9" s="200"/>
      <c r="ZB9" s="200"/>
      <c r="ZC9" s="200"/>
      <c r="ZD9" s="200"/>
      <c r="ZE9" s="200"/>
      <c r="ZF9" s="200"/>
      <c r="ZG9" s="200"/>
      <c r="ZH9" s="200"/>
      <c r="ZI9" s="200"/>
      <c r="ZJ9" s="200"/>
      <c r="ZK9" s="200"/>
      <c r="ZL9" s="200"/>
      <c r="ZM9" s="200"/>
      <c r="ZN9" s="200"/>
      <c r="ZO9" s="200"/>
      <c r="ZP9" s="200"/>
      <c r="ZQ9" s="200"/>
      <c r="ZR9" s="200"/>
      <c r="ZS9" s="200"/>
      <c r="ZT9" s="200"/>
      <c r="ZU9" s="200"/>
      <c r="ZV9" s="200"/>
      <c r="ZW9" s="200"/>
      <c r="ZX9" s="200"/>
      <c r="ZY9" s="200"/>
      <c r="ZZ9" s="200"/>
      <c r="AAA9" s="200"/>
      <c r="AAB9" s="200"/>
      <c r="AAC9" s="200"/>
      <c r="AAD9" s="200"/>
      <c r="AAE9" s="200"/>
      <c r="AAF9" s="200"/>
      <c r="AAG9" s="200"/>
      <c r="AAH9" s="200"/>
      <c r="AAI9" s="200"/>
      <c r="AAJ9" s="200"/>
      <c r="AAK9" s="200"/>
      <c r="AAL9" s="200"/>
      <c r="AAM9" s="200"/>
      <c r="AAN9" s="200"/>
      <c r="AAO9" s="200"/>
      <c r="AAP9" s="200"/>
      <c r="AAQ9" s="200"/>
      <c r="AAR9" s="200"/>
      <c r="AAS9" s="200"/>
      <c r="AAT9" s="200"/>
      <c r="AAU9" s="200"/>
      <c r="AAV9" s="200"/>
      <c r="AAW9" s="200"/>
      <c r="AAX9" s="200"/>
      <c r="AAY9" s="200"/>
      <c r="AAZ9" s="200"/>
      <c r="ABA9" s="200"/>
      <c r="ABB9" s="200"/>
      <c r="ABC9" s="200"/>
      <c r="ABD9" s="200"/>
      <c r="ABE9" s="200"/>
      <c r="ABF9" s="200"/>
      <c r="ABG9" s="200"/>
      <c r="ABH9" s="200"/>
      <c r="ABI9" s="200"/>
      <c r="ABJ9" s="200"/>
      <c r="ABK9" s="200"/>
      <c r="ABL9" s="200"/>
      <c r="ABM9" s="200"/>
      <c r="ABN9" s="200"/>
      <c r="ABO9" s="200"/>
      <c r="ABP9" s="200"/>
      <c r="ABQ9" s="200"/>
      <c r="ABR9" s="200"/>
      <c r="ABS9" s="200"/>
      <c r="ABT9" s="200"/>
      <c r="ABU9" s="200"/>
      <c r="ABV9" s="200"/>
      <c r="ABW9" s="200"/>
      <c r="ABX9" s="200"/>
      <c r="ABY9" s="200"/>
      <c r="ABZ9" s="200"/>
      <c r="ACA9" s="200"/>
      <c r="ACB9" s="200"/>
      <c r="ACC9" s="200"/>
      <c r="ACD9" s="200"/>
      <c r="ACE9" s="200"/>
      <c r="ACF9" s="200"/>
      <c r="ACG9" s="200"/>
      <c r="ACH9" s="200"/>
      <c r="ACI9" s="200"/>
      <c r="ACJ9" s="200"/>
      <c r="ACK9" s="200"/>
      <c r="ACL9" s="200"/>
      <c r="ACM9" s="200"/>
      <c r="ACN9" s="200"/>
      <c r="ACO9" s="200"/>
      <c r="ACP9" s="200"/>
      <c r="ACQ9" s="200"/>
      <c r="ACR9" s="200"/>
      <c r="ACS9" s="200"/>
      <c r="ACT9" s="200"/>
      <c r="ACU9" s="200"/>
      <c r="ACV9" s="200"/>
      <c r="ACW9" s="200"/>
      <c r="ACX9" s="200"/>
      <c r="ACY9" s="200"/>
      <c r="ACZ9" s="200"/>
      <c r="ADA9" s="200"/>
      <c r="ADB9" s="200"/>
      <c r="ADC9" s="200"/>
      <c r="ADD9" s="200"/>
      <c r="ADE9" s="200"/>
      <c r="ADF9" s="200"/>
      <c r="ADG9" s="200"/>
      <c r="ADH9" s="200"/>
      <c r="ADI9" s="200"/>
      <c r="ADJ9" s="200"/>
      <c r="ADK9" s="200"/>
      <c r="ADL9" s="200"/>
      <c r="ADM9" s="200"/>
      <c r="ADN9" s="200"/>
      <c r="ADO9" s="200"/>
      <c r="ADP9" s="200"/>
      <c r="ADQ9" s="200"/>
      <c r="ADR9" s="200"/>
      <c r="ADS9" s="200"/>
      <c r="ADT9" s="200"/>
      <c r="ADU9" s="200"/>
      <c r="ADV9" s="200"/>
      <c r="ADW9" s="200"/>
      <c r="ADX9" s="200"/>
      <c r="ADY9" s="200"/>
      <c r="ADZ9" s="200"/>
      <c r="AEA9" s="200"/>
      <c r="AEB9" s="200"/>
      <c r="AEC9" s="200"/>
      <c r="AED9" s="200"/>
      <c r="AEE9" s="200"/>
      <c r="AEF9" s="200"/>
      <c r="AEG9" s="200"/>
      <c r="AEH9" s="200"/>
      <c r="AEI9" s="200"/>
      <c r="AEJ9" s="200"/>
      <c r="AEK9" s="200"/>
      <c r="AEL9" s="200"/>
      <c r="AEM9" s="200"/>
      <c r="AEN9" s="200"/>
      <c r="AEO9" s="200"/>
      <c r="AEP9" s="200"/>
      <c r="AEQ9" s="200"/>
      <c r="AER9" s="200"/>
      <c r="AES9" s="200"/>
      <c r="AET9" s="200"/>
      <c r="AEU9" s="200"/>
      <c r="AEV9" s="200"/>
      <c r="AEW9" s="200"/>
      <c r="AEX9" s="200"/>
      <c r="AEY9" s="200"/>
      <c r="AEZ9" s="200"/>
      <c r="AFA9" s="200"/>
      <c r="AFB9" s="200"/>
      <c r="AFC9" s="200"/>
      <c r="AFD9" s="200"/>
      <c r="AFE9" s="200"/>
      <c r="AFF9" s="200"/>
      <c r="AFG9" s="200"/>
      <c r="AFH9" s="200"/>
      <c r="AFI9" s="200"/>
      <c r="AFJ9" s="200"/>
      <c r="AFK9" s="200"/>
      <c r="AFL9" s="200"/>
      <c r="AFM9" s="200"/>
      <c r="AFN9" s="200"/>
      <c r="AFO9" s="200"/>
      <c r="AFP9" s="200"/>
      <c r="AFQ9" s="200"/>
      <c r="AFR9" s="200"/>
      <c r="AFS9" s="200"/>
      <c r="AFT9" s="200"/>
      <c r="AFU9" s="200"/>
      <c r="AFV9" s="200"/>
      <c r="AFW9" s="200"/>
      <c r="AFX9" s="200"/>
      <c r="AFY9" s="200"/>
      <c r="AFZ9" s="200"/>
      <c r="AGA9" s="200"/>
      <c r="AGB9" s="200"/>
      <c r="AGC9" s="200"/>
      <c r="AGD9" s="200"/>
      <c r="AGE9" s="200"/>
      <c r="AGF9" s="200"/>
      <c r="AGG9" s="200"/>
      <c r="AGH9" s="200"/>
      <c r="AGI9" s="200"/>
      <c r="AGJ9" s="200"/>
      <c r="AGK9" s="200"/>
      <c r="AGL9" s="200"/>
      <c r="AGM9" s="200"/>
      <c r="AGN9" s="200"/>
      <c r="AGO9" s="200"/>
      <c r="AGP9" s="200"/>
      <c r="AGQ9" s="200"/>
      <c r="AGR9" s="200"/>
      <c r="AGS9" s="200"/>
      <c r="AGT9" s="200"/>
      <c r="AGU9" s="200"/>
      <c r="AGV9" s="200"/>
      <c r="AGW9" s="200"/>
      <c r="AGX9" s="200"/>
      <c r="AGY9" s="200"/>
      <c r="AGZ9" s="200"/>
      <c r="AHA9" s="200"/>
      <c r="AHB9" s="200"/>
      <c r="AHC9" s="200"/>
      <c r="AHD9" s="200"/>
      <c r="AHE9" s="200"/>
      <c r="AHF9" s="200"/>
      <c r="AHG9" s="200"/>
      <c r="AHH9" s="200"/>
      <c r="AHI9" s="200"/>
      <c r="AHJ9" s="200"/>
      <c r="AHK9" s="200"/>
      <c r="AHL9" s="200"/>
      <c r="AHM9" s="200"/>
      <c r="AHN9" s="200"/>
      <c r="AHO9" s="200"/>
      <c r="AHP9" s="200"/>
      <c r="AHQ9" s="200"/>
      <c r="AHR9" s="200"/>
      <c r="AHS9" s="200"/>
      <c r="AHT9" s="200"/>
      <c r="AHU9" s="200"/>
      <c r="AHV9" s="200"/>
      <c r="AHW9" s="200"/>
      <c r="AHX9" s="200"/>
      <c r="AHY9" s="200"/>
      <c r="AHZ9" s="200"/>
      <c r="AIA9" s="200"/>
      <c r="AIB9" s="200"/>
      <c r="AIC9" s="200"/>
      <c r="AID9" s="200"/>
      <c r="AIE9" s="200"/>
      <c r="AIF9" s="200"/>
      <c r="AIG9" s="200"/>
      <c r="AIH9" s="200"/>
      <c r="AII9" s="200"/>
      <c r="AIJ9" s="200"/>
      <c r="AIK9" s="200"/>
      <c r="AIL9" s="200"/>
      <c r="AIM9" s="200"/>
      <c r="AIN9" s="200"/>
      <c r="AIO9" s="200"/>
      <c r="AIP9" s="200"/>
      <c r="AIQ9" s="200"/>
      <c r="AIR9" s="200"/>
      <c r="AIS9" s="200"/>
      <c r="AIT9" s="200"/>
      <c r="AIU9" s="200"/>
      <c r="AIV9" s="200"/>
      <c r="AIW9" s="200"/>
      <c r="AIX9" s="200"/>
      <c r="AIY9" s="200"/>
      <c r="AIZ9" s="200"/>
      <c r="AJA9" s="200"/>
      <c r="AJB9" s="200"/>
      <c r="AJC9" s="200"/>
      <c r="AJD9" s="200"/>
      <c r="AJE9" s="200"/>
      <c r="AJF9" s="200"/>
      <c r="AJG9" s="200"/>
      <c r="AJH9" s="200"/>
      <c r="AJI9" s="200"/>
      <c r="AJJ9" s="200"/>
      <c r="AJK9" s="200"/>
      <c r="AJL9" s="200"/>
      <c r="AJM9" s="200"/>
      <c r="AJN9" s="200"/>
      <c r="AJO9" s="200"/>
      <c r="AJP9" s="200"/>
      <c r="AJQ9" s="200"/>
      <c r="AJR9" s="200"/>
      <c r="AJS9" s="200"/>
      <c r="AJT9" s="200"/>
      <c r="AJU9" s="200"/>
      <c r="AJV9" s="200"/>
      <c r="AJW9" s="200"/>
      <c r="AJX9" s="200"/>
      <c r="AJY9" s="200"/>
      <c r="AJZ9" s="200"/>
      <c r="AKA9" s="200"/>
      <c r="AKB9" s="200"/>
      <c r="AKC9" s="200"/>
      <c r="AKD9" s="200"/>
      <c r="AKE9" s="200"/>
      <c r="AKF9" s="200"/>
      <c r="AKG9" s="200"/>
      <c r="AKH9" s="200"/>
      <c r="AKI9" s="200"/>
      <c r="AKJ9" s="200"/>
      <c r="AKK9" s="200"/>
      <c r="AKL9" s="200"/>
      <c r="AKM9" s="200"/>
      <c r="AKN9" s="200"/>
      <c r="AKO9" s="200"/>
      <c r="AKP9" s="200"/>
      <c r="AKQ9" s="200"/>
      <c r="AKR9" s="200"/>
      <c r="AKS9" s="200"/>
      <c r="AKT9" s="200"/>
      <c r="AKU9" s="200"/>
      <c r="AKV9" s="200"/>
      <c r="AKW9" s="200"/>
      <c r="AKX9" s="200"/>
      <c r="AKY9" s="200"/>
      <c r="AKZ9" s="200"/>
      <c r="ALA9" s="200"/>
      <c r="ALB9" s="200"/>
      <c r="ALC9" s="200"/>
      <c r="ALD9" s="200"/>
      <c r="ALE9" s="200"/>
      <c r="ALF9" s="200"/>
      <c r="ALG9" s="200"/>
      <c r="ALH9" s="200"/>
      <c r="ALI9" s="200"/>
      <c r="ALJ9" s="200"/>
      <c r="ALK9" s="200"/>
      <c r="ALL9" s="200"/>
      <c r="ALM9" s="200"/>
      <c r="ALN9" s="200"/>
      <c r="ALO9" s="200"/>
      <c r="ALP9" s="200"/>
      <c r="ALQ9" s="200"/>
      <c r="ALR9" s="200"/>
      <c r="ALS9" s="200"/>
      <c r="ALT9" s="200"/>
      <c r="ALU9" s="200"/>
      <c r="ALV9" s="200"/>
      <c r="ALW9" s="200"/>
      <c r="ALX9" s="200"/>
      <c r="ALY9" s="200"/>
      <c r="ALZ9" s="200"/>
      <c r="AMA9" s="200"/>
      <c r="AMB9" s="200"/>
      <c r="AMC9" s="200"/>
      <c r="AMD9" s="200"/>
      <c r="AME9" s="200"/>
      <c r="AMF9" s="200"/>
      <c r="AMG9" s="200"/>
      <c r="AMH9" s="200"/>
      <c r="AMI9" s="200"/>
      <c r="AMJ9" s="200"/>
      <c r="AMK9" s="200"/>
    </row>
    <row r="10" spans="1:1025" s="93" customFormat="1" x14ac:dyDescent="0.25">
      <c r="A10" s="91" t="s">
        <v>384</v>
      </c>
      <c r="B10" s="92"/>
      <c r="C10" s="92"/>
      <c r="E10" s="92" t="s">
        <v>389</v>
      </c>
    </row>
    <row r="11" spans="1:1025" s="126" customFormat="1" x14ac:dyDescent="0.25">
      <c r="A11"/>
      <c r="B11" s="209" t="s">
        <v>569</v>
      </c>
      <c r="C11" s="172" t="s">
        <v>76</v>
      </c>
      <c r="E11" s="201"/>
    </row>
    <row r="12" spans="1:1025" s="126" customFormat="1" x14ac:dyDescent="0.25">
      <c r="A12" t="s">
        <v>495</v>
      </c>
      <c r="B12" s="126" t="s">
        <v>587</v>
      </c>
      <c r="C12" s="236">
        <f>B39</f>
        <v>42.883745825985727</v>
      </c>
      <c r="D12" s="126" t="s">
        <v>588</v>
      </c>
      <c r="E12" s="201"/>
    </row>
    <row r="13" spans="1:1025" s="126" customFormat="1" x14ac:dyDescent="0.25">
      <c r="A13" t="s">
        <v>84</v>
      </c>
      <c r="B13" s="126" t="s">
        <v>698</v>
      </c>
      <c r="C13" s="151">
        <f>B70</f>
        <v>0.14683899000551187</v>
      </c>
      <c r="D13" s="126" t="s">
        <v>588</v>
      </c>
      <c r="E13" s="201"/>
    </row>
    <row r="14" spans="1:1025" s="126" customFormat="1" x14ac:dyDescent="0.25">
      <c r="A14" t="s">
        <v>87</v>
      </c>
      <c r="B14" s="126" t="s">
        <v>589</v>
      </c>
      <c r="C14" s="96">
        <f>B78</f>
        <v>1.6588524300094713E-2</v>
      </c>
      <c r="D14" s="126" t="s">
        <v>588</v>
      </c>
      <c r="E14" s="201"/>
    </row>
    <row r="15" spans="1:1025" s="126" customFormat="1" x14ac:dyDescent="0.25">
      <c r="A15" t="s">
        <v>477</v>
      </c>
      <c r="B15" s="126" t="s">
        <v>593</v>
      </c>
      <c r="C15" s="237">
        <f>D62</f>
        <v>1.7587641860888645</v>
      </c>
      <c r="D15" s="224" t="s">
        <v>598</v>
      </c>
    </row>
    <row r="16" spans="1:1025" s="126" customFormat="1" x14ac:dyDescent="0.25">
      <c r="A16" s="230" t="s">
        <v>530</v>
      </c>
      <c r="B16" s="126" t="s">
        <v>590</v>
      </c>
      <c r="C16" s="218">
        <f>B84</f>
        <v>0.7479723109183557</v>
      </c>
      <c r="D16" s="224" t="s">
        <v>599</v>
      </c>
      <c r="E16" s="126" t="s">
        <v>700</v>
      </c>
    </row>
    <row r="17" spans="1:5" s="126" customFormat="1" x14ac:dyDescent="0.25">
      <c r="A17" s="233" t="s">
        <v>540</v>
      </c>
      <c r="B17" s="122" t="s">
        <v>591</v>
      </c>
      <c r="C17" s="234">
        <f>B89</f>
        <v>0.37398615545917785</v>
      </c>
      <c r="D17" s="122"/>
      <c r="E17" s="235" t="s">
        <v>594</v>
      </c>
    </row>
    <row r="18" spans="1:5" s="126" customFormat="1" x14ac:dyDescent="0.25">
      <c r="A18" s="230" t="s">
        <v>577</v>
      </c>
      <c r="B18" s="201" t="s">
        <v>592</v>
      </c>
      <c r="C18" s="232">
        <f>B94</f>
        <v>11.064006423104319</v>
      </c>
      <c r="E18" s="243" t="s">
        <v>594</v>
      </c>
    </row>
    <row r="19" spans="1:5" s="126" customFormat="1" x14ac:dyDescent="0.25">
      <c r="A19" t="s">
        <v>88</v>
      </c>
      <c r="C19" s="189">
        <f>D50</f>
        <v>0.27582095169290322</v>
      </c>
      <c r="E19" s="243" t="s">
        <v>594</v>
      </c>
    </row>
    <row r="20" spans="1:5" s="126" customFormat="1" x14ac:dyDescent="0.25">
      <c r="A20" t="s">
        <v>89</v>
      </c>
      <c r="C20" s="189">
        <f>D55</f>
        <v>0.66197028406296765</v>
      </c>
      <c r="E20" s="243" t="s">
        <v>594</v>
      </c>
    </row>
    <row r="21" spans="1:5" s="126" customFormat="1" x14ac:dyDescent="0.25">
      <c r="A21" t="s">
        <v>92</v>
      </c>
      <c r="C21" s="189">
        <f>D56</f>
        <v>0.48349790355579497</v>
      </c>
      <c r="E21" s="243" t="s">
        <v>594</v>
      </c>
    </row>
    <row r="22" spans="1:5" s="126" customFormat="1" x14ac:dyDescent="0.25">
      <c r="A22" t="s">
        <v>94</v>
      </c>
      <c r="C22" s="189">
        <f>D57+D58</f>
        <v>0.33747504677719919</v>
      </c>
      <c r="E22" s="243" t="s">
        <v>594</v>
      </c>
    </row>
    <row r="23" spans="1:5" s="204" customFormat="1" x14ac:dyDescent="0.25">
      <c r="A23" s="202"/>
      <c r="B23" s="203"/>
      <c r="C23" s="203"/>
      <c r="E23" s="203"/>
    </row>
    <row r="24" spans="1:5" s="93" customFormat="1" x14ac:dyDescent="0.25">
      <c r="A24" s="91" t="s">
        <v>486</v>
      </c>
      <c r="B24" s="92"/>
      <c r="C24" s="92"/>
      <c r="E24" s="92" t="s">
        <v>389</v>
      </c>
    </row>
    <row r="25" spans="1:5" s="126" customFormat="1" x14ac:dyDescent="0.25">
      <c r="A25" s="88"/>
      <c r="B25" s="220">
        <v>0.90718500000000002</v>
      </c>
      <c r="C25" s="220" t="s">
        <v>555</v>
      </c>
      <c r="E25" s="201"/>
    </row>
    <row r="26" spans="1:5" s="126" customFormat="1" x14ac:dyDescent="0.25">
      <c r="A26" s="88" t="s">
        <v>550</v>
      </c>
      <c r="B26" s="225">
        <v>884000000</v>
      </c>
      <c r="C26" s="126" t="s">
        <v>566</v>
      </c>
      <c r="E26" s="201"/>
    </row>
    <row r="27" spans="1:5" s="126" customFormat="1" x14ac:dyDescent="0.25">
      <c r="A27" s="88" t="s">
        <v>567</v>
      </c>
      <c r="B27" s="227">
        <f>B26*0.000453592</f>
        <v>400975.32799999998</v>
      </c>
      <c r="C27" s="126" t="s">
        <v>565</v>
      </c>
      <c r="E27" s="201"/>
    </row>
    <row r="28" spans="1:5" s="126" customFormat="1" x14ac:dyDescent="0.25">
      <c r="A28" s="88"/>
      <c r="B28" s="220"/>
      <c r="C28" s="220"/>
      <c r="E28" s="201"/>
    </row>
    <row r="29" spans="1:5" s="126" customFormat="1" x14ac:dyDescent="0.25">
      <c r="A29" s="88" t="s">
        <v>525</v>
      </c>
      <c r="B29" s="201">
        <v>3.7854000000000001</v>
      </c>
      <c r="C29" s="201" t="s">
        <v>556</v>
      </c>
      <c r="E29" s="201"/>
    </row>
    <row r="30" spans="1:5" s="126" customFormat="1" x14ac:dyDescent="0.25">
      <c r="A30" s="88" t="s">
        <v>552</v>
      </c>
      <c r="B30" s="1">
        <v>122</v>
      </c>
      <c r="C30" s="1" t="s">
        <v>212</v>
      </c>
      <c r="E30" s="201"/>
    </row>
    <row r="31" spans="1:5" s="126" customFormat="1" x14ac:dyDescent="0.25">
      <c r="A31" s="88" t="s">
        <v>553</v>
      </c>
      <c r="B31" s="201">
        <v>25</v>
      </c>
      <c r="C31" s="1" t="s">
        <v>212</v>
      </c>
      <c r="E31" s="201"/>
    </row>
    <row r="32" spans="1:5" s="126" customFormat="1" x14ac:dyDescent="0.25">
      <c r="A32" s="88" t="s">
        <v>552</v>
      </c>
      <c r="B32" s="12">
        <f>B30/B25*B29</f>
        <v>509.06794093817695</v>
      </c>
      <c r="C32" s="15" t="s">
        <v>557</v>
      </c>
      <c r="E32" s="201"/>
    </row>
    <row r="33" spans="1:16" s="126" customFormat="1" x14ac:dyDescent="0.25">
      <c r="A33" s="88" t="s">
        <v>553</v>
      </c>
      <c r="B33" s="221">
        <f>B31/B25*B29</f>
        <v>104.3172010119215</v>
      </c>
      <c r="C33" s="15" t="s">
        <v>557</v>
      </c>
      <c r="E33" s="201"/>
    </row>
    <row r="34" spans="1:16" s="126" customFormat="1" x14ac:dyDescent="0.25">
      <c r="A34" s="131" t="s">
        <v>559</v>
      </c>
      <c r="B34" s="220">
        <v>3.8600000000000002E-2</v>
      </c>
      <c r="C34" s="223" t="s">
        <v>558</v>
      </c>
      <c r="E34" s="201"/>
    </row>
    <row r="35" spans="1:16" s="126" customFormat="1" x14ac:dyDescent="0.25">
      <c r="B35" s="178">
        <f>B34*B32</f>
        <v>19.650022520213632</v>
      </c>
      <c r="C35" s="223" t="s">
        <v>310</v>
      </c>
      <c r="E35" s="201"/>
    </row>
    <row r="36" spans="1:16" s="126" customFormat="1" x14ac:dyDescent="0.25">
      <c r="A36" s="131" t="s">
        <v>560</v>
      </c>
      <c r="B36" s="201">
        <v>3.517E-2</v>
      </c>
      <c r="C36" s="201" t="s">
        <v>558</v>
      </c>
      <c r="E36" s="201"/>
    </row>
    <row r="37" spans="1:16" s="126" customFormat="1" x14ac:dyDescent="0.25">
      <c r="A37" s="88" t="s">
        <v>554</v>
      </c>
      <c r="B37" s="222">
        <f>B33*B36</f>
        <v>3.6688359595892792</v>
      </c>
      <c r="C37" s="220" t="s">
        <v>215</v>
      </c>
      <c r="E37" s="201"/>
    </row>
    <row r="38" spans="1:16" s="126" customFormat="1" x14ac:dyDescent="0.25">
      <c r="A38" s="209" t="s">
        <v>561</v>
      </c>
      <c r="B38" s="178">
        <f>B37+B35</f>
        <v>23.318858479802913</v>
      </c>
      <c r="C38" s="126" t="s">
        <v>310</v>
      </c>
      <c r="E38" s="24"/>
      <c r="F38" s="24"/>
    </row>
    <row r="39" spans="1:16" s="126" customFormat="1" x14ac:dyDescent="0.25">
      <c r="A39" s="209" t="s">
        <v>561</v>
      </c>
      <c r="B39" s="178">
        <f>1/B38*1000</f>
        <v>42.883745825985727</v>
      </c>
      <c r="C39" s="224" t="s">
        <v>218</v>
      </c>
      <c r="E39" s="24"/>
      <c r="F39" s="24"/>
    </row>
    <row r="40" spans="1:16" s="126" customFormat="1" x14ac:dyDescent="0.25">
      <c r="A40" s="1"/>
      <c r="B40" s="1"/>
      <c r="D40"/>
      <c r="E40" s="1"/>
      <c r="F40" s="1"/>
    </row>
    <row r="41" spans="1:16" s="126" customFormat="1" x14ac:dyDescent="0.25">
      <c r="A41" s="15" t="s">
        <v>562</v>
      </c>
      <c r="B41" s="239">
        <v>54000000</v>
      </c>
      <c r="C41" s="224" t="s">
        <v>563</v>
      </c>
      <c r="D41" s="226"/>
      <c r="E41" s="1"/>
      <c r="F41" s="1"/>
    </row>
    <row r="42" spans="1:16" s="126" customFormat="1" x14ac:dyDescent="0.25">
      <c r="A42" s="15" t="s">
        <v>564</v>
      </c>
      <c r="B42" s="239">
        <v>11000000</v>
      </c>
      <c r="C42" s="224" t="s">
        <v>563</v>
      </c>
      <c r="D42" s="226"/>
      <c r="E42" s="1"/>
      <c r="F42" s="1"/>
    </row>
    <row r="43" spans="1:16" s="126" customFormat="1" x14ac:dyDescent="0.25">
      <c r="A43" s="15" t="s">
        <v>562</v>
      </c>
      <c r="B43" s="239">
        <f>B41*B29*B34</f>
        <v>7890287.7600000007</v>
      </c>
      <c r="C43" s="224" t="s">
        <v>312</v>
      </c>
      <c r="D43" s="226"/>
      <c r="E43" s="1"/>
      <c r="F43" s="1"/>
    </row>
    <row r="44" spans="1:16" s="126" customFormat="1" x14ac:dyDescent="0.25">
      <c r="A44" s="15" t="s">
        <v>564</v>
      </c>
      <c r="B44" s="240">
        <f>B42*B29*B36</f>
        <v>1464457.6980000001</v>
      </c>
      <c r="C44" s="224" t="s">
        <v>312</v>
      </c>
      <c r="D44"/>
      <c r="E44" s="1"/>
      <c r="F44" s="1"/>
    </row>
    <row r="45" spans="1:16" s="126" customFormat="1" x14ac:dyDescent="0.25">
      <c r="A45" s="15" t="s">
        <v>568</v>
      </c>
      <c r="B45" s="240">
        <f>B44+B43</f>
        <v>9354745.4580000006</v>
      </c>
      <c r="C45" s="224" t="s">
        <v>312</v>
      </c>
      <c r="D45" s="228"/>
      <c r="E45" s="1"/>
      <c r="F45" s="1"/>
    </row>
    <row r="46" spans="1:16" x14ac:dyDescent="0.25">
      <c r="A46"/>
      <c r="B46"/>
      <c r="C46"/>
      <c r="D46"/>
      <c r="E46" s="5">
        <v>3.2942738452482598</v>
      </c>
      <c r="F46" s="1" t="s">
        <v>225</v>
      </c>
    </row>
    <row r="47" spans="1:16" x14ac:dyDescent="0.25">
      <c r="A47" s="181" t="s">
        <v>526</v>
      </c>
      <c r="B47" s="22" t="s">
        <v>527</v>
      </c>
      <c r="C47" s="22" t="s">
        <v>528</v>
      </c>
      <c r="D47" s="211" t="s">
        <v>226</v>
      </c>
      <c r="E47" s="219" t="s">
        <v>529</v>
      </c>
      <c r="F47" s="22" t="s">
        <v>604</v>
      </c>
      <c r="G47" s="210"/>
      <c r="H47" s="210"/>
      <c r="I47" s="210"/>
      <c r="J47" s="210"/>
      <c r="K47" s="210"/>
      <c r="L47" s="210"/>
      <c r="M47" s="210"/>
      <c r="N47" s="210"/>
      <c r="O47" s="210"/>
      <c r="P47" s="210"/>
    </row>
    <row r="48" spans="1:16" x14ac:dyDescent="0.25">
      <c r="A48" s="1" t="s">
        <v>214</v>
      </c>
      <c r="B48" s="167">
        <v>190000000</v>
      </c>
      <c r="C48" s="7">
        <v>20.310547288864562</v>
      </c>
      <c r="D48" s="151">
        <f>C48/$E$46</f>
        <v>6.1654095084296001</v>
      </c>
      <c r="E48" s="212" t="b">
        <v>1</v>
      </c>
      <c r="F48" s="15" t="s">
        <v>582</v>
      </c>
      <c r="J48" s="205"/>
      <c r="K48" s="229"/>
    </row>
    <row r="49" spans="1:11" x14ac:dyDescent="0.25">
      <c r="A49" s="1" t="s">
        <v>216</v>
      </c>
      <c r="B49" s="167">
        <v>6600000</v>
      </c>
      <c r="C49" s="7">
        <v>0.70552427424476905</v>
      </c>
      <c r="D49" s="151">
        <f t="shared" ref="D49:D59" si="0">C49/$E$46</f>
        <v>0.21416685660860718</v>
      </c>
      <c r="E49" s="212" t="b">
        <v>1</v>
      </c>
      <c r="F49" s="15" t="s">
        <v>583</v>
      </c>
      <c r="J49" s="205"/>
      <c r="K49" s="229"/>
    </row>
    <row r="50" spans="1:11" x14ac:dyDescent="0.25">
      <c r="A50" s="1" t="s">
        <v>217</v>
      </c>
      <c r="B50" s="167">
        <v>8500000</v>
      </c>
      <c r="C50" s="7">
        <v>0.90862974713341471</v>
      </c>
      <c r="D50" s="151">
        <f t="shared" si="0"/>
        <v>0.27582095169290322</v>
      </c>
      <c r="E50" s="212" t="b">
        <v>0</v>
      </c>
      <c r="F50"/>
      <c r="J50" s="205"/>
      <c r="K50" s="229"/>
    </row>
    <row r="51" spans="1:11" x14ac:dyDescent="0.25">
      <c r="A51" s="1" t="s">
        <v>219</v>
      </c>
      <c r="B51" s="167">
        <v>0</v>
      </c>
      <c r="C51" s="7">
        <v>0</v>
      </c>
      <c r="D51" s="151">
        <f t="shared" si="0"/>
        <v>0</v>
      </c>
      <c r="E51" s="212" t="b">
        <v>0</v>
      </c>
      <c r="F51"/>
      <c r="G51"/>
      <c r="H51"/>
      <c r="J51" s="205"/>
      <c r="K51" s="229"/>
    </row>
    <row r="52" spans="1:11" x14ac:dyDescent="0.25">
      <c r="A52" s="1" t="s">
        <v>220</v>
      </c>
      <c r="B52" s="167">
        <v>3000000</v>
      </c>
      <c r="C52" s="7">
        <v>0.32069285192944047</v>
      </c>
      <c r="D52" s="151">
        <f t="shared" si="0"/>
        <v>9.7348571185730537E-2</v>
      </c>
      <c r="E52" s="212" t="b">
        <v>1</v>
      </c>
      <c r="F52"/>
      <c r="G52"/>
      <c r="H52"/>
      <c r="J52" s="205"/>
      <c r="K52" s="229"/>
    </row>
    <row r="53" spans="1:11" x14ac:dyDescent="0.25">
      <c r="A53" s="1" t="s">
        <v>221</v>
      </c>
      <c r="B53" s="167">
        <v>-36300000</v>
      </c>
      <c r="C53" s="7">
        <v>-3.8803835083462297</v>
      </c>
      <c r="D53" s="151">
        <f t="shared" si="0"/>
        <v>-1.1779177113473394</v>
      </c>
      <c r="E53" s="212" t="b">
        <v>1</v>
      </c>
      <c r="F53" s="15" t="s">
        <v>584</v>
      </c>
      <c r="G53"/>
      <c r="H53"/>
      <c r="J53" s="205"/>
      <c r="K53" s="229"/>
    </row>
    <row r="54" spans="1:11" x14ac:dyDescent="0.25">
      <c r="A54" s="1" t="s">
        <v>222</v>
      </c>
      <c r="B54" s="167">
        <v>0</v>
      </c>
      <c r="C54" s="7">
        <v>0</v>
      </c>
      <c r="D54" s="151">
        <f t="shared" si="0"/>
        <v>0</v>
      </c>
      <c r="E54" s="212" t="b">
        <v>1</v>
      </c>
      <c r="F54" s="15" t="s">
        <v>585</v>
      </c>
      <c r="G54"/>
      <c r="H54"/>
      <c r="J54" s="205"/>
      <c r="K54" s="229"/>
    </row>
    <row r="55" spans="1:11" x14ac:dyDescent="0.25">
      <c r="A55" s="1" t="s">
        <v>57</v>
      </c>
      <c r="B55" s="167">
        <v>20400000</v>
      </c>
      <c r="C55" s="7">
        <v>2.1807113931201951</v>
      </c>
      <c r="D55" s="151">
        <f t="shared" si="0"/>
        <v>0.66197028406296765</v>
      </c>
      <c r="E55" s="215" t="b">
        <v>0</v>
      </c>
      <c r="F55"/>
      <c r="G55"/>
      <c r="H55"/>
      <c r="J55" s="205"/>
      <c r="K55" s="229"/>
    </row>
    <row r="56" spans="1:11" x14ac:dyDescent="0.25">
      <c r="A56" s="1" t="s">
        <v>59</v>
      </c>
      <c r="B56" s="167">
        <v>14900000</v>
      </c>
      <c r="C56" s="7">
        <v>1.5927744979162211</v>
      </c>
      <c r="D56" s="151">
        <f t="shared" si="0"/>
        <v>0.48349790355579497</v>
      </c>
      <c r="E56" s="212" t="b">
        <v>0</v>
      </c>
      <c r="F56"/>
      <c r="J56" s="205"/>
      <c r="K56" s="229"/>
    </row>
    <row r="57" spans="1:11" x14ac:dyDescent="0.25">
      <c r="A57" s="1" t="s">
        <v>223</v>
      </c>
      <c r="B57" s="167">
        <v>1800000</v>
      </c>
      <c r="C57" s="7">
        <v>0.19241571115766429</v>
      </c>
      <c r="D57" s="151">
        <f t="shared" si="0"/>
        <v>5.8409142711438322E-2</v>
      </c>
      <c r="E57" s="212" t="b">
        <v>0</v>
      </c>
      <c r="F57"/>
      <c r="J57" s="205"/>
      <c r="K57" s="229"/>
    </row>
    <row r="58" spans="1:11" x14ac:dyDescent="0.25">
      <c r="A58" s="210" t="s">
        <v>224</v>
      </c>
      <c r="B58" s="182">
        <v>8600000</v>
      </c>
      <c r="C58" s="213">
        <v>0.91931950886439606</v>
      </c>
      <c r="D58" s="214">
        <f t="shared" si="0"/>
        <v>0.27906590406576087</v>
      </c>
      <c r="E58" s="212" t="b">
        <v>0</v>
      </c>
      <c r="F58"/>
      <c r="J58" s="205"/>
      <c r="K58" s="229"/>
    </row>
    <row r="59" spans="1:11" x14ac:dyDescent="0.25">
      <c r="A59" s="1" t="s">
        <v>62</v>
      </c>
      <c r="B59" s="2">
        <f>SUM(B48:B58)</f>
        <v>217500000</v>
      </c>
      <c r="C59" s="2">
        <f>SUM(C48:C58)</f>
        <v>23.250231764884433</v>
      </c>
      <c r="D59" s="151">
        <f t="shared" si="0"/>
        <v>7.0577714109654632</v>
      </c>
      <c r="E59"/>
      <c r="F59"/>
    </row>
    <row r="60" spans="1:11" x14ac:dyDescent="0.25">
      <c r="A60"/>
      <c r="B60"/>
      <c r="C60"/>
      <c r="D60"/>
      <c r="F60"/>
    </row>
    <row r="61" spans="1:11" x14ac:dyDescent="0.25">
      <c r="A61" s="93"/>
      <c r="B61" s="22" t="s">
        <v>527</v>
      </c>
      <c r="C61" s="22" t="s">
        <v>528</v>
      </c>
      <c r="D61" s="211" t="s">
        <v>226</v>
      </c>
      <c r="F61"/>
    </row>
    <row r="62" spans="1:11" x14ac:dyDescent="0.25">
      <c r="A62" s="1" t="s">
        <v>67</v>
      </c>
      <c r="B62" s="2">
        <f>B59-SUMIFS(B48:B58,$E$48:$E$58,TRUE)</f>
        <v>54200000</v>
      </c>
      <c r="C62" s="2">
        <f>C59-SUMIFS(C48:C58,$E$48:$E$58,TRUE)</f>
        <v>5.7938508581918917</v>
      </c>
      <c r="D62" s="2">
        <f>D59-SUMIFS(D48:D58,$E$48:$E$58,TRUE)</f>
        <v>1.7587641860888645</v>
      </c>
      <c r="E62" s="9"/>
      <c r="F62"/>
    </row>
    <row r="63" spans="1:11" x14ac:dyDescent="0.25">
      <c r="A63"/>
      <c r="B63"/>
      <c r="F63"/>
    </row>
    <row r="64" spans="1:11" x14ac:dyDescent="0.25">
      <c r="A64" s="181" t="s">
        <v>544</v>
      </c>
      <c r="B64" s="93"/>
      <c r="C64" s="210"/>
      <c r="D64" s="210"/>
      <c r="E64" s="210"/>
      <c r="F64" s="93"/>
      <c r="G64" s="210"/>
      <c r="H64" s="210"/>
      <c r="I64" s="210"/>
      <c r="J64" s="210"/>
    </row>
    <row r="65" spans="1:10" x14ac:dyDescent="0.25">
      <c r="A65" t="s">
        <v>545</v>
      </c>
      <c r="B65" s="167">
        <v>6640000</v>
      </c>
      <c r="D65" s="15" t="s">
        <v>546</v>
      </c>
      <c r="F65"/>
    </row>
    <row r="66" spans="1:10" x14ac:dyDescent="0.25">
      <c r="A66" t="s">
        <v>547</v>
      </c>
      <c r="B66" s="1">
        <f>0.0051</f>
        <v>5.1000000000000004E-3</v>
      </c>
      <c r="C66" s="15" t="s">
        <v>541</v>
      </c>
      <c r="D66" s="15" t="s">
        <v>546</v>
      </c>
      <c r="F66"/>
    </row>
    <row r="67" spans="1:10" x14ac:dyDescent="0.25">
      <c r="A67" t="s">
        <v>341</v>
      </c>
      <c r="B67" s="1">
        <v>947.81709999999998</v>
      </c>
      <c r="C67" s="15" t="s">
        <v>542</v>
      </c>
      <c r="F67"/>
    </row>
    <row r="68" spans="1:10" x14ac:dyDescent="0.25">
      <c r="A68" t="s">
        <v>547</v>
      </c>
      <c r="B68" s="5">
        <f>B67*B66</f>
        <v>4.8338672100000002</v>
      </c>
      <c r="C68" s="15" t="s">
        <v>213</v>
      </c>
      <c r="F68"/>
    </row>
    <row r="69" spans="1:10" x14ac:dyDescent="0.25">
      <c r="A69" t="s">
        <v>548</v>
      </c>
      <c r="B69" s="241">
        <f>B65/B68</f>
        <v>1373641.3748113697</v>
      </c>
      <c r="C69" s="15" t="s">
        <v>312</v>
      </c>
      <c r="F69"/>
    </row>
    <row r="70" spans="1:10" x14ac:dyDescent="0.25">
      <c r="A70" t="s">
        <v>549</v>
      </c>
      <c r="B70" s="238">
        <f>B69/B45</f>
        <v>0.14683899000551187</v>
      </c>
      <c r="C70" s="15"/>
      <c r="F70"/>
    </row>
    <row r="71" spans="1:10" x14ac:dyDescent="0.25">
      <c r="A71"/>
      <c r="B71" s="238"/>
      <c r="C71" s="15"/>
      <c r="F71"/>
    </row>
    <row r="72" spans="1:10" x14ac:dyDescent="0.25">
      <c r="A72" s="181" t="s">
        <v>597</v>
      </c>
      <c r="B72" s="93"/>
      <c r="C72" s="210"/>
      <c r="D72" s="210"/>
      <c r="E72" s="210"/>
      <c r="F72" s="93"/>
      <c r="G72" s="210"/>
      <c r="H72" s="210"/>
      <c r="I72" s="210"/>
      <c r="J72" s="210"/>
    </row>
    <row r="73" spans="1:10" x14ac:dyDescent="0.25">
      <c r="A73" t="s">
        <v>545</v>
      </c>
      <c r="B73" s="167">
        <v>2970000</v>
      </c>
      <c r="D73" s="15" t="s">
        <v>546</v>
      </c>
      <c r="F73"/>
    </row>
    <row r="74" spans="1:10" x14ac:dyDescent="0.25">
      <c r="A74" t="s">
        <v>547</v>
      </c>
      <c r="B74" s="238">
        <v>6.8900000000000003E-2</v>
      </c>
      <c r="C74" s="15" t="s">
        <v>595</v>
      </c>
      <c r="D74" s="15" t="s">
        <v>546</v>
      </c>
      <c r="F74"/>
    </row>
    <row r="75" spans="1:10" x14ac:dyDescent="0.25">
      <c r="A75" t="s">
        <v>341</v>
      </c>
      <c r="B75" s="1">
        <v>3.5999999999999999E-3</v>
      </c>
      <c r="C75" s="15" t="s">
        <v>441</v>
      </c>
      <c r="F75"/>
    </row>
    <row r="76" spans="1:10" x14ac:dyDescent="0.25">
      <c r="A76" t="s">
        <v>547</v>
      </c>
      <c r="B76" s="238">
        <f>B74/B75</f>
        <v>19.138888888888889</v>
      </c>
      <c r="C76" s="15" t="s">
        <v>213</v>
      </c>
      <c r="F76"/>
    </row>
    <row r="77" spans="1:10" x14ac:dyDescent="0.25">
      <c r="A77" t="s">
        <v>596</v>
      </c>
      <c r="B77" s="241">
        <f>B73/B76</f>
        <v>155181.42235123366</v>
      </c>
      <c r="C77" s="15" t="s">
        <v>312</v>
      </c>
      <c r="F77"/>
    </row>
    <row r="78" spans="1:10" x14ac:dyDescent="0.25">
      <c r="A78" t="s">
        <v>549</v>
      </c>
      <c r="B78" s="238">
        <f>B77/B45</f>
        <v>1.6588524300094713E-2</v>
      </c>
      <c r="C78" s="15"/>
      <c r="F78"/>
    </row>
    <row r="79" spans="1:10" x14ac:dyDescent="0.25">
      <c r="A79"/>
      <c r="C79" s="5"/>
      <c r="F79"/>
    </row>
    <row r="80" spans="1:10" x14ac:dyDescent="0.25">
      <c r="A80" s="181" t="s">
        <v>543</v>
      </c>
      <c r="B80" s="210"/>
      <c r="C80" s="93"/>
      <c r="D80" s="210"/>
      <c r="E80" s="210"/>
      <c r="F80" s="93"/>
      <c r="G80" s="210"/>
      <c r="H80" s="210"/>
      <c r="I80" s="210"/>
      <c r="J80" s="210"/>
    </row>
    <row r="81" spans="1:6" x14ac:dyDescent="0.25">
      <c r="A81" s="231" t="s">
        <v>531</v>
      </c>
      <c r="B81" s="217">
        <v>0.9</v>
      </c>
      <c r="C81" s="216" t="s">
        <v>532</v>
      </c>
      <c r="F81"/>
    </row>
    <row r="82" spans="1:6" x14ac:dyDescent="0.25">
      <c r="A82" s="15" t="s">
        <v>533</v>
      </c>
      <c r="B82" s="6">
        <f>Algae_N_fertilizer</f>
        <v>1.937984496124031E-2</v>
      </c>
      <c r="C82" s="15" t="s">
        <v>534</v>
      </c>
      <c r="F82"/>
    </row>
    <row r="83" spans="1:6" x14ac:dyDescent="0.25">
      <c r="A83" s="15" t="s">
        <v>535</v>
      </c>
      <c r="B83" s="6">
        <f>B82*B81</f>
        <v>1.7441860465116279E-2</v>
      </c>
      <c r="C83" s="15" t="s">
        <v>699</v>
      </c>
    </row>
    <row r="84" spans="1:6" x14ac:dyDescent="0.25">
      <c r="A84" s="15" t="s">
        <v>537</v>
      </c>
      <c r="B84" s="6">
        <f>B83*B39</f>
        <v>0.7479723109183557</v>
      </c>
      <c r="C84" s="15" t="s">
        <v>536</v>
      </c>
      <c r="F84"/>
    </row>
    <row r="86" spans="1:6" x14ac:dyDescent="0.25">
      <c r="A86" s="231" t="s">
        <v>538</v>
      </c>
      <c r="B86" s="217">
        <v>0.9</v>
      </c>
      <c r="C86" s="216" t="s">
        <v>532</v>
      </c>
      <c r="D86" s="15" t="s">
        <v>539</v>
      </c>
    </row>
    <row r="87" spans="1:6" x14ac:dyDescent="0.25">
      <c r="A87" s="15" t="s">
        <v>533</v>
      </c>
      <c r="B87" s="11">
        <f>Algae_P_fertilizer</f>
        <v>9.6899224806201549E-3</v>
      </c>
      <c r="C87" s="15" t="s">
        <v>534</v>
      </c>
    </row>
    <row r="88" spans="1:6" x14ac:dyDescent="0.25">
      <c r="A88" s="15" t="s">
        <v>535</v>
      </c>
      <c r="B88" s="11">
        <f>B87*B86</f>
        <v>8.7209302325581394E-3</v>
      </c>
      <c r="C88" s="15"/>
    </row>
    <row r="89" spans="1:6" x14ac:dyDescent="0.25">
      <c r="A89" s="15" t="s">
        <v>537</v>
      </c>
      <c r="B89" s="11">
        <f>B88*B39</f>
        <v>0.37398615545917785</v>
      </c>
      <c r="C89" s="15" t="s">
        <v>536</v>
      </c>
    </row>
    <row r="91" spans="1:6" x14ac:dyDescent="0.25">
      <c r="A91" s="231" t="s">
        <v>578</v>
      </c>
      <c r="B91" s="217">
        <v>0.3</v>
      </c>
      <c r="C91" s="216" t="s">
        <v>579</v>
      </c>
    </row>
    <row r="92" spans="1:6" x14ac:dyDescent="0.25">
      <c r="A92" s="15" t="s">
        <v>580</v>
      </c>
      <c r="B92" s="11">
        <v>0.86</v>
      </c>
      <c r="C92" s="15" t="s">
        <v>581</v>
      </c>
    </row>
    <row r="93" spans="1:6" x14ac:dyDescent="0.25">
      <c r="A93" s="15" t="s">
        <v>535</v>
      </c>
      <c r="B93" s="11">
        <f>B92*B91</f>
        <v>0.25800000000000001</v>
      </c>
      <c r="C93" s="15"/>
    </row>
    <row r="94" spans="1:6" x14ac:dyDescent="0.25">
      <c r="A94" s="15" t="s">
        <v>537</v>
      </c>
      <c r="B94" s="13">
        <f>B93*B39</f>
        <v>11.064006423104319</v>
      </c>
      <c r="C94" s="15" t="s">
        <v>536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39997558519241921"/>
  </sheetPr>
  <dimension ref="A1:P109"/>
  <sheetViews>
    <sheetView workbookViewId="0"/>
  </sheetViews>
  <sheetFormatPr defaultColWidth="8.85546875" defaultRowHeight="15" x14ac:dyDescent="0.25"/>
  <cols>
    <col min="1" max="1" width="26.42578125" customWidth="1"/>
    <col min="2" max="2" width="14.140625" customWidth="1"/>
    <col min="3" max="3" width="15.28515625" bestFit="1" customWidth="1"/>
    <col min="4" max="4" width="16.42578125" customWidth="1"/>
    <col min="5" max="5" width="19.42578125" customWidth="1"/>
    <col min="6" max="6" width="10" bestFit="1" customWidth="1"/>
    <col min="7" max="7" width="15" customWidth="1"/>
    <col min="13" max="13" width="12.42578125" customWidth="1"/>
    <col min="14" max="14" width="11.85546875" bestFit="1" customWidth="1"/>
    <col min="20" max="20" width="12" bestFit="1" customWidth="1"/>
  </cols>
  <sheetData>
    <row r="1" spans="1:5" ht="26.25" x14ac:dyDescent="0.4">
      <c r="A1" s="193" t="s">
        <v>500</v>
      </c>
    </row>
    <row r="2" spans="1:5" x14ac:dyDescent="0.25">
      <c r="A2" s="194" t="s">
        <v>230</v>
      </c>
    </row>
    <row r="3" spans="1:5" x14ac:dyDescent="0.25">
      <c r="A3" t="s">
        <v>501</v>
      </c>
    </row>
    <row r="4" spans="1:5" x14ac:dyDescent="0.25">
      <c r="A4" s="194"/>
    </row>
    <row r="6" spans="1:5" x14ac:dyDescent="0.25">
      <c r="A6" s="194"/>
    </row>
    <row r="7" spans="1:5" x14ac:dyDescent="0.25">
      <c r="A7" s="86" t="s">
        <v>385</v>
      </c>
      <c r="B7" s="87" t="s">
        <v>514</v>
      </c>
    </row>
    <row r="8" spans="1:5" x14ac:dyDescent="0.25">
      <c r="A8" t="s">
        <v>510</v>
      </c>
      <c r="B8" t="s">
        <v>515</v>
      </c>
    </row>
    <row r="9" spans="1:5" s="90" customFormat="1" x14ac:dyDescent="0.25"/>
    <row r="10" spans="1:5" s="93" customFormat="1" x14ac:dyDescent="0.25">
      <c r="A10" s="91" t="s">
        <v>384</v>
      </c>
      <c r="B10" s="92"/>
      <c r="C10" s="92"/>
      <c r="E10" s="92" t="s">
        <v>389</v>
      </c>
    </row>
    <row r="12" spans="1:5" x14ac:dyDescent="0.25">
      <c r="B12" s="209" t="s">
        <v>569</v>
      </c>
      <c r="C12" t="s">
        <v>504</v>
      </c>
    </row>
    <row r="13" spans="1:5" x14ac:dyDescent="0.25">
      <c r="A13" t="s">
        <v>495</v>
      </c>
      <c r="B13" t="s">
        <v>600</v>
      </c>
      <c r="C13">
        <v>1</v>
      </c>
      <c r="D13" t="s">
        <v>588</v>
      </c>
    </row>
    <row r="14" spans="1:5" x14ac:dyDescent="0.25">
      <c r="A14" t="s">
        <v>84</v>
      </c>
      <c r="B14" t="s">
        <v>601</v>
      </c>
      <c r="C14" s="96">
        <f>C79/B30/1000</f>
        <v>2.0427524748100607E-3</v>
      </c>
      <c r="D14" t="s">
        <v>588</v>
      </c>
    </row>
    <row r="15" spans="1:5" x14ac:dyDescent="0.25">
      <c r="A15" t="s">
        <v>87</v>
      </c>
      <c r="B15" t="s">
        <v>602</v>
      </c>
      <c r="C15" s="96">
        <f>B45/B30/1000</f>
        <v>0</v>
      </c>
      <c r="D15" t="s">
        <v>588</v>
      </c>
    </row>
    <row r="16" spans="1:5" x14ac:dyDescent="0.25">
      <c r="A16" s="93" t="s">
        <v>503</v>
      </c>
      <c r="B16" s="93" t="s">
        <v>603</v>
      </c>
      <c r="C16" s="242">
        <f>SUM(C17:C20)</f>
        <v>5.9436053494435186E-3</v>
      </c>
      <c r="D16" s="93" t="s">
        <v>598</v>
      </c>
      <c r="E16" s="93"/>
    </row>
    <row r="17" spans="1:15" x14ac:dyDescent="0.25">
      <c r="A17" t="s">
        <v>88</v>
      </c>
      <c r="C17" s="198">
        <f>C77/B30/B25/1000</f>
        <v>0</v>
      </c>
      <c r="E17" t="s">
        <v>594</v>
      </c>
    </row>
    <row r="18" spans="1:15" x14ac:dyDescent="0.25">
      <c r="A18" t="s">
        <v>89</v>
      </c>
      <c r="C18" s="198">
        <f>D93/B30/B25/1000</f>
        <v>6.3820711454692729E-4</v>
      </c>
      <c r="E18" t="s">
        <v>594</v>
      </c>
    </row>
    <row r="19" spans="1:15" x14ac:dyDescent="0.25">
      <c r="A19" t="s">
        <v>92</v>
      </c>
      <c r="C19" s="198">
        <f>D108/B30/B25/1000</f>
        <v>1.2389384583858013E-3</v>
      </c>
      <c r="E19" t="s">
        <v>594</v>
      </c>
    </row>
    <row r="20" spans="1:15" x14ac:dyDescent="0.25">
      <c r="A20" t="s">
        <v>94</v>
      </c>
      <c r="C20" s="198">
        <f>D109/B30/B25/1000</f>
        <v>4.0664597765107903E-3</v>
      </c>
      <c r="E20" t="s">
        <v>594</v>
      </c>
    </row>
    <row r="21" spans="1:15" x14ac:dyDescent="0.25">
      <c r="B21" s="156"/>
      <c r="C21" s="156"/>
    </row>
    <row r="22" spans="1:15" s="90" customFormat="1" x14ac:dyDescent="0.25"/>
    <row r="23" spans="1:15" x14ac:dyDescent="0.25">
      <c r="A23" s="186" t="s">
        <v>486</v>
      </c>
      <c r="C23" s="157"/>
    </row>
    <row r="24" spans="1:15" x14ac:dyDescent="0.25">
      <c r="C24" s="128"/>
      <c r="L24" s="98"/>
    </row>
    <row r="25" spans="1:15" x14ac:dyDescent="0.25">
      <c r="A25" s="170" t="s">
        <v>481</v>
      </c>
      <c r="B25" s="96">
        <v>3.2942738452482598</v>
      </c>
      <c r="L25" s="98"/>
    </row>
    <row r="26" spans="1:15" x14ac:dyDescent="0.25">
      <c r="C26" s="97"/>
      <c r="L26" s="97"/>
      <c r="O26" s="99"/>
    </row>
    <row r="27" spans="1:15" x14ac:dyDescent="0.25">
      <c r="A27" t="s">
        <v>71</v>
      </c>
      <c r="B27">
        <v>1215</v>
      </c>
      <c r="C27" t="s">
        <v>72</v>
      </c>
      <c r="D27" t="s">
        <v>73</v>
      </c>
    </row>
    <row r="28" spans="1:15" x14ac:dyDescent="0.25">
      <c r="A28" t="s">
        <v>74</v>
      </c>
      <c r="B28">
        <v>0.9</v>
      </c>
      <c r="C28" t="s">
        <v>75</v>
      </c>
      <c r="L28" s="98"/>
    </row>
    <row r="29" spans="1:15" x14ac:dyDescent="0.25">
      <c r="A29" t="s">
        <v>77</v>
      </c>
      <c r="B29">
        <f>B27*1000/24/B28</f>
        <v>56250</v>
      </c>
      <c r="C29" t="s">
        <v>78</v>
      </c>
      <c r="D29" t="s">
        <v>79</v>
      </c>
    </row>
    <row r="30" spans="1:15" x14ac:dyDescent="0.25">
      <c r="A30" t="s">
        <v>460</v>
      </c>
      <c r="B30" s="104">
        <f>B27*365</f>
        <v>443475</v>
      </c>
      <c r="C30" t="s">
        <v>91</v>
      </c>
      <c r="L30" s="98"/>
      <c r="O30" s="99"/>
    </row>
    <row r="31" spans="1:15" x14ac:dyDescent="0.25">
      <c r="A31" t="s">
        <v>461</v>
      </c>
      <c r="B31" s="104">
        <f>WEFlat!B33</f>
        <v>2022.1153650000001</v>
      </c>
      <c r="C31" t="s">
        <v>462</v>
      </c>
      <c r="D31" t="s">
        <v>463</v>
      </c>
      <c r="L31" s="105"/>
    </row>
    <row r="32" spans="1:15" x14ac:dyDescent="0.25">
      <c r="B32" s="104">
        <f>B31/B28/24*1000</f>
        <v>93616.452083333337</v>
      </c>
      <c r="C32" t="s">
        <v>78</v>
      </c>
    </row>
    <row r="34" spans="1:15" s="90" customFormat="1" x14ac:dyDescent="0.25">
      <c r="L34" s="174"/>
      <c r="O34" s="101"/>
    </row>
    <row r="35" spans="1:15" s="162" customFormat="1" x14ac:dyDescent="0.25">
      <c r="A35" s="184" t="s">
        <v>485</v>
      </c>
      <c r="L35" s="175"/>
      <c r="O35" s="176"/>
    </row>
    <row r="36" spans="1:15" s="162" customFormat="1" x14ac:dyDescent="0.25">
      <c r="L36" s="175"/>
      <c r="O36" s="176"/>
    </row>
    <row r="37" spans="1:15" x14ac:dyDescent="0.25">
      <c r="A37" t="s">
        <v>468</v>
      </c>
    </row>
    <row r="38" spans="1:15" x14ac:dyDescent="0.25">
      <c r="A38" t="s">
        <v>469</v>
      </c>
      <c r="B38">
        <f>WEFlat!B59</f>
        <v>678352941176.4707</v>
      </c>
      <c r="C38" t="s">
        <v>174</v>
      </c>
    </row>
    <row r="39" spans="1:15" x14ac:dyDescent="0.25">
      <c r="A39" t="s">
        <v>470</v>
      </c>
      <c r="B39">
        <f>WEFlat!B60</f>
        <v>858633304045.63879</v>
      </c>
      <c r="C39" t="s">
        <v>174</v>
      </c>
    </row>
    <row r="41" spans="1:15" x14ac:dyDescent="0.25">
      <c r="A41" s="91" t="s">
        <v>464</v>
      </c>
      <c r="B41" s="93"/>
      <c r="C41" s="93"/>
      <c r="D41" s="93"/>
      <c r="E41" s="93"/>
      <c r="F41" s="93"/>
      <c r="G41" s="93"/>
      <c r="H41" s="93"/>
      <c r="I41" s="93"/>
      <c r="J41" s="93"/>
      <c r="K41" s="93"/>
    </row>
    <row r="42" spans="1:15" x14ac:dyDescent="0.25">
      <c r="A42" t="s">
        <v>100</v>
      </c>
      <c r="B42" s="167">
        <f>WEFlat!B44*(B29/WEFlat!B45)^WEFlat!B47</f>
        <v>28604410.993471626</v>
      </c>
      <c r="C42" t="s">
        <v>97</v>
      </c>
      <c r="D42" t="s">
        <v>466</v>
      </c>
    </row>
    <row r="43" spans="1:15" x14ac:dyDescent="0.25">
      <c r="A43" t="s">
        <v>103</v>
      </c>
      <c r="B43">
        <v>0</v>
      </c>
      <c r="C43" t="s">
        <v>160</v>
      </c>
    </row>
    <row r="44" spans="1:15" x14ac:dyDescent="0.25">
      <c r="A44" t="s">
        <v>109</v>
      </c>
      <c r="B44" s="104">
        <f>B39*(1.05506*10^(-6))</f>
        <v>905909.65376639168</v>
      </c>
      <c r="C44" t="s">
        <v>96</v>
      </c>
    </row>
    <row r="45" spans="1:15" x14ac:dyDescent="0.25">
      <c r="A45" t="s">
        <v>111</v>
      </c>
      <c r="B45">
        <v>0</v>
      </c>
      <c r="C45" t="s">
        <v>96</v>
      </c>
    </row>
    <row r="47" spans="1:15" x14ac:dyDescent="0.25">
      <c r="A47" s="91" t="s">
        <v>505</v>
      </c>
      <c r="B47" s="93"/>
      <c r="C47" s="93"/>
      <c r="D47" s="93"/>
      <c r="E47" s="93"/>
      <c r="F47" s="93"/>
      <c r="G47" s="93"/>
      <c r="H47" s="93"/>
      <c r="I47" s="93"/>
      <c r="J47" s="93"/>
      <c r="K47" s="93"/>
    </row>
    <row r="48" spans="1:15" x14ac:dyDescent="0.25">
      <c r="A48" t="s">
        <v>100</v>
      </c>
      <c r="B48" s="167">
        <f>WEFlat!B91</f>
        <v>4500000</v>
      </c>
      <c r="C48" t="s">
        <v>97</v>
      </c>
      <c r="D48" t="s">
        <v>102</v>
      </c>
    </row>
    <row r="49" spans="1:15" x14ac:dyDescent="0.25">
      <c r="A49" t="s">
        <v>103</v>
      </c>
      <c r="B49" s="167">
        <f>WEFlat!B92</f>
        <v>0</v>
      </c>
      <c r="C49" t="s">
        <v>160</v>
      </c>
      <c r="D49" t="s">
        <v>107</v>
      </c>
    </row>
    <row r="50" spans="1:15" x14ac:dyDescent="0.25">
      <c r="A50" t="s">
        <v>109</v>
      </c>
      <c r="B50" s="167">
        <f>WEFlat!B93</f>
        <v>0</v>
      </c>
      <c r="C50" t="s">
        <v>96</v>
      </c>
    </row>
    <row r="51" spans="1:15" x14ac:dyDescent="0.25">
      <c r="A51" t="s">
        <v>111</v>
      </c>
      <c r="B51" s="167">
        <f>WEFlat!B94</f>
        <v>0</v>
      </c>
      <c r="C51" t="s">
        <v>96</v>
      </c>
    </row>
    <row r="53" spans="1:15" s="90" customFormat="1" x14ac:dyDescent="0.25">
      <c r="L53" s="174"/>
      <c r="O53" s="101"/>
    </row>
    <row r="54" spans="1:15" s="162" customFormat="1" x14ac:dyDescent="0.25">
      <c r="A54" s="184" t="s">
        <v>484</v>
      </c>
      <c r="L54" s="175"/>
      <c r="O54" s="176"/>
    </row>
    <row r="56" spans="1:15" x14ac:dyDescent="0.25">
      <c r="A56" t="s">
        <v>113</v>
      </c>
      <c r="B56" t="s">
        <v>114</v>
      </c>
    </row>
    <row r="57" spans="1:15" x14ac:dyDescent="0.25">
      <c r="A57" t="s">
        <v>124</v>
      </c>
      <c r="B57">
        <v>4</v>
      </c>
      <c r="C57" s="167">
        <f>B57/100*$B$48</f>
        <v>180000</v>
      </c>
    </row>
    <row r="58" spans="1:15" x14ac:dyDescent="0.25">
      <c r="A58" t="s">
        <v>128</v>
      </c>
      <c r="B58">
        <v>9</v>
      </c>
      <c r="C58" s="167">
        <f>B58/100*$B$48</f>
        <v>405000</v>
      </c>
    </row>
    <row r="59" spans="1:15" x14ac:dyDescent="0.25">
      <c r="A59" t="s">
        <v>132</v>
      </c>
      <c r="B59">
        <v>4.5</v>
      </c>
      <c r="C59" s="167">
        <f>B59/100*$B$48</f>
        <v>202500</v>
      </c>
    </row>
    <row r="61" spans="1:15" x14ac:dyDescent="0.25">
      <c r="A61" s="95" t="s">
        <v>139</v>
      </c>
      <c r="C61" s="167">
        <f>B42+B48+C57+C58+C59</f>
        <v>33891910.993471622</v>
      </c>
      <c r="D61" s="95"/>
    </row>
    <row r="63" spans="1:15" x14ac:dyDescent="0.25">
      <c r="A63" t="s">
        <v>147</v>
      </c>
      <c r="B63" t="s">
        <v>148</v>
      </c>
      <c r="C63" t="s">
        <v>115</v>
      </c>
    </row>
    <row r="64" spans="1:15" x14ac:dyDescent="0.25">
      <c r="A64" t="s">
        <v>150</v>
      </c>
      <c r="B64">
        <v>10</v>
      </c>
      <c r="C64" s="167">
        <f>B64/100*$C$61</f>
        <v>3389191.0993471625</v>
      </c>
    </row>
    <row r="65" spans="1:16" x14ac:dyDescent="0.25">
      <c r="A65" t="s">
        <v>153</v>
      </c>
      <c r="B65">
        <v>10</v>
      </c>
      <c r="C65" s="167">
        <f>B65/100*$C$61</f>
        <v>3389191.0993471625</v>
      </c>
    </row>
    <row r="66" spans="1:16" x14ac:dyDescent="0.25">
      <c r="A66" t="s">
        <v>157</v>
      </c>
      <c r="B66">
        <v>20</v>
      </c>
      <c r="C66" s="167">
        <f>B66/100*$C$61</f>
        <v>6778382.1986943251</v>
      </c>
    </row>
    <row r="67" spans="1:16" x14ac:dyDescent="0.25">
      <c r="A67" t="s">
        <v>163</v>
      </c>
      <c r="B67">
        <v>10</v>
      </c>
      <c r="C67" s="167">
        <f>B67/100*$C$61</f>
        <v>3389191.0993471625</v>
      </c>
    </row>
    <row r="68" spans="1:16" x14ac:dyDescent="0.25">
      <c r="A68" t="s">
        <v>168</v>
      </c>
      <c r="B68">
        <v>10</v>
      </c>
      <c r="C68" s="167">
        <f>B68/100*$C$61</f>
        <v>3389191.0993471625</v>
      </c>
    </row>
    <row r="69" spans="1:16" x14ac:dyDescent="0.25">
      <c r="C69" s="167"/>
    </row>
    <row r="70" spans="1:16" x14ac:dyDescent="0.25">
      <c r="A70" s="95" t="s">
        <v>176</v>
      </c>
      <c r="C70" s="167">
        <f>SUM(C64:C68)</f>
        <v>20335146.596082974</v>
      </c>
      <c r="D70" s="95" t="s">
        <v>97</v>
      </c>
    </row>
    <row r="71" spans="1:16" x14ac:dyDescent="0.25">
      <c r="A71" s="95" t="s">
        <v>180</v>
      </c>
      <c r="C71" s="167">
        <f>C61+C70</f>
        <v>54227057.589554593</v>
      </c>
      <c r="D71" s="95" t="s">
        <v>97</v>
      </c>
    </row>
    <row r="73" spans="1:16" x14ac:dyDescent="0.25">
      <c r="A73" t="s">
        <v>188</v>
      </c>
      <c r="C73" s="167">
        <f>1800000/4</f>
        <v>450000</v>
      </c>
      <c r="D73" t="s">
        <v>506</v>
      </c>
    </row>
    <row r="74" spans="1:16" x14ac:dyDescent="0.25">
      <c r="A74" t="s">
        <v>190</v>
      </c>
      <c r="C74" s="167">
        <f>D74/100*C71</f>
        <v>2711352.87947773</v>
      </c>
      <c r="D74">
        <v>5</v>
      </c>
      <c r="E74" t="s">
        <v>182</v>
      </c>
      <c r="P74" s="158"/>
    </row>
    <row r="75" spans="1:16" x14ac:dyDescent="0.25">
      <c r="P75" s="158"/>
    </row>
    <row r="76" spans="1:16" x14ac:dyDescent="0.25">
      <c r="A76" s="159" t="s">
        <v>192</v>
      </c>
      <c r="C76" s="160">
        <f>C71+C73+C74</f>
        <v>57388410.469032325</v>
      </c>
      <c r="D76" s="161" t="s">
        <v>193</v>
      </c>
      <c r="P76" s="158"/>
    </row>
    <row r="77" spans="1:16" x14ac:dyDescent="0.25">
      <c r="A77" s="159" t="s">
        <v>195</v>
      </c>
      <c r="C77" s="160">
        <f>B43+B49</f>
        <v>0</v>
      </c>
      <c r="D77" s="161" t="s">
        <v>196</v>
      </c>
      <c r="E77" t="s">
        <v>197</v>
      </c>
      <c r="P77" s="158"/>
    </row>
    <row r="78" spans="1:16" x14ac:dyDescent="0.25">
      <c r="P78" s="158"/>
    </row>
    <row r="79" spans="1:16" x14ac:dyDescent="0.25">
      <c r="A79" s="159" t="s">
        <v>203</v>
      </c>
      <c r="C79" s="160">
        <f>B44</f>
        <v>905909.65376639168</v>
      </c>
      <c r="D79" s="161" t="s">
        <v>96</v>
      </c>
      <c r="P79" s="158"/>
    </row>
    <row r="80" spans="1:16" x14ac:dyDescent="0.25">
      <c r="A80" s="159" t="s">
        <v>206</v>
      </c>
      <c r="C80" s="160">
        <f>B45+B51</f>
        <v>0</v>
      </c>
      <c r="D80" s="161" t="s">
        <v>96</v>
      </c>
    </row>
    <row r="81" spans="1:10" s="90" customFormat="1" x14ac:dyDescent="0.25"/>
    <row r="82" spans="1:10" x14ac:dyDescent="0.25">
      <c r="A82" s="159" t="s">
        <v>482</v>
      </c>
    </row>
    <row r="83" spans="1:10" x14ac:dyDescent="0.25">
      <c r="A83" s="91" t="s">
        <v>369</v>
      </c>
      <c r="B83" s="93"/>
      <c r="C83" s="93"/>
      <c r="D83" s="93"/>
      <c r="E83" s="93"/>
      <c r="F83" s="93"/>
      <c r="G83" s="93"/>
      <c r="H83" s="93"/>
      <c r="I83" s="93"/>
      <c r="J83" s="93"/>
    </row>
    <row r="84" spans="1:10" x14ac:dyDescent="0.25">
      <c r="A84" t="s">
        <v>116</v>
      </c>
      <c r="B84" t="s">
        <v>117</v>
      </c>
      <c r="C84" t="s">
        <v>467</v>
      </c>
      <c r="D84" t="s">
        <v>121</v>
      </c>
      <c r="E84" t="s">
        <v>122</v>
      </c>
    </row>
    <row r="85" spans="1:10" x14ac:dyDescent="0.25">
      <c r="A85" t="s">
        <v>149</v>
      </c>
      <c r="B85">
        <v>50743</v>
      </c>
      <c r="C85">
        <v>1</v>
      </c>
      <c r="D85" s="158">
        <f>B85*C85</f>
        <v>50743</v>
      </c>
      <c r="E85" t="s">
        <v>502</v>
      </c>
      <c r="F85" s="167"/>
    </row>
    <row r="86" spans="1:10" x14ac:dyDescent="0.25">
      <c r="A86" s="179" t="s">
        <v>151</v>
      </c>
      <c r="B86" s="179">
        <v>42286</v>
      </c>
      <c r="C86" s="179">
        <v>4</v>
      </c>
      <c r="D86" s="195">
        <f>B86*C86</f>
        <v>169144</v>
      </c>
      <c r="F86" s="167"/>
    </row>
    <row r="87" spans="1:10" x14ac:dyDescent="0.25">
      <c r="A87" t="s">
        <v>169</v>
      </c>
      <c r="D87" s="158">
        <f>SUM(D85:D86)</f>
        <v>219887</v>
      </c>
    </row>
    <row r="88" spans="1:10" x14ac:dyDescent="0.25">
      <c r="A88" s="196" t="s">
        <v>173</v>
      </c>
      <c r="B88" s="196"/>
      <c r="C88" s="196"/>
      <c r="D88" s="197">
        <f>0.9*D87</f>
        <v>197898.30000000002</v>
      </c>
    </row>
    <row r="90" spans="1:10" x14ac:dyDescent="0.25">
      <c r="A90" t="s">
        <v>177</v>
      </c>
      <c r="B90">
        <v>3</v>
      </c>
      <c r="C90" t="s">
        <v>178</v>
      </c>
      <c r="D90" s="158">
        <f>B90/100*B48</f>
        <v>135000</v>
      </c>
    </row>
    <row r="91" spans="1:10" x14ac:dyDescent="0.25">
      <c r="A91" t="s">
        <v>181</v>
      </c>
      <c r="B91">
        <v>0.7</v>
      </c>
      <c r="C91" t="s">
        <v>182</v>
      </c>
      <c r="D91" s="158">
        <f>B91/100*C71</f>
        <v>379589.4031268821</v>
      </c>
    </row>
    <row r="92" spans="1:10" x14ac:dyDescent="0.25">
      <c r="D92" s="158"/>
    </row>
    <row r="93" spans="1:10" x14ac:dyDescent="0.25">
      <c r="A93" s="159" t="s">
        <v>199</v>
      </c>
      <c r="D93" s="167">
        <f>SUM(D87:D91)</f>
        <v>932374.7031268822</v>
      </c>
      <c r="E93" s="161" t="s">
        <v>196</v>
      </c>
    </row>
    <row r="94" spans="1:10" x14ac:dyDescent="0.25">
      <c r="D94" s="158"/>
    </row>
    <row r="95" spans="1:10" s="90" customFormat="1" x14ac:dyDescent="0.25"/>
    <row r="96" spans="1:10" s="162" customFormat="1" x14ac:dyDescent="0.25">
      <c r="A96" s="159" t="s">
        <v>498</v>
      </c>
    </row>
    <row r="98" spans="1:10" x14ac:dyDescent="0.25">
      <c r="A98" s="181" t="s">
        <v>480</v>
      </c>
      <c r="B98" s="93"/>
      <c r="C98" s="93"/>
      <c r="D98" s="93"/>
      <c r="E98" s="93"/>
      <c r="F98" s="93"/>
      <c r="G98" s="93"/>
      <c r="H98" s="93"/>
      <c r="I98" s="93"/>
      <c r="J98" s="93"/>
    </row>
    <row r="99" spans="1:10" x14ac:dyDescent="0.25">
      <c r="A99" t="s">
        <v>192</v>
      </c>
      <c r="D99" s="167">
        <v>459800000</v>
      </c>
    </row>
    <row r="100" spans="1:10" x14ac:dyDescent="0.25">
      <c r="A100" t="s">
        <v>207</v>
      </c>
      <c r="D100" s="167">
        <v>14500000</v>
      </c>
    </row>
    <row r="101" spans="1:10" x14ac:dyDescent="0.25">
      <c r="A101" t="s">
        <v>208</v>
      </c>
      <c r="D101" s="167">
        <v>8300000</v>
      </c>
    </row>
    <row r="102" spans="1:10" x14ac:dyDescent="0.25">
      <c r="A102" t="s">
        <v>209</v>
      </c>
      <c r="D102" s="167">
        <v>39300000</v>
      </c>
    </row>
    <row r="104" spans="1:10" x14ac:dyDescent="0.25">
      <c r="A104" t="s">
        <v>210</v>
      </c>
      <c r="D104">
        <f>(D100+D101+D102)/D99</f>
        <v>0.13505872118312309</v>
      </c>
    </row>
    <row r="106" spans="1:10" x14ac:dyDescent="0.25">
      <c r="A106" s="181" t="s">
        <v>499</v>
      </c>
      <c r="B106" s="191"/>
      <c r="C106" s="191"/>
      <c r="D106" s="191"/>
      <c r="E106" s="191"/>
      <c r="F106" s="191"/>
      <c r="G106" s="191"/>
      <c r="H106" s="191"/>
      <c r="I106" s="191"/>
      <c r="J106" s="191"/>
    </row>
    <row r="107" spans="1:10" x14ac:dyDescent="0.25">
      <c r="A107" t="s">
        <v>192</v>
      </c>
      <c r="D107" s="167">
        <f>C76</f>
        <v>57388410.469032325</v>
      </c>
    </row>
    <row r="108" spans="1:10" x14ac:dyDescent="0.25">
      <c r="A108" t="s">
        <v>207</v>
      </c>
      <c r="D108" s="167">
        <f>ROUND(C71/30,-4)</f>
        <v>1810000</v>
      </c>
    </row>
    <row r="109" spans="1:10" x14ac:dyDescent="0.25">
      <c r="A109" t="s">
        <v>211</v>
      </c>
      <c r="D109" s="167">
        <f>D104*D107-D108</f>
        <v>5940805.3286796594</v>
      </c>
    </row>
  </sheetData>
  <hyperlinks>
    <hyperlink ref="A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39997558519241921"/>
  </sheetPr>
  <dimension ref="A1:U165"/>
  <sheetViews>
    <sheetView workbookViewId="0"/>
  </sheetViews>
  <sheetFormatPr defaultColWidth="8.85546875" defaultRowHeight="15" x14ac:dyDescent="0.25"/>
  <cols>
    <col min="1" max="1" width="59.42578125" customWidth="1"/>
    <col min="2" max="2" width="14" customWidth="1"/>
    <col min="3" max="3" width="13.28515625" customWidth="1"/>
    <col min="4" max="4" width="30.28515625" customWidth="1"/>
    <col min="5" max="5" width="18.7109375" customWidth="1"/>
    <col min="6" max="6" width="12.7109375" customWidth="1"/>
    <col min="7" max="7" width="11.42578125" customWidth="1"/>
    <col min="8" max="8" width="11.28515625" customWidth="1"/>
    <col min="9" max="9" width="10.85546875" customWidth="1"/>
    <col min="10" max="10" width="11.140625" customWidth="1"/>
    <col min="11" max="11" width="11.28515625" customWidth="1"/>
    <col min="12" max="34" width="10.85546875" customWidth="1"/>
  </cols>
  <sheetData>
    <row r="1" spans="1:8" ht="27" customHeight="1" x14ac:dyDescent="0.4">
      <c r="A1" s="193" t="s">
        <v>478</v>
      </c>
    </row>
    <row r="2" spans="1:8" x14ac:dyDescent="0.25">
      <c r="A2" s="194" t="s">
        <v>230</v>
      </c>
    </row>
    <row r="3" spans="1:8" x14ac:dyDescent="0.25">
      <c r="A3" t="s">
        <v>487</v>
      </c>
    </row>
    <row r="4" spans="1:8" x14ac:dyDescent="0.25">
      <c r="A4" t="s">
        <v>488</v>
      </c>
    </row>
    <row r="5" spans="1:8" x14ac:dyDescent="0.25">
      <c r="A5" t="s">
        <v>489</v>
      </c>
    </row>
    <row r="6" spans="1:8" x14ac:dyDescent="0.25">
      <c r="A6" t="s">
        <v>497</v>
      </c>
    </row>
    <row r="7" spans="1:8" x14ac:dyDescent="0.25">
      <c r="A7" s="86" t="s">
        <v>385</v>
      </c>
      <c r="B7" s="87" t="s">
        <v>516</v>
      </c>
    </row>
    <row r="8" spans="1:8" x14ac:dyDescent="0.25">
      <c r="A8" t="s">
        <v>510</v>
      </c>
    </row>
    <row r="9" spans="1:8" s="90" customFormat="1" x14ac:dyDescent="0.25"/>
    <row r="10" spans="1:8" s="93" customFormat="1" x14ac:dyDescent="0.25">
      <c r="A10" s="91" t="s">
        <v>384</v>
      </c>
      <c r="B10" s="92"/>
      <c r="C10" s="92"/>
      <c r="E10" s="92" t="s">
        <v>389</v>
      </c>
    </row>
    <row r="11" spans="1:8" x14ac:dyDescent="0.25">
      <c r="B11" s="209" t="s">
        <v>569</v>
      </c>
      <c r="C11" s="172" t="s">
        <v>496</v>
      </c>
      <c r="D11" s="209" t="s">
        <v>569</v>
      </c>
      <c r="E11" s="172" t="s">
        <v>76</v>
      </c>
      <c r="H11" s="172"/>
    </row>
    <row r="12" spans="1:8" x14ac:dyDescent="0.25">
      <c r="A12" t="s">
        <v>495</v>
      </c>
      <c r="B12" t="s">
        <v>605</v>
      </c>
      <c r="C12" s="187">
        <f>B34*1000/(B35*1000)</f>
        <v>1.35189941868325</v>
      </c>
      <c r="D12" t="s">
        <v>605</v>
      </c>
      <c r="E12" s="188">
        <f>B34*1000/B37</f>
        <v>103.8302997580754</v>
      </c>
      <c r="F12" t="s">
        <v>588</v>
      </c>
      <c r="H12" s="172"/>
    </row>
    <row r="13" spans="1:8" x14ac:dyDescent="0.25">
      <c r="A13" t="s">
        <v>84</v>
      </c>
      <c r="B13" t="s">
        <v>606</v>
      </c>
      <c r="C13" s="169">
        <f>C126/B35/1000</f>
        <v>7.0290471204107318E-3</v>
      </c>
      <c r="D13" t="s">
        <v>606</v>
      </c>
      <c r="E13" s="151">
        <f>C126/B37</f>
        <v>0.53985382302829554</v>
      </c>
      <c r="F13" t="s">
        <v>588</v>
      </c>
      <c r="H13" s="163"/>
    </row>
    <row r="14" spans="1:8" x14ac:dyDescent="0.25">
      <c r="A14" t="s">
        <v>87</v>
      </c>
      <c r="B14" t="s">
        <v>607</v>
      </c>
      <c r="C14" s="169">
        <f>C127/B35/1000</f>
        <v>1.7102411656134798E-4</v>
      </c>
      <c r="D14" t="s">
        <v>607</v>
      </c>
      <c r="E14" s="151">
        <f>C127/B37</f>
        <v>1.3135211867847814E-2</v>
      </c>
      <c r="F14" t="s">
        <v>588</v>
      </c>
    </row>
    <row r="15" spans="1:8" x14ac:dyDescent="0.25">
      <c r="A15" s="93" t="s">
        <v>477</v>
      </c>
      <c r="B15" s="93" t="s">
        <v>608</v>
      </c>
      <c r="C15" s="244">
        <f>SUM(C16:C19)</f>
        <v>8.119713956767631E-2</v>
      </c>
      <c r="D15" s="93" t="s">
        <v>608</v>
      </c>
      <c r="E15" s="245">
        <f>SUM(E16:E19)</f>
        <v>6.2362060551972425</v>
      </c>
      <c r="F15" s="93" t="s">
        <v>598</v>
      </c>
      <c r="G15" s="93"/>
      <c r="H15" s="163"/>
    </row>
    <row r="16" spans="1:8" x14ac:dyDescent="0.25">
      <c r="A16" t="s">
        <v>88</v>
      </c>
      <c r="C16" s="190">
        <f>C125/B25/B35/1000</f>
        <v>2.3259825103062792E-2</v>
      </c>
      <c r="E16" s="189">
        <f>C125/B25/B37</f>
        <v>1.7864306910670167</v>
      </c>
      <c r="G16" t="s">
        <v>594</v>
      </c>
      <c r="H16" s="163"/>
    </row>
    <row r="17" spans="1:9" x14ac:dyDescent="0.25">
      <c r="A17" t="s">
        <v>89</v>
      </c>
      <c r="C17" s="190">
        <f>B150/B25/B35/1000</f>
        <v>9.0894241937261103E-3</v>
      </c>
      <c r="E17" s="189">
        <f>B150/B25/B37</f>
        <v>0.69809752531893587</v>
      </c>
      <c r="H17" s="163"/>
    </row>
    <row r="18" spans="1:9" x14ac:dyDescent="0.25">
      <c r="A18" t="s">
        <v>92</v>
      </c>
      <c r="C18" s="190">
        <f>B164/B25/B35/1000</f>
        <v>1.1412899948805745E-2</v>
      </c>
      <c r="E18" s="189">
        <f>B164/B25/B37</f>
        <v>0.87654806742029556</v>
      </c>
      <c r="H18" s="156"/>
    </row>
    <row r="19" spans="1:9" x14ac:dyDescent="0.25">
      <c r="A19" t="s">
        <v>94</v>
      </c>
      <c r="C19" s="190">
        <f>B165/B25/B35/1000</f>
        <v>3.7434990322081661E-2</v>
      </c>
      <c r="E19" s="189">
        <f>B165/B25/B37</f>
        <v>2.875129771390994</v>
      </c>
    </row>
    <row r="20" spans="1:9" x14ac:dyDescent="0.25">
      <c r="D20" s="156"/>
    </row>
    <row r="22" spans="1:9" s="90" customFormat="1" x14ac:dyDescent="0.25">
      <c r="I22" s="185"/>
    </row>
    <row r="23" spans="1:9" x14ac:dyDescent="0.25">
      <c r="A23" s="186" t="s">
        <v>486</v>
      </c>
      <c r="I23" s="96"/>
    </row>
    <row r="24" spans="1:9" x14ac:dyDescent="0.25">
      <c r="A24" s="186"/>
      <c r="I24" s="96"/>
    </row>
    <row r="25" spans="1:9" x14ac:dyDescent="0.25">
      <c r="A25" s="170" t="s">
        <v>481</v>
      </c>
      <c r="B25" s="96">
        <v>3.2942738452482598</v>
      </c>
      <c r="I25" s="96"/>
    </row>
    <row r="26" spans="1:9" x14ac:dyDescent="0.25">
      <c r="I26" s="96"/>
    </row>
    <row r="27" spans="1:9" x14ac:dyDescent="0.25">
      <c r="A27" t="s">
        <v>71</v>
      </c>
      <c r="B27">
        <v>1215</v>
      </c>
      <c r="C27" t="s">
        <v>491</v>
      </c>
      <c r="D27" t="s">
        <v>73</v>
      </c>
      <c r="I27" s="96"/>
    </row>
    <row r="28" spans="1:9" x14ac:dyDescent="0.25">
      <c r="A28" t="s">
        <v>74</v>
      </c>
      <c r="B28">
        <v>0.9</v>
      </c>
      <c r="C28" t="s">
        <v>75</v>
      </c>
      <c r="I28" s="96"/>
    </row>
    <row r="29" spans="1:9" x14ac:dyDescent="0.25">
      <c r="A29" t="s">
        <v>77</v>
      </c>
      <c r="B29">
        <f>B27*1000/24/B28</f>
        <v>56250</v>
      </c>
      <c r="C29" t="s">
        <v>78</v>
      </c>
      <c r="D29" t="s">
        <v>79</v>
      </c>
      <c r="I29" s="96"/>
    </row>
    <row r="30" spans="1:9" x14ac:dyDescent="0.25">
      <c r="A30" t="s">
        <v>80</v>
      </c>
      <c r="B30" s="162">
        <v>0.27400000000000002</v>
      </c>
      <c r="C30" t="s">
        <v>75</v>
      </c>
      <c r="D30" t="s">
        <v>81</v>
      </c>
      <c r="I30" s="96"/>
    </row>
    <row r="31" spans="1:9" x14ac:dyDescent="0.25">
      <c r="A31" t="s">
        <v>82</v>
      </c>
      <c r="B31">
        <v>0.95</v>
      </c>
      <c r="C31" t="s">
        <v>75</v>
      </c>
      <c r="D31" t="s">
        <v>83</v>
      </c>
      <c r="I31" s="96"/>
    </row>
    <row r="32" spans="1:9" x14ac:dyDescent="0.25">
      <c r="A32" t="s">
        <v>85</v>
      </c>
      <c r="B32">
        <v>37</v>
      </c>
      <c r="C32" t="s">
        <v>310</v>
      </c>
      <c r="D32" t="s">
        <v>86</v>
      </c>
      <c r="I32" s="96"/>
    </row>
    <row r="33" spans="1:15" x14ac:dyDescent="0.25">
      <c r="A33" t="s">
        <v>461</v>
      </c>
      <c r="B33" s="104">
        <f>2229*E33</f>
        <v>2022.1153650000001</v>
      </c>
      <c r="C33" t="s">
        <v>492</v>
      </c>
      <c r="D33" t="s">
        <v>463</v>
      </c>
      <c r="E33">
        <v>0.90718500000000002</v>
      </c>
      <c r="F33" t="s">
        <v>490</v>
      </c>
      <c r="I33" s="96"/>
    </row>
    <row r="34" spans="1:15" x14ac:dyDescent="0.25">
      <c r="A34" t="s">
        <v>494</v>
      </c>
      <c r="B34" s="183">
        <f>B27*365*B28</f>
        <v>399127.5</v>
      </c>
      <c r="C34" t="s">
        <v>493</v>
      </c>
      <c r="I34" s="96"/>
    </row>
    <row r="35" spans="1:15" x14ac:dyDescent="0.25">
      <c r="A35" t="s">
        <v>90</v>
      </c>
      <c r="B35" s="183">
        <f>B27*365*B28*(1-B30*B31)</f>
        <v>295234.61174999998</v>
      </c>
      <c r="C35" t="s">
        <v>493</v>
      </c>
      <c r="I35" s="96"/>
    </row>
    <row r="36" spans="1:15" x14ac:dyDescent="0.25">
      <c r="A36" t="s">
        <v>93</v>
      </c>
      <c r="B36" s="183">
        <f>B27*365*B28*B30*B31</f>
        <v>103892.88825</v>
      </c>
      <c r="C36" t="s">
        <v>493</v>
      </c>
      <c r="I36" s="96"/>
    </row>
    <row r="37" spans="1:15" x14ac:dyDescent="0.25">
      <c r="A37" t="s">
        <v>95</v>
      </c>
      <c r="B37" s="183">
        <f>B36*B32</f>
        <v>3844036.8652500003</v>
      </c>
      <c r="C37" t="s">
        <v>96</v>
      </c>
      <c r="I37" s="96"/>
    </row>
    <row r="38" spans="1:15" x14ac:dyDescent="0.25">
      <c r="C38" s="128"/>
    </row>
    <row r="39" spans="1:15" s="90" customFormat="1" x14ac:dyDescent="0.25">
      <c r="L39" s="174"/>
      <c r="O39" s="101"/>
    </row>
    <row r="40" spans="1:15" s="162" customFormat="1" x14ac:dyDescent="0.25">
      <c r="A40" s="184" t="s">
        <v>485</v>
      </c>
      <c r="L40" s="175"/>
      <c r="O40" s="176"/>
    </row>
    <row r="41" spans="1:15" s="162" customFormat="1" x14ac:dyDescent="0.25">
      <c r="L41" s="175"/>
      <c r="O41" s="176"/>
    </row>
    <row r="42" spans="1:15" x14ac:dyDescent="0.25">
      <c r="A42" s="91" t="s">
        <v>472</v>
      </c>
      <c r="B42" s="91"/>
      <c r="C42" s="91"/>
      <c r="D42" s="91"/>
      <c r="E42" s="93"/>
      <c r="F42" s="93"/>
      <c r="G42" s="93"/>
      <c r="H42" s="93"/>
      <c r="I42" s="93"/>
      <c r="J42" s="93"/>
      <c r="L42" s="105"/>
    </row>
    <row r="43" spans="1:15" x14ac:dyDescent="0.25">
      <c r="A43" s="95" t="s">
        <v>156</v>
      </c>
      <c r="J43" s="126"/>
      <c r="L43" s="105"/>
    </row>
    <row r="44" spans="1:15" x14ac:dyDescent="0.25">
      <c r="A44" t="s">
        <v>161</v>
      </c>
      <c r="B44" s="158">
        <v>18612122</v>
      </c>
      <c r="C44" t="s">
        <v>97</v>
      </c>
      <c r="D44" t="s">
        <v>162</v>
      </c>
      <c r="J44" s="126"/>
      <c r="L44" s="105"/>
    </row>
    <row r="45" spans="1:15" x14ac:dyDescent="0.25">
      <c r="A45" t="s">
        <v>166</v>
      </c>
      <c r="B45">
        <v>32872</v>
      </c>
      <c r="C45" t="s">
        <v>167</v>
      </c>
      <c r="D45" t="s">
        <v>162</v>
      </c>
      <c r="J45" s="126"/>
      <c r="L45" s="105"/>
    </row>
    <row r="46" spans="1:15" x14ac:dyDescent="0.25">
      <c r="A46" t="s">
        <v>172</v>
      </c>
      <c r="B46" s="104">
        <f>B29*(1-B31*B30)</f>
        <v>41608.125</v>
      </c>
      <c r="C46" t="s">
        <v>167</v>
      </c>
      <c r="D46" t="s">
        <v>474</v>
      </c>
      <c r="J46" s="126"/>
      <c r="L46" s="105"/>
    </row>
    <row r="47" spans="1:15" x14ac:dyDescent="0.25">
      <c r="A47" t="s">
        <v>175</v>
      </c>
      <c r="B47">
        <v>0.8</v>
      </c>
      <c r="D47" t="s">
        <v>162</v>
      </c>
      <c r="J47" s="126"/>
      <c r="L47" s="105"/>
    </row>
    <row r="48" spans="1:15" x14ac:dyDescent="0.25">
      <c r="A48" t="s">
        <v>475</v>
      </c>
      <c r="B48" s="158">
        <f>B44*(B46/B45)^B47</f>
        <v>22473851.372695152</v>
      </c>
      <c r="C48" t="s">
        <v>97</v>
      </c>
      <c r="D48" t="s">
        <v>476</v>
      </c>
      <c r="F48" s="126"/>
      <c r="G48" s="126"/>
      <c r="H48" s="126"/>
      <c r="I48" s="126"/>
      <c r="J48" s="126"/>
      <c r="L48" s="105"/>
    </row>
    <row r="49" spans="1:12" x14ac:dyDescent="0.25">
      <c r="E49" s="126"/>
      <c r="F49" s="126"/>
      <c r="G49" s="126"/>
      <c r="H49" s="126"/>
      <c r="I49" s="126"/>
    </row>
    <row r="50" spans="1:12" x14ac:dyDescent="0.25">
      <c r="A50" t="s">
        <v>100</v>
      </c>
      <c r="B50" s="167">
        <f>B48+B44</f>
        <v>41085973.372695148</v>
      </c>
      <c r="C50" s="168" t="s">
        <v>193</v>
      </c>
      <c r="D50" t="s">
        <v>101</v>
      </c>
    </row>
    <row r="51" spans="1:12" x14ac:dyDescent="0.25">
      <c r="A51" t="s">
        <v>103</v>
      </c>
      <c r="B51" s="162">
        <v>0</v>
      </c>
      <c r="C51" t="s">
        <v>104</v>
      </c>
      <c r="D51" t="s">
        <v>105</v>
      </c>
    </row>
    <row r="52" spans="1:12" x14ac:dyDescent="0.25">
      <c r="A52" t="s">
        <v>109</v>
      </c>
      <c r="B52" s="104">
        <f>(B60+B59)*(1.05506*10^(-6))</f>
        <v>1621612.7078840388</v>
      </c>
      <c r="C52" t="s">
        <v>96</v>
      </c>
    </row>
    <row r="53" spans="1:12" x14ac:dyDescent="0.25">
      <c r="A53" t="s">
        <v>111</v>
      </c>
      <c r="B53">
        <v>0</v>
      </c>
      <c r="C53" t="s">
        <v>96</v>
      </c>
      <c r="D53" t="s">
        <v>112</v>
      </c>
    </row>
    <row r="55" spans="1:12" x14ac:dyDescent="0.25">
      <c r="A55" s="95" t="s">
        <v>155</v>
      </c>
    </row>
    <row r="56" spans="1:12" x14ac:dyDescent="0.25">
      <c r="A56" t="s">
        <v>159</v>
      </c>
      <c r="B56" s="158">
        <f>3.72*10^6</f>
        <v>3720000</v>
      </c>
      <c r="C56" t="s">
        <v>160</v>
      </c>
      <c r="I56" s="126"/>
      <c r="J56" s="126"/>
      <c r="K56" s="126"/>
      <c r="L56" s="126"/>
    </row>
    <row r="57" spans="1:12" x14ac:dyDescent="0.25">
      <c r="A57" t="s">
        <v>164</v>
      </c>
      <c r="B57">
        <v>5.0999999999999996</v>
      </c>
      <c r="C57" t="s">
        <v>165</v>
      </c>
      <c r="I57" s="126"/>
      <c r="J57" s="126"/>
      <c r="K57" s="126"/>
      <c r="L57" s="126"/>
    </row>
    <row r="58" spans="1:12" x14ac:dyDescent="0.25">
      <c r="A58" t="s">
        <v>170</v>
      </c>
      <c r="B58">
        <v>930</v>
      </c>
      <c r="C58" t="s">
        <v>171</v>
      </c>
      <c r="I58" s="126"/>
      <c r="J58" s="126"/>
      <c r="K58" s="126"/>
      <c r="L58" s="126"/>
    </row>
    <row r="59" spans="1:12" x14ac:dyDescent="0.25">
      <c r="B59">
        <f>B56/B57*1000*B58</f>
        <v>678352941176.4707</v>
      </c>
      <c r="C59" t="s">
        <v>174</v>
      </c>
      <c r="I59" s="126"/>
      <c r="J59" s="126"/>
      <c r="K59" s="126"/>
      <c r="L59" s="126"/>
    </row>
    <row r="60" spans="1:12" x14ac:dyDescent="0.25">
      <c r="A60" t="s">
        <v>179</v>
      </c>
      <c r="B60">
        <f>B59*B46/B45</f>
        <v>858633304045.63879</v>
      </c>
      <c r="C60" t="s">
        <v>174</v>
      </c>
      <c r="I60" s="126"/>
      <c r="J60" s="126"/>
      <c r="K60" s="126"/>
      <c r="L60" s="126"/>
    </row>
    <row r="64" spans="1:12" x14ac:dyDescent="0.25">
      <c r="A64" s="91" t="s">
        <v>473</v>
      </c>
      <c r="B64" s="91"/>
      <c r="C64" s="91"/>
      <c r="D64" s="91"/>
      <c r="E64" s="93"/>
      <c r="F64" s="93"/>
      <c r="G64" s="93"/>
      <c r="H64" s="93"/>
      <c r="I64" s="93"/>
      <c r="J64" s="93"/>
    </row>
    <row r="65" spans="1:10" x14ac:dyDescent="0.25">
      <c r="A65" t="s">
        <v>100</v>
      </c>
      <c r="B65" s="167">
        <f>B74*(B72/B71)^B73</f>
        <v>132119431.07912865</v>
      </c>
      <c r="C65" s="168" t="s">
        <v>193</v>
      </c>
    </row>
    <row r="66" spans="1:10" x14ac:dyDescent="0.25">
      <c r="A66" t="s">
        <v>103</v>
      </c>
      <c r="B66" s="164">
        <f>(8.58+0.25+0.36+0.22)*B72/B71</f>
        <v>22.622125822719891</v>
      </c>
      <c r="C66" t="s">
        <v>104</v>
      </c>
      <c r="D66" t="s">
        <v>106</v>
      </c>
    </row>
    <row r="67" spans="1:10" x14ac:dyDescent="0.25">
      <c r="A67" t="s">
        <v>109</v>
      </c>
      <c r="B67" s="165">
        <f>B81</f>
        <v>453605.28968287888</v>
      </c>
      <c r="C67" t="s">
        <v>96</v>
      </c>
      <c r="J67" s="110"/>
    </row>
    <row r="68" spans="1:10" x14ac:dyDescent="0.25">
      <c r="A68" t="s">
        <v>111</v>
      </c>
      <c r="B68" s="104">
        <f>B76*24*365*B28*3.6</f>
        <v>50492.238652876309</v>
      </c>
      <c r="C68" t="s">
        <v>96</v>
      </c>
    </row>
    <row r="69" spans="1:10" x14ac:dyDescent="0.25">
      <c r="B69" s="104"/>
    </row>
    <row r="70" spans="1:10" x14ac:dyDescent="0.25">
      <c r="A70" s="95" t="s">
        <v>123</v>
      </c>
    </row>
    <row r="71" spans="1:10" x14ac:dyDescent="0.25">
      <c r="A71" t="s">
        <v>126</v>
      </c>
      <c r="B71">
        <v>23398</v>
      </c>
      <c r="C71" t="s">
        <v>78</v>
      </c>
      <c r="D71" t="s">
        <v>127</v>
      </c>
    </row>
    <row r="72" spans="1:10" x14ac:dyDescent="0.25">
      <c r="A72" t="s">
        <v>130</v>
      </c>
      <c r="B72" s="104">
        <f>B29</f>
        <v>56250</v>
      </c>
      <c r="C72" t="s">
        <v>78</v>
      </c>
      <c r="D72" t="s">
        <v>131</v>
      </c>
    </row>
    <row r="73" spans="1:10" x14ac:dyDescent="0.25">
      <c r="A73" t="s">
        <v>134</v>
      </c>
      <c r="B73">
        <v>0.7</v>
      </c>
      <c r="C73" t="s">
        <v>75</v>
      </c>
      <c r="D73" t="s">
        <v>135</v>
      </c>
    </row>
    <row r="74" spans="1:10" x14ac:dyDescent="0.25">
      <c r="A74" t="s">
        <v>138</v>
      </c>
      <c r="B74" s="158">
        <v>71500000</v>
      </c>
      <c r="C74" t="s">
        <v>97</v>
      </c>
      <c r="D74" t="s">
        <v>102</v>
      </c>
    </row>
    <row r="75" spans="1:10" x14ac:dyDescent="0.25">
      <c r="A75" t="s">
        <v>141</v>
      </c>
      <c r="B75">
        <f>18.5*0.04</f>
        <v>0.74</v>
      </c>
      <c r="C75" t="s">
        <v>142</v>
      </c>
      <c r="D75" t="s">
        <v>143</v>
      </c>
    </row>
    <row r="76" spans="1:10" x14ac:dyDescent="0.25">
      <c r="A76" t="s">
        <v>146</v>
      </c>
      <c r="B76" s="97">
        <f>B75*B72/B71</f>
        <v>1.7789982049747841</v>
      </c>
      <c r="C76" t="s">
        <v>142</v>
      </c>
    </row>
    <row r="77" spans="1:10" x14ac:dyDescent="0.25">
      <c r="B77" s="97"/>
    </row>
    <row r="78" spans="1:10" x14ac:dyDescent="0.25">
      <c r="A78" s="95" t="s">
        <v>183</v>
      </c>
    </row>
    <row r="79" spans="1:10" x14ac:dyDescent="0.25">
      <c r="A79" t="s">
        <v>184</v>
      </c>
      <c r="B79">
        <v>5.72</v>
      </c>
      <c r="C79" t="s">
        <v>185</v>
      </c>
      <c r="D79" t="s">
        <v>186</v>
      </c>
    </row>
    <row r="80" spans="1:10" x14ac:dyDescent="0.25">
      <c r="A80" t="s">
        <v>187</v>
      </c>
      <c r="B80" s="97">
        <f>B79*(B27/B28*1000/24)/B71</f>
        <v>13.751175314129412</v>
      </c>
      <c r="C80" t="s">
        <v>185</v>
      </c>
    </row>
    <row r="81" spans="1:10" x14ac:dyDescent="0.25">
      <c r="A81" t="s">
        <v>187</v>
      </c>
      <c r="B81" s="104">
        <f>B80*24*365*B28*4.184</f>
        <v>453605.28968287888</v>
      </c>
      <c r="C81" t="s">
        <v>96</v>
      </c>
      <c r="D81" s="158">
        <f>B81*947817/B58/1000*B57</f>
        <v>2357706.9943461525</v>
      </c>
      <c r="E81" t="s">
        <v>160</v>
      </c>
    </row>
    <row r="83" spans="1:10" x14ac:dyDescent="0.25">
      <c r="A83" s="95" t="s">
        <v>191</v>
      </c>
    </row>
    <row r="84" spans="1:10" x14ac:dyDescent="0.25">
      <c r="A84" t="s">
        <v>194</v>
      </c>
      <c r="B84" s="158">
        <f>8.58*10^6</f>
        <v>8580000</v>
      </c>
      <c r="C84" t="s">
        <v>160</v>
      </c>
      <c r="D84" t="s">
        <v>107</v>
      </c>
    </row>
    <row r="85" spans="1:10" x14ac:dyDescent="0.25">
      <c r="A85" t="s">
        <v>198</v>
      </c>
      <c r="B85" s="158">
        <f>B84*B72/B71</f>
        <v>20626762.971194118</v>
      </c>
      <c r="C85" t="s">
        <v>160</v>
      </c>
    </row>
    <row r="86" spans="1:10" x14ac:dyDescent="0.25">
      <c r="A86" s="166" t="s">
        <v>200</v>
      </c>
      <c r="B86" s="166">
        <v>0.53939999999999999</v>
      </c>
      <c r="C86" s="166" t="s">
        <v>201</v>
      </c>
      <c r="D86" s="166" t="s">
        <v>202</v>
      </c>
    </row>
    <row r="87" spans="1:10" x14ac:dyDescent="0.25">
      <c r="A87" s="166" t="s">
        <v>204</v>
      </c>
      <c r="B87">
        <f>B85/B86*0.4536</f>
        <v>17345753.9557539</v>
      </c>
      <c r="C87" s="166" t="s">
        <v>205</v>
      </c>
    </row>
    <row r="88" spans="1:10" x14ac:dyDescent="0.25">
      <c r="B88" s="158"/>
    </row>
    <row r="89" spans="1:10" x14ac:dyDescent="0.25">
      <c r="B89" s="158"/>
    </row>
    <row r="90" spans="1:10" x14ac:dyDescent="0.25">
      <c r="A90" s="91" t="s">
        <v>98</v>
      </c>
      <c r="B90" s="91"/>
      <c r="C90" s="91"/>
      <c r="D90" s="91"/>
      <c r="E90" s="93"/>
      <c r="F90" s="93"/>
      <c r="G90" s="93"/>
      <c r="H90" s="93"/>
      <c r="I90" s="93"/>
      <c r="J90" s="93"/>
    </row>
    <row r="91" spans="1:10" x14ac:dyDescent="0.25">
      <c r="A91" t="s">
        <v>100</v>
      </c>
      <c r="B91" s="167">
        <v>4500000</v>
      </c>
      <c r="C91" s="168" t="s">
        <v>193</v>
      </c>
      <c r="D91" t="s">
        <v>102</v>
      </c>
    </row>
    <row r="92" spans="1:10" x14ac:dyDescent="0.25">
      <c r="A92" t="s">
        <v>103</v>
      </c>
      <c r="B92">
        <v>0</v>
      </c>
      <c r="C92" t="s">
        <v>104</v>
      </c>
      <c r="D92" t="s">
        <v>107</v>
      </c>
    </row>
    <row r="93" spans="1:10" x14ac:dyDescent="0.25">
      <c r="A93" t="s">
        <v>109</v>
      </c>
      <c r="B93">
        <v>0</v>
      </c>
      <c r="C93" t="s">
        <v>96</v>
      </c>
    </row>
    <row r="94" spans="1:10" x14ac:dyDescent="0.25">
      <c r="A94" t="s">
        <v>111</v>
      </c>
      <c r="B94">
        <v>0</v>
      </c>
      <c r="C94" t="s">
        <v>96</v>
      </c>
    </row>
    <row r="96" spans="1:10" x14ac:dyDescent="0.25">
      <c r="A96" s="91" t="s">
        <v>99</v>
      </c>
      <c r="B96" s="93"/>
      <c r="C96" s="93"/>
      <c r="D96" s="93"/>
      <c r="E96" s="93"/>
      <c r="F96" s="93"/>
      <c r="G96" s="93"/>
      <c r="H96" s="93"/>
      <c r="I96" s="93"/>
      <c r="J96" s="93"/>
    </row>
    <row r="97" spans="1:15" x14ac:dyDescent="0.25">
      <c r="A97" t="s">
        <v>100</v>
      </c>
      <c r="B97" s="167">
        <v>5700000</v>
      </c>
      <c r="C97" s="168" t="s">
        <v>193</v>
      </c>
      <c r="D97" t="s">
        <v>102</v>
      </c>
    </row>
    <row r="98" spans="1:15" x14ac:dyDescent="0.25">
      <c r="A98" t="s">
        <v>103</v>
      </c>
      <c r="B98">
        <v>0.2</v>
      </c>
      <c r="C98" t="s">
        <v>104</v>
      </c>
      <c r="D98" t="s">
        <v>108</v>
      </c>
    </row>
    <row r="99" spans="1:15" x14ac:dyDescent="0.25">
      <c r="A99" t="s">
        <v>109</v>
      </c>
      <c r="B99">
        <v>0</v>
      </c>
      <c r="C99" t="s">
        <v>96</v>
      </c>
      <c r="D99" t="s">
        <v>110</v>
      </c>
    </row>
    <row r="100" spans="1:15" x14ac:dyDescent="0.25">
      <c r="A100" t="s">
        <v>111</v>
      </c>
      <c r="B100">
        <v>0</v>
      </c>
      <c r="C100" t="s">
        <v>96</v>
      </c>
      <c r="D100" t="s">
        <v>110</v>
      </c>
    </row>
    <row r="102" spans="1:15" s="90" customFormat="1" x14ac:dyDescent="0.25">
      <c r="L102" s="174"/>
      <c r="O102" s="101"/>
    </row>
    <row r="103" spans="1:15" x14ac:dyDescent="0.25">
      <c r="A103" s="159" t="s">
        <v>484</v>
      </c>
    </row>
    <row r="105" spans="1:15" x14ac:dyDescent="0.25">
      <c r="A105" t="s">
        <v>113</v>
      </c>
      <c r="B105" t="s">
        <v>114</v>
      </c>
      <c r="C105" t="s">
        <v>115</v>
      </c>
    </row>
    <row r="106" spans="1:15" x14ac:dyDescent="0.25">
      <c r="A106" t="s">
        <v>124</v>
      </c>
      <c r="B106">
        <v>4</v>
      </c>
      <c r="C106" s="158">
        <f>B106/100*($B$65+$B$91+$B$97)</f>
        <v>5692777.2431651466</v>
      </c>
    </row>
    <row r="107" spans="1:15" x14ac:dyDescent="0.25">
      <c r="A107" t="s">
        <v>128</v>
      </c>
      <c r="B107">
        <v>9</v>
      </c>
      <c r="C107" s="158">
        <f>B107/100*($B$65+$B$91+$B$97)</f>
        <v>12808748.797121579</v>
      </c>
    </row>
    <row r="108" spans="1:15" x14ac:dyDescent="0.25">
      <c r="A108" t="s">
        <v>132</v>
      </c>
      <c r="B108">
        <v>4.5</v>
      </c>
      <c r="C108" s="158">
        <f>B108/100*($B$65+$B$91+$B$97)</f>
        <v>6404374.3985607894</v>
      </c>
    </row>
    <row r="110" spans="1:15" x14ac:dyDescent="0.25">
      <c r="A110" s="95" t="s">
        <v>139</v>
      </c>
      <c r="C110" s="167">
        <f>B50+B65+B91+B97+C106+C107+C108</f>
        <v>208311304.89067131</v>
      </c>
    </row>
    <row r="112" spans="1:15" x14ac:dyDescent="0.25">
      <c r="A112" t="s">
        <v>147</v>
      </c>
      <c r="B112" t="s">
        <v>148</v>
      </c>
      <c r="C112" t="s">
        <v>115</v>
      </c>
    </row>
    <row r="113" spans="1:21" x14ac:dyDescent="0.25">
      <c r="A113" t="s">
        <v>150</v>
      </c>
      <c r="B113">
        <v>10</v>
      </c>
      <c r="C113" s="158">
        <f>B113/100*$C$110</f>
        <v>20831130.489067134</v>
      </c>
    </row>
    <row r="114" spans="1:21" x14ac:dyDescent="0.25">
      <c r="A114" t="s">
        <v>153</v>
      </c>
      <c r="B114">
        <v>10</v>
      </c>
      <c r="C114" s="158">
        <f>B114/100*$C$110</f>
        <v>20831130.489067134</v>
      </c>
    </row>
    <row r="115" spans="1:21" x14ac:dyDescent="0.25">
      <c r="A115" t="s">
        <v>157</v>
      </c>
      <c r="B115">
        <v>20</v>
      </c>
      <c r="C115" s="158">
        <f>B115/100*$C$110</f>
        <v>41662260.978134267</v>
      </c>
    </row>
    <row r="116" spans="1:21" x14ac:dyDescent="0.25">
      <c r="A116" t="s">
        <v>163</v>
      </c>
      <c r="B116">
        <v>10</v>
      </c>
      <c r="C116" s="158">
        <f>B116/100*$C$110</f>
        <v>20831130.489067134</v>
      </c>
    </row>
    <row r="117" spans="1:21" x14ac:dyDescent="0.25">
      <c r="A117" t="s">
        <v>168</v>
      </c>
      <c r="B117">
        <v>10</v>
      </c>
      <c r="C117" s="158">
        <f>B117/100*$C$110</f>
        <v>20831130.489067134</v>
      </c>
    </row>
    <row r="118" spans="1:21" x14ac:dyDescent="0.25">
      <c r="U118" s="158"/>
    </row>
    <row r="119" spans="1:21" x14ac:dyDescent="0.25">
      <c r="A119" s="95" t="s">
        <v>176</v>
      </c>
      <c r="C119" s="167">
        <f>SUM(C113:C117)</f>
        <v>124986782.93440281</v>
      </c>
    </row>
    <row r="120" spans="1:21" x14ac:dyDescent="0.25">
      <c r="A120" s="95" t="s">
        <v>180</v>
      </c>
      <c r="C120" s="167">
        <f>C110+C119</f>
        <v>333298087.82507414</v>
      </c>
    </row>
    <row r="121" spans="1:21" x14ac:dyDescent="0.25">
      <c r="A121" t="s">
        <v>188</v>
      </c>
      <c r="C121" s="167">
        <v>1800000</v>
      </c>
      <c r="D121" t="s">
        <v>189</v>
      </c>
    </row>
    <row r="122" spans="1:21" x14ac:dyDescent="0.25">
      <c r="A122" t="s">
        <v>190</v>
      </c>
      <c r="C122" s="167">
        <f>D122/100*C120</f>
        <v>16664904.391253708</v>
      </c>
      <c r="D122">
        <v>5</v>
      </c>
      <c r="E122" t="s">
        <v>182</v>
      </c>
    </row>
    <row r="123" spans="1:21" x14ac:dyDescent="0.25">
      <c r="C123" s="158"/>
    </row>
    <row r="124" spans="1:21" x14ac:dyDescent="0.25">
      <c r="A124" s="159" t="s">
        <v>192</v>
      </c>
      <c r="C124" s="167">
        <f>C120+C121+C122</f>
        <v>351762992.21632785</v>
      </c>
      <c r="D124" s="171" t="s">
        <v>193</v>
      </c>
    </row>
    <row r="125" spans="1:21" x14ac:dyDescent="0.25">
      <c r="A125" s="159" t="s">
        <v>195</v>
      </c>
      <c r="C125" s="167">
        <f>(B51+B66+B92+Q8)*10^6</f>
        <v>22622125.822719891</v>
      </c>
      <c r="D125" s="171" t="s">
        <v>196</v>
      </c>
      <c r="E125" t="s">
        <v>197</v>
      </c>
    </row>
    <row r="126" spans="1:21" s="110" customFormat="1" x14ac:dyDescent="0.25">
      <c r="A126" s="159" t="s">
        <v>203</v>
      </c>
      <c r="C126" s="160">
        <f>B52+B67</f>
        <v>2075217.9975669177</v>
      </c>
      <c r="D126" s="171" t="s">
        <v>96</v>
      </c>
      <c r="G126" s="95"/>
      <c r="H126"/>
      <c r="I126"/>
      <c r="J126"/>
    </row>
    <row r="127" spans="1:21" x14ac:dyDescent="0.25">
      <c r="A127" s="159" t="s">
        <v>206</v>
      </c>
      <c r="C127" s="160">
        <f>B68</f>
        <v>50492.238652876309</v>
      </c>
      <c r="D127" s="171" t="s">
        <v>96</v>
      </c>
    </row>
    <row r="128" spans="1:21" x14ac:dyDescent="0.25">
      <c r="H128" s="158"/>
    </row>
    <row r="129" spans="1:18" s="90" customFormat="1" x14ac:dyDescent="0.25"/>
    <row r="130" spans="1:18" x14ac:dyDescent="0.25">
      <c r="A130" s="159" t="s">
        <v>482</v>
      </c>
    </row>
    <row r="131" spans="1:18" x14ac:dyDescent="0.25">
      <c r="A131" s="91" t="s">
        <v>369</v>
      </c>
      <c r="B131" s="93"/>
      <c r="C131" s="93"/>
      <c r="D131" s="93"/>
      <c r="E131" s="93"/>
      <c r="F131" s="93"/>
      <c r="G131" s="93"/>
      <c r="H131" s="93"/>
      <c r="I131" s="93"/>
      <c r="J131" s="93"/>
    </row>
    <row r="132" spans="1:18" x14ac:dyDescent="0.25">
      <c r="A132" t="s">
        <v>116</v>
      </c>
      <c r="B132" t="s">
        <v>117</v>
      </c>
      <c r="C132" t="s">
        <v>118</v>
      </c>
      <c r="D132" t="s">
        <v>119</v>
      </c>
      <c r="E132" t="s">
        <v>120</v>
      </c>
      <c r="F132" t="s">
        <v>121</v>
      </c>
      <c r="G132" t="s">
        <v>122</v>
      </c>
    </row>
    <row r="133" spans="1:18" x14ac:dyDescent="0.25">
      <c r="A133" t="s">
        <v>125</v>
      </c>
      <c r="B133" s="167">
        <v>155400</v>
      </c>
      <c r="C133">
        <v>1</v>
      </c>
      <c r="D133">
        <v>1</v>
      </c>
      <c r="E133">
        <f>C133*D133</f>
        <v>1</v>
      </c>
      <c r="F133" s="167">
        <f>E133*B133</f>
        <v>155400</v>
      </c>
    </row>
    <row r="134" spans="1:18" x14ac:dyDescent="0.25">
      <c r="A134" t="s">
        <v>129</v>
      </c>
      <c r="B134" s="167">
        <v>74000</v>
      </c>
      <c r="C134">
        <v>2</v>
      </c>
      <c r="D134">
        <v>0.5</v>
      </c>
      <c r="E134">
        <f t="shared" ref="E134:E142" si="0">C134*D134</f>
        <v>1</v>
      </c>
      <c r="F134" s="167">
        <f t="shared" ref="F134:F142" si="1">E134*B134</f>
        <v>74000</v>
      </c>
    </row>
    <row r="135" spans="1:18" x14ac:dyDescent="0.25">
      <c r="A135" t="s">
        <v>133</v>
      </c>
      <c r="B135" s="167">
        <v>60257</v>
      </c>
      <c r="C135">
        <v>1</v>
      </c>
      <c r="D135">
        <v>1</v>
      </c>
      <c r="E135">
        <f t="shared" si="0"/>
        <v>1</v>
      </c>
      <c r="F135" s="167">
        <f t="shared" si="1"/>
        <v>60257</v>
      </c>
    </row>
    <row r="136" spans="1:18" x14ac:dyDescent="0.25">
      <c r="A136" t="s">
        <v>136</v>
      </c>
      <c r="B136" s="167">
        <v>42286</v>
      </c>
      <c r="C136">
        <v>12</v>
      </c>
      <c r="D136" s="151">
        <v>0.33333333300000001</v>
      </c>
      <c r="E136" s="151">
        <f t="shared" si="0"/>
        <v>3.9999999960000001</v>
      </c>
      <c r="F136" s="167">
        <f t="shared" si="1"/>
        <v>169143.99983085602</v>
      </c>
      <c r="G136" t="s">
        <v>137</v>
      </c>
    </row>
    <row r="137" spans="1:18" x14ac:dyDescent="0.25">
      <c r="A137" t="s">
        <v>140</v>
      </c>
      <c r="B137" s="167">
        <v>59200</v>
      </c>
      <c r="C137">
        <v>1</v>
      </c>
      <c r="D137">
        <v>1</v>
      </c>
      <c r="E137">
        <f t="shared" si="0"/>
        <v>1</v>
      </c>
      <c r="F137" s="167">
        <f t="shared" si="1"/>
        <v>59200</v>
      </c>
      <c r="M137" s="110"/>
      <c r="R137" s="110"/>
    </row>
    <row r="138" spans="1:18" x14ac:dyDescent="0.25">
      <c r="A138" t="s">
        <v>144</v>
      </c>
      <c r="B138" s="167">
        <v>42286</v>
      </c>
      <c r="C138">
        <v>4</v>
      </c>
      <c r="D138">
        <v>0.5</v>
      </c>
      <c r="E138">
        <f t="shared" si="0"/>
        <v>2</v>
      </c>
      <c r="F138" s="167">
        <f t="shared" si="1"/>
        <v>84572</v>
      </c>
      <c r="G138" t="s">
        <v>145</v>
      </c>
    </row>
    <row r="139" spans="1:18" x14ac:dyDescent="0.25">
      <c r="A139" t="s">
        <v>149</v>
      </c>
      <c r="B139" s="167">
        <v>50743</v>
      </c>
      <c r="C139">
        <v>4</v>
      </c>
      <c r="D139">
        <v>0.5</v>
      </c>
      <c r="E139">
        <f t="shared" si="0"/>
        <v>2</v>
      </c>
      <c r="F139" s="167">
        <f t="shared" si="1"/>
        <v>101486</v>
      </c>
    </row>
    <row r="140" spans="1:18" x14ac:dyDescent="0.25">
      <c r="A140" t="s">
        <v>151</v>
      </c>
      <c r="B140" s="167">
        <v>42286</v>
      </c>
      <c r="C140">
        <v>20</v>
      </c>
      <c r="D140">
        <v>0.4</v>
      </c>
      <c r="E140">
        <f t="shared" si="0"/>
        <v>8</v>
      </c>
      <c r="F140" s="167">
        <f t="shared" si="1"/>
        <v>338288</v>
      </c>
      <c r="G140" t="s">
        <v>152</v>
      </c>
    </row>
    <row r="141" spans="1:18" x14ac:dyDescent="0.25">
      <c r="A141" t="s">
        <v>154</v>
      </c>
      <c r="B141" s="167">
        <v>29600</v>
      </c>
      <c r="C141">
        <v>4</v>
      </c>
      <c r="D141">
        <v>0.5</v>
      </c>
      <c r="E141">
        <f t="shared" si="0"/>
        <v>2</v>
      </c>
      <c r="F141" s="167">
        <f t="shared" si="1"/>
        <v>59200</v>
      </c>
    </row>
    <row r="142" spans="1:18" x14ac:dyDescent="0.25">
      <c r="A142" s="126" t="s">
        <v>158</v>
      </c>
      <c r="B142" s="177">
        <v>38057</v>
      </c>
      <c r="C142" s="126">
        <v>3</v>
      </c>
      <c r="D142" s="178">
        <v>0.66666666699999999</v>
      </c>
      <c r="E142" s="178">
        <f t="shared" si="0"/>
        <v>2.0000000010000001</v>
      </c>
      <c r="F142" s="177">
        <f t="shared" si="1"/>
        <v>76114.000038056998</v>
      </c>
    </row>
    <row r="143" spans="1:18" x14ac:dyDescent="0.25">
      <c r="A143" t="s">
        <v>169</v>
      </c>
      <c r="F143" s="167">
        <f>SUM(F133:F142)</f>
        <v>1177660.9998689131</v>
      </c>
    </row>
    <row r="144" spans="1:18" x14ac:dyDescent="0.25">
      <c r="A144" s="179" t="s">
        <v>173</v>
      </c>
      <c r="B144" s="179"/>
      <c r="C144" s="179"/>
      <c r="D144" s="179"/>
      <c r="E144" s="179"/>
      <c r="F144" s="180">
        <f>0.9*F143</f>
        <v>1059894.8998820218</v>
      </c>
      <c r="G144" s="179"/>
      <c r="H144" s="179"/>
      <c r="I144" s="179"/>
      <c r="J144" s="179"/>
    </row>
    <row r="146" spans="1:10" x14ac:dyDescent="0.25">
      <c r="A146" s="181" t="s">
        <v>483</v>
      </c>
      <c r="B146" s="182"/>
      <c r="C146" s="93"/>
      <c r="D146" s="93"/>
      <c r="E146" s="93"/>
      <c r="F146" s="93"/>
      <c r="G146" s="93"/>
      <c r="H146" s="93"/>
      <c r="I146" s="93"/>
      <c r="J146" s="93"/>
    </row>
    <row r="147" spans="1:10" x14ac:dyDescent="0.25">
      <c r="A147" t="s">
        <v>177</v>
      </c>
      <c r="B147" s="192">
        <f>D147/100*(B65+B91+B97)</f>
        <v>4269582.932373859</v>
      </c>
      <c r="C147" s="170" t="s">
        <v>196</v>
      </c>
      <c r="D147">
        <v>3</v>
      </c>
      <c r="E147" t="s">
        <v>178</v>
      </c>
    </row>
    <row r="148" spans="1:10" x14ac:dyDescent="0.25">
      <c r="A148" t="s">
        <v>181</v>
      </c>
      <c r="B148" s="167">
        <f>D148/100*C120</f>
        <v>2333086.6147755189</v>
      </c>
      <c r="C148" s="170" t="s">
        <v>196</v>
      </c>
      <c r="D148">
        <v>0.7</v>
      </c>
      <c r="E148" t="s">
        <v>182</v>
      </c>
    </row>
    <row r="149" spans="1:10" x14ac:dyDescent="0.25">
      <c r="A149" s="110"/>
    </row>
    <row r="150" spans="1:10" x14ac:dyDescent="0.25">
      <c r="A150" s="159" t="s">
        <v>199</v>
      </c>
      <c r="B150" s="167">
        <f>SUM(B147:B148)+SUM(F143:F144)</f>
        <v>8840225.4469003119</v>
      </c>
      <c r="C150" s="171" t="s">
        <v>196</v>
      </c>
    </row>
    <row r="152" spans="1:10" s="90" customFormat="1" x14ac:dyDescent="0.25"/>
    <row r="153" spans="1:10" s="162" customFormat="1" x14ac:dyDescent="0.25">
      <c r="A153" s="159" t="s">
        <v>498</v>
      </c>
    </row>
    <row r="155" spans="1:10" x14ac:dyDescent="0.25">
      <c r="A155" s="181" t="s">
        <v>480</v>
      </c>
      <c r="B155" s="93"/>
      <c r="C155" s="93"/>
      <c r="D155" s="93"/>
      <c r="E155" s="93"/>
      <c r="F155" s="93"/>
      <c r="G155" s="93"/>
      <c r="H155" s="93"/>
      <c r="I155" s="93"/>
      <c r="J155" s="93"/>
    </row>
    <row r="156" spans="1:10" x14ac:dyDescent="0.25">
      <c r="A156" t="s">
        <v>192</v>
      </c>
      <c r="B156" s="167">
        <v>459800000</v>
      </c>
      <c r="C156" s="171" t="s">
        <v>193</v>
      </c>
    </row>
    <row r="157" spans="1:10" x14ac:dyDescent="0.25">
      <c r="A157" t="s">
        <v>207</v>
      </c>
      <c r="B157" s="167">
        <v>14500000</v>
      </c>
      <c r="C157" s="170" t="s">
        <v>196</v>
      </c>
    </row>
    <row r="158" spans="1:10" x14ac:dyDescent="0.25">
      <c r="A158" t="s">
        <v>208</v>
      </c>
      <c r="B158" s="167">
        <v>8300000</v>
      </c>
      <c r="C158" s="170" t="s">
        <v>196</v>
      </c>
    </row>
    <row r="159" spans="1:10" x14ac:dyDescent="0.25">
      <c r="A159" t="s">
        <v>209</v>
      </c>
      <c r="B159" s="167">
        <v>39300000</v>
      </c>
      <c r="C159" s="170" t="s">
        <v>196</v>
      </c>
    </row>
    <row r="160" spans="1:10" x14ac:dyDescent="0.25">
      <c r="A160" s="172" t="s">
        <v>479</v>
      </c>
      <c r="B160" s="173">
        <f>(B157+B158+B159)/B156</f>
        <v>0.13505872118312309</v>
      </c>
    </row>
    <row r="162" spans="1:10" x14ac:dyDescent="0.25">
      <c r="A162" s="181" t="s">
        <v>499</v>
      </c>
      <c r="B162" s="191"/>
      <c r="C162" s="191"/>
      <c r="D162" s="191"/>
      <c r="E162" s="191"/>
      <c r="F162" s="191"/>
      <c r="G162" s="191"/>
      <c r="H162" s="191"/>
      <c r="I162" s="191"/>
      <c r="J162" s="191"/>
    </row>
    <row r="163" spans="1:10" x14ac:dyDescent="0.25">
      <c r="A163" t="s">
        <v>192</v>
      </c>
      <c r="B163" s="167">
        <f>C124</f>
        <v>351762992.21632785</v>
      </c>
      <c r="C163" s="171" t="s">
        <v>193</v>
      </c>
    </row>
    <row r="164" spans="1:10" x14ac:dyDescent="0.25">
      <c r="A164" t="s">
        <v>207</v>
      </c>
      <c r="B164" s="167">
        <f>ROUND(C120/30,-5)</f>
        <v>11100000</v>
      </c>
      <c r="C164" s="170" t="s">
        <v>196</v>
      </c>
    </row>
    <row r="165" spans="1:10" x14ac:dyDescent="0.25">
      <c r="A165" t="s">
        <v>211</v>
      </c>
      <c r="B165" s="167">
        <f>B160*B163-B164</f>
        <v>36408659.888286121</v>
      </c>
      <c r="C165" s="170" t="s">
        <v>196</v>
      </c>
    </row>
  </sheetData>
  <hyperlinks>
    <hyperlink ref="A2" r:id="rId1"/>
  </hyperlinks>
  <pageMargins left="0.7" right="0.7" top="0.75" bottom="0.75" header="0.51180555555555496" footer="0.51180555555555496"/>
  <pageSetup firstPageNumber="0" orientation="portrait" horizontalDpi="4294967293" verticalDpi="4294967293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J227"/>
  <sheetViews>
    <sheetView zoomScale="70" zoomScaleNormal="70" workbookViewId="0">
      <pane ySplit="5" topLeftCell="A129" activePane="bottomLeft" state="frozen"/>
      <selection pane="bottomLeft" activeCell="BE166" sqref="BE166:BG166"/>
    </sheetView>
  </sheetViews>
  <sheetFormatPr defaultColWidth="8.85546875" defaultRowHeight="15" x14ac:dyDescent="0.25"/>
  <cols>
    <col min="1" max="1" width="28.85546875" style="1" bestFit="1" customWidth="1"/>
    <col min="2" max="2" width="15" style="1" bestFit="1" customWidth="1"/>
    <col min="3" max="3" width="8.85546875" style="1"/>
    <col min="4" max="4" width="23.5703125" style="1" bestFit="1" customWidth="1"/>
    <col min="5" max="7" width="8.85546875" style="1"/>
    <col min="8" max="8" width="8.85546875" style="298"/>
    <col min="9" max="29" width="8.85546875" style="1"/>
    <col min="30" max="30" width="8.85546875" style="298"/>
    <col min="31" max="51" width="8.85546875" style="1"/>
    <col min="52" max="52" width="8.85546875" style="298"/>
    <col min="53" max="1024" width="8.85546875" style="1"/>
  </cols>
  <sheetData>
    <row r="1" spans="1:116" x14ac:dyDescent="0.25">
      <c r="B1"/>
      <c r="C1"/>
      <c r="D1"/>
      <c r="E1"/>
      <c r="F1"/>
      <c r="G1"/>
      <c r="H1" s="111">
        <f>40*365/1000</f>
        <v>14.6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 s="11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 s="11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</row>
    <row r="2" spans="1:116" x14ac:dyDescent="0.25">
      <c r="A2" s="172" t="s">
        <v>626</v>
      </c>
      <c r="B2" s="2">
        <v>10</v>
      </c>
      <c r="C2" s="3" t="s">
        <v>51</v>
      </c>
      <c r="G2" s="15" t="s">
        <v>679</v>
      </c>
      <c r="H2" s="111"/>
      <c r="I2"/>
      <c r="J2"/>
      <c r="K2"/>
      <c r="L2"/>
      <c r="M2" s="210">
        <v>2020</v>
      </c>
      <c r="N2" s="210">
        <v>2025</v>
      </c>
      <c r="O2" s="210">
        <v>2030</v>
      </c>
      <c r="P2" s="210">
        <v>2035</v>
      </c>
      <c r="Q2" s="210">
        <v>2040</v>
      </c>
      <c r="R2" s="210">
        <v>2045</v>
      </c>
      <c r="S2" s="210">
        <v>2050</v>
      </c>
      <c r="T2" s="210">
        <v>2055</v>
      </c>
      <c r="U2" s="210">
        <v>2060</v>
      </c>
      <c r="V2" s="210">
        <v>2065</v>
      </c>
      <c r="W2" s="210">
        <v>2070</v>
      </c>
      <c r="X2" s="210">
        <v>2075</v>
      </c>
      <c r="Y2" s="210">
        <v>2080</v>
      </c>
      <c r="Z2" s="210">
        <v>2085</v>
      </c>
      <c r="AA2" s="210">
        <v>2090</v>
      </c>
      <c r="AB2" s="210">
        <v>2095</v>
      </c>
      <c r="AC2" s="210">
        <v>2100</v>
      </c>
      <c r="AD2" s="111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s="111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</row>
    <row r="3" spans="1:116" x14ac:dyDescent="0.25">
      <c r="A3" s="263" t="s">
        <v>54</v>
      </c>
      <c r="B3" s="304">
        <f>Control!G14</f>
        <v>0</v>
      </c>
      <c r="C3" t="s">
        <v>627</v>
      </c>
      <c r="F3" s="1">
        <v>24.5</v>
      </c>
      <c r="G3" s="1">
        <v>0.5</v>
      </c>
      <c r="H3" s="111"/>
      <c r="I3"/>
      <c r="J3"/>
      <c r="L3" t="s">
        <v>873</v>
      </c>
      <c r="M3">
        <f>1+1/(1+EXP(-$B$4*(M$5-$S$5)))</f>
        <v>1.0474258731775667</v>
      </c>
      <c r="N3">
        <f t="shared" ref="N3:AC3" si="0">1+1/(1+EXP(-$B$4*(N$5-$S$5)))</f>
        <v>1.0758581800212434</v>
      </c>
      <c r="O3">
        <f t="shared" si="0"/>
        <v>1.1192029220221176</v>
      </c>
      <c r="P3">
        <f t="shared" si="0"/>
        <v>1.1824255238063563</v>
      </c>
      <c r="Q3">
        <f t="shared" si="0"/>
        <v>1.2689414213699952</v>
      </c>
      <c r="R3">
        <f t="shared" si="0"/>
        <v>1.3775406687981455</v>
      </c>
      <c r="S3">
        <f t="shared" si="0"/>
        <v>1.5</v>
      </c>
      <c r="T3">
        <f t="shared" si="0"/>
        <v>1.6224593312018545</v>
      </c>
      <c r="U3">
        <f t="shared" si="0"/>
        <v>1.7310585786300048</v>
      </c>
      <c r="V3">
        <f t="shared" si="0"/>
        <v>1.8175744761936437</v>
      </c>
      <c r="W3">
        <f t="shared" si="0"/>
        <v>1.8807970779778822</v>
      </c>
      <c r="X3">
        <f t="shared" si="0"/>
        <v>1.9241418199787566</v>
      </c>
      <c r="Y3">
        <f t="shared" si="0"/>
        <v>1.9525741268224333</v>
      </c>
      <c r="Z3">
        <f t="shared" si="0"/>
        <v>1.9706877692486438</v>
      </c>
      <c r="AA3">
        <f t="shared" si="0"/>
        <v>1.9820137900379085</v>
      </c>
      <c r="AB3">
        <f t="shared" si="0"/>
        <v>1.9890130573694069</v>
      </c>
      <c r="AC3">
        <f t="shared" si="0"/>
        <v>1.9933071490757153</v>
      </c>
      <c r="AD3" s="111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s="111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</row>
    <row r="4" spans="1:116" x14ac:dyDescent="0.25">
      <c r="A4" t="s">
        <v>872</v>
      </c>
      <c r="B4">
        <v>0.1</v>
      </c>
      <c r="C4"/>
      <c r="D4"/>
      <c r="E4" s="3" t="s">
        <v>51</v>
      </c>
      <c r="F4"/>
      <c r="G4"/>
      <c r="H4" s="295" t="s">
        <v>48</v>
      </c>
      <c r="I4" s="4"/>
      <c r="J4" s="4"/>
      <c r="K4" s="4"/>
      <c r="L4" s="4"/>
      <c r="M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74" t="s">
        <v>697</v>
      </c>
      <c r="AE4" s="4"/>
      <c r="AF4" s="4"/>
      <c r="AG4" s="4"/>
      <c r="AH4" s="4"/>
      <c r="AI4" s="4"/>
      <c r="AJ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295" t="s">
        <v>55</v>
      </c>
      <c r="BA4" s="4"/>
      <c r="BB4" s="4"/>
      <c r="BC4" s="4"/>
      <c r="BD4" s="4"/>
      <c r="BE4" s="4"/>
      <c r="BF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</row>
    <row r="5" spans="1:116" x14ac:dyDescent="0.25">
      <c r="A5" s="210" t="s">
        <v>0</v>
      </c>
      <c r="B5" s="210" t="s">
        <v>1</v>
      </c>
      <c r="C5" s="210" t="s">
        <v>2</v>
      </c>
      <c r="D5" s="210" t="s">
        <v>3</v>
      </c>
      <c r="E5" s="210" t="s">
        <v>48</v>
      </c>
      <c r="F5" s="93" t="s">
        <v>628</v>
      </c>
      <c r="G5" s="93" t="s">
        <v>629</v>
      </c>
      <c r="H5" s="296">
        <v>1975</v>
      </c>
      <c r="I5" s="210">
        <v>1990</v>
      </c>
      <c r="J5" s="210">
        <v>2005</v>
      </c>
      <c r="K5" s="210">
        <v>2010</v>
      </c>
      <c r="L5" s="210">
        <v>2015</v>
      </c>
      <c r="M5" s="210">
        <v>2020</v>
      </c>
      <c r="N5" s="210">
        <v>2025</v>
      </c>
      <c r="O5" s="210">
        <v>2030</v>
      </c>
      <c r="P5" s="210">
        <v>2035</v>
      </c>
      <c r="Q5" s="210">
        <v>2040</v>
      </c>
      <c r="R5" s="210">
        <v>2045</v>
      </c>
      <c r="S5" s="210">
        <v>2050</v>
      </c>
      <c r="T5" s="210">
        <v>2055</v>
      </c>
      <c r="U5" s="210">
        <v>2060</v>
      </c>
      <c r="V5" s="210">
        <v>2065</v>
      </c>
      <c r="W5" s="210">
        <v>2070</v>
      </c>
      <c r="X5" s="210">
        <v>2075</v>
      </c>
      <c r="Y5" s="210">
        <v>2080</v>
      </c>
      <c r="Z5" s="210">
        <v>2085</v>
      </c>
      <c r="AA5" s="210">
        <v>2090</v>
      </c>
      <c r="AB5" s="210">
        <v>2095</v>
      </c>
      <c r="AC5" s="210">
        <v>2100</v>
      </c>
      <c r="AD5" s="296">
        <v>1975</v>
      </c>
      <c r="AE5" s="210">
        <v>1990</v>
      </c>
      <c r="AF5" s="210">
        <v>2005</v>
      </c>
      <c r="AG5" s="210">
        <v>2010</v>
      </c>
      <c r="AH5" s="210">
        <v>2015</v>
      </c>
      <c r="AI5" s="210">
        <v>2020</v>
      </c>
      <c r="AJ5" s="210">
        <v>2025</v>
      </c>
      <c r="AK5" s="210">
        <v>2030</v>
      </c>
      <c r="AL5" s="210">
        <v>2035</v>
      </c>
      <c r="AM5" s="210">
        <v>2040</v>
      </c>
      <c r="AN5" s="210">
        <v>2045</v>
      </c>
      <c r="AO5" s="210">
        <v>2050</v>
      </c>
      <c r="AP5" s="210">
        <v>2055</v>
      </c>
      <c r="AQ5" s="210">
        <v>2060</v>
      </c>
      <c r="AR5" s="210">
        <v>2065</v>
      </c>
      <c r="AS5" s="210">
        <v>2070</v>
      </c>
      <c r="AT5" s="210">
        <v>2075</v>
      </c>
      <c r="AU5" s="210">
        <v>2080</v>
      </c>
      <c r="AV5" s="210">
        <v>2085</v>
      </c>
      <c r="AW5" s="210">
        <v>2090</v>
      </c>
      <c r="AX5" s="210">
        <v>2095</v>
      </c>
      <c r="AY5" s="210">
        <v>2100</v>
      </c>
      <c r="AZ5" s="296">
        <v>1975</v>
      </c>
      <c r="BA5" s="210">
        <v>1990</v>
      </c>
      <c r="BB5" s="210">
        <v>2005</v>
      </c>
      <c r="BC5" s="210">
        <v>2010</v>
      </c>
      <c r="BD5" s="210">
        <v>2015</v>
      </c>
      <c r="BE5" s="210">
        <v>2020</v>
      </c>
      <c r="BF5" s="210">
        <v>2025</v>
      </c>
      <c r="BG5" s="210">
        <v>2030</v>
      </c>
      <c r="BH5" s="210">
        <v>2035</v>
      </c>
      <c r="BI5" s="210">
        <v>2040</v>
      </c>
      <c r="BJ5" s="210">
        <v>2045</v>
      </c>
      <c r="BK5" s="210">
        <v>2050</v>
      </c>
      <c r="BL5" s="210">
        <v>2055</v>
      </c>
      <c r="BM5" s="210">
        <v>2060</v>
      </c>
      <c r="BN5" s="210">
        <v>2065</v>
      </c>
      <c r="BO5" s="210">
        <v>2070</v>
      </c>
      <c r="BP5" s="210">
        <v>2075</v>
      </c>
      <c r="BQ5" s="210">
        <v>2080</v>
      </c>
      <c r="BR5" s="210">
        <v>2085</v>
      </c>
      <c r="BS5" s="210">
        <v>2090</v>
      </c>
      <c r="BT5" s="210">
        <v>2095</v>
      </c>
      <c r="BU5" s="210">
        <v>2100</v>
      </c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</row>
    <row r="6" spans="1:116" x14ac:dyDescent="0.25">
      <c r="A6" t="s">
        <v>4</v>
      </c>
      <c r="B6" s="1" t="s">
        <v>5</v>
      </c>
      <c r="C6" t="s">
        <v>18</v>
      </c>
      <c r="D6" t="s">
        <v>18</v>
      </c>
      <c r="E6" s="97">
        <v>6.7944750000000003</v>
      </c>
      <c r="F6" s="5">
        <f>E6/$B$2*$F$3/1000</f>
        <v>1.664646375E-2</v>
      </c>
      <c r="G6" s="1">
        <f>LOOKUP(RIGHT(D6,5),Ref!$C$4:$C$21,Ref!$E$4:$E$21)*$G$3</f>
        <v>3</v>
      </c>
      <c r="H6" s="36">
        <f t="shared" ref="H6:L21" si="1">$E6</f>
        <v>6.7944750000000003</v>
      </c>
      <c r="I6" s="12">
        <f t="shared" si="1"/>
        <v>6.7944750000000003</v>
      </c>
      <c r="J6" s="12">
        <f t="shared" si="1"/>
        <v>6.7944750000000003</v>
      </c>
      <c r="K6" s="12">
        <f t="shared" si="1"/>
        <v>6.7944750000000003</v>
      </c>
      <c r="L6" s="12">
        <f t="shared" si="1"/>
        <v>6.7944750000000003</v>
      </c>
      <c r="M6" s="12">
        <f>M$3*$E6</f>
        <v>7.116708909658148</v>
      </c>
      <c r="N6" s="12">
        <f t="shared" ref="N6:AC21" si="2">N$3*$E6</f>
        <v>7.3098915076998381</v>
      </c>
      <c r="O6" s="12">
        <f t="shared" si="2"/>
        <v>7.6043962736062278</v>
      </c>
      <c r="P6" s="12">
        <f t="shared" si="2"/>
        <v>8.033960660864194</v>
      </c>
      <c r="Q6" s="12">
        <f t="shared" si="2"/>
        <v>8.621790763962899</v>
      </c>
      <c r="R6" s="12">
        <f t="shared" si="2"/>
        <v>9.3596656356322807</v>
      </c>
      <c r="S6" s="12">
        <f t="shared" si="2"/>
        <v>10.191712500000001</v>
      </c>
      <c r="T6" s="12">
        <f t="shared" si="2"/>
        <v>11.02375936436772</v>
      </c>
      <c r="U6" s="12">
        <f t="shared" si="2"/>
        <v>11.761634236037102</v>
      </c>
      <c r="V6" s="12">
        <f t="shared" si="2"/>
        <v>12.349464339135807</v>
      </c>
      <c r="W6" s="12">
        <f t="shared" si="2"/>
        <v>12.779028726393772</v>
      </c>
      <c r="X6" s="12">
        <f t="shared" si="2"/>
        <v>13.073533492300163</v>
      </c>
      <c r="Y6" s="12">
        <f t="shared" si="2"/>
        <v>13.266716090341852</v>
      </c>
      <c r="Z6" s="12">
        <f t="shared" si="2"/>
        <v>13.389788780965679</v>
      </c>
      <c r="AA6" s="12">
        <f t="shared" si="2"/>
        <v>13.466743146067818</v>
      </c>
      <c r="AB6" s="12">
        <f t="shared" si="2"/>
        <v>13.514299492970002</v>
      </c>
      <c r="AC6" s="12">
        <f t="shared" si="2"/>
        <v>13.543475591716222</v>
      </c>
      <c r="AD6" s="300">
        <f t="shared" ref="AD6:AS21" si="3">Algae_electricity_factor/H6</f>
        <v>2.0227607141875214E-3</v>
      </c>
      <c r="AE6" s="299">
        <f t="shared" si="3"/>
        <v>2.0227607141875214E-3</v>
      </c>
      <c r="AF6" s="299">
        <f t="shared" si="3"/>
        <v>2.0227607141875214E-3</v>
      </c>
      <c r="AG6" s="299">
        <f t="shared" si="3"/>
        <v>2.0227607141875214E-3</v>
      </c>
      <c r="AH6" s="299">
        <f t="shared" si="3"/>
        <v>2.0227607141875214E-3</v>
      </c>
      <c r="AI6" s="299">
        <f t="shared" si="3"/>
        <v>1.931173141685998E-3</v>
      </c>
      <c r="AJ6" s="299">
        <f t="shared" si="3"/>
        <v>1.8801369471834854E-3</v>
      </c>
      <c r="AK6" s="299">
        <f t="shared" si="3"/>
        <v>1.8073225814429635E-3</v>
      </c>
      <c r="AL6" s="299">
        <f t="shared" si="3"/>
        <v>1.7106876276452782E-3</v>
      </c>
      <c r="AM6" s="299">
        <f t="shared" si="3"/>
        <v>1.5940536577359696E-3</v>
      </c>
      <c r="AN6" s="299">
        <f t="shared" si="3"/>
        <v>1.4683854785589067E-3</v>
      </c>
      <c r="AO6" s="299">
        <f t="shared" si="3"/>
        <v>1.3485071427916807E-3</v>
      </c>
      <c r="AP6" s="299">
        <f t="shared" si="3"/>
        <v>1.2467250644052441E-3</v>
      </c>
      <c r="AQ6" s="299">
        <f t="shared" si="3"/>
        <v>1.1685108402214647E-3</v>
      </c>
      <c r="AR6" s="299">
        <f t="shared" si="3"/>
        <v>1.1128901405039412E-3</v>
      </c>
      <c r="AS6" s="299">
        <f t="shared" si="3"/>
        <v>1.0754805703772517E-3</v>
      </c>
      <c r="AT6" s="299">
        <f t="shared" ref="AT6:AY48" si="4">Algae_electricity_factor/X6</f>
        <v>1.0512534435792543E-3</v>
      </c>
      <c r="AU6" s="299">
        <f t="shared" si="4"/>
        <v>1.0359456711020278E-3</v>
      </c>
      <c r="AV6" s="299">
        <f t="shared" si="4"/>
        <v>1.0264237418790756E-3</v>
      </c>
      <c r="AW6" s="299">
        <f t="shared" si="4"/>
        <v>1.0205583454335268E-3</v>
      </c>
      <c r="AX6" s="299">
        <f t="shared" si="4"/>
        <v>1.0169670363364771E-3</v>
      </c>
      <c r="AY6" s="299">
        <f t="shared" si="4"/>
        <v>1.0147762301085728E-3</v>
      </c>
      <c r="AZ6" s="306">
        <f t="shared" ref="AZ6:BO21" si="5">Algae_yield_cost_factor/H6</f>
        <v>0.11197960391144536</v>
      </c>
      <c r="BA6" s="2">
        <f t="shared" si="5"/>
        <v>0.11197960391144536</v>
      </c>
      <c r="BB6" s="2">
        <f t="shared" si="5"/>
        <v>0.11197960391144536</v>
      </c>
      <c r="BC6" s="2">
        <f t="shared" si="5"/>
        <v>0.11197960391144536</v>
      </c>
      <c r="BD6" s="2">
        <f t="shared" si="5"/>
        <v>0.11197960391144536</v>
      </c>
      <c r="BE6" s="2">
        <f t="shared" si="5"/>
        <v>0.1069093353324697</v>
      </c>
      <c r="BF6" s="2">
        <f t="shared" si="5"/>
        <v>0.10408398243459399</v>
      </c>
      <c r="BG6" s="2">
        <f t="shared" si="5"/>
        <v>0.10005299459826859</v>
      </c>
      <c r="BH6" s="2">
        <f t="shared" si="5"/>
        <v>9.4703304061782123E-2</v>
      </c>
      <c r="BI6" s="2">
        <f t="shared" si="5"/>
        <v>8.8246472237109352E-2</v>
      </c>
      <c r="BJ6" s="2">
        <f t="shared" si="5"/>
        <v>8.1289508504415714E-2</v>
      </c>
      <c r="BK6" s="2">
        <f t="shared" si="5"/>
        <v>7.4653069274296907E-2</v>
      </c>
      <c r="BL6" s="2">
        <f t="shared" si="5"/>
        <v>6.9018435012787191E-2</v>
      </c>
      <c r="BM6" s="2">
        <f t="shared" si="5"/>
        <v>6.4688512158882758E-2</v>
      </c>
      <c r="BN6" s="2">
        <f t="shared" si="5"/>
        <v>6.1609362025127332E-2</v>
      </c>
      <c r="BO6" s="2">
        <f t="shared" si="5"/>
        <v>5.9538376161153428E-2</v>
      </c>
      <c r="BP6" s="2">
        <f t="shared" ref="BP6:BU48" si="6">Algae_yield_cost_factor/X6</f>
        <v>5.8197167562566501E-2</v>
      </c>
      <c r="BQ6" s="2">
        <f t="shared" si="6"/>
        <v>5.7349732526507442E-2</v>
      </c>
      <c r="BR6" s="2">
        <f t="shared" si="6"/>
        <v>5.6822600545260088E-2</v>
      </c>
      <c r="BS6" s="2">
        <f t="shared" si="6"/>
        <v>5.6497893442660464E-2</v>
      </c>
      <c r="BT6" s="2">
        <f t="shared" si="6"/>
        <v>5.6299079333116758E-2</v>
      </c>
      <c r="BU6" s="2">
        <f t="shared" si="6"/>
        <v>5.6177796765224886E-2</v>
      </c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</row>
    <row r="7" spans="1:116" x14ac:dyDescent="0.25">
      <c r="A7" t="s">
        <v>4</v>
      </c>
      <c r="B7" s="1" t="s">
        <v>5</v>
      </c>
      <c r="C7" t="s">
        <v>6</v>
      </c>
      <c r="D7" t="s">
        <v>6</v>
      </c>
      <c r="E7" s="97">
        <v>6.0706800000000003</v>
      </c>
      <c r="F7" s="5">
        <f t="shared" ref="F7:F70" si="7">E7/$B$2*$F$3/1000</f>
        <v>1.4873166000000002E-2</v>
      </c>
      <c r="G7" s="1">
        <f>LOOKUP(RIGHT(D7,5),Ref!$C$4:$C$21,Ref!$E$4:$E$21)*$G$3</f>
        <v>3</v>
      </c>
      <c r="H7" s="36">
        <f t="shared" si="1"/>
        <v>6.0706800000000003</v>
      </c>
      <c r="I7" s="12">
        <f t="shared" si="1"/>
        <v>6.0706800000000003</v>
      </c>
      <c r="J7" s="12">
        <f t="shared" si="1"/>
        <v>6.0706800000000003</v>
      </c>
      <c r="K7" s="12">
        <f t="shared" si="1"/>
        <v>6.0706800000000003</v>
      </c>
      <c r="L7" s="12">
        <f t="shared" si="1"/>
        <v>6.0706800000000003</v>
      </c>
      <c r="M7" s="12">
        <f t="shared" ref="M7:AB36" si="8">M$3*$E7</f>
        <v>6.3585872997815915</v>
      </c>
      <c r="N7" s="12">
        <f t="shared" si="2"/>
        <v>6.5311907362913626</v>
      </c>
      <c r="O7" s="12">
        <f t="shared" si="2"/>
        <v>6.7943227946612295</v>
      </c>
      <c r="P7" s="12">
        <f t="shared" si="2"/>
        <v>7.1781269788607718</v>
      </c>
      <c r="Q7" s="12">
        <f t="shared" si="2"/>
        <v>7.7033373078824026</v>
      </c>
      <c r="R7" s="12">
        <f t="shared" si="2"/>
        <v>8.3626085872595262</v>
      </c>
      <c r="S7" s="12">
        <f t="shared" si="2"/>
        <v>9.1060200000000009</v>
      </c>
      <c r="T7" s="12">
        <f t="shared" si="2"/>
        <v>9.8494314127404738</v>
      </c>
      <c r="U7" s="12">
        <f t="shared" si="2"/>
        <v>10.508702692117598</v>
      </c>
      <c r="V7" s="12">
        <f t="shared" si="2"/>
        <v>11.033913021139229</v>
      </c>
      <c r="W7" s="12">
        <f t="shared" si="2"/>
        <v>11.41771720533877</v>
      </c>
      <c r="X7" s="12">
        <f t="shared" si="2"/>
        <v>11.680849263708639</v>
      </c>
      <c r="Y7" s="12">
        <f t="shared" si="2"/>
        <v>11.85345270021841</v>
      </c>
      <c r="Z7" s="12">
        <f t="shared" si="2"/>
        <v>11.963414827022357</v>
      </c>
      <c r="AA7" s="12">
        <f t="shared" si="2"/>
        <v>12.032171474907331</v>
      </c>
      <c r="AB7" s="12">
        <f t="shared" si="2"/>
        <v>12.074661787111312</v>
      </c>
      <c r="AC7" s="12">
        <f t="shared" si="2"/>
        <v>12.100729843750964</v>
      </c>
      <c r="AD7" s="300">
        <f t="shared" si="3"/>
        <v>2.2639304169432845E-3</v>
      </c>
      <c r="AE7" s="299">
        <f t="shared" si="3"/>
        <v>2.2639304169432845E-3</v>
      </c>
      <c r="AF7" s="299">
        <f t="shared" si="3"/>
        <v>2.2639304169432845E-3</v>
      </c>
      <c r="AG7" s="299">
        <f t="shared" si="3"/>
        <v>2.2639304169432845E-3</v>
      </c>
      <c r="AH7" s="299">
        <f t="shared" si="3"/>
        <v>2.2639304169432845E-3</v>
      </c>
      <c r="AI7" s="299">
        <f t="shared" si="3"/>
        <v>2.1614230418761935E-3</v>
      </c>
      <c r="AJ7" s="299">
        <f t="shared" si="3"/>
        <v>2.1043019042701165E-3</v>
      </c>
      <c r="AK7" s="299">
        <f t="shared" si="3"/>
        <v>2.0228060277513687E-3</v>
      </c>
      <c r="AL7" s="299">
        <f t="shared" si="3"/>
        <v>1.9146494822400706E-3</v>
      </c>
      <c r="AM7" s="299">
        <f t="shared" si="3"/>
        <v>1.7841094780396271E-3</v>
      </c>
      <c r="AN7" s="299">
        <f t="shared" si="3"/>
        <v>1.6434581339209986E-3</v>
      </c>
      <c r="AO7" s="299">
        <f t="shared" si="3"/>
        <v>1.5092869446288563E-3</v>
      </c>
      <c r="AP7" s="299">
        <f t="shared" si="3"/>
        <v>1.3953695931880484E-3</v>
      </c>
      <c r="AQ7" s="299">
        <f t="shared" si="3"/>
        <v>1.3078300439347381E-3</v>
      </c>
      <c r="AR7" s="299">
        <f t="shared" si="3"/>
        <v>1.2455777997523367E-3</v>
      </c>
      <c r="AS7" s="299">
        <f t="shared" si="3"/>
        <v>1.2037079616145109E-3</v>
      </c>
      <c r="AT7" s="299">
        <f t="shared" si="4"/>
        <v>1.1765922830824806E-3</v>
      </c>
      <c r="AU7" s="299">
        <f t="shared" si="4"/>
        <v>1.1594593955966959E-3</v>
      </c>
      <c r="AV7" s="299">
        <f t="shared" si="4"/>
        <v>1.1488021858513105E-3</v>
      </c>
      <c r="AW7" s="299">
        <f t="shared" si="4"/>
        <v>1.1422374699522066E-3</v>
      </c>
      <c r="AX7" s="299">
        <f t="shared" si="4"/>
        <v>1.1382179762748632E-3</v>
      </c>
      <c r="AY7" s="299">
        <f t="shared" si="4"/>
        <v>1.1357659646146635E-3</v>
      </c>
      <c r="AZ7" s="306">
        <f t="shared" si="5"/>
        <v>0.12533070748025224</v>
      </c>
      <c r="BA7" s="2">
        <f t="shared" si="5"/>
        <v>0.12533070748025224</v>
      </c>
      <c r="BB7" s="2">
        <f t="shared" si="5"/>
        <v>0.12533070748025224</v>
      </c>
      <c r="BC7" s="2">
        <f t="shared" si="5"/>
        <v>0.12533070748025224</v>
      </c>
      <c r="BD7" s="2">
        <f t="shared" si="5"/>
        <v>0.12533070748025224</v>
      </c>
      <c r="BE7" s="2">
        <f t="shared" si="5"/>
        <v>0.11965592094840809</v>
      </c>
      <c r="BF7" s="2">
        <f t="shared" si="5"/>
        <v>0.11649370689153242</v>
      </c>
      <c r="BG7" s="2">
        <f t="shared" si="5"/>
        <v>0.11198211246072449</v>
      </c>
      <c r="BH7" s="2">
        <f t="shared" si="5"/>
        <v>0.10599458905183226</v>
      </c>
      <c r="BI7" s="2">
        <f t="shared" si="5"/>
        <v>9.8767922119636281E-2</v>
      </c>
      <c r="BJ7" s="2">
        <f t="shared" si="5"/>
        <v>9.0981493555176679E-2</v>
      </c>
      <c r="BK7" s="2">
        <f t="shared" si="5"/>
        <v>8.3553804986834831E-2</v>
      </c>
      <c r="BL7" s="2">
        <f t="shared" si="5"/>
        <v>7.7247364584116976E-2</v>
      </c>
      <c r="BM7" s="2">
        <f t="shared" si="5"/>
        <v>7.240119371317956E-2</v>
      </c>
      <c r="BN7" s="2">
        <f t="shared" si="5"/>
        <v>6.8954922685049616E-2</v>
      </c>
      <c r="BO7" s="2">
        <f t="shared" si="5"/>
        <v>6.6637017330439585E-2</v>
      </c>
      <c r="BP7" s="2">
        <f t="shared" si="6"/>
        <v>6.5135899120801782E-2</v>
      </c>
      <c r="BQ7" s="2">
        <f t="shared" si="6"/>
        <v>6.4187426105154877E-2</v>
      </c>
      <c r="BR7" s="2">
        <f t="shared" si="6"/>
        <v>6.3597445235089978E-2</v>
      </c>
      <c r="BS7" s="2">
        <f t="shared" si="6"/>
        <v>6.3234023955935817E-2</v>
      </c>
      <c r="BT7" s="2">
        <f t="shared" si="6"/>
        <v>6.3011505638886994E-2</v>
      </c>
      <c r="BU7" s="2">
        <f t="shared" si="6"/>
        <v>6.2875762793690559E-2</v>
      </c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</row>
    <row r="8" spans="1:116" x14ac:dyDescent="0.25">
      <c r="A8" t="s">
        <v>4</v>
      </c>
      <c r="B8" s="1" t="s">
        <v>5</v>
      </c>
      <c r="C8" t="s">
        <v>7</v>
      </c>
      <c r="D8" t="s">
        <v>7</v>
      </c>
      <c r="E8" s="97">
        <v>6.035202</v>
      </c>
      <c r="F8" s="5">
        <f t="shared" si="7"/>
        <v>1.4786244899999999E-2</v>
      </c>
      <c r="G8" s="1">
        <f>LOOKUP(RIGHT(D8,5),Ref!$C$4:$C$21,Ref!$E$4:$E$21)*$G$3</f>
        <v>3.5</v>
      </c>
      <c r="H8" s="36">
        <f t="shared" si="1"/>
        <v>6.035202</v>
      </c>
      <c r="I8" s="12">
        <f t="shared" si="1"/>
        <v>6.035202</v>
      </c>
      <c r="J8" s="12">
        <f t="shared" si="1"/>
        <v>6.035202</v>
      </c>
      <c r="K8" s="12">
        <f t="shared" si="1"/>
        <v>6.035202</v>
      </c>
      <c r="L8" s="12">
        <f t="shared" si="1"/>
        <v>6.035202</v>
      </c>
      <c r="M8" s="12">
        <f t="shared" si="8"/>
        <v>6.3214267246529969</v>
      </c>
      <c r="N8" s="12">
        <f t="shared" si="2"/>
        <v>6.4930214397805681</v>
      </c>
      <c r="O8" s="12">
        <f t="shared" si="2"/>
        <v>6.7546157133937283</v>
      </c>
      <c r="P8" s="12">
        <f t="shared" si="2"/>
        <v>7.1361768861271697</v>
      </c>
      <c r="Q8" s="12">
        <f t="shared" si="2"/>
        <v>7.6583178041350379</v>
      </c>
      <c r="R8" s="12">
        <f t="shared" si="2"/>
        <v>8.3137361994119061</v>
      </c>
      <c r="S8" s="12">
        <f t="shared" si="2"/>
        <v>9.0528030000000008</v>
      </c>
      <c r="T8" s="12">
        <f t="shared" si="2"/>
        <v>9.7918698005880938</v>
      </c>
      <c r="U8" s="12">
        <f t="shared" si="2"/>
        <v>10.447288195864962</v>
      </c>
      <c r="V8" s="12">
        <f t="shared" si="2"/>
        <v>10.969429113872831</v>
      </c>
      <c r="W8" s="12">
        <f t="shared" si="2"/>
        <v>11.350990286606271</v>
      </c>
      <c r="X8" s="12">
        <f t="shared" si="2"/>
        <v>11.612584560219432</v>
      </c>
      <c r="Y8" s="12">
        <f t="shared" si="2"/>
        <v>11.784179275347002</v>
      </c>
      <c r="Z8" s="12">
        <f t="shared" si="2"/>
        <v>11.893498766344953</v>
      </c>
      <c r="AA8" s="12">
        <f t="shared" si="2"/>
        <v>11.961853589664365</v>
      </c>
      <c r="AB8" s="12">
        <f t="shared" si="2"/>
        <v>12.004095581861959</v>
      </c>
      <c r="AC8" s="12">
        <f t="shared" si="2"/>
        <v>12.030011292716054</v>
      </c>
      <c r="AD8" s="300">
        <f t="shared" si="3"/>
        <v>2.2772389562982745E-3</v>
      </c>
      <c r="AE8" s="299">
        <f t="shared" si="3"/>
        <v>2.2772389562982745E-3</v>
      </c>
      <c r="AF8" s="299">
        <f t="shared" si="3"/>
        <v>2.2772389562982745E-3</v>
      </c>
      <c r="AG8" s="299">
        <f t="shared" si="3"/>
        <v>2.2772389562982745E-3</v>
      </c>
      <c r="AH8" s="299">
        <f t="shared" si="3"/>
        <v>2.2772389562982745E-3</v>
      </c>
      <c r="AI8" s="299">
        <f t="shared" si="3"/>
        <v>2.1741289905221023E-3</v>
      </c>
      <c r="AJ8" s="299">
        <f t="shared" si="3"/>
        <v>2.1166720656929979E-3</v>
      </c>
      <c r="AK8" s="299">
        <f t="shared" si="3"/>
        <v>2.0346971147858313E-3</v>
      </c>
      <c r="AL8" s="299">
        <f t="shared" si="3"/>
        <v>1.9259047698561129E-3</v>
      </c>
      <c r="AM8" s="299">
        <f t="shared" si="3"/>
        <v>1.7945973848341123E-3</v>
      </c>
      <c r="AN8" s="299">
        <f t="shared" si="3"/>
        <v>1.6531192202732447E-3</v>
      </c>
      <c r="AO8" s="299">
        <f t="shared" si="3"/>
        <v>1.5181593041988495E-3</v>
      </c>
      <c r="AP8" s="299">
        <f t="shared" si="3"/>
        <v>1.4035722883798789E-3</v>
      </c>
      <c r="AQ8" s="299">
        <f t="shared" si="3"/>
        <v>1.3155181369428458E-3</v>
      </c>
      <c r="AR8" s="299">
        <f t="shared" si="3"/>
        <v>1.2528999422721089E-3</v>
      </c>
      <c r="AS8" s="299">
        <f t="shared" si="3"/>
        <v>1.2107839718395472E-3</v>
      </c>
      <c r="AT8" s="299">
        <f t="shared" si="4"/>
        <v>1.1835088934990334E-3</v>
      </c>
      <c r="AU8" s="299">
        <f t="shared" si="4"/>
        <v>1.1662752901495177E-3</v>
      </c>
      <c r="AV8" s="299">
        <f t="shared" si="4"/>
        <v>1.1555554318817883E-3</v>
      </c>
      <c r="AW8" s="299">
        <f t="shared" si="4"/>
        <v>1.148952125229522E-3</v>
      </c>
      <c r="AX8" s="299">
        <f t="shared" si="4"/>
        <v>1.1449090029152771E-3</v>
      </c>
      <c r="AY8" s="299">
        <f t="shared" si="4"/>
        <v>1.1424425770781071E-3</v>
      </c>
      <c r="AZ8" s="306">
        <f t="shared" si="5"/>
        <v>0.12606746539489777</v>
      </c>
      <c r="BA8" s="2">
        <f t="shared" si="5"/>
        <v>0.12606746539489777</v>
      </c>
      <c r="BB8" s="2">
        <f t="shared" si="5"/>
        <v>0.12606746539489777</v>
      </c>
      <c r="BC8" s="2">
        <f t="shared" si="5"/>
        <v>0.12606746539489777</v>
      </c>
      <c r="BD8" s="2">
        <f t="shared" si="5"/>
        <v>0.12606746539489777</v>
      </c>
      <c r="BE8" s="2">
        <f t="shared" si="5"/>
        <v>0.12035931956926746</v>
      </c>
      <c r="BF8" s="2">
        <f t="shared" si="5"/>
        <v>0.11717851640297841</v>
      </c>
      <c r="BG8" s="2">
        <f t="shared" si="5"/>
        <v>0.11264040051568631</v>
      </c>
      <c r="BH8" s="2">
        <f t="shared" si="5"/>
        <v>0.10661767938590574</v>
      </c>
      <c r="BI8" s="2">
        <f t="shared" si="5"/>
        <v>9.9348530414265099E-2</v>
      </c>
      <c r="BJ8" s="2">
        <f t="shared" si="5"/>
        <v>9.1516329245572889E-2</v>
      </c>
      <c r="BK8" s="2">
        <f t="shared" si="5"/>
        <v>8.4044976929931833E-2</v>
      </c>
      <c r="BL8" s="2">
        <f t="shared" si="5"/>
        <v>7.7701464049340405E-2</v>
      </c>
      <c r="BM8" s="2">
        <f t="shared" si="5"/>
        <v>7.2826804910709683E-2</v>
      </c>
      <c r="BN8" s="2">
        <f t="shared" si="5"/>
        <v>6.9360274941199479E-2</v>
      </c>
      <c r="BO8" s="2">
        <f t="shared" si="5"/>
        <v>6.7028743754981676E-2</v>
      </c>
      <c r="BP8" s="2">
        <f t="shared" si="6"/>
        <v>6.5518801205770583E-2</v>
      </c>
      <c r="BQ8" s="2">
        <f t="shared" si="6"/>
        <v>6.456475258127925E-2</v>
      </c>
      <c r="BR8" s="2">
        <f t="shared" si="6"/>
        <v>6.3971303502311283E-2</v>
      </c>
      <c r="BS8" s="2">
        <f t="shared" si="6"/>
        <v>6.3605745847250927E-2</v>
      </c>
      <c r="BT8" s="2">
        <f t="shared" si="6"/>
        <v>6.3381919453877195E-2</v>
      </c>
      <c r="BU8" s="2">
        <f t="shared" si="6"/>
        <v>6.3245378642902333E-2</v>
      </c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</row>
    <row r="9" spans="1:116" x14ac:dyDescent="0.25">
      <c r="A9" t="s">
        <v>4</v>
      </c>
      <c r="B9" s="1" t="s">
        <v>5</v>
      </c>
      <c r="C9" t="s">
        <v>8</v>
      </c>
      <c r="D9" t="s">
        <v>8</v>
      </c>
      <c r="E9" s="97">
        <v>6.5214185000000002</v>
      </c>
      <c r="F9" s="5">
        <f t="shared" si="7"/>
        <v>1.5977475325000001E-2</v>
      </c>
      <c r="G9" s="1">
        <f>LOOKUP(RIGHT(D9,5),Ref!$C$4:$C$21,Ref!$E$4:$E$21)*$G$3</f>
        <v>4</v>
      </c>
      <c r="H9" s="36">
        <f t="shared" si="1"/>
        <v>6.5214185000000002</v>
      </c>
      <c r="I9" s="12">
        <f t="shared" si="1"/>
        <v>6.5214185000000002</v>
      </c>
      <c r="J9" s="12">
        <f t="shared" si="1"/>
        <v>6.5214185000000002</v>
      </c>
      <c r="K9" s="12">
        <f t="shared" si="1"/>
        <v>6.5214185000000002</v>
      </c>
      <c r="L9" s="12">
        <f t="shared" si="1"/>
        <v>6.5214185000000002</v>
      </c>
      <c r="M9" s="12">
        <f t="shared" si="8"/>
        <v>6.8307024667188374</v>
      </c>
      <c r="N9" s="12">
        <f t="shared" si="2"/>
        <v>7.0161214385668673</v>
      </c>
      <c r="O9" s="12">
        <f t="shared" si="2"/>
        <v>7.298790640929095</v>
      </c>
      <c r="P9" s="12">
        <f t="shared" si="2"/>
        <v>7.7110916858229626</v>
      </c>
      <c r="Q9" s="12">
        <f t="shared" si="2"/>
        <v>8.2752980607385833</v>
      </c>
      <c r="R9" s="12">
        <f t="shared" si="2"/>
        <v>8.9835192020025989</v>
      </c>
      <c r="S9" s="12">
        <f t="shared" si="2"/>
        <v>9.7821277500000008</v>
      </c>
      <c r="T9" s="12">
        <f t="shared" si="2"/>
        <v>10.580736297997401</v>
      </c>
      <c r="U9" s="12">
        <f t="shared" si="2"/>
        <v>11.288957439261418</v>
      </c>
      <c r="V9" s="12">
        <f t="shared" si="2"/>
        <v>11.853163814177037</v>
      </c>
      <c r="W9" s="12">
        <f t="shared" si="2"/>
        <v>12.265464859070905</v>
      </c>
      <c r="X9" s="12">
        <f t="shared" si="2"/>
        <v>12.548134061433133</v>
      </c>
      <c r="Y9" s="12">
        <f t="shared" si="2"/>
        <v>12.733553033281163</v>
      </c>
      <c r="Z9" s="12">
        <f t="shared" si="2"/>
        <v>12.851679676101837</v>
      </c>
      <c r="AA9" s="12">
        <f t="shared" si="2"/>
        <v>12.925541397608333</v>
      </c>
      <c r="AB9" s="12">
        <f t="shared" si="2"/>
        <v>12.971186549070412</v>
      </c>
      <c r="AC9" s="12">
        <f t="shared" si="2"/>
        <v>12.999190118164629</v>
      </c>
      <c r="AD9" s="300">
        <f t="shared" si="3"/>
        <v>2.1074551653952676E-3</v>
      </c>
      <c r="AE9" s="299">
        <f t="shared" si="3"/>
        <v>2.1074551653952676E-3</v>
      </c>
      <c r="AF9" s="299">
        <f t="shared" si="3"/>
        <v>2.1074551653952676E-3</v>
      </c>
      <c r="AG9" s="299">
        <f t="shared" si="3"/>
        <v>2.1074551653952676E-3</v>
      </c>
      <c r="AH9" s="299">
        <f t="shared" si="3"/>
        <v>2.1074551653952676E-3</v>
      </c>
      <c r="AI9" s="299">
        <f t="shared" si="3"/>
        <v>2.0120327551217533E-3</v>
      </c>
      <c r="AJ9" s="299">
        <f t="shared" si="3"/>
        <v>1.9588596383155769E-3</v>
      </c>
      <c r="AK9" s="299">
        <f t="shared" si="3"/>
        <v>1.8829964825213532E-3</v>
      </c>
      <c r="AL9" s="299">
        <f t="shared" si="3"/>
        <v>1.7823153534534172E-3</v>
      </c>
      <c r="AM9" s="299">
        <f t="shared" si="3"/>
        <v>1.6607978350332219E-3</v>
      </c>
      <c r="AN9" s="299">
        <f t="shared" si="3"/>
        <v>1.5298678384820003E-3</v>
      </c>
      <c r="AO9" s="299">
        <f t="shared" si="3"/>
        <v>1.4049701102635118E-3</v>
      </c>
      <c r="AP9" s="299">
        <f t="shared" si="3"/>
        <v>1.298926342784905E-3</v>
      </c>
      <c r="AQ9" s="299">
        <f t="shared" si="3"/>
        <v>1.2174372325765839E-3</v>
      </c>
      <c r="AR9" s="299">
        <f t="shared" si="3"/>
        <v>1.1594876540127759E-3</v>
      </c>
      <c r="AS9" s="299">
        <f t="shared" si="3"/>
        <v>1.120511718181248E-3</v>
      </c>
      <c r="AT9" s="299">
        <f t="shared" si="4"/>
        <v>1.0952701840961675E-3</v>
      </c>
      <c r="AU9" s="299">
        <f t="shared" si="4"/>
        <v>1.0793214641355939E-3</v>
      </c>
      <c r="AV9" s="299">
        <f t="shared" si="4"/>
        <v>1.0694008448627907E-3</v>
      </c>
      <c r="AW9" s="299">
        <f t="shared" si="4"/>
        <v>1.063289860034203E-3</v>
      </c>
      <c r="AX9" s="299">
        <f t="shared" si="4"/>
        <v>1.059548180232918E-3</v>
      </c>
      <c r="AY9" s="299">
        <f t="shared" si="4"/>
        <v>1.057265643366845E-3</v>
      </c>
      <c r="AZ9" s="306">
        <f t="shared" si="5"/>
        <v>0.11666827075830477</v>
      </c>
      <c r="BA9" s="2">
        <f t="shared" si="5"/>
        <v>0.11666827075830477</v>
      </c>
      <c r="BB9" s="2">
        <f t="shared" si="5"/>
        <v>0.11666827075830477</v>
      </c>
      <c r="BC9" s="2">
        <f t="shared" si="5"/>
        <v>0.11666827075830477</v>
      </c>
      <c r="BD9" s="2">
        <f t="shared" si="5"/>
        <v>0.11666827075830477</v>
      </c>
      <c r="BE9" s="2">
        <f t="shared" si="5"/>
        <v>0.11138570637401696</v>
      </c>
      <c r="BF9" s="2">
        <f t="shared" si="5"/>
        <v>0.10844205391086127</v>
      </c>
      <c r="BG9" s="2">
        <f t="shared" si="5"/>
        <v>0.1042422857041104</v>
      </c>
      <c r="BH9" s="2">
        <f t="shared" si="5"/>
        <v>9.8668599763253526E-2</v>
      </c>
      <c r="BI9" s="2">
        <f t="shared" si="5"/>
        <v>9.1941415729297774E-2</v>
      </c>
      <c r="BJ9" s="2">
        <f t="shared" si="5"/>
        <v>8.4693158903318355E-2</v>
      </c>
      <c r="BK9" s="2">
        <f t="shared" si="5"/>
        <v>7.777884717220318E-2</v>
      </c>
      <c r="BL9" s="2">
        <f t="shared" si="5"/>
        <v>7.1908286706873242E-2</v>
      </c>
      <c r="BM9" s="2">
        <f t="shared" si="5"/>
        <v>6.7397066857574767E-2</v>
      </c>
      <c r="BN9" s="2">
        <f t="shared" si="5"/>
        <v>6.4188990485072692E-2</v>
      </c>
      <c r="BO9" s="2">
        <f t="shared" si="5"/>
        <v>6.2031290948058752E-2</v>
      </c>
      <c r="BP9" s="2">
        <f t="shared" si="6"/>
        <v>6.0633924977314221E-2</v>
      </c>
      <c r="BQ9" s="2">
        <f t="shared" si="6"/>
        <v>5.9751007224584901E-2</v>
      </c>
      <c r="BR9" s="2">
        <f t="shared" si="6"/>
        <v>5.9201803846779047E-2</v>
      </c>
      <c r="BS9" s="2">
        <f t="shared" si="6"/>
        <v>5.8863501023407781E-2</v>
      </c>
      <c r="BT9" s="2">
        <f t="shared" si="6"/>
        <v>5.8656362423585996E-2</v>
      </c>
      <c r="BU9" s="2">
        <f t="shared" si="6"/>
        <v>5.8530001667030165E-2</v>
      </c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</row>
    <row r="10" spans="1:116" x14ac:dyDescent="0.25">
      <c r="A10" t="s">
        <v>4</v>
      </c>
      <c r="B10" s="1" t="s">
        <v>5</v>
      </c>
      <c r="C10" t="s">
        <v>9</v>
      </c>
      <c r="D10" t="s">
        <v>9</v>
      </c>
      <c r="E10" s="97">
        <v>6.0757899999999996</v>
      </c>
      <c r="F10" s="5">
        <f t="shared" si="7"/>
        <v>1.4885685499999999E-2</v>
      </c>
      <c r="G10" s="1">
        <f>LOOKUP(RIGHT(D10,5),Ref!$C$4:$C$21,Ref!$E$4:$E$21)*$G$3</f>
        <v>4.5</v>
      </c>
      <c r="H10" s="36">
        <f t="shared" si="1"/>
        <v>6.0757899999999996</v>
      </c>
      <c r="I10" s="12">
        <f t="shared" si="1"/>
        <v>6.0757899999999996</v>
      </c>
      <c r="J10" s="12">
        <f t="shared" si="1"/>
        <v>6.0757899999999996</v>
      </c>
      <c r="K10" s="12">
        <f t="shared" si="1"/>
        <v>6.0757899999999996</v>
      </c>
      <c r="L10" s="12">
        <f t="shared" si="1"/>
        <v>6.0757899999999996</v>
      </c>
      <c r="M10" s="12">
        <f t="shared" si="8"/>
        <v>6.3639396459935282</v>
      </c>
      <c r="N10" s="12">
        <f t="shared" si="2"/>
        <v>6.5366883715912705</v>
      </c>
      <c r="O10" s="12">
        <f t="shared" si="2"/>
        <v>6.8000419215927614</v>
      </c>
      <c r="P10" s="12">
        <f t="shared" si="2"/>
        <v>7.1841691732874216</v>
      </c>
      <c r="Q10" s="12">
        <f t="shared" si="2"/>
        <v>7.7098215985456031</v>
      </c>
      <c r="R10" s="12">
        <f t="shared" si="2"/>
        <v>8.3696478200770841</v>
      </c>
      <c r="S10" s="12">
        <f t="shared" si="2"/>
        <v>9.1136850000000003</v>
      </c>
      <c r="T10" s="12">
        <f t="shared" si="2"/>
        <v>9.8577221799229147</v>
      </c>
      <c r="U10" s="12">
        <f t="shared" si="2"/>
        <v>10.517548401454397</v>
      </c>
      <c r="V10" s="12">
        <f t="shared" si="2"/>
        <v>11.043200826712578</v>
      </c>
      <c r="W10" s="12">
        <f t="shared" si="2"/>
        <v>11.427328078407236</v>
      </c>
      <c r="X10" s="12">
        <f t="shared" si="2"/>
        <v>11.690681628408729</v>
      </c>
      <c r="Y10" s="12">
        <f t="shared" si="2"/>
        <v>11.863430354006471</v>
      </c>
      <c r="Z10" s="12">
        <f t="shared" si="2"/>
        <v>11.973485041523217</v>
      </c>
      <c r="AA10" s="12">
        <f t="shared" si="2"/>
        <v>12.042299565374423</v>
      </c>
      <c r="AB10" s="12">
        <f t="shared" si="2"/>
        <v>12.084825643834469</v>
      </c>
      <c r="AC10" s="12">
        <f t="shared" si="2"/>
        <v>12.110915643282739</v>
      </c>
      <c r="AD10" s="300">
        <f t="shared" si="3"/>
        <v>2.2620263543554437E-3</v>
      </c>
      <c r="AE10" s="299">
        <f t="shared" si="3"/>
        <v>2.2620263543554437E-3</v>
      </c>
      <c r="AF10" s="299">
        <f t="shared" si="3"/>
        <v>2.2620263543554437E-3</v>
      </c>
      <c r="AG10" s="299">
        <f t="shared" si="3"/>
        <v>2.2620263543554437E-3</v>
      </c>
      <c r="AH10" s="299">
        <f t="shared" si="3"/>
        <v>2.2620263543554437E-3</v>
      </c>
      <c r="AI10" s="299">
        <f t="shared" si="3"/>
        <v>2.159605192387652E-3</v>
      </c>
      <c r="AJ10" s="299">
        <f t="shared" si="3"/>
        <v>2.1025320961084093E-3</v>
      </c>
      <c r="AK10" s="299">
        <f t="shared" si="3"/>
        <v>2.0211047611174318E-3</v>
      </c>
      <c r="AL10" s="299">
        <f t="shared" si="3"/>
        <v>1.9130391799000877E-3</v>
      </c>
      <c r="AM10" s="299">
        <f t="shared" si="3"/>
        <v>1.7826089654424534E-3</v>
      </c>
      <c r="AN10" s="299">
        <f t="shared" si="3"/>
        <v>1.6420759151372132E-3</v>
      </c>
      <c r="AO10" s="299">
        <f t="shared" si="3"/>
        <v>1.5080175695702956E-3</v>
      </c>
      <c r="AP10" s="299">
        <f t="shared" si="3"/>
        <v>1.3941960275083278E-3</v>
      </c>
      <c r="AQ10" s="299">
        <f t="shared" si="3"/>
        <v>1.3067301027707898E-3</v>
      </c>
      <c r="AR10" s="299">
        <f t="shared" si="3"/>
        <v>1.2445302153959428E-3</v>
      </c>
      <c r="AS10" s="299">
        <f t="shared" si="3"/>
        <v>1.2026955915879218E-3</v>
      </c>
      <c r="AT10" s="299">
        <f t="shared" si="4"/>
        <v>1.1756027185046149E-3</v>
      </c>
      <c r="AU10" s="299">
        <f t="shared" si="4"/>
        <v>1.1584842405120898E-3</v>
      </c>
      <c r="AV10" s="299">
        <f t="shared" si="4"/>
        <v>1.1478359939372219E-3</v>
      </c>
      <c r="AW10" s="299">
        <f t="shared" si="4"/>
        <v>1.141276799245771E-3</v>
      </c>
      <c r="AX10" s="299">
        <f t="shared" si="4"/>
        <v>1.137260686135019E-3</v>
      </c>
      <c r="AY10" s="299">
        <f t="shared" si="4"/>
        <v>1.1348107367218001E-3</v>
      </c>
      <c r="AZ10" s="306">
        <f t="shared" si="5"/>
        <v>0.12522529897942783</v>
      </c>
      <c r="BA10" s="2">
        <f t="shared" si="5"/>
        <v>0.12522529897942783</v>
      </c>
      <c r="BB10" s="2">
        <f t="shared" si="5"/>
        <v>0.12522529897942783</v>
      </c>
      <c r="BC10" s="2">
        <f t="shared" si="5"/>
        <v>0.12522529897942783</v>
      </c>
      <c r="BD10" s="2">
        <f t="shared" si="5"/>
        <v>0.12522529897942783</v>
      </c>
      <c r="BE10" s="2">
        <f t="shared" si="5"/>
        <v>0.11955528518646663</v>
      </c>
      <c r="BF10" s="2">
        <f t="shared" si="5"/>
        <v>0.11639573068725023</v>
      </c>
      <c r="BG10" s="2">
        <f t="shared" si="5"/>
        <v>0.1118879307008753</v>
      </c>
      <c r="BH10" s="2">
        <f t="shared" si="5"/>
        <v>0.10590544305599389</v>
      </c>
      <c r="BI10" s="2">
        <f t="shared" si="5"/>
        <v>9.8684854060662658E-2</v>
      </c>
      <c r="BJ10" s="2">
        <f t="shared" si="5"/>
        <v>9.0904974216610521E-2</v>
      </c>
      <c r="BK10" s="2">
        <f t="shared" si="5"/>
        <v>8.3483532652951886E-2</v>
      </c>
      <c r="BL10" s="2">
        <f t="shared" si="5"/>
        <v>7.7182396237116049E-2</v>
      </c>
      <c r="BM10" s="2">
        <f t="shared" si="5"/>
        <v>7.2340301203748805E-2</v>
      </c>
      <c r="BN10" s="2">
        <f t="shared" si="5"/>
        <v>6.8896928637375066E-2</v>
      </c>
      <c r="BO10" s="2">
        <f t="shared" si="5"/>
        <v>6.6580972740590605E-2</v>
      </c>
      <c r="BP10" s="2">
        <f t="shared" si="6"/>
        <v>6.5081117035754865E-2</v>
      </c>
      <c r="BQ10" s="2">
        <f t="shared" si="6"/>
        <v>6.4133441726597143E-2</v>
      </c>
      <c r="BR10" s="2">
        <f t="shared" si="6"/>
        <v>6.3543957055750125E-2</v>
      </c>
      <c r="BS10" s="2">
        <f t="shared" si="6"/>
        <v>6.3180841429480036E-2</v>
      </c>
      <c r="BT10" s="2">
        <f t="shared" si="6"/>
        <v>6.2958510259880363E-2</v>
      </c>
      <c r="BU10" s="2">
        <f t="shared" si="6"/>
        <v>6.2822881580239187E-2</v>
      </c>
    </row>
    <row r="11" spans="1:116" x14ac:dyDescent="0.25">
      <c r="A11" t="s">
        <v>4</v>
      </c>
      <c r="B11" s="1" t="s">
        <v>5</v>
      </c>
      <c r="C11" t="s">
        <v>10</v>
      </c>
      <c r="D11" t="s">
        <v>10</v>
      </c>
      <c r="E11" s="97">
        <v>4.56907</v>
      </c>
      <c r="F11" s="5">
        <f t="shared" si="7"/>
        <v>1.1194221499999999E-2</v>
      </c>
      <c r="G11" s="1">
        <f>LOOKUP(RIGHT(D11,5),Ref!$C$4:$C$21,Ref!$E$4:$E$21)*$G$3</f>
        <v>4.5</v>
      </c>
      <c r="H11" s="36">
        <f t="shared" si="1"/>
        <v>4.56907</v>
      </c>
      <c r="I11" s="12">
        <f t="shared" si="1"/>
        <v>4.56907</v>
      </c>
      <c r="J11" s="12">
        <f t="shared" si="1"/>
        <v>4.56907</v>
      </c>
      <c r="K11" s="12">
        <f t="shared" si="1"/>
        <v>4.56907</v>
      </c>
      <c r="L11" s="12">
        <f t="shared" si="1"/>
        <v>4.56907</v>
      </c>
      <c r="M11" s="12">
        <f t="shared" si="8"/>
        <v>4.785762134359425</v>
      </c>
      <c r="N11" s="12">
        <f t="shared" si="2"/>
        <v>4.9156713345896623</v>
      </c>
      <c r="O11" s="12">
        <f t="shared" si="2"/>
        <v>5.1137164949235965</v>
      </c>
      <c r="P11" s="12">
        <f t="shared" si="2"/>
        <v>5.4025849880579084</v>
      </c>
      <c r="Q11" s="12">
        <f t="shared" si="2"/>
        <v>5.7978821801390037</v>
      </c>
      <c r="R11" s="12">
        <f t="shared" si="2"/>
        <v>6.2940797435855425</v>
      </c>
      <c r="S11" s="12">
        <f t="shared" si="2"/>
        <v>6.8536049999999999</v>
      </c>
      <c r="T11" s="12">
        <f t="shared" si="2"/>
        <v>7.4131302564144574</v>
      </c>
      <c r="U11" s="12">
        <f t="shared" si="2"/>
        <v>7.9093278198609962</v>
      </c>
      <c r="V11" s="12">
        <f t="shared" si="2"/>
        <v>8.3046250119420915</v>
      </c>
      <c r="W11" s="12">
        <f t="shared" si="2"/>
        <v>8.5934935050764025</v>
      </c>
      <c r="X11" s="12">
        <f t="shared" si="2"/>
        <v>8.7915386654103376</v>
      </c>
      <c r="Y11" s="12">
        <f t="shared" si="2"/>
        <v>8.9214478656405749</v>
      </c>
      <c r="Z11" s="12">
        <f t="shared" si="2"/>
        <v>9.0042103658409012</v>
      </c>
      <c r="AA11" s="12">
        <f t="shared" si="2"/>
        <v>9.0559597476485063</v>
      </c>
      <c r="AB11" s="12">
        <f t="shared" si="2"/>
        <v>9.0879398900348356</v>
      </c>
      <c r="AC11" s="12">
        <f t="shared" si="2"/>
        <v>9.1075598956273787</v>
      </c>
      <c r="AD11" s="300">
        <f t="shared" si="3"/>
        <v>3.007963787713749E-3</v>
      </c>
      <c r="AE11" s="299">
        <f t="shared" si="3"/>
        <v>3.007963787713749E-3</v>
      </c>
      <c r="AF11" s="299">
        <f t="shared" si="3"/>
        <v>3.007963787713749E-3</v>
      </c>
      <c r="AG11" s="299">
        <f t="shared" si="3"/>
        <v>3.007963787713749E-3</v>
      </c>
      <c r="AH11" s="299">
        <f t="shared" si="3"/>
        <v>3.007963787713749E-3</v>
      </c>
      <c r="AI11" s="299">
        <f t="shared" si="3"/>
        <v>2.8717676971149429E-3</v>
      </c>
      <c r="AJ11" s="299">
        <f t="shared" si="3"/>
        <v>2.7958738833536176E-3</v>
      </c>
      <c r="AK11" s="299">
        <f t="shared" si="3"/>
        <v>2.6875946519860018E-3</v>
      </c>
      <c r="AL11" s="299">
        <f t="shared" si="3"/>
        <v>2.5438928094437497E-3</v>
      </c>
      <c r="AM11" s="299">
        <f t="shared" si="3"/>
        <v>2.370451257289909E-3</v>
      </c>
      <c r="AN11" s="299">
        <f t="shared" si="3"/>
        <v>2.1835753062289542E-3</v>
      </c>
      <c r="AO11" s="299">
        <f t="shared" si="3"/>
        <v>2.005309191809166E-3</v>
      </c>
      <c r="AP11" s="299">
        <f t="shared" si="3"/>
        <v>1.8539532731988832E-3</v>
      </c>
      <c r="AQ11" s="299">
        <f t="shared" si="3"/>
        <v>1.7376441357023938E-3</v>
      </c>
      <c r="AR11" s="299">
        <f t="shared" si="3"/>
        <v>1.6549328938712945E-3</v>
      </c>
      <c r="AS11" s="299">
        <f t="shared" si="3"/>
        <v>1.5993026695616346E-3</v>
      </c>
      <c r="AT11" s="299">
        <f t="shared" si="4"/>
        <v>1.5632755114417492E-3</v>
      </c>
      <c r="AU11" s="299">
        <f t="shared" si="4"/>
        <v>1.5405119561882287E-3</v>
      </c>
      <c r="AV11" s="299">
        <f t="shared" si="4"/>
        <v>1.526352289110001E-3</v>
      </c>
      <c r="AW11" s="299">
        <f t="shared" si="4"/>
        <v>1.5176301006746367E-3</v>
      </c>
      <c r="AX11" s="299">
        <f t="shared" si="4"/>
        <v>1.5122896134688868E-3</v>
      </c>
      <c r="AY11" s="299">
        <f t="shared" si="4"/>
        <v>1.5090317561488324E-3</v>
      </c>
      <c r="AZ11" s="306">
        <f t="shared" si="5"/>
        <v>0.16652023700363922</v>
      </c>
      <c r="BA11" s="2">
        <f t="shared" si="5"/>
        <v>0.16652023700363922</v>
      </c>
      <c r="BB11" s="2">
        <f t="shared" si="5"/>
        <v>0.16652023700363922</v>
      </c>
      <c r="BC11" s="2">
        <f t="shared" si="5"/>
        <v>0.16652023700363922</v>
      </c>
      <c r="BD11" s="2">
        <f t="shared" si="5"/>
        <v>0.16652023700363922</v>
      </c>
      <c r="BE11" s="2">
        <f t="shared" si="5"/>
        <v>0.15898045032864064</v>
      </c>
      <c r="BF11" s="2">
        <f t="shared" si="5"/>
        <v>0.15477898490333658</v>
      </c>
      <c r="BG11" s="2">
        <f t="shared" si="5"/>
        <v>0.1487846696314723</v>
      </c>
      <c r="BH11" s="2">
        <f t="shared" si="5"/>
        <v>0.14082936612159086</v>
      </c>
      <c r="BI11" s="2">
        <f t="shared" si="5"/>
        <v>0.13122767859832168</v>
      </c>
      <c r="BJ11" s="2">
        <f t="shared" si="5"/>
        <v>0.12088226560230857</v>
      </c>
      <c r="BK11" s="2">
        <f t="shared" si="5"/>
        <v>0.11101349133575947</v>
      </c>
      <c r="BL11" s="2">
        <f t="shared" si="5"/>
        <v>0.10263445979893222</v>
      </c>
      <c r="BM11" s="2">
        <f t="shared" si="5"/>
        <v>9.6195610627704306E-2</v>
      </c>
      <c r="BN11" s="2">
        <f t="shared" si="5"/>
        <v>9.1616733831102831E-2</v>
      </c>
      <c r="BO11" s="2">
        <f t="shared" si="5"/>
        <v>8.8537056417947832E-2</v>
      </c>
      <c r="BP11" s="2">
        <f t="shared" si="6"/>
        <v>8.6542600589325405E-2</v>
      </c>
      <c r="BQ11" s="2">
        <f t="shared" si="6"/>
        <v>8.5282415000873621E-2</v>
      </c>
      <c r="BR11" s="2">
        <f t="shared" si="6"/>
        <v>8.4498538836077372E-2</v>
      </c>
      <c r="BS11" s="2">
        <f t="shared" si="6"/>
        <v>8.401568033512738E-2</v>
      </c>
      <c r="BT11" s="2">
        <f t="shared" si="6"/>
        <v>8.3720032096658306E-2</v>
      </c>
      <c r="BU11" s="2">
        <f t="shared" si="6"/>
        <v>8.3539677806731216E-2</v>
      </c>
    </row>
    <row r="12" spans="1:116" x14ac:dyDescent="0.25">
      <c r="A12" t="s">
        <v>4</v>
      </c>
      <c r="B12" s="1" t="s">
        <v>5</v>
      </c>
      <c r="C12" t="s">
        <v>11</v>
      </c>
      <c r="D12" t="s">
        <v>11</v>
      </c>
      <c r="E12" s="97">
        <v>4.897716</v>
      </c>
      <c r="F12" s="5">
        <f t="shared" si="7"/>
        <v>1.1999404199999999E-2</v>
      </c>
      <c r="G12" s="1">
        <f>LOOKUP(RIGHT(D12,5),Ref!$C$4:$C$21,Ref!$E$4:$E$21)*$G$3</f>
        <v>4.5</v>
      </c>
      <c r="H12" s="36">
        <f t="shared" si="1"/>
        <v>4.897716</v>
      </c>
      <c r="I12" s="12">
        <f t="shared" si="1"/>
        <v>4.897716</v>
      </c>
      <c r="J12" s="12">
        <f t="shared" si="1"/>
        <v>4.897716</v>
      </c>
      <c r="K12" s="12">
        <f t="shared" si="1"/>
        <v>4.897716</v>
      </c>
      <c r="L12" s="12">
        <f t="shared" si="1"/>
        <v>4.897716</v>
      </c>
      <c r="M12" s="12">
        <f t="shared" si="8"/>
        <v>5.129994457875739</v>
      </c>
      <c r="N12" s="12">
        <f t="shared" si="2"/>
        <v>5.2692478220209242</v>
      </c>
      <c r="O12" s="12">
        <f t="shared" si="2"/>
        <v>5.4815380584344773</v>
      </c>
      <c r="P12" s="12">
        <f t="shared" si="2"/>
        <v>5.7911844067547724</v>
      </c>
      <c r="Q12" s="12">
        <f t="shared" si="2"/>
        <v>6.2149147025065679</v>
      </c>
      <c r="R12" s="12">
        <f t="shared" si="2"/>
        <v>6.7468029742233782</v>
      </c>
      <c r="S12" s="12">
        <f t="shared" si="2"/>
        <v>7.3465740000000004</v>
      </c>
      <c r="T12" s="12">
        <f t="shared" si="2"/>
        <v>7.9463450257766217</v>
      </c>
      <c r="U12" s="12">
        <f t="shared" si="2"/>
        <v>8.478233297493432</v>
      </c>
      <c r="V12" s="12">
        <f t="shared" si="2"/>
        <v>8.9019635932452275</v>
      </c>
      <c r="W12" s="12">
        <f t="shared" si="2"/>
        <v>9.2116099415655217</v>
      </c>
      <c r="X12" s="12">
        <f t="shared" si="2"/>
        <v>9.4239001779790748</v>
      </c>
      <c r="Y12" s="12">
        <f t="shared" si="2"/>
        <v>9.5631535421242599</v>
      </c>
      <c r="Z12" s="12">
        <f t="shared" si="2"/>
        <v>9.6518690184533895</v>
      </c>
      <c r="AA12" s="12">
        <f t="shared" si="2"/>
        <v>9.7073406516893055</v>
      </c>
      <c r="AB12" s="12">
        <f t="shared" si="2"/>
        <v>9.7416210752870622</v>
      </c>
      <c r="AC12" s="12">
        <f t="shared" si="2"/>
        <v>9.7626523169425159</v>
      </c>
      <c r="AD12" s="300">
        <f t="shared" si="3"/>
        <v>2.8061237326805514E-3</v>
      </c>
      <c r="AE12" s="299">
        <f t="shared" si="3"/>
        <v>2.8061237326805514E-3</v>
      </c>
      <c r="AF12" s="299">
        <f t="shared" si="3"/>
        <v>2.8061237326805514E-3</v>
      </c>
      <c r="AG12" s="299">
        <f t="shared" si="3"/>
        <v>2.8061237326805514E-3</v>
      </c>
      <c r="AH12" s="299">
        <f t="shared" si="3"/>
        <v>2.8061237326805514E-3</v>
      </c>
      <c r="AI12" s="299">
        <f t="shared" si="3"/>
        <v>2.6790666571636602E-3</v>
      </c>
      <c r="AJ12" s="299">
        <f t="shared" si="3"/>
        <v>2.6082654617406386E-3</v>
      </c>
      <c r="AK12" s="299">
        <f t="shared" si="3"/>
        <v>2.5072519714392752E-3</v>
      </c>
      <c r="AL12" s="299">
        <f t="shared" si="3"/>
        <v>2.37319279411978E-3</v>
      </c>
      <c r="AM12" s="299">
        <f t="shared" si="3"/>
        <v>2.2113894979099652E-3</v>
      </c>
      <c r="AN12" s="299">
        <f t="shared" si="3"/>
        <v>2.0370532763499412E-3</v>
      </c>
      <c r="AO12" s="299">
        <f t="shared" si="3"/>
        <v>1.8707491551203676E-3</v>
      </c>
      <c r="AP12" s="299">
        <f t="shared" si="3"/>
        <v>1.729549504702768E-3</v>
      </c>
      <c r="AQ12" s="299">
        <f t="shared" si="3"/>
        <v>1.6210449301498366E-3</v>
      </c>
      <c r="AR12" s="299">
        <f t="shared" si="3"/>
        <v>1.5438837689650679E-3</v>
      </c>
      <c r="AS12" s="299">
        <f t="shared" si="3"/>
        <v>1.4919864378444929E-3</v>
      </c>
      <c r="AT12" s="299">
        <f t="shared" si="4"/>
        <v>1.4583767701236974E-3</v>
      </c>
      <c r="AU12" s="299">
        <f t="shared" si="4"/>
        <v>1.4371406924494907E-3</v>
      </c>
      <c r="AV12" s="299">
        <f t="shared" si="4"/>
        <v>1.4239311657931644E-3</v>
      </c>
      <c r="AW12" s="299">
        <f t="shared" si="4"/>
        <v>1.4157942526862443E-3</v>
      </c>
      <c r="AX12" s="299">
        <f t="shared" si="4"/>
        <v>1.4108121222652123E-3</v>
      </c>
      <c r="AY12" s="299">
        <f t="shared" si="4"/>
        <v>1.4077728733284955E-3</v>
      </c>
      <c r="AZ12" s="306">
        <f t="shared" si="5"/>
        <v>0.15534641438707711</v>
      </c>
      <c r="BA12" s="2">
        <f t="shared" si="5"/>
        <v>0.15534641438707711</v>
      </c>
      <c r="BB12" s="2">
        <f t="shared" si="5"/>
        <v>0.15534641438707711</v>
      </c>
      <c r="BC12" s="2">
        <f t="shared" si="5"/>
        <v>0.15534641438707711</v>
      </c>
      <c r="BD12" s="2">
        <f t="shared" si="5"/>
        <v>0.15534641438707711</v>
      </c>
      <c r="BE12" s="2">
        <f t="shared" si="5"/>
        <v>0.14831256164773174</v>
      </c>
      <c r="BF12" s="2">
        <f t="shared" si="5"/>
        <v>0.14439302249299227</v>
      </c>
      <c r="BG12" s="2">
        <f t="shared" si="5"/>
        <v>0.13880093710477928</v>
      </c>
      <c r="BH12" s="2">
        <f t="shared" si="5"/>
        <v>0.13137944949547445</v>
      </c>
      <c r="BI12" s="2">
        <f t="shared" si="5"/>
        <v>0.12242205335165077</v>
      </c>
      <c r="BJ12" s="2">
        <f t="shared" si="5"/>
        <v>0.11277083711990242</v>
      </c>
      <c r="BK12" s="2">
        <f t="shared" si="5"/>
        <v>0.1035642762580514</v>
      </c>
      <c r="BL12" s="2">
        <f t="shared" si="5"/>
        <v>9.5747493573230313E-2</v>
      </c>
      <c r="BM12" s="2">
        <f t="shared" si="5"/>
        <v>8.9740703350444359E-2</v>
      </c>
      <c r="BN12" s="2">
        <f t="shared" si="5"/>
        <v>8.5469077840707189E-2</v>
      </c>
      <c r="BO12" s="2">
        <f t="shared" si="5"/>
        <v>8.2596052602387102E-2</v>
      </c>
      <c r="BP12" s="2">
        <f t="shared" si="6"/>
        <v>8.0735428529271416E-2</v>
      </c>
      <c r="BQ12" s="2">
        <f t="shared" si="6"/>
        <v>7.9559803775482635E-2</v>
      </c>
      <c r="BR12" s="2">
        <f t="shared" si="6"/>
        <v>7.882852718282482E-2</v>
      </c>
      <c r="BS12" s="2">
        <f t="shared" si="6"/>
        <v>7.8378069399863207E-2</v>
      </c>
      <c r="BT12" s="2">
        <f t="shared" si="6"/>
        <v>7.8102259716953476E-2</v>
      </c>
      <c r="BU12" s="2">
        <f t="shared" si="6"/>
        <v>7.7934007540739689E-2</v>
      </c>
    </row>
    <row r="13" spans="1:116" x14ac:dyDescent="0.25">
      <c r="A13" t="s">
        <v>12</v>
      </c>
      <c r="B13" s="1" t="s">
        <v>5</v>
      </c>
      <c r="C13" t="s">
        <v>13</v>
      </c>
      <c r="D13" t="s">
        <v>13</v>
      </c>
      <c r="E13" s="97">
        <v>7.0547199999999997</v>
      </c>
      <c r="F13" s="5">
        <f t="shared" si="7"/>
        <v>1.7284064000000002E-2</v>
      </c>
      <c r="G13" s="1">
        <f>LOOKUP(RIGHT(D13,5),Ref!$C$4:$C$21,Ref!$E$4:$E$21)*$G$3</f>
        <v>1.5</v>
      </c>
      <c r="H13" s="36">
        <f t="shared" si="1"/>
        <v>7.0547199999999997</v>
      </c>
      <c r="I13" s="12">
        <f t="shared" si="1"/>
        <v>7.0547199999999997</v>
      </c>
      <c r="J13" s="12">
        <f t="shared" si="1"/>
        <v>7.0547199999999997</v>
      </c>
      <c r="K13" s="12">
        <f t="shared" si="1"/>
        <v>7.0547199999999997</v>
      </c>
      <c r="L13" s="12">
        <f t="shared" si="1"/>
        <v>7.0547199999999997</v>
      </c>
      <c r="M13" s="12">
        <f t="shared" si="8"/>
        <v>7.3892962560232434</v>
      </c>
      <c r="N13" s="12">
        <f t="shared" si="2"/>
        <v>7.5898782197594663</v>
      </c>
      <c r="O13" s="12">
        <f t="shared" si="2"/>
        <v>7.8956632380478728</v>
      </c>
      <c r="P13" s="12">
        <f t="shared" si="2"/>
        <v>8.341680991307177</v>
      </c>
      <c r="Q13" s="12">
        <f t="shared" si="2"/>
        <v>8.9520264241673324</v>
      </c>
      <c r="R13" s="12">
        <f t="shared" si="2"/>
        <v>9.7181637069836526</v>
      </c>
      <c r="S13" s="12">
        <f t="shared" si="2"/>
        <v>10.582079999999999</v>
      </c>
      <c r="T13" s="12">
        <f t="shared" si="2"/>
        <v>11.445996293016346</v>
      </c>
      <c r="U13" s="12">
        <f t="shared" si="2"/>
        <v>12.212133575832667</v>
      </c>
      <c r="V13" s="12">
        <f t="shared" si="2"/>
        <v>12.822479008692822</v>
      </c>
      <c r="W13" s="12">
        <f t="shared" si="2"/>
        <v>13.268496761952125</v>
      </c>
      <c r="X13" s="12">
        <f t="shared" si="2"/>
        <v>13.574281780240533</v>
      </c>
      <c r="Y13" s="12">
        <f t="shared" si="2"/>
        <v>13.774863743976756</v>
      </c>
      <c r="Z13" s="12">
        <f t="shared" si="2"/>
        <v>13.902650419473792</v>
      </c>
      <c r="AA13" s="12">
        <f t="shared" si="2"/>
        <v>13.982552324856233</v>
      </c>
      <c r="AB13" s="12">
        <f t="shared" si="2"/>
        <v>14.031930196085101</v>
      </c>
      <c r="AC13" s="12">
        <f t="shared" si="2"/>
        <v>14.06222381072743</v>
      </c>
      <c r="AD13" s="300">
        <f t="shared" si="3"/>
        <v>1.9481421096130336E-3</v>
      </c>
      <c r="AE13" s="299">
        <f t="shared" si="3"/>
        <v>1.9481421096130336E-3</v>
      </c>
      <c r="AF13" s="299">
        <f t="shared" si="3"/>
        <v>1.9481421096130336E-3</v>
      </c>
      <c r="AG13" s="299">
        <f t="shared" si="3"/>
        <v>1.9481421096130336E-3</v>
      </c>
      <c r="AH13" s="299">
        <f t="shared" si="3"/>
        <v>1.9481421096130336E-3</v>
      </c>
      <c r="AI13" s="299">
        <f t="shared" si="3"/>
        <v>1.8599331556542248E-3</v>
      </c>
      <c r="AJ13" s="299">
        <f t="shared" si="3"/>
        <v>1.8107796601728365E-3</v>
      </c>
      <c r="AK13" s="299">
        <f t="shared" si="3"/>
        <v>1.740651379012871E-3</v>
      </c>
      <c r="AL13" s="299">
        <f t="shared" si="3"/>
        <v>1.6475812390633724E-3</v>
      </c>
      <c r="AM13" s="299">
        <f t="shared" si="3"/>
        <v>1.5352498364422122E-3</v>
      </c>
      <c r="AN13" s="299">
        <f t="shared" si="3"/>
        <v>1.4142174918964224E-3</v>
      </c>
      <c r="AO13" s="299">
        <f t="shared" si="3"/>
        <v>1.2987614064086891E-3</v>
      </c>
      <c r="AP13" s="299">
        <f t="shared" si="3"/>
        <v>1.2007340166547817E-3</v>
      </c>
      <c r="AQ13" s="299">
        <f t="shared" si="3"/>
        <v>1.1254050750580799E-3</v>
      </c>
      <c r="AR13" s="299">
        <f t="shared" si="3"/>
        <v>1.0718361944060879E-3</v>
      </c>
      <c r="AS13" s="299">
        <f t="shared" si="3"/>
        <v>1.0358066441210961E-3</v>
      </c>
      <c r="AT13" s="299">
        <f t="shared" si="4"/>
        <v>1.0124732435962242E-3</v>
      </c>
      <c r="AU13" s="299">
        <f t="shared" si="4"/>
        <v>9.9773016698904418E-4</v>
      </c>
      <c r="AV13" s="299">
        <f t="shared" si="4"/>
        <v>9.8855949684804401E-4</v>
      </c>
      <c r="AW13" s="299">
        <f t="shared" si="4"/>
        <v>9.8291047186698584E-4</v>
      </c>
      <c r="AX13" s="299">
        <f t="shared" si="4"/>
        <v>9.7945164431930505E-4</v>
      </c>
      <c r="AY13" s="299">
        <f t="shared" si="4"/>
        <v>9.7734165580872748E-4</v>
      </c>
      <c r="AZ13" s="306">
        <f t="shared" si="5"/>
        <v>0.10784873379612767</v>
      </c>
      <c r="BA13" s="2">
        <f t="shared" si="5"/>
        <v>0.10784873379612767</v>
      </c>
      <c r="BB13" s="2">
        <f t="shared" si="5"/>
        <v>0.10784873379612767</v>
      </c>
      <c r="BC13" s="2">
        <f t="shared" si="5"/>
        <v>0.10784873379612767</v>
      </c>
      <c r="BD13" s="2">
        <f t="shared" si="5"/>
        <v>0.10784873379612767</v>
      </c>
      <c r="BE13" s="2">
        <f t="shared" si="5"/>
        <v>0.10296550482274025</v>
      </c>
      <c r="BF13" s="2">
        <f t="shared" si="5"/>
        <v>0.10024437774316884</v>
      </c>
      <c r="BG13" s="2">
        <f t="shared" si="5"/>
        <v>9.6362090979241005E-2</v>
      </c>
      <c r="BH13" s="2">
        <f t="shared" si="5"/>
        <v>9.1209747780943429E-2</v>
      </c>
      <c r="BI13" s="2">
        <f t="shared" si="5"/>
        <v>8.499110516834596E-2</v>
      </c>
      <c r="BJ13" s="2">
        <f t="shared" si="5"/>
        <v>7.8290780257124312E-2</v>
      </c>
      <c r="BK13" s="2">
        <f t="shared" si="5"/>
        <v>7.1899155864085115E-2</v>
      </c>
      <c r="BL13" s="2">
        <f t="shared" si="5"/>
        <v>6.6472380368534437E-2</v>
      </c>
      <c r="BM13" s="2">
        <f t="shared" si="5"/>
        <v>6.2302186146399138E-2</v>
      </c>
      <c r="BN13" s="2">
        <f t="shared" si="5"/>
        <v>5.9336624280719438E-2</v>
      </c>
      <c r="BO13" s="2">
        <f t="shared" si="5"/>
        <v>5.734203602234432E-2</v>
      </c>
      <c r="BP13" s="2">
        <f t="shared" si="6"/>
        <v>5.605030392059062E-2</v>
      </c>
      <c r="BQ13" s="2">
        <f t="shared" si="6"/>
        <v>5.5234130328069952E-2</v>
      </c>
      <c r="BR13" s="2">
        <f t="shared" si="6"/>
        <v>5.472644397506294E-2</v>
      </c>
      <c r="BS13" s="2">
        <f t="shared" si="6"/>
        <v>5.4413715150823917E-2</v>
      </c>
      <c r="BT13" s="2">
        <f t="shared" si="6"/>
        <v>5.4222235191740929E-2</v>
      </c>
      <c r="BU13" s="2">
        <f t="shared" si="6"/>
        <v>5.4105426675530907E-2</v>
      </c>
    </row>
    <row r="14" spans="1:116" x14ac:dyDescent="0.25">
      <c r="A14" t="s">
        <v>12</v>
      </c>
      <c r="B14" s="1" t="s">
        <v>5</v>
      </c>
      <c r="C14" t="s">
        <v>14</v>
      </c>
      <c r="D14" t="s">
        <v>14</v>
      </c>
      <c r="E14" s="97">
        <v>7.4211799999999997</v>
      </c>
      <c r="F14" s="5">
        <f t="shared" si="7"/>
        <v>1.8181890999999999E-2</v>
      </c>
      <c r="G14" s="1">
        <f>LOOKUP(RIGHT(D14,5),Ref!$C$4:$C$21,Ref!$E$4:$E$21)*$G$3</f>
        <v>2</v>
      </c>
      <c r="H14" s="36">
        <f t="shared" si="1"/>
        <v>7.4211799999999997</v>
      </c>
      <c r="I14" s="12">
        <f t="shared" si="1"/>
        <v>7.4211799999999997</v>
      </c>
      <c r="J14" s="12">
        <f t="shared" si="1"/>
        <v>7.4211799999999997</v>
      </c>
      <c r="K14" s="12">
        <f t="shared" si="1"/>
        <v>7.4211799999999997</v>
      </c>
      <c r="L14" s="12">
        <f t="shared" si="1"/>
        <v>7.4211799999999997</v>
      </c>
      <c r="M14" s="12">
        <f t="shared" si="8"/>
        <v>7.7731359415078947</v>
      </c>
      <c r="N14" s="12">
        <f t="shared" si="2"/>
        <v>7.9841372084100515</v>
      </c>
      <c r="O14" s="12">
        <f t="shared" si="2"/>
        <v>8.305806340852099</v>
      </c>
      <c r="P14" s="12">
        <f t="shared" si="2"/>
        <v>8.7749926487612555</v>
      </c>
      <c r="Q14" s="12">
        <f t="shared" si="2"/>
        <v>9.4170426974425805</v>
      </c>
      <c r="R14" s="12">
        <f t="shared" si="2"/>
        <v>10.222977260471421</v>
      </c>
      <c r="S14" s="12">
        <f t="shared" si="2"/>
        <v>11.131769999999999</v>
      </c>
      <c r="T14" s="12">
        <f t="shared" si="2"/>
        <v>12.040562739528578</v>
      </c>
      <c r="U14" s="12">
        <f t="shared" si="2"/>
        <v>12.846497302557419</v>
      </c>
      <c r="V14" s="12">
        <f t="shared" si="2"/>
        <v>13.488547351238743</v>
      </c>
      <c r="W14" s="12">
        <f t="shared" si="2"/>
        <v>13.9577336591479</v>
      </c>
      <c r="X14" s="12">
        <f t="shared" si="2"/>
        <v>14.279402791589948</v>
      </c>
      <c r="Y14" s="12">
        <f t="shared" si="2"/>
        <v>14.490404058492105</v>
      </c>
      <c r="Z14" s="12">
        <f t="shared" si="2"/>
        <v>14.62482865939265</v>
      </c>
      <c r="AA14" s="12">
        <f t="shared" si="2"/>
        <v>14.708881098353524</v>
      </c>
      <c r="AB14" s="12">
        <f t="shared" si="2"/>
        <v>14.760823921088695</v>
      </c>
      <c r="AC14" s="12">
        <f t="shared" si="2"/>
        <v>14.792691148577717</v>
      </c>
      <c r="AD14" s="300">
        <f t="shared" si="3"/>
        <v>1.8519422926716856E-3</v>
      </c>
      <c r="AE14" s="299">
        <f t="shared" si="3"/>
        <v>1.8519422926716856E-3</v>
      </c>
      <c r="AF14" s="299">
        <f t="shared" si="3"/>
        <v>1.8519422926716856E-3</v>
      </c>
      <c r="AG14" s="299">
        <f t="shared" si="3"/>
        <v>1.8519422926716856E-3</v>
      </c>
      <c r="AH14" s="299">
        <f t="shared" si="3"/>
        <v>1.8519422926716856E-3</v>
      </c>
      <c r="AI14" s="299">
        <f t="shared" si="3"/>
        <v>1.7680891221957926E-3</v>
      </c>
      <c r="AJ14" s="299">
        <f t="shared" si="3"/>
        <v>1.7213628404397297E-3</v>
      </c>
      <c r="AK14" s="299">
        <f t="shared" si="3"/>
        <v>1.6546975139465259E-3</v>
      </c>
      <c r="AL14" s="299">
        <f t="shared" si="3"/>
        <v>1.5662232042404514E-3</v>
      </c>
      <c r="AM14" s="299">
        <f t="shared" si="3"/>
        <v>1.4594387585458923E-3</v>
      </c>
      <c r="AN14" s="299">
        <f t="shared" si="3"/>
        <v>1.3443830259381297E-3</v>
      </c>
      <c r="AO14" s="299">
        <f t="shared" si="3"/>
        <v>1.2346281951144571E-3</v>
      </c>
      <c r="AP14" s="299">
        <f t="shared" si="3"/>
        <v>1.1414414260231959E-3</v>
      </c>
      <c r="AQ14" s="299">
        <f t="shared" si="3"/>
        <v>1.069832249199418E-3</v>
      </c>
      <c r="AR14" s="299">
        <f t="shared" si="3"/>
        <v>1.0189086152607154E-3</v>
      </c>
      <c r="AS14" s="299">
        <f t="shared" si="3"/>
        <v>9.8465821451763436E-4</v>
      </c>
      <c r="AT14" s="299">
        <f t="shared" si="4"/>
        <v>9.6247702401277885E-4</v>
      </c>
      <c r="AU14" s="299">
        <f t="shared" si="4"/>
        <v>9.484619647631441E-4</v>
      </c>
      <c r="AV14" s="299">
        <f t="shared" si="4"/>
        <v>9.3974414494781596E-4</v>
      </c>
      <c r="AW14" s="299">
        <f t="shared" si="4"/>
        <v>9.34374070442903E-4</v>
      </c>
      <c r="AX14" s="299">
        <f t="shared" si="4"/>
        <v>9.3108604079301222E-4</v>
      </c>
      <c r="AY14" s="299">
        <f t="shared" si="4"/>
        <v>9.2908024412114321E-4</v>
      </c>
      <c r="AZ14" s="306">
        <f t="shared" si="5"/>
        <v>0.10252313234367282</v>
      </c>
      <c r="BA14" s="2">
        <f t="shared" si="5"/>
        <v>0.10252313234367282</v>
      </c>
      <c r="BB14" s="2">
        <f t="shared" si="5"/>
        <v>0.10252313234367282</v>
      </c>
      <c r="BC14" s="2">
        <f t="shared" si="5"/>
        <v>0.10252313234367282</v>
      </c>
      <c r="BD14" s="2">
        <f t="shared" si="5"/>
        <v>0.10252313234367282</v>
      </c>
      <c r="BE14" s="2">
        <f t="shared" si="5"/>
        <v>9.7881038619610644E-2</v>
      </c>
      <c r="BF14" s="2">
        <f t="shared" si="5"/>
        <v>9.5294281576823098E-2</v>
      </c>
      <c r="BG14" s="2">
        <f t="shared" si="5"/>
        <v>9.1603703248414811E-2</v>
      </c>
      <c r="BH14" s="2">
        <f t="shared" si="5"/>
        <v>8.6705784237166753E-2</v>
      </c>
      <c r="BI14" s="2">
        <f t="shared" si="5"/>
        <v>8.0794219982972204E-2</v>
      </c>
      <c r="BJ14" s="2">
        <f t="shared" si="5"/>
        <v>7.4424759040414068E-2</v>
      </c>
      <c r="BK14" s="2">
        <f t="shared" si="5"/>
        <v>6.8348754895781877E-2</v>
      </c>
      <c r="BL14" s="2">
        <f t="shared" si="5"/>
        <v>6.31899551329448E-2</v>
      </c>
      <c r="BM14" s="2">
        <f t="shared" si="5"/>
        <v>5.9225686299311554E-2</v>
      </c>
      <c r="BN14" s="2">
        <f t="shared" si="5"/>
        <v>5.6406564730363234E-2</v>
      </c>
      <c r="BO14" s="2">
        <f t="shared" si="5"/>
        <v>5.4510469813096159E-2</v>
      </c>
      <c r="BP14" s="2">
        <f t="shared" si="6"/>
        <v>5.3282523813553778E-2</v>
      </c>
      <c r="BQ14" s="2">
        <f t="shared" si="6"/>
        <v>5.2506653107462921E-2</v>
      </c>
      <c r="BR14" s="2">
        <f t="shared" si="6"/>
        <v>5.2024036452391134E-2</v>
      </c>
      <c r="BS14" s="2">
        <f t="shared" si="6"/>
        <v>5.1726750267318745E-2</v>
      </c>
      <c r="BT14" s="2">
        <f t="shared" si="6"/>
        <v>5.1544725643614432E-2</v>
      </c>
      <c r="BU14" s="2">
        <f t="shared" si="6"/>
        <v>5.1433685165486E-2</v>
      </c>
    </row>
    <row r="15" spans="1:116" x14ac:dyDescent="0.25">
      <c r="A15" t="s">
        <v>12</v>
      </c>
      <c r="B15" s="1" t="s">
        <v>5</v>
      </c>
      <c r="C15" t="s">
        <v>15</v>
      </c>
      <c r="D15" t="s">
        <v>15</v>
      </c>
      <c r="E15" s="97">
        <v>7.2018149999999999</v>
      </c>
      <c r="F15" s="5">
        <f t="shared" si="7"/>
        <v>1.7644446750000001E-2</v>
      </c>
      <c r="G15" s="1">
        <f>LOOKUP(RIGHT(D15,5),Ref!$C$4:$C$21,Ref!$E$4:$E$21)*$G$3</f>
        <v>2.5</v>
      </c>
      <c r="H15" s="36">
        <f t="shared" si="1"/>
        <v>7.2018149999999999</v>
      </c>
      <c r="I15" s="12">
        <f t="shared" si="1"/>
        <v>7.2018149999999999</v>
      </c>
      <c r="J15" s="12">
        <f t="shared" si="1"/>
        <v>7.2018149999999999</v>
      </c>
      <c r="K15" s="12">
        <f t="shared" si="1"/>
        <v>7.2018149999999999</v>
      </c>
      <c r="L15" s="12">
        <f t="shared" si="1"/>
        <v>7.2018149999999999</v>
      </c>
      <c r="M15" s="12">
        <f t="shared" si="8"/>
        <v>7.5433673648382973</v>
      </c>
      <c r="N15" s="12">
        <f t="shared" si="2"/>
        <v>7.7481315787496916</v>
      </c>
      <c r="O15" s="12">
        <f t="shared" si="2"/>
        <v>8.060292391862717</v>
      </c>
      <c r="P15" s="12">
        <f t="shared" si="2"/>
        <v>8.5156098737314743</v>
      </c>
      <c r="Q15" s="12">
        <f t="shared" si="2"/>
        <v>9.1386813625437515</v>
      </c>
      <c r="R15" s="12">
        <f t="shared" si="2"/>
        <v>9.9207930516605156</v>
      </c>
      <c r="S15" s="12">
        <f t="shared" si="2"/>
        <v>10.8027225</v>
      </c>
      <c r="T15" s="12">
        <f t="shared" si="2"/>
        <v>11.684651948339484</v>
      </c>
      <c r="U15" s="12">
        <f t="shared" si="2"/>
        <v>12.466763637456248</v>
      </c>
      <c r="V15" s="12">
        <f t="shared" si="2"/>
        <v>13.089835126268525</v>
      </c>
      <c r="W15" s="12">
        <f t="shared" si="2"/>
        <v>13.545152608137281</v>
      </c>
      <c r="X15" s="12">
        <f t="shared" si="2"/>
        <v>13.857313421250309</v>
      </c>
      <c r="Y15" s="12">
        <f t="shared" si="2"/>
        <v>14.062077635161701</v>
      </c>
      <c r="Z15" s="12">
        <f t="shared" si="2"/>
        <v>14.19252873689142</v>
      </c>
      <c r="AA15" s="12">
        <f t="shared" si="2"/>
        <v>14.27409664330186</v>
      </c>
      <c r="AB15" s="12">
        <f t="shared" si="2"/>
        <v>14.324504071758856</v>
      </c>
      <c r="AC15" s="12">
        <f t="shared" si="2"/>
        <v>14.355429325820722</v>
      </c>
      <c r="AD15" s="300">
        <f t="shared" si="3"/>
        <v>1.9083518673458371E-3</v>
      </c>
      <c r="AE15" s="299">
        <f t="shared" si="3"/>
        <v>1.9083518673458371E-3</v>
      </c>
      <c r="AF15" s="299">
        <f t="shared" si="3"/>
        <v>1.9083518673458371E-3</v>
      </c>
      <c r="AG15" s="299">
        <f t="shared" si="3"/>
        <v>1.9083518673458371E-3</v>
      </c>
      <c r="AH15" s="299">
        <f t="shared" si="3"/>
        <v>1.9083518673458371E-3</v>
      </c>
      <c r="AI15" s="299">
        <f t="shared" si="3"/>
        <v>1.8219445559011129E-3</v>
      </c>
      <c r="AJ15" s="299">
        <f t="shared" si="3"/>
        <v>1.7737950064274787E-3</v>
      </c>
      <c r="AK15" s="299">
        <f t="shared" si="3"/>
        <v>1.7050990752400165E-3</v>
      </c>
      <c r="AL15" s="299">
        <f t="shared" si="3"/>
        <v>1.6139298661302954E-3</v>
      </c>
      <c r="AM15" s="299">
        <f t="shared" si="3"/>
        <v>1.5038928000990868E-3</v>
      </c>
      <c r="AN15" s="299">
        <f t="shared" si="3"/>
        <v>1.3853325063795069E-3</v>
      </c>
      <c r="AO15" s="299">
        <f t="shared" si="3"/>
        <v>1.2722345782305582E-3</v>
      </c>
      <c r="AP15" s="299">
        <f t="shared" si="3"/>
        <v>1.1762093697178866E-3</v>
      </c>
      <c r="AQ15" s="299">
        <f t="shared" si="3"/>
        <v>1.1024190000873024E-3</v>
      </c>
      <c r="AR15" s="299">
        <f t="shared" si="3"/>
        <v>1.0499442484152282E-3</v>
      </c>
      <c r="AS15" s="299">
        <f t="shared" si="3"/>
        <v>1.0146505913320432E-3</v>
      </c>
      <c r="AT15" s="299">
        <f t="shared" si="4"/>
        <v>9.9179376880177477E-4</v>
      </c>
      <c r="AU15" s="299">
        <f t="shared" si="4"/>
        <v>9.773518152939155E-4</v>
      </c>
      <c r="AV15" s="299">
        <f t="shared" si="4"/>
        <v>9.6836845345289117E-4</v>
      </c>
      <c r="AW15" s="299">
        <f t="shared" si="4"/>
        <v>9.6283480818230708E-4</v>
      </c>
      <c r="AX15" s="299">
        <f t="shared" si="4"/>
        <v>9.5944662619246483E-4</v>
      </c>
      <c r="AY15" s="299">
        <f t="shared" si="4"/>
        <v>9.5737973359034435E-4</v>
      </c>
      <c r="AZ15" s="306">
        <f t="shared" si="5"/>
        <v>0.10564595442762939</v>
      </c>
      <c r="BA15" s="2">
        <f t="shared" si="5"/>
        <v>0.10564595442762939</v>
      </c>
      <c r="BB15" s="2">
        <f t="shared" si="5"/>
        <v>0.10564595442762939</v>
      </c>
      <c r="BC15" s="2">
        <f t="shared" si="5"/>
        <v>0.10564595442762939</v>
      </c>
      <c r="BD15" s="2">
        <f t="shared" si="5"/>
        <v>0.10564595442762939</v>
      </c>
      <c r="BE15" s="2">
        <f t="shared" si="5"/>
        <v>0.10086246400151658</v>
      </c>
      <c r="BF15" s="2">
        <f t="shared" si="5"/>
        <v>9.8196915159899006E-2</v>
      </c>
      <c r="BG15" s="2">
        <f t="shared" si="5"/>
        <v>9.439392298650702E-2</v>
      </c>
      <c r="BH15" s="2">
        <f t="shared" si="5"/>
        <v>8.9346814916125603E-2</v>
      </c>
      <c r="BI15" s="2">
        <f t="shared" si="5"/>
        <v>8.3255186290293992E-2</v>
      </c>
      <c r="BJ15" s="2">
        <f t="shared" si="5"/>
        <v>7.6691713588246863E-2</v>
      </c>
      <c r="BK15" s="2">
        <f t="shared" si="5"/>
        <v>7.0430636285086265E-2</v>
      </c>
      <c r="BL15" s="2">
        <f t="shared" si="5"/>
        <v>6.5114701118191357E-2</v>
      </c>
      <c r="BM15" s="2">
        <f t="shared" si="5"/>
        <v>6.1029681913618294E-2</v>
      </c>
      <c r="BN15" s="2">
        <f t="shared" si="5"/>
        <v>5.8124690796094738E-2</v>
      </c>
      <c r="BO15" s="2">
        <f t="shared" si="5"/>
        <v>5.6170841429216523E-2</v>
      </c>
      <c r="BP15" s="2">
        <f t="shared" si="6"/>
        <v>5.4905492584115125E-2</v>
      </c>
      <c r="BQ15" s="2">
        <f t="shared" si="6"/>
        <v>5.4105989102475098E-2</v>
      </c>
      <c r="BR15" s="2">
        <f t="shared" si="6"/>
        <v>5.3608672097208279E-2</v>
      </c>
      <c r="BS15" s="2">
        <f t="shared" si="6"/>
        <v>5.3302330669257748E-2</v>
      </c>
      <c r="BT15" s="2">
        <f t="shared" si="6"/>
        <v>5.3114761633265853E-2</v>
      </c>
      <c r="BU15" s="2">
        <f t="shared" si="6"/>
        <v>5.3000338897403139E-2</v>
      </c>
    </row>
    <row r="16" spans="1:116" x14ac:dyDescent="0.25">
      <c r="A16" t="s">
        <v>12</v>
      </c>
      <c r="B16" s="1" t="s">
        <v>5</v>
      </c>
      <c r="C16" t="s">
        <v>16</v>
      </c>
      <c r="D16" t="s">
        <v>16</v>
      </c>
      <c r="E16" s="97">
        <v>7.43393675</v>
      </c>
      <c r="F16" s="5">
        <f t="shared" si="7"/>
        <v>1.82131450375E-2</v>
      </c>
      <c r="G16" s="1">
        <f>LOOKUP(RIGHT(D16,5),Ref!$C$4:$C$21,Ref!$E$4:$E$21)*$G$3</f>
        <v>3</v>
      </c>
      <c r="H16" s="36">
        <f t="shared" si="1"/>
        <v>7.43393675</v>
      </c>
      <c r="I16" s="12">
        <f t="shared" si="1"/>
        <v>7.43393675</v>
      </c>
      <c r="J16" s="12">
        <f t="shared" si="1"/>
        <v>7.43393675</v>
      </c>
      <c r="K16" s="12">
        <f t="shared" si="1"/>
        <v>7.43393675</v>
      </c>
      <c r="L16" s="12">
        <f t="shared" si="1"/>
        <v>7.43393675</v>
      </c>
      <c r="M16" s="12">
        <f t="shared" si="8"/>
        <v>7.786497691515553</v>
      </c>
      <c r="N16" s="12">
        <f t="shared" si="2"/>
        <v>7.9978616622480372</v>
      </c>
      <c r="O16" s="12">
        <f t="shared" si="2"/>
        <v>8.3200837327276034</v>
      </c>
      <c r="P16" s="12">
        <f t="shared" si="2"/>
        <v>8.7900765555620719</v>
      </c>
      <c r="Q16" s="12">
        <f t="shared" si="2"/>
        <v>9.4332302659196419</v>
      </c>
      <c r="R16" s="12">
        <f t="shared" si="2"/>
        <v>10.240550202398111</v>
      </c>
      <c r="S16" s="12">
        <f t="shared" si="2"/>
        <v>11.150905125</v>
      </c>
      <c r="T16" s="12">
        <f t="shared" si="2"/>
        <v>12.061260047601888</v>
      </c>
      <c r="U16" s="12">
        <f t="shared" si="2"/>
        <v>12.868579984080357</v>
      </c>
      <c r="V16" s="12">
        <f t="shared" si="2"/>
        <v>13.511733694437927</v>
      </c>
      <c r="W16" s="12">
        <f t="shared" si="2"/>
        <v>13.981726517272394</v>
      </c>
      <c r="X16" s="12">
        <f t="shared" si="2"/>
        <v>14.303948587751963</v>
      </c>
      <c r="Y16" s="12">
        <f t="shared" si="2"/>
        <v>14.515312558484448</v>
      </c>
      <c r="Z16" s="12">
        <f t="shared" si="2"/>
        <v>14.649968230593013</v>
      </c>
      <c r="AA16" s="12">
        <f t="shared" si="2"/>
        <v>14.734165152769592</v>
      </c>
      <c r="AB16" s="12">
        <f t="shared" si="2"/>
        <v>14.786197263408292</v>
      </c>
      <c r="AC16" s="12">
        <f t="shared" si="2"/>
        <v>14.818119269551689</v>
      </c>
      <c r="AD16" s="300">
        <f t="shared" si="3"/>
        <v>1.8487643311640039E-3</v>
      </c>
      <c r="AE16" s="299">
        <f t="shared" si="3"/>
        <v>1.8487643311640039E-3</v>
      </c>
      <c r="AF16" s="299">
        <f t="shared" si="3"/>
        <v>1.8487643311640039E-3</v>
      </c>
      <c r="AG16" s="299">
        <f t="shared" si="3"/>
        <v>1.8487643311640039E-3</v>
      </c>
      <c r="AH16" s="299">
        <f t="shared" si="3"/>
        <v>1.8487643311640039E-3</v>
      </c>
      <c r="AI16" s="299">
        <f t="shared" si="3"/>
        <v>1.7650550540205998E-3</v>
      </c>
      <c r="AJ16" s="299">
        <f t="shared" si="3"/>
        <v>1.7184089552839568E-3</v>
      </c>
      <c r="AK16" s="299">
        <f t="shared" si="3"/>
        <v>1.6518580275181492E-3</v>
      </c>
      <c r="AL16" s="299">
        <f t="shared" si="3"/>
        <v>1.5635355410906816E-3</v>
      </c>
      <c r="AM16" s="299">
        <f t="shared" si="3"/>
        <v>1.4569343391501958E-3</v>
      </c>
      <c r="AN16" s="299">
        <f t="shared" si="3"/>
        <v>1.342076043952288E-3</v>
      </c>
      <c r="AO16" s="299">
        <f t="shared" si="3"/>
        <v>1.232509554109336E-3</v>
      </c>
      <c r="AP16" s="299">
        <f t="shared" si="3"/>
        <v>1.1394826949495934E-3</v>
      </c>
      <c r="AQ16" s="299">
        <f t="shared" si="3"/>
        <v>1.0679964005765501E-3</v>
      </c>
      <c r="AR16" s="299">
        <f t="shared" si="3"/>
        <v>1.0171601523782828E-3</v>
      </c>
      <c r="AS16" s="299">
        <f t="shared" si="3"/>
        <v>9.8296852585058364E-4</v>
      </c>
      <c r="AT16" s="299">
        <f t="shared" si="4"/>
        <v>9.6082539861038689E-4</v>
      </c>
      <c r="AU16" s="299">
        <f t="shared" si="4"/>
        <v>9.4683438941835891E-4</v>
      </c>
      <c r="AV16" s="299">
        <f t="shared" si="4"/>
        <v>9.381315295161521E-4</v>
      </c>
      <c r="AW16" s="299">
        <f t="shared" si="4"/>
        <v>9.3277067014182786E-4</v>
      </c>
      <c r="AX16" s="299">
        <f t="shared" si="4"/>
        <v>9.2948828280147615E-4</v>
      </c>
      <c r="AY16" s="299">
        <f t="shared" si="4"/>
        <v>9.2748592810760002E-4</v>
      </c>
      <c r="AZ16" s="306">
        <f t="shared" si="5"/>
        <v>0.10234720106896494</v>
      </c>
      <c r="BA16" s="2">
        <f t="shared" si="5"/>
        <v>0.10234720106896494</v>
      </c>
      <c r="BB16" s="2">
        <f t="shared" si="5"/>
        <v>0.10234720106896494</v>
      </c>
      <c r="BC16" s="2">
        <f t="shared" si="5"/>
        <v>0.10234720106896494</v>
      </c>
      <c r="BD16" s="2">
        <f t="shared" si="5"/>
        <v>0.10234720106896494</v>
      </c>
      <c r="BE16" s="2">
        <f t="shared" si="5"/>
        <v>9.7713073249255461E-2</v>
      </c>
      <c r="BF16" s="2">
        <f t="shared" si="5"/>
        <v>9.5130755121408325E-2</v>
      </c>
      <c r="BG16" s="2">
        <f t="shared" si="5"/>
        <v>9.14465098822735E-2</v>
      </c>
      <c r="BH16" s="2">
        <f t="shared" si="5"/>
        <v>8.6556995775512499E-2</v>
      </c>
      <c r="BI16" s="2">
        <f t="shared" si="5"/>
        <v>8.0655575856659487E-2</v>
      </c>
      <c r="BJ16" s="2">
        <f t="shared" si="5"/>
        <v>7.4297045007215054E-2</v>
      </c>
      <c r="BK16" s="2">
        <f t="shared" si="5"/>
        <v>6.8231467379309962E-2</v>
      </c>
      <c r="BL16" s="2">
        <f t="shared" si="5"/>
        <v>6.3081520196349161E-2</v>
      </c>
      <c r="BM16" s="2">
        <f t="shared" si="5"/>
        <v>5.9124054109113172E-2</v>
      </c>
      <c r="BN16" s="2">
        <f t="shared" si="5"/>
        <v>5.6309770196212264E-2</v>
      </c>
      <c r="BO16" s="2">
        <f t="shared" si="5"/>
        <v>5.4416929007036943E-2</v>
      </c>
      <c r="BP16" s="2">
        <f t="shared" si="6"/>
        <v>5.3191090181749133E-2</v>
      </c>
      <c r="BQ16" s="2">
        <f t="shared" si="6"/>
        <v>5.2416550881744003E-2</v>
      </c>
      <c r="BR16" s="2">
        <f t="shared" si="6"/>
        <v>5.1934762404288147E-2</v>
      </c>
      <c r="BS16" s="2">
        <f t="shared" si="6"/>
        <v>5.1637986366889724E-2</v>
      </c>
      <c r="BT16" s="2">
        <f t="shared" si="6"/>
        <v>5.1456274100244198E-2</v>
      </c>
      <c r="BU16" s="2">
        <f t="shared" si="6"/>
        <v>5.1345424169287071E-2</v>
      </c>
    </row>
    <row r="17" spans="1:73" x14ac:dyDescent="0.25">
      <c r="A17" t="s">
        <v>12</v>
      </c>
      <c r="B17" s="1" t="s">
        <v>5</v>
      </c>
      <c r="C17" t="s">
        <v>17</v>
      </c>
      <c r="D17" t="s">
        <v>17</v>
      </c>
      <c r="E17" s="97">
        <v>7.5049109999999999</v>
      </c>
      <c r="F17" s="5">
        <f t="shared" si="7"/>
        <v>1.838703195E-2</v>
      </c>
      <c r="G17" s="1">
        <f>LOOKUP(RIGHT(D17,5),Ref!$C$4:$C$21,Ref!$E$4:$E$21)*$G$3</f>
        <v>3</v>
      </c>
      <c r="H17" s="36">
        <f t="shared" si="1"/>
        <v>7.5049109999999999</v>
      </c>
      <c r="I17" s="12">
        <f t="shared" si="1"/>
        <v>7.5049109999999999</v>
      </c>
      <c r="J17" s="12">
        <f t="shared" si="1"/>
        <v>7.5049109999999999</v>
      </c>
      <c r="K17" s="12">
        <f t="shared" si="1"/>
        <v>7.5049109999999999</v>
      </c>
      <c r="L17" s="12">
        <f t="shared" si="1"/>
        <v>7.5049109999999999</v>
      </c>
      <c r="M17" s="12">
        <f t="shared" si="8"/>
        <v>7.8608379572949252</v>
      </c>
      <c r="N17" s="12">
        <f t="shared" si="2"/>
        <v>8.0742198896814106</v>
      </c>
      <c r="O17" s="12">
        <f t="shared" si="2"/>
        <v>8.3995183207159325</v>
      </c>
      <c r="P17" s="12">
        <f t="shared" si="2"/>
        <v>8.873998320295085</v>
      </c>
      <c r="Q17" s="12">
        <f t="shared" si="2"/>
        <v>9.523292431595312</v>
      </c>
      <c r="R17" s="12">
        <f t="shared" si="2"/>
        <v>10.338320118210559</v>
      </c>
      <c r="S17" s="12">
        <f t="shared" si="2"/>
        <v>11.2573665</v>
      </c>
      <c r="T17" s="12">
        <f t="shared" si="2"/>
        <v>12.176412881789441</v>
      </c>
      <c r="U17" s="12">
        <f t="shared" si="2"/>
        <v>12.991440568404688</v>
      </c>
      <c r="V17" s="12">
        <f t="shared" si="2"/>
        <v>13.640734679704915</v>
      </c>
      <c r="W17" s="12">
        <f t="shared" si="2"/>
        <v>14.115214679284065</v>
      </c>
      <c r="X17" s="12">
        <f t="shared" si="2"/>
        <v>14.440513110318589</v>
      </c>
      <c r="Y17" s="12">
        <f t="shared" si="2"/>
        <v>14.653895042705074</v>
      </c>
      <c r="Z17" s="12">
        <f t="shared" si="2"/>
        <v>14.789836316999608</v>
      </c>
      <c r="AA17" s="12">
        <f t="shared" si="2"/>
        <v>14.874837095007189</v>
      </c>
      <c r="AB17" s="12">
        <f t="shared" si="2"/>
        <v>14.927365973395293</v>
      </c>
      <c r="AC17" s="12">
        <f t="shared" si="2"/>
        <v>14.959592749476975</v>
      </c>
      <c r="AD17" s="300">
        <f t="shared" si="3"/>
        <v>1.8312804913381731E-3</v>
      </c>
      <c r="AE17" s="299">
        <f t="shared" si="3"/>
        <v>1.8312804913381731E-3</v>
      </c>
      <c r="AF17" s="299">
        <f t="shared" si="3"/>
        <v>1.8312804913381731E-3</v>
      </c>
      <c r="AG17" s="299">
        <f t="shared" si="3"/>
        <v>1.8312804913381731E-3</v>
      </c>
      <c r="AH17" s="299">
        <f t="shared" si="3"/>
        <v>1.8312804913381731E-3</v>
      </c>
      <c r="AI17" s="299">
        <f t="shared" si="3"/>
        <v>1.7483628562493243E-3</v>
      </c>
      <c r="AJ17" s="299">
        <f t="shared" si="3"/>
        <v>1.702157891574532E-3</v>
      </c>
      <c r="AK17" s="299">
        <f t="shared" si="3"/>
        <v>1.6362363386520746E-3</v>
      </c>
      <c r="AL17" s="299">
        <f t="shared" si="3"/>
        <v>1.5487491215878714E-3</v>
      </c>
      <c r="AM17" s="299">
        <f t="shared" si="3"/>
        <v>1.443156051570179E-3</v>
      </c>
      <c r="AN17" s="299">
        <f t="shared" si="3"/>
        <v>1.3293839759634097E-3</v>
      </c>
      <c r="AO17" s="299">
        <f t="shared" si="3"/>
        <v>1.2208536608921154E-3</v>
      </c>
      <c r="AP17" s="299">
        <f t="shared" si="3"/>
        <v>1.1287065605408008E-3</v>
      </c>
      <c r="AQ17" s="299">
        <f t="shared" si="3"/>
        <v>1.0578963149747861E-3</v>
      </c>
      <c r="AR17" s="299">
        <f t="shared" si="3"/>
        <v>1.00754082725305E-3</v>
      </c>
      <c r="AS17" s="299">
        <f t="shared" si="3"/>
        <v>9.7367255233459513E-4</v>
      </c>
      <c r="AT17" s="299">
        <f t="shared" si="4"/>
        <v>9.5173883355354307E-4</v>
      </c>
      <c r="AU17" s="299">
        <f t="shared" si="4"/>
        <v>9.3788013790715844E-4</v>
      </c>
      <c r="AV17" s="299">
        <f t="shared" si="4"/>
        <v>9.2925958130667141E-4</v>
      </c>
      <c r="AW17" s="299">
        <f t="shared" si="4"/>
        <v>9.2394941979851092E-4</v>
      </c>
      <c r="AX17" s="299">
        <f t="shared" si="4"/>
        <v>9.2069807412936493E-4</v>
      </c>
      <c r="AY17" s="299">
        <f t="shared" si="4"/>
        <v>9.1871465578565099E-4</v>
      </c>
      <c r="AZ17" s="306">
        <f t="shared" si="5"/>
        <v>0.10137929940624449</v>
      </c>
      <c r="BA17" s="2">
        <f t="shared" si="5"/>
        <v>0.10137929940624449</v>
      </c>
      <c r="BB17" s="2">
        <f t="shared" si="5"/>
        <v>0.10137929940624449</v>
      </c>
      <c r="BC17" s="2">
        <f t="shared" si="5"/>
        <v>0.10137929940624449</v>
      </c>
      <c r="BD17" s="2">
        <f t="shared" si="5"/>
        <v>0.10137929940624449</v>
      </c>
      <c r="BE17" s="2">
        <f t="shared" si="5"/>
        <v>9.6788996722690271E-2</v>
      </c>
      <c r="BF17" s="2">
        <f t="shared" si="5"/>
        <v>9.4231099682899375E-2</v>
      </c>
      <c r="BG17" s="2">
        <f t="shared" si="5"/>
        <v>9.0581696501540271E-2</v>
      </c>
      <c r="BH17" s="2">
        <f t="shared" si="5"/>
        <v>8.5738422729487021E-2</v>
      </c>
      <c r="BI17" s="2">
        <f t="shared" si="5"/>
        <v>7.9892812779956163E-2</v>
      </c>
      <c r="BJ17" s="2">
        <f t="shared" si="5"/>
        <v>7.3594414816583437E-2</v>
      </c>
      <c r="BK17" s="2">
        <f t="shared" si="5"/>
        <v>6.7586199604162997E-2</v>
      </c>
      <c r="BL17" s="2">
        <f t="shared" si="5"/>
        <v>6.2484955682153634E-2</v>
      </c>
      <c r="BM17" s="2">
        <f t="shared" si="5"/>
        <v>5.856491551341847E-2</v>
      </c>
      <c r="BN17" s="2">
        <f t="shared" si="5"/>
        <v>5.5777246398481875E-2</v>
      </c>
      <c r="BO17" s="2">
        <f t="shared" si="5"/>
        <v>5.3902305885779718E-2</v>
      </c>
      <c r="BP17" s="2">
        <f t="shared" si="6"/>
        <v>5.2688059868354079E-2</v>
      </c>
      <c r="BQ17" s="2">
        <f t="shared" si="6"/>
        <v>5.1920845418159077E-2</v>
      </c>
      <c r="BR17" s="2">
        <f t="shared" si="6"/>
        <v>5.1443613234021836E-2</v>
      </c>
      <c r="BS17" s="2">
        <f t="shared" si="6"/>
        <v>5.1149643819736239E-2</v>
      </c>
      <c r="BT17" s="2">
        <f t="shared" si="6"/>
        <v>5.0969650013421679E-2</v>
      </c>
      <c r="BU17" s="2">
        <f t="shared" si="6"/>
        <v>5.0859848394791275E-2</v>
      </c>
    </row>
    <row r="18" spans="1:73" x14ac:dyDescent="0.25">
      <c r="A18" t="s">
        <v>12</v>
      </c>
      <c r="B18" s="1" t="s">
        <v>5</v>
      </c>
      <c r="C18" t="s">
        <v>18</v>
      </c>
      <c r="D18" t="s">
        <v>18</v>
      </c>
      <c r="E18" s="97">
        <v>7.5172480000000004</v>
      </c>
      <c r="F18" s="5">
        <f t="shared" si="7"/>
        <v>1.8417257600000004E-2</v>
      </c>
      <c r="G18" s="1">
        <f>LOOKUP(RIGHT(D18,5),Ref!$C$4:$C$21,Ref!$E$4:$E$21)*$G$3</f>
        <v>3</v>
      </c>
      <c r="H18" s="36">
        <f t="shared" si="1"/>
        <v>7.5172480000000004</v>
      </c>
      <c r="I18" s="12">
        <f t="shared" si="1"/>
        <v>7.5172480000000004</v>
      </c>
      <c r="J18" s="12">
        <f t="shared" si="1"/>
        <v>7.5172480000000004</v>
      </c>
      <c r="K18" s="12">
        <f t="shared" si="1"/>
        <v>7.5172480000000004</v>
      </c>
      <c r="L18" s="12">
        <f t="shared" si="1"/>
        <v>7.5172480000000004</v>
      </c>
      <c r="M18" s="12">
        <f t="shared" si="8"/>
        <v>7.8737600502923177</v>
      </c>
      <c r="N18" s="12">
        <f t="shared" si="2"/>
        <v>8.0874927520483322</v>
      </c>
      <c r="O18" s="12">
        <f t="shared" si="2"/>
        <v>8.4133259271649194</v>
      </c>
      <c r="P18" s="12">
        <f t="shared" si="2"/>
        <v>8.8885859039822854</v>
      </c>
      <c r="Q18" s="12">
        <f t="shared" si="2"/>
        <v>9.5389473619107541</v>
      </c>
      <c r="R18" s="12">
        <f t="shared" si="2"/>
        <v>10.355314837441522</v>
      </c>
      <c r="S18" s="12">
        <f t="shared" si="2"/>
        <v>11.275872</v>
      </c>
      <c r="T18" s="12">
        <f t="shared" si="2"/>
        <v>12.196429162558479</v>
      </c>
      <c r="U18" s="12">
        <f t="shared" si="2"/>
        <v>13.012796638089247</v>
      </c>
      <c r="V18" s="12">
        <f t="shared" si="2"/>
        <v>13.663158096017716</v>
      </c>
      <c r="W18" s="12">
        <f t="shared" si="2"/>
        <v>14.13841807283508</v>
      </c>
      <c r="X18" s="12">
        <f t="shared" si="2"/>
        <v>14.464251247951669</v>
      </c>
      <c r="Y18" s="12">
        <f t="shared" si="2"/>
        <v>14.677983949707684</v>
      </c>
      <c r="Z18" s="12">
        <f t="shared" si="2"/>
        <v>14.81414869200883</v>
      </c>
      <c r="AA18" s="12">
        <f t="shared" si="2"/>
        <v>14.899289199134888</v>
      </c>
      <c r="AB18" s="12">
        <f t="shared" si="2"/>
        <v>14.95190442748406</v>
      </c>
      <c r="AC18" s="12">
        <f t="shared" si="2"/>
        <v>14.984184179775124</v>
      </c>
      <c r="AD18" s="300">
        <f t="shared" si="3"/>
        <v>1.8282750686859418E-3</v>
      </c>
      <c r="AE18" s="299">
        <f t="shared" si="3"/>
        <v>1.8282750686859418E-3</v>
      </c>
      <c r="AF18" s="299">
        <f t="shared" si="3"/>
        <v>1.8282750686859418E-3</v>
      </c>
      <c r="AG18" s="299">
        <f t="shared" si="3"/>
        <v>1.8282750686859418E-3</v>
      </c>
      <c r="AH18" s="299">
        <f t="shared" si="3"/>
        <v>1.8282750686859418E-3</v>
      </c>
      <c r="AI18" s="299">
        <f t="shared" si="3"/>
        <v>1.7454935146288869E-3</v>
      </c>
      <c r="AJ18" s="299">
        <f t="shared" si="3"/>
        <v>1.6993643796525688E-3</v>
      </c>
      <c r="AK18" s="299">
        <f t="shared" si="3"/>
        <v>1.633551014486908E-3</v>
      </c>
      <c r="AL18" s="299">
        <f t="shared" si="3"/>
        <v>1.5462073778655637E-3</v>
      </c>
      <c r="AM18" s="299">
        <f t="shared" si="3"/>
        <v>1.4407876028761594E-3</v>
      </c>
      <c r="AN18" s="299">
        <f t="shared" si="3"/>
        <v>1.3272022453471707E-3</v>
      </c>
      <c r="AO18" s="299">
        <f t="shared" si="3"/>
        <v>1.2188500457906281E-3</v>
      </c>
      <c r="AP18" s="299">
        <f t="shared" si="3"/>
        <v>1.1268541734920574E-3</v>
      </c>
      <c r="AQ18" s="299">
        <f t="shared" si="3"/>
        <v>1.056160138805283E-3</v>
      </c>
      <c r="AR18" s="299">
        <f t="shared" si="3"/>
        <v>1.0058872924507101E-3</v>
      </c>
      <c r="AS18" s="299">
        <f t="shared" si="3"/>
        <v>9.7207460076000919E-4</v>
      </c>
      <c r="AT18" s="299">
        <f t="shared" si="4"/>
        <v>9.5017687870124193E-4</v>
      </c>
      <c r="AU18" s="299">
        <f t="shared" si="4"/>
        <v>9.3634092737940127E-4</v>
      </c>
      <c r="AV18" s="299">
        <f t="shared" si="4"/>
        <v>9.2773451848386971E-4</v>
      </c>
      <c r="AW18" s="299">
        <f t="shared" si="4"/>
        <v>9.2243307179561747E-4</v>
      </c>
      <c r="AX18" s="299">
        <f t="shared" si="4"/>
        <v>9.1918706210202005E-4</v>
      </c>
      <c r="AY18" s="299">
        <f t="shared" si="4"/>
        <v>9.1720689886337994E-4</v>
      </c>
      <c r="AZ18" s="306">
        <f t="shared" si="5"/>
        <v>0.10121291984596194</v>
      </c>
      <c r="BA18" s="2">
        <f t="shared" si="5"/>
        <v>0.10121291984596194</v>
      </c>
      <c r="BB18" s="2">
        <f t="shared" si="5"/>
        <v>0.10121291984596194</v>
      </c>
      <c r="BC18" s="2">
        <f t="shared" si="5"/>
        <v>0.10121291984596194</v>
      </c>
      <c r="BD18" s="2">
        <f t="shared" si="5"/>
        <v>0.10121291984596194</v>
      </c>
      <c r="BE18" s="2">
        <f t="shared" si="5"/>
        <v>9.6630150579451693E-2</v>
      </c>
      <c r="BF18" s="2">
        <f t="shared" si="5"/>
        <v>9.4076451455677404E-2</v>
      </c>
      <c r="BG18" s="2">
        <f t="shared" si="5"/>
        <v>9.0433037525577326E-2</v>
      </c>
      <c r="BH18" s="2">
        <f t="shared" si="5"/>
        <v>8.5597712336373241E-2</v>
      </c>
      <c r="BI18" s="2">
        <f t="shared" si="5"/>
        <v>7.9761695962835541E-2</v>
      </c>
      <c r="BJ18" s="2">
        <f t="shared" si="5"/>
        <v>7.3473634672627533E-2</v>
      </c>
      <c r="BK18" s="2">
        <f t="shared" si="5"/>
        <v>6.7475279897307963E-2</v>
      </c>
      <c r="BL18" s="2">
        <f t="shared" si="5"/>
        <v>6.2382407928208199E-2</v>
      </c>
      <c r="BM18" s="2">
        <f t="shared" si="5"/>
        <v>5.8468801169088064E-2</v>
      </c>
      <c r="BN18" s="2">
        <f t="shared" si="5"/>
        <v>5.5685707062701269E-2</v>
      </c>
      <c r="BO18" s="2">
        <f t="shared" si="5"/>
        <v>5.3813843625692928E-2</v>
      </c>
      <c r="BP18" s="2">
        <f t="shared" si="6"/>
        <v>5.2601590379174536E-2</v>
      </c>
      <c r="BQ18" s="2">
        <f t="shared" si="6"/>
        <v>5.1835635049959985E-2</v>
      </c>
      <c r="BR18" s="2">
        <f t="shared" si="6"/>
        <v>5.1359186079766958E-2</v>
      </c>
      <c r="BS18" s="2">
        <f t="shared" si="6"/>
        <v>5.1065699116062215E-2</v>
      </c>
      <c r="BT18" s="2">
        <f t="shared" si="6"/>
        <v>5.0886000708221753E-2</v>
      </c>
      <c r="BU18" s="2">
        <f t="shared" si="6"/>
        <v>5.0776379291517501E-2</v>
      </c>
    </row>
    <row r="19" spans="1:73" x14ac:dyDescent="0.25">
      <c r="A19" t="s">
        <v>12</v>
      </c>
      <c r="B19" s="1" t="s">
        <v>5</v>
      </c>
      <c r="C19" t="s">
        <v>6</v>
      </c>
      <c r="D19" t="s">
        <v>6</v>
      </c>
      <c r="E19" s="97">
        <v>7.1419185000000001</v>
      </c>
      <c r="F19" s="5">
        <f t="shared" si="7"/>
        <v>1.7497700325000001E-2</v>
      </c>
      <c r="G19" s="1">
        <f>LOOKUP(RIGHT(D19,5),Ref!$C$4:$C$21,Ref!$E$4:$E$21)*$G$3</f>
        <v>3</v>
      </c>
      <c r="H19" s="36">
        <f t="shared" si="1"/>
        <v>7.1419185000000001</v>
      </c>
      <c r="I19" s="12">
        <f t="shared" si="1"/>
        <v>7.1419185000000001</v>
      </c>
      <c r="J19" s="12">
        <f t="shared" si="1"/>
        <v>7.1419185000000001</v>
      </c>
      <c r="K19" s="12">
        <f t="shared" si="1"/>
        <v>7.1419185000000001</v>
      </c>
      <c r="L19" s="12">
        <f t="shared" si="1"/>
        <v>7.1419185000000001</v>
      </c>
      <c r="M19" s="12">
        <f t="shared" si="8"/>
        <v>7.4806302210255176</v>
      </c>
      <c r="N19" s="12">
        <f t="shared" si="2"/>
        <v>7.6836914392700493</v>
      </c>
      <c r="O19" s="12">
        <f t="shared" si="2"/>
        <v>7.9932560540438189</v>
      </c>
      <c r="P19" s="12">
        <f t="shared" si="2"/>
        <v>8.4447867233448068</v>
      </c>
      <c r="Q19" s="12">
        <f t="shared" si="2"/>
        <v>9.0626762126986637</v>
      </c>
      <c r="R19" s="12">
        <f t="shared" si="2"/>
        <v>9.8382831869918483</v>
      </c>
      <c r="S19" s="12">
        <f t="shared" si="2"/>
        <v>10.712877750000001</v>
      </c>
      <c r="T19" s="12">
        <f t="shared" si="2"/>
        <v>11.587472313008153</v>
      </c>
      <c r="U19" s="12">
        <f t="shared" si="2"/>
        <v>12.363079287301336</v>
      </c>
      <c r="V19" s="12">
        <f t="shared" si="2"/>
        <v>12.980968776655192</v>
      </c>
      <c r="W19" s="12">
        <f t="shared" si="2"/>
        <v>13.43249944595618</v>
      </c>
      <c r="X19" s="12">
        <f t="shared" si="2"/>
        <v>13.742064060729952</v>
      </c>
      <c r="Y19" s="12">
        <f t="shared" si="2"/>
        <v>13.945125278974482</v>
      </c>
      <c r="Z19" s="12">
        <f t="shared" si="2"/>
        <v>14.074491436920621</v>
      </c>
      <c r="AA19" s="12">
        <f t="shared" si="2"/>
        <v>14.155380954326855</v>
      </c>
      <c r="AB19" s="12">
        <f t="shared" si="2"/>
        <v>14.205369151168128</v>
      </c>
      <c r="AC19" s="12">
        <f t="shared" si="2"/>
        <v>14.236037204166109</v>
      </c>
      <c r="AD19" s="300">
        <f t="shared" si="3"/>
        <v>1.9243564741783681E-3</v>
      </c>
      <c r="AE19" s="299">
        <f t="shared" si="3"/>
        <v>1.9243564741783681E-3</v>
      </c>
      <c r="AF19" s="299">
        <f t="shared" si="3"/>
        <v>1.9243564741783681E-3</v>
      </c>
      <c r="AG19" s="299">
        <f t="shared" si="3"/>
        <v>1.9243564741783681E-3</v>
      </c>
      <c r="AH19" s="299">
        <f t="shared" si="3"/>
        <v>1.9243564741783681E-3</v>
      </c>
      <c r="AI19" s="299">
        <f t="shared" si="3"/>
        <v>1.8372244981312755E-3</v>
      </c>
      <c r="AJ19" s="299">
        <f t="shared" si="3"/>
        <v>1.7886711370641534E-3</v>
      </c>
      <c r="AK19" s="299">
        <f t="shared" si="3"/>
        <v>1.7193990797500251E-3</v>
      </c>
      <c r="AL19" s="299">
        <f t="shared" si="3"/>
        <v>1.6274652698494323E-3</v>
      </c>
      <c r="AM19" s="299">
        <f t="shared" si="3"/>
        <v>1.5165053656304821E-3</v>
      </c>
      <c r="AN19" s="299">
        <f t="shared" si="3"/>
        <v>1.3969507527188288E-3</v>
      </c>
      <c r="AO19" s="299">
        <f t="shared" si="3"/>
        <v>1.2829043161189119E-3</v>
      </c>
      <c r="AP19" s="299">
        <f t="shared" si="3"/>
        <v>1.1860737814320928E-3</v>
      </c>
      <c r="AQ19" s="299">
        <f t="shared" si="3"/>
        <v>1.1116645605958311E-3</v>
      </c>
      <c r="AR19" s="299">
        <f t="shared" si="3"/>
        <v>1.0587497235372424E-3</v>
      </c>
      <c r="AS19" s="299">
        <f t="shared" si="3"/>
        <v>1.0231600722430505E-3</v>
      </c>
      <c r="AT19" s="299">
        <f t="shared" si="4"/>
        <v>1.0001115584087319E-3</v>
      </c>
      <c r="AU19" s="299">
        <f t="shared" si="4"/>
        <v>9.8554848583905707E-4</v>
      </c>
      <c r="AV19" s="299">
        <f t="shared" si="4"/>
        <v>9.764897840270555E-4</v>
      </c>
      <c r="AW19" s="299">
        <f t="shared" si="4"/>
        <v>9.7090973022017279E-4</v>
      </c>
      <c r="AX19" s="299">
        <f t="shared" si="4"/>
        <v>9.6749313286230963E-4</v>
      </c>
      <c r="AY19" s="299">
        <f t="shared" si="4"/>
        <v>9.6540890603371426E-4</v>
      </c>
      <c r="AZ19" s="306">
        <f t="shared" si="5"/>
        <v>0.10653196606573119</v>
      </c>
      <c r="BA19" s="2">
        <f t="shared" si="5"/>
        <v>0.10653196606573119</v>
      </c>
      <c r="BB19" s="2">
        <f t="shared" si="5"/>
        <v>0.10653196606573119</v>
      </c>
      <c r="BC19" s="2">
        <f t="shared" si="5"/>
        <v>0.10653196606573119</v>
      </c>
      <c r="BD19" s="2">
        <f t="shared" si="5"/>
        <v>0.10653196606573119</v>
      </c>
      <c r="BE19" s="2">
        <f t="shared" si="5"/>
        <v>0.10170835836100371</v>
      </c>
      <c r="BF19" s="2">
        <f t="shared" si="5"/>
        <v>9.9020454595258683E-2</v>
      </c>
      <c r="BG19" s="2">
        <f t="shared" si="5"/>
        <v>9.5185568201747339E-2</v>
      </c>
      <c r="BH19" s="2">
        <f t="shared" si="5"/>
        <v>9.0096131993830111E-2</v>
      </c>
      <c r="BI19" s="2">
        <f t="shared" si="5"/>
        <v>8.3953415241749624E-2</v>
      </c>
      <c r="BJ19" s="2">
        <f t="shared" si="5"/>
        <v>7.7334897240221939E-2</v>
      </c>
      <c r="BK19" s="2">
        <f t="shared" si="5"/>
        <v>7.1021310710487451E-2</v>
      </c>
      <c r="BL19" s="2">
        <f t="shared" si="5"/>
        <v>6.5660792857480416E-2</v>
      </c>
      <c r="BM19" s="2">
        <f t="shared" si="5"/>
        <v>6.154151418148008E-2</v>
      </c>
      <c r="BN19" s="2">
        <f t="shared" si="5"/>
        <v>5.8612160030344376E-2</v>
      </c>
      <c r="BO19" s="2">
        <f t="shared" si="5"/>
        <v>5.664192448675421E-2</v>
      </c>
      <c r="BP19" s="2">
        <f t="shared" si="6"/>
        <v>5.5365963651737141E-2</v>
      </c>
      <c r="BQ19" s="2">
        <f t="shared" si="6"/>
        <v>5.4559755044536237E-2</v>
      </c>
      <c r="BR19" s="2">
        <f t="shared" si="6"/>
        <v>5.4058267234463123E-2</v>
      </c>
      <c r="BS19" s="2">
        <f t="shared" si="6"/>
        <v>5.3749356639790899E-2</v>
      </c>
      <c r="BT19" s="2">
        <f t="shared" si="6"/>
        <v>5.3560214535055051E-2</v>
      </c>
      <c r="BU19" s="2">
        <f t="shared" si="6"/>
        <v>5.344483218009298E-2</v>
      </c>
    </row>
    <row r="20" spans="1:73" x14ac:dyDescent="0.25">
      <c r="A20" t="s">
        <v>12</v>
      </c>
      <c r="B20" s="1" t="s">
        <v>5</v>
      </c>
      <c r="C20" t="s">
        <v>7</v>
      </c>
      <c r="D20" t="s">
        <v>7</v>
      </c>
      <c r="E20" s="97">
        <v>7.3267179999999996</v>
      </c>
      <c r="F20" s="5">
        <f t="shared" si="7"/>
        <v>1.79504591E-2</v>
      </c>
      <c r="G20" s="1">
        <f>LOOKUP(RIGHT(D20,5),Ref!$C$4:$C$21,Ref!$E$4:$E$21)*$G$3</f>
        <v>3.5</v>
      </c>
      <c r="H20" s="36">
        <f t="shared" si="1"/>
        <v>7.3267179999999996</v>
      </c>
      <c r="I20" s="12">
        <f t="shared" si="1"/>
        <v>7.3267179999999996</v>
      </c>
      <c r="J20" s="12">
        <f t="shared" si="1"/>
        <v>7.3267179999999996</v>
      </c>
      <c r="K20" s="12">
        <f t="shared" si="1"/>
        <v>7.3267179999999996</v>
      </c>
      <c r="L20" s="12">
        <f t="shared" si="1"/>
        <v>7.3267179999999996</v>
      </c>
      <c r="M20" s="12">
        <f t="shared" si="8"/>
        <v>7.6741939986757952</v>
      </c>
      <c r="N20" s="12">
        <f t="shared" si="2"/>
        <v>7.8825094930088841</v>
      </c>
      <c r="O20" s="12">
        <f t="shared" si="2"/>
        <v>8.2000841944320442</v>
      </c>
      <c r="P20" s="12">
        <f t="shared" si="2"/>
        <v>8.6632983689314589</v>
      </c>
      <c r="Q20" s="12">
        <f t="shared" si="2"/>
        <v>9.2971759528971276</v>
      </c>
      <c r="R20" s="12">
        <f t="shared" si="2"/>
        <v>10.09285201381541</v>
      </c>
      <c r="S20" s="12">
        <f t="shared" si="2"/>
        <v>10.990076999999999</v>
      </c>
      <c r="T20" s="12">
        <f t="shared" si="2"/>
        <v>11.887301986184589</v>
      </c>
      <c r="U20" s="12">
        <f t="shared" si="2"/>
        <v>12.682978047102871</v>
      </c>
      <c r="V20" s="12">
        <f t="shared" si="2"/>
        <v>13.31685563106854</v>
      </c>
      <c r="W20" s="12">
        <f t="shared" si="2"/>
        <v>13.780069805567953</v>
      </c>
      <c r="X20" s="12">
        <f t="shared" si="2"/>
        <v>14.097644506991115</v>
      </c>
      <c r="Y20" s="12">
        <f t="shared" si="2"/>
        <v>14.305960001324204</v>
      </c>
      <c r="Z20" s="12">
        <f t="shared" si="2"/>
        <v>14.438673551333883</v>
      </c>
      <c r="AA20" s="12">
        <f t="shared" si="2"/>
        <v>14.521656111718963</v>
      </c>
      <c r="AB20" s="12">
        <f t="shared" si="2"/>
        <v>14.572937769663465</v>
      </c>
      <c r="AC20" s="12">
        <f t="shared" si="2"/>
        <v>14.604399368661726</v>
      </c>
      <c r="AD20" s="300">
        <f t="shared" si="3"/>
        <v>1.8758190370544165E-3</v>
      </c>
      <c r="AE20" s="299">
        <f t="shared" si="3"/>
        <v>1.8758190370544165E-3</v>
      </c>
      <c r="AF20" s="299">
        <f t="shared" si="3"/>
        <v>1.8758190370544165E-3</v>
      </c>
      <c r="AG20" s="299">
        <f t="shared" si="3"/>
        <v>1.8758190370544165E-3</v>
      </c>
      <c r="AH20" s="299">
        <f t="shared" si="3"/>
        <v>1.8758190370544165E-3</v>
      </c>
      <c r="AI20" s="299">
        <f t="shared" si="3"/>
        <v>1.7908847633902347E-3</v>
      </c>
      <c r="AJ20" s="299">
        <f t="shared" si="3"/>
        <v>1.7435560484536888E-3</v>
      </c>
      <c r="AK20" s="299">
        <f t="shared" si="3"/>
        <v>1.6760312184186264E-3</v>
      </c>
      <c r="AL20" s="299">
        <f t="shared" si="3"/>
        <v>1.5864162260435237E-3</v>
      </c>
      <c r="AM20" s="299">
        <f t="shared" si="3"/>
        <v>1.4782550285333221E-3</v>
      </c>
      <c r="AN20" s="299">
        <f t="shared" si="3"/>
        <v>1.3617159039602082E-3</v>
      </c>
      <c r="AO20" s="299">
        <f t="shared" si="3"/>
        <v>1.2505460247029443E-3</v>
      </c>
      <c r="AP20" s="299">
        <f t="shared" si="3"/>
        <v>1.1561578160882977E-3</v>
      </c>
      <c r="AQ20" s="299">
        <f t="shared" si="3"/>
        <v>1.0836253955882752E-3</v>
      </c>
      <c r="AR20" s="299">
        <f t="shared" si="3"/>
        <v>1.0320452127952128E-3</v>
      </c>
      <c r="AS20" s="299">
        <f t="shared" si="3"/>
        <v>9.9735322806391333E-4</v>
      </c>
      <c r="AT20" s="299">
        <f t="shared" si="4"/>
        <v>9.7488605963313372E-4</v>
      </c>
      <c r="AU20" s="299">
        <f t="shared" si="4"/>
        <v>9.6069030685512263E-4</v>
      </c>
      <c r="AV20" s="299">
        <f t="shared" si="4"/>
        <v>9.5186008982518961E-4</v>
      </c>
      <c r="AW20" s="299">
        <f t="shared" si="4"/>
        <v>9.4642077995761033E-4</v>
      </c>
      <c r="AX20" s="299">
        <f t="shared" si="4"/>
        <v>9.4309035835858385E-4</v>
      </c>
      <c r="AY20" s="299">
        <f t="shared" si="4"/>
        <v>9.4105870132669847E-4</v>
      </c>
      <c r="AZ20" s="306">
        <f t="shared" si="5"/>
        <v>0.10384494384610105</v>
      </c>
      <c r="BA20" s="2">
        <f t="shared" si="5"/>
        <v>0.10384494384610105</v>
      </c>
      <c r="BB20" s="2">
        <f t="shared" si="5"/>
        <v>0.10384494384610105</v>
      </c>
      <c r="BC20" s="2">
        <f t="shared" si="5"/>
        <v>0.10384494384610105</v>
      </c>
      <c r="BD20" s="2">
        <f t="shared" si="5"/>
        <v>0.10384494384610105</v>
      </c>
      <c r="BE20" s="2">
        <f t="shared" si="5"/>
        <v>9.9143000478943255E-2</v>
      </c>
      <c r="BF20" s="2">
        <f t="shared" si="5"/>
        <v>9.6522892863119353E-2</v>
      </c>
      <c r="BG20" s="2">
        <f t="shared" si="5"/>
        <v>9.2784732601018785E-2</v>
      </c>
      <c r="BH20" s="2">
        <f t="shared" si="5"/>
        <v>8.7823665639264012E-2</v>
      </c>
      <c r="BI20" s="2">
        <f t="shared" si="5"/>
        <v>8.1835884696699626E-2</v>
      </c>
      <c r="BJ20" s="2">
        <f t="shared" si="5"/>
        <v>7.538430348971259E-2</v>
      </c>
      <c r="BK20" s="2">
        <f t="shared" si="5"/>
        <v>6.9229962564067368E-2</v>
      </c>
      <c r="BL20" s="2">
        <f t="shared" si="5"/>
        <v>6.4004651364158865E-2</v>
      </c>
      <c r="BM20" s="2">
        <f t="shared" si="5"/>
        <v>5.9989271956519263E-2</v>
      </c>
      <c r="BN20" s="2">
        <f t="shared" si="5"/>
        <v>5.7133803982311999E-2</v>
      </c>
      <c r="BO20" s="2">
        <f t="shared" si="5"/>
        <v>5.5213263069160426E-2</v>
      </c>
      <c r="BP20" s="2">
        <f t="shared" si="6"/>
        <v>5.3969485392322873E-2</v>
      </c>
      <c r="BQ20" s="2">
        <f t="shared" si="6"/>
        <v>5.3183611530843916E-2</v>
      </c>
      <c r="BR20" s="2">
        <f t="shared" si="6"/>
        <v>5.2694772589822081E-2</v>
      </c>
      <c r="BS20" s="2">
        <f t="shared" si="6"/>
        <v>5.2393653549764101E-2</v>
      </c>
      <c r="BT20" s="2">
        <f t="shared" si="6"/>
        <v>5.2209282116751125E-2</v>
      </c>
      <c r="BU20" s="2">
        <f t="shared" si="6"/>
        <v>5.2096810014579706E-2</v>
      </c>
    </row>
    <row r="21" spans="1:73" x14ac:dyDescent="0.25">
      <c r="A21" t="s">
        <v>12</v>
      </c>
      <c r="B21" s="1" t="s">
        <v>5</v>
      </c>
      <c r="C21" t="s">
        <v>8</v>
      </c>
      <c r="D21" t="s">
        <v>8</v>
      </c>
      <c r="E21" s="97">
        <v>7.532578</v>
      </c>
      <c r="F21" s="5">
        <f t="shared" si="7"/>
        <v>1.84548161E-2</v>
      </c>
      <c r="G21" s="1">
        <f>LOOKUP(RIGHT(D21,5),Ref!$C$4:$C$21,Ref!$E$4:$E$21)*$G$3</f>
        <v>4</v>
      </c>
      <c r="H21" s="36">
        <f t="shared" si="1"/>
        <v>7.532578</v>
      </c>
      <c r="I21" s="12">
        <f t="shared" si="1"/>
        <v>7.532578</v>
      </c>
      <c r="J21" s="12">
        <f t="shared" si="1"/>
        <v>7.532578</v>
      </c>
      <c r="K21" s="12">
        <f t="shared" si="1"/>
        <v>7.532578</v>
      </c>
      <c r="L21" s="12">
        <f t="shared" si="1"/>
        <v>7.532578</v>
      </c>
      <c r="M21" s="12">
        <f t="shared" si="8"/>
        <v>7.8898170889281296</v>
      </c>
      <c r="N21" s="12">
        <f t="shared" si="2"/>
        <v>8.1039856579480585</v>
      </c>
      <c r="O21" s="12">
        <f t="shared" si="2"/>
        <v>8.4304833079595181</v>
      </c>
      <c r="P21" s="12">
        <f t="shared" si="2"/>
        <v>8.9067124872622365</v>
      </c>
      <c r="Q21" s="12">
        <f t="shared" si="2"/>
        <v>9.5584002339003558</v>
      </c>
      <c r="R21" s="12">
        <f t="shared" si="2"/>
        <v>10.376432535894198</v>
      </c>
      <c r="S21" s="12">
        <f t="shared" si="2"/>
        <v>11.298867</v>
      </c>
      <c r="T21" s="12">
        <f t="shared" si="2"/>
        <v>12.221301464105803</v>
      </c>
      <c r="U21" s="12">
        <f t="shared" si="2"/>
        <v>13.039333766099643</v>
      </c>
      <c r="V21" s="12">
        <f t="shared" si="2"/>
        <v>13.691021512737764</v>
      </c>
      <c r="W21" s="12">
        <f t="shared" si="2"/>
        <v>14.167250692040479</v>
      </c>
      <c r="X21" s="12">
        <f t="shared" si="2"/>
        <v>14.493748342051942</v>
      </c>
      <c r="Y21" s="12">
        <f t="shared" si="2"/>
        <v>14.707916911071871</v>
      </c>
      <c r="Z21" s="12">
        <f t="shared" si="2"/>
        <v>14.84435933551141</v>
      </c>
      <c r="AA21" s="12">
        <f t="shared" si="2"/>
        <v>14.929673470536168</v>
      </c>
      <c r="AB21" s="12">
        <f t="shared" si="2"/>
        <v>14.982395997653532</v>
      </c>
      <c r="AC21" s="12">
        <f t="shared" ref="AC21:AC51" si="9">AC$3*$E21</f>
        <v>15.014741578370453</v>
      </c>
      <c r="AD21" s="300">
        <f t="shared" si="3"/>
        <v>1.8245542367472676E-3</v>
      </c>
      <c r="AE21" s="299">
        <f t="shared" si="3"/>
        <v>1.8245542367472676E-3</v>
      </c>
      <c r="AF21" s="299">
        <f t="shared" si="3"/>
        <v>1.8245542367472676E-3</v>
      </c>
      <c r="AG21" s="299">
        <f t="shared" si="3"/>
        <v>1.8245542367472676E-3</v>
      </c>
      <c r="AH21" s="299">
        <f t="shared" si="3"/>
        <v>1.8245542367472676E-3</v>
      </c>
      <c r="AI21" s="299">
        <f t="shared" si="3"/>
        <v>1.7419411563819149E-3</v>
      </c>
      <c r="AJ21" s="299">
        <f t="shared" si="3"/>
        <v>1.6959059015671011E-3</v>
      </c>
      <c r="AK21" s="299">
        <f t="shared" si="3"/>
        <v>1.6302264771170881E-3</v>
      </c>
      <c r="AL21" s="299">
        <f t="shared" si="3"/>
        <v>1.5430605987545238E-3</v>
      </c>
      <c r="AM21" s="299">
        <f t="shared" si="3"/>
        <v>1.4378553698541992E-3</v>
      </c>
      <c r="AN21" s="299">
        <f t="shared" si="3"/>
        <v>1.3245011766796877E-3</v>
      </c>
      <c r="AO21" s="299">
        <f t="shared" si="3"/>
        <v>1.216369491164845E-3</v>
      </c>
      <c r="AP21" s="299">
        <f t="shared" si="3"/>
        <v>1.1245608451681244E-3</v>
      </c>
      <c r="AQ21" s="299">
        <f t="shared" si="3"/>
        <v>1.0540106841394456E-3</v>
      </c>
      <c r="AR21" s="299">
        <f t="shared" si="3"/>
        <v>1.0038401510612323E-3</v>
      </c>
      <c r="AS21" s="299">
        <f t="shared" ref="AS21:AV84" si="10">Algae_electricity_factor/W21</f>
        <v>9.7009627360167782E-4</v>
      </c>
      <c r="AT21" s="299">
        <f t="shared" si="4"/>
        <v>9.4824311690674208E-4</v>
      </c>
      <c r="AU21" s="299">
        <f t="shared" si="4"/>
        <v>9.3443532395694401E-4</v>
      </c>
      <c r="AV21" s="299">
        <f t="shared" si="4"/>
        <v>9.2584643047889225E-4</v>
      </c>
      <c r="AW21" s="299">
        <f t="shared" si="4"/>
        <v>9.2055577308186684E-4</v>
      </c>
      <c r="AX21" s="299">
        <f t="shared" si="4"/>
        <v>9.173163695367359E-4</v>
      </c>
      <c r="AY21" s="299">
        <f t="shared" si="4"/>
        <v>9.1534023624673328E-4</v>
      </c>
      <c r="AZ21" s="306">
        <f t="shared" si="5"/>
        <v>0.1010069353793904</v>
      </c>
      <c r="BA21" s="2">
        <f t="shared" si="5"/>
        <v>0.1010069353793904</v>
      </c>
      <c r="BB21" s="2">
        <f t="shared" si="5"/>
        <v>0.1010069353793904</v>
      </c>
      <c r="BC21" s="2">
        <f t="shared" si="5"/>
        <v>0.1010069353793904</v>
      </c>
      <c r="BD21" s="2">
        <f t="shared" si="5"/>
        <v>0.1010069353793904</v>
      </c>
      <c r="BE21" s="2">
        <f t="shared" si="5"/>
        <v>9.6433492780702984E-2</v>
      </c>
      <c r="BF21" s="2">
        <f t="shared" si="5"/>
        <v>9.3884990842748386E-2</v>
      </c>
      <c r="BG21" s="2">
        <f t="shared" si="5"/>
        <v>9.0248991842244594E-2</v>
      </c>
      <c r="BH21" s="2">
        <f t="shared" si="5"/>
        <v>8.5423507312526611E-2</v>
      </c>
      <c r="BI21" s="2">
        <f t="shared" si="5"/>
        <v>7.9599368164954096E-2</v>
      </c>
      <c r="BJ21" s="2">
        <f t="shared" si="5"/>
        <v>7.33241040843573E-2</v>
      </c>
      <c r="BK21" s="2">
        <f t="shared" si="5"/>
        <v>6.73379569195936E-2</v>
      </c>
      <c r="BL21" s="2">
        <f t="shared" si="5"/>
        <v>6.2255449758835187E-2</v>
      </c>
      <c r="BM21" s="2">
        <f t="shared" si="5"/>
        <v>5.8349807814897493E-2</v>
      </c>
      <c r="BN21" s="2">
        <f t="shared" si="5"/>
        <v>5.5572377749779293E-2</v>
      </c>
      <c r="BO21" s="2">
        <f t="shared" ref="BO21:BR84" si="11">Algae_yield_cost_factor/W21</f>
        <v>5.3704323854004955E-2</v>
      </c>
      <c r="BP21" s="2">
        <f t="shared" si="6"/>
        <v>5.2494537736571603E-2</v>
      </c>
      <c r="BQ21" s="2">
        <f t="shared" si="6"/>
        <v>5.1730141248858177E-2</v>
      </c>
      <c r="BR21" s="2">
        <f t="shared" si="6"/>
        <v>5.1254661928460094E-2</v>
      </c>
      <c r="BS21" s="2">
        <f t="shared" si="6"/>
        <v>5.0961772257628199E-2</v>
      </c>
      <c r="BT21" s="2">
        <f t="shared" si="6"/>
        <v>5.0782439564765018E-2</v>
      </c>
      <c r="BU21" s="2">
        <f t="shared" si="6"/>
        <v>5.0673041245162205E-2</v>
      </c>
    </row>
    <row r="22" spans="1:73" x14ac:dyDescent="0.25">
      <c r="A22" t="s">
        <v>12</v>
      </c>
      <c r="B22" s="1" t="s">
        <v>5</v>
      </c>
      <c r="C22" t="s">
        <v>9</v>
      </c>
      <c r="D22" t="s">
        <v>9</v>
      </c>
      <c r="E22" s="97">
        <v>7.5971099999999998</v>
      </c>
      <c r="F22" s="5">
        <f t="shared" si="7"/>
        <v>1.8612919500000002E-2</v>
      </c>
      <c r="G22" s="1">
        <f>LOOKUP(RIGHT(D22,5),Ref!$C$4:$C$21,Ref!$E$4:$E$21)*$G$3</f>
        <v>4.5</v>
      </c>
      <c r="H22" s="36">
        <f t="shared" ref="H22:L37" si="12">$E22</f>
        <v>7.5971099999999998</v>
      </c>
      <c r="I22" s="12">
        <f t="shared" si="12"/>
        <v>7.5971099999999998</v>
      </c>
      <c r="J22" s="12">
        <f t="shared" si="12"/>
        <v>7.5971099999999998</v>
      </c>
      <c r="K22" s="12">
        <f t="shared" si="12"/>
        <v>7.5971099999999998</v>
      </c>
      <c r="L22" s="12">
        <f t="shared" si="12"/>
        <v>7.5971099999999998</v>
      </c>
      <c r="M22" s="12">
        <f t="shared" si="8"/>
        <v>7.9574095753760243</v>
      </c>
      <c r="N22" s="12">
        <f t="shared" si="8"/>
        <v>8.1734129380211886</v>
      </c>
      <c r="O22" s="12">
        <f t="shared" si="8"/>
        <v>8.502707710923449</v>
      </c>
      <c r="P22" s="12">
        <f t="shared" si="8"/>
        <v>8.9830167711645075</v>
      </c>
      <c r="Q22" s="12">
        <f t="shared" si="8"/>
        <v>9.6402875617042039</v>
      </c>
      <c r="R22" s="12">
        <f t="shared" si="8"/>
        <v>10.46532799033308</v>
      </c>
      <c r="S22" s="12">
        <f t="shared" si="8"/>
        <v>11.395664999999999</v>
      </c>
      <c r="T22" s="12">
        <f t="shared" si="8"/>
        <v>12.326002009666921</v>
      </c>
      <c r="U22" s="12">
        <f t="shared" si="8"/>
        <v>13.151042438295795</v>
      </c>
      <c r="V22" s="12">
        <f t="shared" si="8"/>
        <v>13.808313228835491</v>
      </c>
      <c r="W22" s="12">
        <f t="shared" si="8"/>
        <v>14.288622289076548</v>
      </c>
      <c r="X22" s="12">
        <f t="shared" si="8"/>
        <v>14.617917061978812</v>
      </c>
      <c r="Y22" s="12">
        <f t="shared" si="8"/>
        <v>14.833920424623976</v>
      </c>
      <c r="Z22" s="12">
        <f t="shared" si="8"/>
        <v>14.971531758636564</v>
      </c>
      <c r="AA22" s="12">
        <f t="shared" si="8"/>
        <v>15.057576784434895</v>
      </c>
      <c r="AB22" s="12">
        <f t="shared" si="8"/>
        <v>15.110750988271695</v>
      </c>
      <c r="AC22" s="12">
        <f t="shared" si="9"/>
        <v>15.143373675314606</v>
      </c>
      <c r="AD22" s="300">
        <f t="shared" ref="AD22:AR38" si="13">Algae_electricity_factor/H22</f>
        <v>1.8090559572691799E-3</v>
      </c>
      <c r="AE22" s="299">
        <f t="shared" si="13"/>
        <v>1.8090559572691799E-3</v>
      </c>
      <c r="AF22" s="299">
        <f t="shared" si="13"/>
        <v>1.8090559572691799E-3</v>
      </c>
      <c r="AG22" s="299">
        <f t="shared" si="13"/>
        <v>1.8090559572691799E-3</v>
      </c>
      <c r="AH22" s="299">
        <f t="shared" si="13"/>
        <v>1.8090559572691799E-3</v>
      </c>
      <c r="AI22" s="299">
        <f t="shared" si="13"/>
        <v>1.7271446157627007E-3</v>
      </c>
      <c r="AJ22" s="299">
        <f t="shared" si="13"/>
        <v>1.6815003974161903E-3</v>
      </c>
      <c r="AK22" s="299">
        <f t="shared" si="13"/>
        <v>1.6163788725646569E-3</v>
      </c>
      <c r="AL22" s="299">
        <f t="shared" si="13"/>
        <v>1.5299534058142049E-3</v>
      </c>
      <c r="AM22" s="299">
        <f t="shared" si="13"/>
        <v>1.4256418198690824E-3</v>
      </c>
      <c r="AN22" s="299">
        <f t="shared" si="13"/>
        <v>1.3132504892559838E-3</v>
      </c>
      <c r="AO22" s="299">
        <f t="shared" si="13"/>
        <v>1.20603730484612E-3</v>
      </c>
      <c r="AP22" s="299">
        <f t="shared" si="13"/>
        <v>1.1150085074422803E-3</v>
      </c>
      <c r="AQ22" s="299">
        <f t="shared" si="13"/>
        <v>1.0450576194255101E-3</v>
      </c>
      <c r="AR22" s="299">
        <f t="shared" si="13"/>
        <v>9.95313249038189E-4</v>
      </c>
      <c r="AS22" s="299">
        <f t="shared" si="10"/>
        <v>9.6185600161297904E-4</v>
      </c>
      <c r="AT22" s="299">
        <f t="shared" si="4"/>
        <v>9.401884718087738E-4</v>
      </c>
      <c r="AU22" s="299">
        <f t="shared" si="4"/>
        <v>9.2649796615567627E-4</v>
      </c>
      <c r="AV22" s="299">
        <f t="shared" si="4"/>
        <v>9.1798202916685862E-4</v>
      </c>
      <c r="AW22" s="299">
        <f t="shared" si="4"/>
        <v>9.1273631210940238E-4</v>
      </c>
      <c r="AX22" s="299">
        <f t="shared" si="4"/>
        <v>9.0952442497374477E-4</v>
      </c>
      <c r="AY22" s="299">
        <f t="shared" si="4"/>
        <v>9.0756507751854935E-4</v>
      </c>
      <c r="AZ22" s="306">
        <f t="shared" ref="AZ22:BN38" si="14">Algae_yield_cost_factor/H22</f>
        <v>0.10014895391618889</v>
      </c>
      <c r="BA22" s="2">
        <f t="shared" si="14"/>
        <v>0.10014895391618889</v>
      </c>
      <c r="BB22" s="2">
        <f t="shared" si="14"/>
        <v>0.10014895391618889</v>
      </c>
      <c r="BC22" s="2">
        <f t="shared" si="14"/>
        <v>0.10014895391618889</v>
      </c>
      <c r="BD22" s="2">
        <f t="shared" si="14"/>
        <v>0.10014895391618889</v>
      </c>
      <c r="BE22" s="2">
        <f t="shared" si="14"/>
        <v>9.5614359431821061E-2</v>
      </c>
      <c r="BF22" s="2">
        <f t="shared" si="14"/>
        <v>9.3087505189774544E-2</v>
      </c>
      <c r="BG22" s="2">
        <f t="shared" si="14"/>
        <v>8.9482391392657359E-2</v>
      </c>
      <c r="BH22" s="2">
        <f t="shared" si="14"/>
        <v>8.4697895892671973E-2</v>
      </c>
      <c r="BI22" s="2">
        <f t="shared" si="14"/>
        <v>7.8923228629470099E-2</v>
      </c>
      <c r="BJ22" s="2">
        <f t="shared" si="14"/>
        <v>7.2701268415955533E-2</v>
      </c>
      <c r="BK22" s="2">
        <f t="shared" si="14"/>
        <v>6.6765969277459258E-2</v>
      </c>
      <c r="BL22" s="2">
        <f t="shared" si="14"/>
        <v>6.1726634369320348E-2</v>
      </c>
      <c r="BM22" s="2">
        <f t="shared" si="14"/>
        <v>5.7854168052157325E-2</v>
      </c>
      <c r="BN22" s="2">
        <f t="shared" si="14"/>
        <v>5.5100330263176005E-2</v>
      </c>
      <c r="BO22" s="2">
        <f t="shared" si="11"/>
        <v>5.3248144145280639E-2</v>
      </c>
      <c r="BP22" s="2">
        <f t="shared" si="6"/>
        <v>5.2048634293128442E-2</v>
      </c>
      <c r="BQ22" s="2">
        <f t="shared" si="6"/>
        <v>5.1290730805272224E-2</v>
      </c>
      <c r="BR22" s="2">
        <f t="shared" si="6"/>
        <v>5.0819290340636904E-2</v>
      </c>
      <c r="BS22" s="2">
        <f t="shared" si="6"/>
        <v>5.0528888557467309E-2</v>
      </c>
      <c r="BT22" s="2">
        <f t="shared" si="6"/>
        <v>5.0351079167193648E-2</v>
      </c>
      <c r="BU22" s="2">
        <f t="shared" si="6"/>
        <v>5.0242610107843824E-2</v>
      </c>
    </row>
    <row r="23" spans="1:73" x14ac:dyDescent="0.25">
      <c r="A23" t="s">
        <v>12</v>
      </c>
      <c r="B23" s="1" t="s">
        <v>5</v>
      </c>
      <c r="C23" t="s">
        <v>10</v>
      </c>
      <c r="D23" t="s">
        <v>10</v>
      </c>
      <c r="E23" s="97">
        <v>7.6405450000000004</v>
      </c>
      <c r="F23" s="5">
        <f t="shared" si="7"/>
        <v>1.871933525E-2</v>
      </c>
      <c r="G23" s="1">
        <f>LOOKUP(RIGHT(D23,5),Ref!$C$4:$C$21,Ref!$E$4:$E$21)*$G$3</f>
        <v>4.5</v>
      </c>
      <c r="H23" s="36">
        <f t="shared" si="12"/>
        <v>7.6405450000000004</v>
      </c>
      <c r="I23" s="12">
        <f t="shared" si="12"/>
        <v>7.6405450000000004</v>
      </c>
      <c r="J23" s="12">
        <f t="shared" si="12"/>
        <v>7.6405450000000004</v>
      </c>
      <c r="K23" s="12">
        <f t="shared" si="12"/>
        <v>7.6405450000000004</v>
      </c>
      <c r="L23" s="12">
        <f t="shared" si="12"/>
        <v>7.6405450000000004</v>
      </c>
      <c r="M23" s="12">
        <f t="shared" si="8"/>
        <v>8.0029045181774929</v>
      </c>
      <c r="N23" s="12">
        <f t="shared" si="8"/>
        <v>8.2201428380704122</v>
      </c>
      <c r="O23" s="12">
        <f t="shared" si="8"/>
        <v>8.5513202898414811</v>
      </c>
      <c r="P23" s="12">
        <f t="shared" si="8"/>
        <v>9.0343754237910368</v>
      </c>
      <c r="Q23" s="12">
        <f t="shared" si="8"/>
        <v>9.6954040323414112</v>
      </c>
      <c r="R23" s="12">
        <f t="shared" si="8"/>
        <v>10.525161469282327</v>
      </c>
      <c r="S23" s="12">
        <f t="shared" si="8"/>
        <v>11.460817500000001</v>
      </c>
      <c r="T23" s="12">
        <f t="shared" si="8"/>
        <v>12.396473530717675</v>
      </c>
      <c r="U23" s="12">
        <f t="shared" si="8"/>
        <v>13.226230967658591</v>
      </c>
      <c r="V23" s="12">
        <f t="shared" si="8"/>
        <v>13.887259576208963</v>
      </c>
      <c r="W23" s="12">
        <f t="shared" si="8"/>
        <v>14.370314710158519</v>
      </c>
      <c r="X23" s="12">
        <f t="shared" si="8"/>
        <v>14.70149216192959</v>
      </c>
      <c r="Y23" s="12">
        <f t="shared" si="8"/>
        <v>14.918730481822509</v>
      </c>
      <c r="Z23" s="12">
        <f t="shared" si="8"/>
        <v>15.057128581893879</v>
      </c>
      <c r="AA23" s="12">
        <f t="shared" si="8"/>
        <v>15.143665553405192</v>
      </c>
      <c r="AB23" s="12">
        <f t="shared" si="8"/>
        <v>15.197143770418537</v>
      </c>
      <c r="AC23" s="12">
        <f t="shared" si="9"/>
        <v>15.229952971334711</v>
      </c>
      <c r="AD23" s="300">
        <f t="shared" si="13"/>
        <v>1.7987718289113222E-3</v>
      </c>
      <c r="AE23" s="299">
        <f t="shared" si="13"/>
        <v>1.7987718289113222E-3</v>
      </c>
      <c r="AF23" s="299">
        <f t="shared" si="13"/>
        <v>1.7987718289113222E-3</v>
      </c>
      <c r="AG23" s="299">
        <f t="shared" si="13"/>
        <v>1.7987718289113222E-3</v>
      </c>
      <c r="AH23" s="299">
        <f t="shared" si="13"/>
        <v>1.7987718289113222E-3</v>
      </c>
      <c r="AI23" s="299">
        <f t="shared" si="13"/>
        <v>1.7173261373183419E-3</v>
      </c>
      <c r="AJ23" s="299">
        <f t="shared" si="13"/>
        <v>1.6719413974022157E-3</v>
      </c>
      <c r="AK23" s="299">
        <f t="shared" si="13"/>
        <v>1.6071900756490119E-3</v>
      </c>
      <c r="AL23" s="299">
        <f t="shared" si="13"/>
        <v>1.5212559207288423E-3</v>
      </c>
      <c r="AM23" s="299">
        <f t="shared" si="13"/>
        <v>1.4175373256941229E-3</v>
      </c>
      <c r="AN23" s="299">
        <f t="shared" si="13"/>
        <v>1.3057849177554124E-3</v>
      </c>
      <c r="AO23" s="299">
        <f t="shared" si="13"/>
        <v>1.1991812192742148E-3</v>
      </c>
      <c r="AP23" s="299">
        <f t="shared" si="13"/>
        <v>1.1086699027327005E-3</v>
      </c>
      <c r="AQ23" s="299">
        <f t="shared" si="13"/>
        <v>1.0391166717968073E-3</v>
      </c>
      <c r="AR23" s="299">
        <f t="shared" si="13"/>
        <v>9.8965508840017508E-4</v>
      </c>
      <c r="AS23" s="299">
        <f t="shared" si="10"/>
        <v>9.563880388655492E-4</v>
      </c>
      <c r="AT23" s="299">
        <f t="shared" si="4"/>
        <v>9.3484368471923843E-4</v>
      </c>
      <c r="AU23" s="299">
        <f t="shared" si="4"/>
        <v>9.2123100690604529E-4</v>
      </c>
      <c r="AV23" s="299">
        <f t="shared" si="4"/>
        <v>9.1276348134901797E-4</v>
      </c>
      <c r="AW23" s="299">
        <f t="shared" si="4"/>
        <v>9.0754758516433862E-4</v>
      </c>
      <c r="AX23" s="299">
        <f t="shared" si="4"/>
        <v>9.0435395697719019E-4</v>
      </c>
      <c r="AY23" s="299">
        <f t="shared" si="4"/>
        <v>9.0240574802804587E-4</v>
      </c>
      <c r="AZ23" s="306">
        <f t="shared" si="14"/>
        <v>9.9579626752570358E-2</v>
      </c>
      <c r="BA23" s="2">
        <f t="shared" si="14"/>
        <v>9.9579626752570358E-2</v>
      </c>
      <c r="BB23" s="2">
        <f t="shared" si="14"/>
        <v>9.9579626752570358E-2</v>
      </c>
      <c r="BC23" s="2">
        <f t="shared" si="14"/>
        <v>9.9579626752570358E-2</v>
      </c>
      <c r="BD23" s="2">
        <f t="shared" si="14"/>
        <v>9.9579626752570358E-2</v>
      </c>
      <c r="BE23" s="2">
        <f t="shared" si="14"/>
        <v>9.5070810548603793E-2</v>
      </c>
      <c r="BF23" s="2">
        <f t="shared" si="14"/>
        <v>9.255832097740252E-2</v>
      </c>
      <c r="BG23" s="2">
        <f t="shared" si="14"/>
        <v>8.897370154525247E-2</v>
      </c>
      <c r="BH23" s="2">
        <f t="shared" si="14"/>
        <v>8.4216404963936106E-2</v>
      </c>
      <c r="BI23" s="2">
        <f t="shared" si="14"/>
        <v>7.8474565551702596E-2</v>
      </c>
      <c r="BJ23" s="2">
        <f t="shared" si="14"/>
        <v>7.2287975961863968E-2</v>
      </c>
      <c r="BK23" s="2">
        <f t="shared" si="14"/>
        <v>6.638641783504691E-2</v>
      </c>
      <c r="BL23" s="2">
        <f t="shared" si="14"/>
        <v>6.137573055763787E-2</v>
      </c>
      <c r="BM23" s="2">
        <f t="shared" si="14"/>
        <v>5.7525278452090121E-2</v>
      </c>
      <c r="BN23" s="2">
        <f t="shared" si="14"/>
        <v>5.4787095690906472E-2</v>
      </c>
      <c r="BO23" s="2">
        <f t="shared" si="11"/>
        <v>5.2945438887874216E-2</v>
      </c>
      <c r="BP23" s="2">
        <f t="shared" si="6"/>
        <v>5.1752748014005416E-2</v>
      </c>
      <c r="BQ23" s="2">
        <f t="shared" si="6"/>
        <v>5.0999153058851381E-2</v>
      </c>
      <c r="BR23" s="2">
        <f t="shared" si="6"/>
        <v>5.0530392640807172E-2</v>
      </c>
      <c r="BS23" s="2">
        <f t="shared" si="6"/>
        <v>5.0241641734826564E-2</v>
      </c>
      <c r="BT23" s="2">
        <f t="shared" si="6"/>
        <v>5.0064843156067858E-2</v>
      </c>
      <c r="BU23" s="2">
        <f t="shared" si="6"/>
        <v>4.9956990722049462E-2</v>
      </c>
    </row>
    <row r="24" spans="1:73" x14ac:dyDescent="0.25">
      <c r="A24" t="s">
        <v>12</v>
      </c>
      <c r="B24" s="1" t="s">
        <v>5</v>
      </c>
      <c r="C24" t="s">
        <v>11</v>
      </c>
      <c r="D24" t="s">
        <v>11</v>
      </c>
      <c r="E24" s="97">
        <v>7.4933040000000002</v>
      </c>
      <c r="F24" s="5">
        <f t="shared" si="7"/>
        <v>1.8358594800000003E-2</v>
      </c>
      <c r="G24" s="1">
        <f>LOOKUP(RIGHT(D24,5),Ref!$C$4:$C$21,Ref!$E$4:$E$21)*$G$3</f>
        <v>4.5</v>
      </c>
      <c r="H24" s="36">
        <f t="shared" si="12"/>
        <v>7.4933040000000002</v>
      </c>
      <c r="I24" s="12">
        <f t="shared" si="12"/>
        <v>7.4933040000000002</v>
      </c>
      <c r="J24" s="12">
        <f t="shared" si="12"/>
        <v>7.4933040000000002</v>
      </c>
      <c r="K24" s="12">
        <f t="shared" si="12"/>
        <v>7.4933040000000002</v>
      </c>
      <c r="L24" s="12">
        <f t="shared" si="12"/>
        <v>7.4933040000000002</v>
      </c>
      <c r="M24" s="12">
        <f t="shared" si="8"/>
        <v>7.8486804851849534</v>
      </c>
      <c r="N24" s="12">
        <f t="shared" si="8"/>
        <v>8.0617324037859035</v>
      </c>
      <c r="O24" s="12">
        <f t="shared" si="8"/>
        <v>8.3865277324000225</v>
      </c>
      <c r="P24" s="12">
        <f t="shared" si="8"/>
        <v>8.8602739072402663</v>
      </c>
      <c r="Q24" s="12">
        <f t="shared" si="8"/>
        <v>9.5085638285174703</v>
      </c>
      <c r="R24" s="12">
        <f t="shared" si="8"/>
        <v>10.32233100366782</v>
      </c>
      <c r="S24" s="12">
        <f t="shared" si="8"/>
        <v>11.239955999999999</v>
      </c>
      <c r="T24" s="12">
        <f t="shared" si="8"/>
        <v>12.157580996332181</v>
      </c>
      <c r="U24" s="12">
        <f t="shared" si="8"/>
        <v>12.97134817148253</v>
      </c>
      <c r="V24" s="12">
        <f t="shared" si="8"/>
        <v>13.619638092759734</v>
      </c>
      <c r="W24" s="12">
        <f t="shared" si="8"/>
        <v>14.093384267599976</v>
      </c>
      <c r="X24" s="12">
        <f t="shared" si="8"/>
        <v>14.418179596214097</v>
      </c>
      <c r="Y24" s="12">
        <f t="shared" si="8"/>
        <v>14.631231514815047</v>
      </c>
      <c r="Z24" s="12">
        <f t="shared" si="8"/>
        <v>14.76696254406194</v>
      </c>
      <c r="AA24" s="12">
        <f t="shared" si="8"/>
        <v>14.85183186094622</v>
      </c>
      <c r="AB24" s="12">
        <f t="shared" si="8"/>
        <v>14.904279498838406</v>
      </c>
      <c r="AC24" s="12">
        <f t="shared" si="9"/>
        <v>14.936456433397653</v>
      </c>
      <c r="AD24" s="300">
        <f t="shared" si="13"/>
        <v>1.8341171135628901E-3</v>
      </c>
      <c r="AE24" s="299">
        <f t="shared" si="13"/>
        <v>1.8341171135628901E-3</v>
      </c>
      <c r="AF24" s="299">
        <f t="shared" si="13"/>
        <v>1.8341171135628901E-3</v>
      </c>
      <c r="AG24" s="299">
        <f t="shared" si="13"/>
        <v>1.8341171135628901E-3</v>
      </c>
      <c r="AH24" s="299">
        <f t="shared" si="13"/>
        <v>1.8341171135628901E-3</v>
      </c>
      <c r="AI24" s="299">
        <f t="shared" si="13"/>
        <v>1.7510710404725302E-3</v>
      </c>
      <c r="AJ24" s="299">
        <f t="shared" si="13"/>
        <v>1.7047945050960849E-3</v>
      </c>
      <c r="AK24" s="299">
        <f t="shared" si="13"/>
        <v>1.6387708408133019E-3</v>
      </c>
      <c r="AL24" s="299">
        <f t="shared" si="13"/>
        <v>1.5511481075431014E-3</v>
      </c>
      <c r="AM24" s="299">
        <f t="shared" si="13"/>
        <v>1.4453914756622185E-3</v>
      </c>
      <c r="AN24" s="299">
        <f t="shared" si="13"/>
        <v>1.3314431690522001E-3</v>
      </c>
      <c r="AO24" s="299">
        <f t="shared" si="13"/>
        <v>1.2227447423752602E-3</v>
      </c>
      <c r="AP24" s="299">
        <f t="shared" si="13"/>
        <v>1.1304549077382716E-3</v>
      </c>
      <c r="AQ24" s="299">
        <f t="shared" si="13"/>
        <v>1.0595349783104671E-3</v>
      </c>
      <c r="AR24" s="299">
        <f t="shared" si="13"/>
        <v>1.0091014907977196E-3</v>
      </c>
      <c r="AS24" s="299">
        <f t="shared" si="10"/>
        <v>9.7518075449948098E-4</v>
      </c>
      <c r="AT24" s="299">
        <f t="shared" si="4"/>
        <v>9.5321306076240244E-4</v>
      </c>
      <c r="AU24" s="299">
        <f t="shared" si="4"/>
        <v>9.3933289823300238E-4</v>
      </c>
      <c r="AV24" s="299">
        <f t="shared" si="4"/>
        <v>9.3069898853747723E-4</v>
      </c>
      <c r="AW24" s="299">
        <f t="shared" si="4"/>
        <v>9.2538060167977464E-4</v>
      </c>
      <c r="AX24" s="299">
        <f t="shared" si="4"/>
        <v>9.2212421973168128E-4</v>
      </c>
      <c r="AY24" s="299">
        <f t="shared" si="4"/>
        <v>9.2013772910680598E-4</v>
      </c>
      <c r="AZ24" s="306">
        <f t="shared" si="14"/>
        <v>0.10153633421067899</v>
      </c>
      <c r="BA24" s="2">
        <f t="shared" si="14"/>
        <v>0.10153633421067899</v>
      </c>
      <c r="BB24" s="2">
        <f t="shared" si="14"/>
        <v>0.10153633421067899</v>
      </c>
      <c r="BC24" s="2">
        <f t="shared" si="14"/>
        <v>0.10153633421067899</v>
      </c>
      <c r="BD24" s="2">
        <f t="shared" si="14"/>
        <v>0.10153633421067899</v>
      </c>
      <c r="BE24" s="2">
        <f t="shared" si="14"/>
        <v>9.6938921226615404E-2</v>
      </c>
      <c r="BF24" s="2">
        <f t="shared" si="14"/>
        <v>9.4377062047968169E-2</v>
      </c>
      <c r="BG24" s="2">
        <f t="shared" si="14"/>
        <v>9.0722006003369271E-2</v>
      </c>
      <c r="BH24" s="2">
        <f t="shared" si="14"/>
        <v>8.5871230082908298E-2</v>
      </c>
      <c r="BI24" s="2">
        <f t="shared" si="14"/>
        <v>8.0016565383338734E-2</v>
      </c>
      <c r="BJ24" s="2">
        <f t="shared" si="14"/>
        <v>7.3708411309022018E-2</v>
      </c>
      <c r="BK24" s="2">
        <f t="shared" si="14"/>
        <v>6.7690889473786001E-2</v>
      </c>
      <c r="BL24" s="2">
        <f t="shared" si="14"/>
        <v>6.2581743812009663E-2</v>
      </c>
      <c r="BM24" s="2">
        <f t="shared" si="14"/>
        <v>5.8655631567960526E-2</v>
      </c>
      <c r="BN24" s="2">
        <f t="shared" si="14"/>
        <v>5.5863644401144948E-2</v>
      </c>
      <c r="BO24" s="2">
        <f t="shared" si="11"/>
        <v>5.3985799637590169E-2</v>
      </c>
      <c r="BP24" s="2">
        <f t="shared" si="6"/>
        <v>5.2769672773808327E-2</v>
      </c>
      <c r="BQ24" s="2">
        <f t="shared" si="6"/>
        <v>5.2001269921524824E-2</v>
      </c>
      <c r="BR24" s="2">
        <f t="shared" si="6"/>
        <v>5.1523298512879769E-2</v>
      </c>
      <c r="BS24" s="2">
        <f t="shared" si="6"/>
        <v>5.1228873744988919E-2</v>
      </c>
      <c r="BT24" s="2">
        <f t="shared" si="6"/>
        <v>5.1048601131340535E-2</v>
      </c>
      <c r="BU24" s="2">
        <f t="shared" si="6"/>
        <v>5.0938629431876964E-2</v>
      </c>
    </row>
    <row r="25" spans="1:73" x14ac:dyDescent="0.25">
      <c r="A25" t="s">
        <v>19</v>
      </c>
      <c r="B25" s="1" t="s">
        <v>5</v>
      </c>
      <c r="C25" t="s">
        <v>13</v>
      </c>
      <c r="D25" t="s">
        <v>13</v>
      </c>
      <c r="E25" s="97">
        <v>7.7438399999999996</v>
      </c>
      <c r="F25" s="5">
        <f t="shared" si="7"/>
        <v>1.8972408E-2</v>
      </c>
      <c r="G25" s="1">
        <f>LOOKUP(RIGHT(D25,5),Ref!$C$4:$C$21,Ref!$E$4:$E$21)*$G$3</f>
        <v>1.5</v>
      </c>
      <c r="H25" s="36">
        <f t="shared" si="12"/>
        <v>7.7438399999999996</v>
      </c>
      <c r="I25" s="12">
        <f t="shared" si="12"/>
        <v>7.7438399999999996</v>
      </c>
      <c r="J25" s="12">
        <f t="shared" si="12"/>
        <v>7.7438399999999996</v>
      </c>
      <c r="K25" s="12">
        <f t="shared" si="12"/>
        <v>7.7438399999999996</v>
      </c>
      <c r="L25" s="12">
        <f t="shared" si="12"/>
        <v>7.7438399999999996</v>
      </c>
      <c r="M25" s="12">
        <f t="shared" si="8"/>
        <v>8.1110983737473674</v>
      </c>
      <c r="N25" s="12">
        <f t="shared" si="8"/>
        <v>8.3312736087757049</v>
      </c>
      <c r="O25" s="12">
        <f t="shared" si="8"/>
        <v>8.6669283556717538</v>
      </c>
      <c r="P25" s="12">
        <f t="shared" si="8"/>
        <v>9.1565140682726138</v>
      </c>
      <c r="Q25" s="12">
        <f t="shared" si="8"/>
        <v>9.8264793364618228</v>
      </c>
      <c r="R25" s="12">
        <f t="shared" si="8"/>
        <v>10.667454532665831</v>
      </c>
      <c r="S25" s="12">
        <f t="shared" si="8"/>
        <v>11.61576</v>
      </c>
      <c r="T25" s="12">
        <f t="shared" si="8"/>
        <v>12.564065467334169</v>
      </c>
      <c r="U25" s="12">
        <f t="shared" si="8"/>
        <v>13.405040663538175</v>
      </c>
      <c r="V25" s="12">
        <f t="shared" si="8"/>
        <v>14.075005931727384</v>
      </c>
      <c r="W25" s="12">
        <f t="shared" si="8"/>
        <v>14.564591644328242</v>
      </c>
      <c r="X25" s="12">
        <f t="shared" si="8"/>
        <v>14.900246391224293</v>
      </c>
      <c r="Y25" s="12">
        <f t="shared" si="8"/>
        <v>15.120421626252631</v>
      </c>
      <c r="Z25" s="12">
        <f t="shared" si="8"/>
        <v>15.260690775018416</v>
      </c>
      <c r="AA25" s="12">
        <f t="shared" si="8"/>
        <v>15.348397667847156</v>
      </c>
      <c r="AB25" s="12">
        <f t="shared" si="8"/>
        <v>15.402598874179507</v>
      </c>
      <c r="AC25" s="12">
        <f t="shared" si="9"/>
        <v>15.435851633298487</v>
      </c>
      <c r="AD25" s="300">
        <f t="shared" si="13"/>
        <v>1.774778030477032E-3</v>
      </c>
      <c r="AE25" s="299">
        <f t="shared" si="13"/>
        <v>1.774778030477032E-3</v>
      </c>
      <c r="AF25" s="299">
        <f t="shared" si="13"/>
        <v>1.774778030477032E-3</v>
      </c>
      <c r="AG25" s="299">
        <f t="shared" si="13"/>
        <v>1.774778030477032E-3</v>
      </c>
      <c r="AH25" s="299">
        <f t="shared" si="13"/>
        <v>1.774778030477032E-3</v>
      </c>
      <c r="AI25" s="299">
        <f t="shared" si="13"/>
        <v>1.6944187421043015E-3</v>
      </c>
      <c r="AJ25" s="299">
        <f t="shared" si="13"/>
        <v>1.6496393887547411E-3</v>
      </c>
      <c r="AK25" s="299">
        <f t="shared" si="13"/>
        <v>1.5857517841987544E-3</v>
      </c>
      <c r="AL25" s="299">
        <f t="shared" si="13"/>
        <v>1.500963904063766E-3</v>
      </c>
      <c r="AM25" s="299">
        <f t="shared" si="13"/>
        <v>1.3986288102731468E-3</v>
      </c>
      <c r="AN25" s="299">
        <f t="shared" si="13"/>
        <v>1.2883670665240409E-3</v>
      </c>
      <c r="AO25" s="299">
        <f t="shared" si="13"/>
        <v>1.1831853536513547E-3</v>
      </c>
      <c r="AP25" s="299">
        <f t="shared" si="13"/>
        <v>1.0938813666055629E-3</v>
      </c>
      <c r="AQ25" s="299">
        <f t="shared" si="13"/>
        <v>1.0252559054827757E-3</v>
      </c>
      <c r="AR25" s="299">
        <f t="shared" si="13"/>
        <v>9.7645408962485233E-4</v>
      </c>
      <c r="AS25" s="299">
        <f t="shared" si="10"/>
        <v>9.4363078891273309E-4</v>
      </c>
      <c r="AT25" s="299">
        <f t="shared" si="4"/>
        <v>9.2237381467891308E-4</v>
      </c>
      <c r="AU25" s="299">
        <f t="shared" si="4"/>
        <v>9.0894271623134652E-4</v>
      </c>
      <c r="AV25" s="299">
        <f t="shared" si="4"/>
        <v>9.0058813890832377E-4</v>
      </c>
      <c r="AW25" s="299">
        <f t="shared" si="4"/>
        <v>8.9544181750778203E-4</v>
      </c>
      <c r="AX25" s="299">
        <f t="shared" si="4"/>
        <v>8.922907890933034E-4</v>
      </c>
      <c r="AY25" s="299">
        <f t="shared" si="4"/>
        <v>8.9036856728276221E-4</v>
      </c>
      <c r="AZ25" s="306">
        <f t="shared" si="14"/>
        <v>9.8251335162686443E-2</v>
      </c>
      <c r="BA25" s="2">
        <f t="shared" si="14"/>
        <v>9.8251335162686443E-2</v>
      </c>
      <c r="BB25" s="2">
        <f t="shared" si="14"/>
        <v>9.8251335162686443E-2</v>
      </c>
      <c r="BC25" s="2">
        <f t="shared" si="14"/>
        <v>9.8251335162686443E-2</v>
      </c>
      <c r="BD25" s="2">
        <f t="shared" si="14"/>
        <v>9.8251335162686443E-2</v>
      </c>
      <c r="BE25" s="2">
        <f t="shared" si="14"/>
        <v>9.3802662010460211E-2</v>
      </c>
      <c r="BF25" s="2">
        <f t="shared" si="14"/>
        <v>9.1323686511122146E-2</v>
      </c>
      <c r="BG25" s="2">
        <f t="shared" si="14"/>
        <v>8.7786882279730874E-2</v>
      </c>
      <c r="BH25" s="2">
        <f t="shared" si="14"/>
        <v>8.3093043227284807E-2</v>
      </c>
      <c r="BI25" s="2">
        <f t="shared" si="14"/>
        <v>7.7427794150348367E-2</v>
      </c>
      <c r="BJ25" s="2">
        <f t="shared" si="14"/>
        <v>7.1323727413730137E-2</v>
      </c>
      <c r="BK25" s="2">
        <f t="shared" si="14"/>
        <v>6.5500890108457624E-2</v>
      </c>
      <c r="BL25" s="2">
        <f t="shared" si="14"/>
        <v>6.0557040335738763E-2</v>
      </c>
      <c r="BM25" s="2">
        <f t="shared" si="14"/>
        <v>5.6757949370173581E-2</v>
      </c>
      <c r="BN25" s="2">
        <f t="shared" si="14"/>
        <v>5.4056291199931439E-2</v>
      </c>
      <c r="BO25" s="2">
        <f t="shared" si="11"/>
        <v>5.2239200237550486E-2</v>
      </c>
      <c r="BP25" s="2">
        <f t="shared" si="6"/>
        <v>5.106241865465571E-2</v>
      </c>
      <c r="BQ25" s="2">
        <f t="shared" si="6"/>
        <v>5.0318875894651963E-2</v>
      </c>
      <c r="BR25" s="2">
        <f t="shared" si="6"/>
        <v>4.985636826687484E-2</v>
      </c>
      <c r="BS25" s="2">
        <f t="shared" si="6"/>
        <v>4.9571469006180466E-2</v>
      </c>
      <c r="BT25" s="2">
        <f t="shared" si="6"/>
        <v>4.9397028741797168E-2</v>
      </c>
      <c r="BU25" s="2">
        <f t="shared" si="6"/>
        <v>4.9290614950257418E-2</v>
      </c>
    </row>
    <row r="26" spans="1:73" x14ac:dyDescent="0.25">
      <c r="A26" t="s">
        <v>19</v>
      </c>
      <c r="B26" s="1" t="s">
        <v>5</v>
      </c>
      <c r="C26" t="s">
        <v>14</v>
      </c>
      <c r="D26" t="s">
        <v>14</v>
      </c>
      <c r="E26" s="97">
        <v>6.9837092500000004</v>
      </c>
      <c r="F26" s="5">
        <f t="shared" si="7"/>
        <v>1.7110087662500002E-2</v>
      </c>
      <c r="G26" s="1">
        <f>LOOKUP(RIGHT(D26,5),Ref!$C$4:$C$21,Ref!$E$4:$E$21)*$G$3</f>
        <v>2</v>
      </c>
      <c r="H26" s="36">
        <f t="shared" si="12"/>
        <v>6.9837092500000004</v>
      </c>
      <c r="I26" s="12">
        <f t="shared" si="12"/>
        <v>6.9837092500000004</v>
      </c>
      <c r="J26" s="12">
        <f t="shared" si="12"/>
        <v>6.9837092500000004</v>
      </c>
      <c r="K26" s="12">
        <f t="shared" si="12"/>
        <v>6.9837092500000004</v>
      </c>
      <c r="L26" s="12">
        <f t="shared" si="12"/>
        <v>6.9837092500000004</v>
      </c>
      <c r="M26" s="12">
        <f t="shared" si="8"/>
        <v>7.3149177591995</v>
      </c>
      <c r="N26" s="12">
        <f t="shared" si="8"/>
        <v>7.5134807235025232</v>
      </c>
      <c r="O26" s="12">
        <f t="shared" si="8"/>
        <v>7.8161877991528916</v>
      </c>
      <c r="P26" s="12">
        <f t="shared" si="8"/>
        <v>8.2577160680425461</v>
      </c>
      <c r="Q26" s="12">
        <f t="shared" si="8"/>
        <v>8.861917942129784</v>
      </c>
      <c r="R26" s="12">
        <f t="shared" si="8"/>
        <v>9.6203435109367952</v>
      </c>
      <c r="S26" s="12">
        <f t="shared" si="8"/>
        <v>10.475563875000001</v>
      </c>
      <c r="T26" s="12">
        <f t="shared" si="8"/>
        <v>11.330784239063206</v>
      </c>
      <c r="U26" s="12">
        <f t="shared" si="8"/>
        <v>12.089209807870217</v>
      </c>
      <c r="V26" s="12">
        <f t="shared" si="8"/>
        <v>12.693411681957455</v>
      </c>
      <c r="W26" s="12">
        <f t="shared" si="8"/>
        <v>13.134939950847109</v>
      </c>
      <c r="X26" s="12">
        <f t="shared" si="8"/>
        <v>13.437647026497478</v>
      </c>
      <c r="Y26" s="12">
        <f t="shared" si="8"/>
        <v>13.6362099908005</v>
      </c>
      <c r="Z26" s="12">
        <f t="shared" si="8"/>
        <v>13.76271040296362</v>
      </c>
      <c r="AA26" s="12">
        <f t="shared" si="8"/>
        <v>13.8418080391153</v>
      </c>
      <c r="AB26" s="12">
        <f t="shared" si="8"/>
        <v>13.89068888712151</v>
      </c>
      <c r="AC26" s="12">
        <f t="shared" si="9"/>
        <v>13.920677575091203</v>
      </c>
      <c r="AD26" s="300">
        <f t="shared" si="13"/>
        <v>1.9679509285884518E-3</v>
      </c>
      <c r="AE26" s="299">
        <f t="shared" si="13"/>
        <v>1.9679509285884518E-3</v>
      </c>
      <c r="AF26" s="299">
        <f t="shared" si="13"/>
        <v>1.9679509285884518E-3</v>
      </c>
      <c r="AG26" s="299">
        <f t="shared" si="13"/>
        <v>1.9679509285884518E-3</v>
      </c>
      <c r="AH26" s="299">
        <f t="shared" si="13"/>
        <v>1.9679509285884518E-3</v>
      </c>
      <c r="AI26" s="299">
        <f t="shared" si="13"/>
        <v>1.878845061004934E-3</v>
      </c>
      <c r="AJ26" s="299">
        <f t="shared" si="13"/>
        <v>1.8291917700059624E-3</v>
      </c>
      <c r="AK26" s="299">
        <f t="shared" si="13"/>
        <v>1.7583504205232598E-3</v>
      </c>
      <c r="AL26" s="299">
        <f t="shared" si="13"/>
        <v>1.6643339381354047E-3</v>
      </c>
      <c r="AM26" s="299">
        <f t="shared" si="13"/>
        <v>1.5508603434694253E-3</v>
      </c>
      <c r="AN26" s="299">
        <f t="shared" si="13"/>
        <v>1.4285973352100145E-3</v>
      </c>
      <c r="AO26" s="299">
        <f t="shared" si="13"/>
        <v>1.3119672857256344E-3</v>
      </c>
      <c r="AP26" s="299">
        <f t="shared" si="13"/>
        <v>1.2129431479374403E-3</v>
      </c>
      <c r="AQ26" s="299">
        <f t="shared" si="13"/>
        <v>1.1368482574090175E-3</v>
      </c>
      <c r="AR26" s="299">
        <f t="shared" si="13"/>
        <v>1.0827346853537058E-3</v>
      </c>
      <c r="AS26" s="299">
        <f t="shared" si="10"/>
        <v>1.0463387845669517E-3</v>
      </c>
      <c r="AT26" s="299">
        <f t="shared" si="4"/>
        <v>1.0227681287079862E-3</v>
      </c>
      <c r="AU26" s="299">
        <f t="shared" si="4"/>
        <v>1.0078751436653737E-3</v>
      </c>
      <c r="AV26" s="299">
        <f t="shared" si="4"/>
        <v>9.9861122563254363E-4</v>
      </c>
      <c r="AW26" s="299">
        <f t="shared" si="4"/>
        <v>9.9290476104649705E-4</v>
      </c>
      <c r="AX26" s="299">
        <f t="shared" si="4"/>
        <v>9.8941076394500321E-4</v>
      </c>
      <c r="AY26" s="299">
        <f t="shared" si="4"/>
        <v>9.8727932095210645E-4</v>
      </c>
      <c r="AZ26" s="306">
        <f t="shared" si="14"/>
        <v>0.10894534581121311</v>
      </c>
      <c r="BA26" s="2">
        <f t="shared" si="14"/>
        <v>0.10894534581121311</v>
      </c>
      <c r="BB26" s="2">
        <f t="shared" si="14"/>
        <v>0.10894534581121311</v>
      </c>
      <c r="BC26" s="2">
        <f t="shared" si="14"/>
        <v>0.10894534581121311</v>
      </c>
      <c r="BD26" s="2">
        <f t="shared" si="14"/>
        <v>0.10894534581121311</v>
      </c>
      <c r="BE26" s="2">
        <f t="shared" si="14"/>
        <v>0.10401246388988518</v>
      </c>
      <c r="BF26" s="2">
        <f t="shared" si="14"/>
        <v>0.101263668236516</v>
      </c>
      <c r="BG26" s="2">
        <f t="shared" si="14"/>
        <v>9.7341906161553193E-2</v>
      </c>
      <c r="BH26" s="2">
        <f t="shared" si="14"/>
        <v>9.2137173646680254E-2</v>
      </c>
      <c r="BI26" s="2">
        <f t="shared" si="14"/>
        <v>8.5855299524852574E-2</v>
      </c>
      <c r="BJ26" s="2">
        <f t="shared" si="14"/>
        <v>7.908684533158937E-2</v>
      </c>
      <c r="BK26" s="2">
        <f t="shared" si="14"/>
        <v>7.2630230540808735E-2</v>
      </c>
      <c r="BL26" s="2">
        <f t="shared" si="14"/>
        <v>6.7148275285587991E-2</v>
      </c>
      <c r="BM26" s="2">
        <f t="shared" si="14"/>
        <v>6.2935678293125519E-2</v>
      </c>
      <c r="BN26" s="2">
        <f t="shared" si="14"/>
        <v>5.9939962426940524E-2</v>
      </c>
      <c r="BO26" s="2">
        <f t="shared" si="11"/>
        <v>5.7925093082526725E-2</v>
      </c>
      <c r="BP26" s="2">
        <f t="shared" si="6"/>
        <v>5.6620226575822726E-2</v>
      </c>
      <c r="BQ26" s="2">
        <f t="shared" si="6"/>
        <v>5.5795754084126806E-2</v>
      </c>
      <c r="BR26" s="2">
        <f t="shared" si="6"/>
        <v>5.5282905547615113E-2</v>
      </c>
      <c r="BS26" s="2">
        <f t="shared" si="6"/>
        <v>5.4966996879032511E-2</v>
      </c>
      <c r="BT26" s="2">
        <f t="shared" si="6"/>
        <v>5.4773569940913348E-2</v>
      </c>
      <c r="BU26" s="2">
        <f t="shared" si="6"/>
        <v>5.4655573709114731E-2</v>
      </c>
    </row>
    <row r="27" spans="1:73" x14ac:dyDescent="0.25">
      <c r="A27" t="s">
        <v>19</v>
      </c>
      <c r="B27" s="1" t="s">
        <v>5</v>
      </c>
      <c r="C27" t="s">
        <v>16</v>
      </c>
      <c r="D27" t="s">
        <v>16</v>
      </c>
      <c r="E27" s="97">
        <v>6.8853600000000004</v>
      </c>
      <c r="F27" s="5">
        <f t="shared" si="7"/>
        <v>1.6869132000000002E-2</v>
      </c>
      <c r="G27" s="1">
        <f>LOOKUP(RIGHT(D27,5),Ref!$C$4:$C$21,Ref!$E$4:$E$21)*$G$3</f>
        <v>3</v>
      </c>
      <c r="H27" s="36">
        <f t="shared" si="12"/>
        <v>6.8853600000000004</v>
      </c>
      <c r="I27" s="12">
        <f t="shared" si="12"/>
        <v>6.8853600000000004</v>
      </c>
      <c r="J27" s="12">
        <f t="shared" si="12"/>
        <v>6.8853600000000004</v>
      </c>
      <c r="K27" s="12">
        <f t="shared" si="12"/>
        <v>6.8853600000000004</v>
      </c>
      <c r="L27" s="12">
        <f t="shared" si="12"/>
        <v>6.8853600000000004</v>
      </c>
      <c r="M27" s="12">
        <f t="shared" si="8"/>
        <v>7.2119042101418911</v>
      </c>
      <c r="N27" s="12">
        <f t="shared" si="8"/>
        <v>7.4076708783910687</v>
      </c>
      <c r="O27" s="12">
        <f t="shared" si="8"/>
        <v>7.7061150311742077</v>
      </c>
      <c r="P27" s="12">
        <f t="shared" si="8"/>
        <v>8.1414254045953349</v>
      </c>
      <c r="Q27" s="12">
        <f t="shared" si="8"/>
        <v>8.7371185050441103</v>
      </c>
      <c r="R27" s="12">
        <f t="shared" si="8"/>
        <v>9.4848634193159995</v>
      </c>
      <c r="S27" s="12">
        <f t="shared" si="8"/>
        <v>10.328040000000001</v>
      </c>
      <c r="T27" s="12">
        <f t="shared" si="8"/>
        <v>11.171216580684002</v>
      </c>
      <c r="U27" s="12">
        <f t="shared" si="8"/>
        <v>11.918961494955891</v>
      </c>
      <c r="V27" s="12">
        <f t="shared" si="8"/>
        <v>12.514654595404666</v>
      </c>
      <c r="W27" s="12">
        <f>W$3*$E27</f>
        <v>12.949964968825793</v>
      </c>
      <c r="X27" s="12">
        <f t="shared" si="8"/>
        <v>13.248409121608931</v>
      </c>
      <c r="Y27" s="12">
        <f t="shared" si="8"/>
        <v>13.444175789858109</v>
      </c>
      <c r="Z27" s="12">
        <f t="shared" si="8"/>
        <v>13.568894738873842</v>
      </c>
      <c r="AA27" s="12">
        <f t="shared" si="8"/>
        <v>13.646878469375414</v>
      </c>
      <c r="AB27" s="12">
        <f t="shared" si="8"/>
        <v>13.69507094468902</v>
      </c>
      <c r="AC27" s="12">
        <f t="shared" si="9"/>
        <v>13.724637311959967</v>
      </c>
      <c r="AD27" s="300">
        <f t="shared" si="13"/>
        <v>1.9960607874576286E-3</v>
      </c>
      <c r="AE27" s="299">
        <f t="shared" si="13"/>
        <v>1.9960607874576286E-3</v>
      </c>
      <c r="AF27" s="299">
        <f t="shared" si="13"/>
        <v>1.9960607874576286E-3</v>
      </c>
      <c r="AG27" s="299">
        <f t="shared" si="13"/>
        <v>1.9960607874576286E-3</v>
      </c>
      <c r="AH27" s="299">
        <f t="shared" si="13"/>
        <v>1.9960607874576286E-3</v>
      </c>
      <c r="AI27" s="299">
        <f t="shared" si="13"/>
        <v>1.9056821476083998E-3</v>
      </c>
      <c r="AJ27" s="299">
        <f t="shared" si="13"/>
        <v>1.8553196178870113E-3</v>
      </c>
      <c r="AK27" s="299">
        <f t="shared" si="13"/>
        <v>1.7834663832464359E-3</v>
      </c>
      <c r="AL27" s="299">
        <f t="shared" si="13"/>
        <v>1.6881069862498331E-3</v>
      </c>
      <c r="AM27" s="299">
        <f t="shared" si="13"/>
        <v>1.5730125550654727E-3</v>
      </c>
      <c r="AN27" s="299">
        <f t="shared" si="13"/>
        <v>1.4490031638769111E-3</v>
      </c>
      <c r="AO27" s="299">
        <f t="shared" si="13"/>
        <v>1.3307071916384191E-3</v>
      </c>
      <c r="AP27" s="299">
        <f t="shared" si="13"/>
        <v>1.2302686107879357E-3</v>
      </c>
      <c r="AQ27" s="299">
        <f t="shared" si="13"/>
        <v>1.1530867944615439E-3</v>
      </c>
      <c r="AR27" s="299">
        <f t="shared" si="13"/>
        <v>1.098200273827442E-3</v>
      </c>
      <c r="AS27" s="299">
        <f t="shared" si="10"/>
        <v>1.0612845005074502E-3</v>
      </c>
      <c r="AT27" s="299">
        <f t="shared" si="4"/>
        <v>1.0373771656185229E-3</v>
      </c>
      <c r="AU27" s="299">
        <f t="shared" si="4"/>
        <v>1.0222714518428884E-3</v>
      </c>
      <c r="AV27" s="299">
        <f t="shared" si="4"/>
        <v>1.0128752096627966E-3</v>
      </c>
      <c r="AW27" s="299">
        <f t="shared" si="4"/>
        <v>1.0070872349578616E-3</v>
      </c>
      <c r="AX27" s="299">
        <f t="shared" si="4"/>
        <v>1.003543330227074E-3</v>
      </c>
      <c r="AY27" s="299">
        <f t="shared" si="4"/>
        <v>1.0013814420839209E-3</v>
      </c>
      <c r="AZ27" s="306">
        <f t="shared" si="14"/>
        <v>0.11050150163335218</v>
      </c>
      <c r="BA27" s="2">
        <f t="shared" si="14"/>
        <v>0.11050150163335218</v>
      </c>
      <c r="BB27" s="2">
        <f t="shared" si="14"/>
        <v>0.11050150163335218</v>
      </c>
      <c r="BC27" s="2">
        <f t="shared" si="14"/>
        <v>0.11050150163335218</v>
      </c>
      <c r="BD27" s="2">
        <f t="shared" si="14"/>
        <v>0.11050150163335218</v>
      </c>
      <c r="BE27" s="2">
        <f t="shared" si="14"/>
        <v>0.10549815930947432</v>
      </c>
      <c r="BF27" s="2">
        <f t="shared" si="14"/>
        <v>0.10271010035093125</v>
      </c>
      <c r="BG27" s="2">
        <f t="shared" si="14"/>
        <v>9.873232052834871E-2</v>
      </c>
      <c r="BH27" s="2">
        <f t="shared" si="14"/>
        <v>9.3453244545699435E-2</v>
      </c>
      <c r="BI27" s="2">
        <f t="shared" si="14"/>
        <v>8.7081641258152598E-2</v>
      </c>
      <c r="BJ27" s="2">
        <f t="shared" si="14"/>
        <v>8.0216507676510743E-2</v>
      </c>
      <c r="BK27" s="2">
        <f t="shared" si="14"/>
        <v>7.3667667755568114E-2</v>
      </c>
      <c r="BL27" s="2">
        <f t="shared" si="14"/>
        <v>6.8107409232561145E-2</v>
      </c>
      <c r="BM27" s="2">
        <f t="shared" si="14"/>
        <v>6.3834640258566708E-2</v>
      </c>
      <c r="BN27" s="2">
        <f t="shared" si="14"/>
        <v>6.0796134123078098E-2</v>
      </c>
      <c r="BO27" s="2">
        <f t="shared" si="11"/>
        <v>5.8752484745540234E-2</v>
      </c>
      <c r="BP27" s="2">
        <f t="shared" si="6"/>
        <v>5.742897975918021E-2</v>
      </c>
      <c r="BQ27" s="2">
        <f t="shared" si="6"/>
        <v>5.6592730649964805E-2</v>
      </c>
      <c r="BR27" s="2">
        <f t="shared" si="6"/>
        <v>5.6072556676739632E-2</v>
      </c>
      <c r="BS27" s="2">
        <f t="shared" si="6"/>
        <v>5.5752135625271655E-2</v>
      </c>
      <c r="BT27" s="2">
        <f t="shared" si="6"/>
        <v>5.55559458113851E-2</v>
      </c>
      <c r="BU27" s="2">
        <f t="shared" si="6"/>
        <v>5.5436264142528696E-2</v>
      </c>
    </row>
    <row r="28" spans="1:73" x14ac:dyDescent="0.25">
      <c r="A28" t="s">
        <v>19</v>
      </c>
      <c r="B28" s="1" t="s">
        <v>5</v>
      </c>
      <c r="C28" t="s">
        <v>6</v>
      </c>
      <c r="D28" t="s">
        <v>6</v>
      </c>
      <c r="E28" s="97">
        <v>7.0747949999999999</v>
      </c>
      <c r="F28" s="5">
        <f t="shared" si="7"/>
        <v>1.7333247750000003E-2</v>
      </c>
      <c r="G28" s="1">
        <f>LOOKUP(RIGHT(D28,5),Ref!$C$4:$C$21,Ref!$E$4:$E$21)*$G$3</f>
        <v>3</v>
      </c>
      <c r="H28" s="36">
        <f t="shared" si="12"/>
        <v>7.0747949999999999</v>
      </c>
      <c r="I28" s="12">
        <f t="shared" si="12"/>
        <v>7.0747949999999999</v>
      </c>
      <c r="J28" s="12">
        <f t="shared" si="12"/>
        <v>7.0747949999999999</v>
      </c>
      <c r="K28" s="12">
        <f t="shared" si="12"/>
        <v>7.0747949999999999</v>
      </c>
      <c r="L28" s="12">
        <f t="shared" si="12"/>
        <v>7.0747949999999999</v>
      </c>
      <c r="M28" s="12">
        <f t="shared" si="8"/>
        <v>7.4103233304272829</v>
      </c>
      <c r="N28" s="12">
        <f t="shared" si="8"/>
        <v>7.6114760727233932</v>
      </c>
      <c r="O28" s="12">
        <f t="shared" si="8"/>
        <v>7.9181312367074677</v>
      </c>
      <c r="P28" s="12">
        <f t="shared" si="8"/>
        <v>8.3654181836975905</v>
      </c>
      <c r="Q28" s="12">
        <f t="shared" si="8"/>
        <v>8.9775004232013345</v>
      </c>
      <c r="R28" s="12">
        <f t="shared" si="8"/>
        <v>9.7458178359097758</v>
      </c>
      <c r="S28" s="12">
        <f t="shared" si="8"/>
        <v>10.612192499999999</v>
      </c>
      <c r="T28" s="12">
        <f t="shared" si="8"/>
        <v>11.478567164090224</v>
      </c>
      <c r="U28" s="12">
        <f t="shared" si="8"/>
        <v>12.246884576798665</v>
      </c>
      <c r="V28" s="12">
        <f t="shared" si="8"/>
        <v>12.858966816302409</v>
      </c>
      <c r="W28" s="12">
        <f t="shared" si="8"/>
        <v>13.306253763292531</v>
      </c>
      <c r="X28" s="12">
        <f t="shared" si="8"/>
        <v>13.612908927276607</v>
      </c>
      <c r="Y28" s="12">
        <f t="shared" si="8"/>
        <v>13.814061669572716</v>
      </c>
      <c r="Z28" s="12">
        <f t="shared" si="8"/>
        <v>13.942211976441458</v>
      </c>
      <c r="AA28" s="12">
        <f t="shared" si="8"/>
        <v>14.022341251691245</v>
      </c>
      <c r="AB28" s="12">
        <f t="shared" si="8"/>
        <v>14.071859633211794</v>
      </c>
      <c r="AC28" s="12">
        <f t="shared" si="9"/>
        <v>14.102239451745126</v>
      </c>
      <c r="AD28" s="300">
        <f t="shared" si="13"/>
        <v>1.9426141822525261E-3</v>
      </c>
      <c r="AE28" s="299">
        <f t="shared" si="13"/>
        <v>1.9426141822525261E-3</v>
      </c>
      <c r="AF28" s="299">
        <f t="shared" si="13"/>
        <v>1.9426141822525261E-3</v>
      </c>
      <c r="AG28" s="299">
        <f t="shared" si="13"/>
        <v>1.9426141822525261E-3</v>
      </c>
      <c r="AH28" s="299">
        <f t="shared" si="13"/>
        <v>1.9426141822525261E-3</v>
      </c>
      <c r="AI28" s="299">
        <f t="shared" si="13"/>
        <v>1.8546555245568207E-3</v>
      </c>
      <c r="AJ28" s="299">
        <f t="shared" si="13"/>
        <v>1.8056415039890926E-3</v>
      </c>
      <c r="AK28" s="299">
        <f t="shared" si="13"/>
        <v>1.7357122144952158E-3</v>
      </c>
      <c r="AL28" s="299">
        <f t="shared" si="13"/>
        <v>1.6429061646090317E-3</v>
      </c>
      <c r="AM28" s="299">
        <f t="shared" si="13"/>
        <v>1.5308935066168849E-3</v>
      </c>
      <c r="AN28" s="299">
        <f t="shared" si="13"/>
        <v>1.4102045959538797E-3</v>
      </c>
      <c r="AO28" s="299">
        <f t="shared" si="13"/>
        <v>1.2950761215016842E-3</v>
      </c>
      <c r="AP28" s="299">
        <f t="shared" si="13"/>
        <v>1.1973268881960285E-3</v>
      </c>
      <c r="AQ28" s="299">
        <f t="shared" si="13"/>
        <v>1.1222116953372835E-3</v>
      </c>
      <c r="AR28" s="299">
        <f t="shared" si="13"/>
        <v>1.0687948184223736E-3</v>
      </c>
      <c r="AS28" s="299">
        <f t="shared" si="10"/>
        <v>1.0328675033571967E-3</v>
      </c>
      <c r="AT28" s="299">
        <f t="shared" si="4"/>
        <v>1.0096003122441221E-3</v>
      </c>
      <c r="AU28" s="299">
        <f t="shared" si="4"/>
        <v>9.9489906967777163E-4</v>
      </c>
      <c r="AV28" s="299">
        <f t="shared" si="4"/>
        <v>9.8575442166222958E-4</v>
      </c>
      <c r="AW28" s="299">
        <f t="shared" si="4"/>
        <v>9.8012142600449365E-4</v>
      </c>
      <c r="AX28" s="299">
        <f t="shared" si="4"/>
        <v>9.7667241301158353E-4</v>
      </c>
      <c r="AY28" s="299">
        <f t="shared" si="4"/>
        <v>9.7456841167368742E-4</v>
      </c>
      <c r="AZ28" s="306">
        <f t="shared" si="14"/>
        <v>0.10754270891046565</v>
      </c>
      <c r="BA28" s="2">
        <f t="shared" si="14"/>
        <v>0.10754270891046565</v>
      </c>
      <c r="BB28" s="2">
        <f t="shared" si="14"/>
        <v>0.10754270891046565</v>
      </c>
      <c r="BC28" s="2">
        <f t="shared" si="14"/>
        <v>0.10754270891046565</v>
      </c>
      <c r="BD28" s="2">
        <f t="shared" si="14"/>
        <v>0.10754270891046565</v>
      </c>
      <c r="BE28" s="2">
        <f t="shared" si="14"/>
        <v>0.10267333628509125</v>
      </c>
      <c r="BF28" s="2">
        <f t="shared" si="14"/>
        <v>9.9959930507143746E-2</v>
      </c>
      <c r="BG28" s="2">
        <f t="shared" si="14"/>
        <v>9.6088659879624935E-2</v>
      </c>
      <c r="BH28" s="2">
        <f t="shared" si="14"/>
        <v>9.0950936651193026E-2</v>
      </c>
      <c r="BI28" s="2">
        <f t="shared" si="14"/>
        <v>8.4749939673620739E-2</v>
      </c>
      <c r="BJ28" s="2">
        <f t="shared" si="14"/>
        <v>7.8068627189274042E-2</v>
      </c>
      <c r="BK28" s="2">
        <f t="shared" si="14"/>
        <v>7.1695139273643765E-2</v>
      </c>
      <c r="BL28" s="2">
        <f t="shared" si="14"/>
        <v>6.6283762460044041E-2</v>
      </c>
      <c r="BM28" s="2">
        <f t="shared" si="14"/>
        <v>6.2125401322684952E-2</v>
      </c>
      <c r="BN28" s="2">
        <f t="shared" si="14"/>
        <v>5.9168254351635211E-2</v>
      </c>
      <c r="BO28" s="2">
        <f t="shared" si="11"/>
        <v>5.7179325813334937E-2</v>
      </c>
      <c r="BP28" s="2">
        <f t="shared" si="6"/>
        <v>5.5891259050568826E-2</v>
      </c>
      <c r="BQ28" s="2">
        <f t="shared" si="6"/>
        <v>5.5077401381671366E-2</v>
      </c>
      <c r="BR28" s="2">
        <f t="shared" si="6"/>
        <v>5.4571155608007869E-2</v>
      </c>
      <c r="BS28" s="2">
        <f t="shared" si="6"/>
        <v>5.4259314163706579E-2</v>
      </c>
      <c r="BT28" s="2">
        <f t="shared" si="6"/>
        <v>5.4068377536293066E-2</v>
      </c>
      <c r="BU28" s="2">
        <f t="shared" si="6"/>
        <v>5.3951900468692221E-2</v>
      </c>
    </row>
    <row r="29" spans="1:73" x14ac:dyDescent="0.25">
      <c r="A29" t="s">
        <v>19</v>
      </c>
      <c r="B29" s="1" t="s">
        <v>5</v>
      </c>
      <c r="C29" t="s">
        <v>7</v>
      </c>
      <c r="D29" t="s">
        <v>7</v>
      </c>
      <c r="E29" s="97">
        <v>7.0762549999999997</v>
      </c>
      <c r="F29" s="5">
        <f t="shared" si="7"/>
        <v>1.733682475E-2</v>
      </c>
      <c r="G29" s="1">
        <f>LOOKUP(RIGHT(D29,5),Ref!$C$4:$C$21,Ref!$E$4:$E$21)*$G$3</f>
        <v>3.5</v>
      </c>
      <c r="H29" s="36">
        <f t="shared" si="12"/>
        <v>7.0762549999999997</v>
      </c>
      <c r="I29" s="12">
        <f t="shared" si="12"/>
        <v>7.0762549999999997</v>
      </c>
      <c r="J29" s="12">
        <f t="shared" si="12"/>
        <v>7.0762549999999997</v>
      </c>
      <c r="K29" s="12">
        <f t="shared" si="12"/>
        <v>7.0762549999999997</v>
      </c>
      <c r="L29" s="12">
        <f t="shared" si="12"/>
        <v>7.0762549999999997</v>
      </c>
      <c r="M29" s="12">
        <f t="shared" si="8"/>
        <v>7.4118525722021227</v>
      </c>
      <c r="N29" s="12">
        <f t="shared" si="8"/>
        <v>7.613046825666224</v>
      </c>
      <c r="O29" s="12">
        <f t="shared" si="8"/>
        <v>7.9197652729736197</v>
      </c>
      <c r="P29" s="12">
        <f t="shared" si="8"/>
        <v>8.3671445249623471</v>
      </c>
      <c r="Q29" s="12">
        <f t="shared" si="8"/>
        <v>8.9793530776765351</v>
      </c>
      <c r="R29" s="12">
        <f t="shared" si="8"/>
        <v>9.7478290452862204</v>
      </c>
      <c r="S29" s="12">
        <f t="shared" si="8"/>
        <v>10.6143825</v>
      </c>
      <c r="T29" s="12">
        <f t="shared" si="8"/>
        <v>11.480935954713779</v>
      </c>
      <c r="U29" s="12">
        <f t="shared" si="8"/>
        <v>12.249411922323464</v>
      </c>
      <c r="V29" s="12">
        <f t="shared" si="8"/>
        <v>12.861620475037652</v>
      </c>
      <c r="W29" s="12">
        <f t="shared" si="8"/>
        <v>13.308999727026379</v>
      </c>
      <c r="X29" s="12">
        <f t="shared" si="8"/>
        <v>13.615718174333775</v>
      </c>
      <c r="Y29" s="12">
        <f t="shared" si="8"/>
        <v>13.816912427797877</v>
      </c>
      <c r="Z29" s="12">
        <f t="shared" si="8"/>
        <v>13.945089180584562</v>
      </c>
      <c r="AA29" s="12">
        <f t="shared" si="8"/>
        <v>14.0252349918247</v>
      </c>
      <c r="AB29" s="12">
        <f t="shared" si="8"/>
        <v>14.074763592275552</v>
      </c>
      <c r="AC29" s="12">
        <f t="shared" si="9"/>
        <v>14.105149680182775</v>
      </c>
      <c r="AD29" s="300">
        <f t="shared" si="13"/>
        <v>1.942213374663471E-3</v>
      </c>
      <c r="AE29" s="299">
        <f t="shared" si="13"/>
        <v>1.942213374663471E-3</v>
      </c>
      <c r="AF29" s="299">
        <f t="shared" si="13"/>
        <v>1.942213374663471E-3</v>
      </c>
      <c r="AG29" s="299">
        <f t="shared" si="13"/>
        <v>1.942213374663471E-3</v>
      </c>
      <c r="AH29" s="299">
        <f t="shared" si="13"/>
        <v>1.942213374663471E-3</v>
      </c>
      <c r="AI29" s="299">
        <f t="shared" si="13"/>
        <v>1.8542728649344846E-3</v>
      </c>
      <c r="AJ29" s="299">
        <f t="shared" si="13"/>
        <v>1.8052689571269708E-3</v>
      </c>
      <c r="AK29" s="299">
        <f t="shared" si="13"/>
        <v>1.735354095711599E-3</v>
      </c>
      <c r="AL29" s="299">
        <f t="shared" si="13"/>
        <v>1.642567193924633E-3</v>
      </c>
      <c r="AM29" s="299">
        <f t="shared" si="13"/>
        <v>1.530577646812559E-3</v>
      </c>
      <c r="AN29" s="299">
        <f t="shared" si="13"/>
        <v>1.4099136371472664E-3</v>
      </c>
      <c r="AO29" s="299">
        <f t="shared" si="13"/>
        <v>1.2948089164423139E-3</v>
      </c>
      <c r="AP29" s="299">
        <f t="shared" si="13"/>
        <v>1.1970798511323887E-3</v>
      </c>
      <c r="AQ29" s="299">
        <f t="shared" si="13"/>
        <v>1.1219801563275684E-3</v>
      </c>
      <c r="AR29" s="299">
        <f t="shared" si="13"/>
        <v>1.0685743005870358E-3</v>
      </c>
      <c r="AS29" s="299">
        <f t="shared" si="10"/>
        <v>1.0326543981829341E-3</v>
      </c>
      <c r="AT29" s="299">
        <f t="shared" si="4"/>
        <v>1.0093920076457326E-3</v>
      </c>
      <c r="AU29" s="299">
        <f t="shared" si="4"/>
        <v>9.9469379829598427E-4</v>
      </c>
      <c r="AV29" s="299">
        <f t="shared" si="4"/>
        <v>9.8555103703920123E-4</v>
      </c>
      <c r="AW29" s="299">
        <f t="shared" si="4"/>
        <v>9.7991920360267714E-4</v>
      </c>
      <c r="AX29" s="299">
        <f t="shared" si="4"/>
        <v>9.7647090222332102E-4</v>
      </c>
      <c r="AY29" s="299">
        <f t="shared" si="4"/>
        <v>9.7436733499102935E-4</v>
      </c>
      <c r="AZ29" s="306">
        <f t="shared" si="14"/>
        <v>0.10752052028738616</v>
      </c>
      <c r="BA29" s="2">
        <f t="shared" si="14"/>
        <v>0.10752052028738616</v>
      </c>
      <c r="BB29" s="2">
        <f t="shared" si="14"/>
        <v>0.10752052028738616</v>
      </c>
      <c r="BC29" s="2">
        <f t="shared" si="14"/>
        <v>0.10752052028738616</v>
      </c>
      <c r="BD29" s="2">
        <f t="shared" si="14"/>
        <v>0.10752052028738616</v>
      </c>
      <c r="BE29" s="2">
        <f t="shared" si="14"/>
        <v>0.10265215232959837</v>
      </c>
      <c r="BF29" s="2">
        <f t="shared" si="14"/>
        <v>9.9939306391910412E-2</v>
      </c>
      <c r="BG29" s="2">
        <f t="shared" si="14"/>
        <v>9.606883449975602E-2</v>
      </c>
      <c r="BH29" s="2">
        <f t="shared" si="14"/>
        <v>9.0932171306033663E-2</v>
      </c>
      <c r="BI29" s="2">
        <f t="shared" si="14"/>
        <v>8.47324537418781E-2</v>
      </c>
      <c r="BJ29" s="2">
        <f t="shared" si="14"/>
        <v>7.8052519771480824E-2</v>
      </c>
      <c r="BK29" s="2">
        <f t="shared" si="14"/>
        <v>7.1680346858257443E-2</v>
      </c>
      <c r="BL29" s="2">
        <f t="shared" si="14"/>
        <v>6.6270086540621734E-2</v>
      </c>
      <c r="BM29" s="2">
        <f t="shared" si="14"/>
        <v>6.2112583372239259E-2</v>
      </c>
      <c r="BN29" s="2">
        <f t="shared" si="14"/>
        <v>5.9156046531064384E-2</v>
      </c>
      <c r="BO29" s="2">
        <f t="shared" si="11"/>
        <v>5.716752835610827E-2</v>
      </c>
      <c r="BP29" s="2">
        <f t="shared" si="6"/>
        <v>5.5879727352203826E-2</v>
      </c>
      <c r="BQ29" s="2">
        <f t="shared" si="6"/>
        <v>5.5066037601533814E-2</v>
      </c>
      <c r="BR29" s="2">
        <f t="shared" si="6"/>
        <v>5.4559896278434855E-2</v>
      </c>
      <c r="BS29" s="2">
        <f t="shared" si="6"/>
        <v>5.424811917445322E-2</v>
      </c>
      <c r="BT29" s="2">
        <f t="shared" si="6"/>
        <v>5.4057221941815066E-2</v>
      </c>
      <c r="BU29" s="2">
        <f t="shared" si="6"/>
        <v>5.3940768906208358E-2</v>
      </c>
    </row>
    <row r="30" spans="1:73" x14ac:dyDescent="0.25">
      <c r="A30" t="s">
        <v>19</v>
      </c>
      <c r="B30" s="1" t="s">
        <v>5</v>
      </c>
      <c r="C30" t="s">
        <v>8</v>
      </c>
      <c r="D30" t="s">
        <v>8</v>
      </c>
      <c r="E30" s="97">
        <v>6.7754950000000003</v>
      </c>
      <c r="F30" s="5">
        <f t="shared" si="7"/>
        <v>1.6599962749999999E-2</v>
      </c>
      <c r="G30" s="1">
        <f>LOOKUP(RIGHT(D30,5),Ref!$C$4:$C$21,Ref!$E$4:$E$21)*$G$3</f>
        <v>4</v>
      </c>
      <c r="H30" s="36">
        <f t="shared" si="12"/>
        <v>6.7754950000000003</v>
      </c>
      <c r="I30" s="12">
        <f t="shared" si="12"/>
        <v>6.7754950000000003</v>
      </c>
      <c r="J30" s="12">
        <f t="shared" si="12"/>
        <v>6.7754950000000003</v>
      </c>
      <c r="K30" s="12">
        <f t="shared" si="12"/>
        <v>6.7754950000000003</v>
      </c>
      <c r="L30" s="12">
        <f t="shared" si="12"/>
        <v>6.7754950000000003</v>
      </c>
      <c r="M30" s="12">
        <f t="shared" si="8"/>
        <v>7.0968287665852383</v>
      </c>
      <c r="N30" s="12">
        <f t="shared" si="8"/>
        <v>7.2894717194430347</v>
      </c>
      <c r="O30" s="12">
        <f t="shared" si="8"/>
        <v>7.5831538021462475</v>
      </c>
      <c r="P30" s="12">
        <f t="shared" si="8"/>
        <v>8.011518224422348</v>
      </c>
      <c r="Q30" s="12">
        <f t="shared" si="8"/>
        <v>8.5977062557852957</v>
      </c>
      <c r="R30" s="12">
        <f t="shared" si="8"/>
        <v>9.3335199137384919</v>
      </c>
      <c r="S30" s="12">
        <f t="shared" si="8"/>
        <v>10.163242500000001</v>
      </c>
      <c r="T30" s="12">
        <f t="shared" si="8"/>
        <v>10.99296508626151</v>
      </c>
      <c r="U30" s="12">
        <f t="shared" si="8"/>
        <v>11.728778744214704</v>
      </c>
      <c r="V30" s="12">
        <f t="shared" si="8"/>
        <v>12.314966775577652</v>
      </c>
      <c r="W30" s="12">
        <f t="shared" si="8"/>
        <v>12.743331197853751</v>
      </c>
      <c r="X30" s="12">
        <f t="shared" si="8"/>
        <v>13.037013280556966</v>
      </c>
      <c r="Y30" s="12">
        <f t="shared" si="8"/>
        <v>13.229656233414763</v>
      </c>
      <c r="Z30" s="12">
        <f t="shared" si="8"/>
        <v>13.35238512710534</v>
      </c>
      <c r="AA30" s="12">
        <f t="shared" si="8"/>
        <v>13.429124524332899</v>
      </c>
      <c r="AB30" s="12">
        <f t="shared" si="8"/>
        <v>13.476548025141131</v>
      </c>
      <c r="AC30" s="12">
        <f t="shared" si="9"/>
        <v>13.505642622026764</v>
      </c>
      <c r="AD30" s="300">
        <f t="shared" si="13"/>
        <v>2.0284270158164473E-3</v>
      </c>
      <c r="AE30" s="299">
        <f t="shared" si="13"/>
        <v>2.0284270158164473E-3</v>
      </c>
      <c r="AF30" s="299">
        <f t="shared" si="13"/>
        <v>2.0284270158164473E-3</v>
      </c>
      <c r="AG30" s="299">
        <f t="shared" si="13"/>
        <v>2.0284270158164473E-3</v>
      </c>
      <c r="AH30" s="299">
        <f t="shared" si="13"/>
        <v>2.0284270158164473E-3</v>
      </c>
      <c r="AI30" s="299">
        <f t="shared" si="13"/>
        <v>1.9365828816724048E-3</v>
      </c>
      <c r="AJ30" s="299">
        <f t="shared" si="13"/>
        <v>1.8854037209406122E-3</v>
      </c>
      <c r="AK30" s="299">
        <f t="shared" si="13"/>
        <v>1.8123853824037477E-3</v>
      </c>
      <c r="AL30" s="299">
        <f t="shared" si="13"/>
        <v>1.7154797278789453E-3</v>
      </c>
      <c r="AM30" s="299">
        <f t="shared" si="13"/>
        <v>1.5985190345717329E-3</v>
      </c>
      <c r="AN30" s="299">
        <f t="shared" si="13"/>
        <v>1.4724988247252085E-3</v>
      </c>
      <c r="AO30" s="299">
        <f t="shared" si="13"/>
        <v>1.3522846772109646E-3</v>
      </c>
      <c r="AP30" s="299">
        <f t="shared" si="13"/>
        <v>1.2502174796047848E-3</v>
      </c>
      <c r="AQ30" s="299">
        <f t="shared" si="13"/>
        <v>1.1717841561559321E-3</v>
      </c>
      <c r="AR30" s="299">
        <f t="shared" si="13"/>
        <v>1.1160076477660327E-3</v>
      </c>
      <c r="AS30" s="299">
        <f t="shared" si="10"/>
        <v>1.0784932832824728E-3</v>
      </c>
      <c r="AT30" s="299">
        <f t="shared" si="4"/>
        <v>1.0541982897283747E-3</v>
      </c>
      <c r="AU30" s="299">
        <f t="shared" si="4"/>
        <v>1.0388476360267331E-3</v>
      </c>
      <c r="AV30" s="299">
        <f t="shared" si="4"/>
        <v>1.029299033296288E-3</v>
      </c>
      <c r="AW30" s="299">
        <f t="shared" si="4"/>
        <v>1.0234172062837418E-3</v>
      </c>
      <c r="AX30" s="299">
        <f t="shared" si="4"/>
        <v>1.0198158369554232E-3</v>
      </c>
      <c r="AY30" s="299">
        <f t="shared" si="4"/>
        <v>1.0176188936848077E-3</v>
      </c>
      <c r="AZ30" s="306">
        <f t="shared" si="14"/>
        <v>0.11229328916724428</v>
      </c>
      <c r="BA30" s="2">
        <f t="shared" si="14"/>
        <v>0.11229328916724428</v>
      </c>
      <c r="BB30" s="2">
        <f t="shared" si="14"/>
        <v>0.11229328916724428</v>
      </c>
      <c r="BC30" s="2">
        <f t="shared" si="14"/>
        <v>0.11229328916724428</v>
      </c>
      <c r="BD30" s="2">
        <f t="shared" si="14"/>
        <v>0.11229328916724428</v>
      </c>
      <c r="BE30" s="2">
        <f t="shared" si="14"/>
        <v>0.10720881739018065</v>
      </c>
      <c r="BF30" s="2">
        <f t="shared" si="14"/>
        <v>0.10437554991218916</v>
      </c>
      <c r="BG30" s="2">
        <f t="shared" si="14"/>
        <v>0.10033327018514088</v>
      </c>
      <c r="BH30" s="2">
        <f t="shared" si="14"/>
        <v>9.4968593713843363E-2</v>
      </c>
      <c r="BI30" s="2">
        <f t="shared" si="14"/>
        <v>8.8493674551192739E-2</v>
      </c>
      <c r="BJ30" s="2">
        <f t="shared" si="14"/>
        <v>8.151722247533795E-2</v>
      </c>
      <c r="BK30" s="2">
        <f t="shared" si="14"/>
        <v>7.4862192778162848E-2</v>
      </c>
      <c r="BL30" s="2">
        <f t="shared" si="14"/>
        <v>6.9211774377149898E-2</v>
      </c>
      <c r="BM30" s="2">
        <f t="shared" si="14"/>
        <v>6.4869722234423458E-2</v>
      </c>
      <c r="BN30" s="2">
        <f t="shared" si="14"/>
        <v>6.1781946565627605E-2</v>
      </c>
      <c r="BO30" s="2">
        <f t="shared" si="11"/>
        <v>5.9705159308294516E-2</v>
      </c>
      <c r="BP30" s="2">
        <f t="shared" si="6"/>
        <v>5.8360193620491052E-2</v>
      </c>
      <c r="BQ30" s="2">
        <f t="shared" si="6"/>
        <v>5.7510384688947688E-2</v>
      </c>
      <c r="BR30" s="2">
        <f t="shared" si="6"/>
        <v>5.6981776067985587E-2</v>
      </c>
      <c r="BS30" s="2">
        <f t="shared" si="6"/>
        <v>5.6656159372683541E-2</v>
      </c>
      <c r="BT30" s="2">
        <f t="shared" si="6"/>
        <v>5.6456788330871546E-2</v>
      </c>
      <c r="BU30" s="2">
        <f t="shared" si="6"/>
        <v>5.6335166017597443E-2</v>
      </c>
    </row>
    <row r="31" spans="1:73" x14ac:dyDescent="0.25">
      <c r="A31" t="s">
        <v>19</v>
      </c>
      <c r="B31" s="1" t="s">
        <v>5</v>
      </c>
      <c r="C31" t="s">
        <v>9</v>
      </c>
      <c r="D31" t="s">
        <v>9</v>
      </c>
      <c r="E31" s="97">
        <v>6.5360550000000002</v>
      </c>
      <c r="F31" s="5">
        <f t="shared" si="7"/>
        <v>1.6013334750000004E-2</v>
      </c>
      <c r="G31" s="1">
        <f>LOOKUP(RIGHT(D31,5),Ref!$C$4:$C$21,Ref!$E$4:$E$21)*$G$3</f>
        <v>4.5</v>
      </c>
      <c r="H31" s="36">
        <f t="shared" si="12"/>
        <v>6.5360550000000002</v>
      </c>
      <c r="I31" s="12">
        <f t="shared" si="12"/>
        <v>6.5360550000000002</v>
      </c>
      <c r="J31" s="12">
        <f t="shared" si="12"/>
        <v>6.5360550000000002</v>
      </c>
      <c r="K31" s="12">
        <f t="shared" si="12"/>
        <v>6.5360550000000002</v>
      </c>
      <c r="L31" s="12">
        <f t="shared" si="12"/>
        <v>6.5360550000000002</v>
      </c>
      <c r="M31" s="12">
        <f t="shared" si="8"/>
        <v>6.8460331155116014</v>
      </c>
      <c r="N31" s="12">
        <f t="shared" si="8"/>
        <v>7.0318682368187488</v>
      </c>
      <c r="O31" s="12">
        <f t="shared" si="8"/>
        <v>7.3151718544972715</v>
      </c>
      <c r="P31" s="12">
        <f t="shared" si="8"/>
        <v>7.728398257002155</v>
      </c>
      <c r="Q31" s="12">
        <f t="shared" si="8"/>
        <v>8.2938709218524647</v>
      </c>
      <c r="R31" s="12">
        <f t="shared" si="8"/>
        <v>9.0036815760014637</v>
      </c>
      <c r="S31" s="12">
        <f t="shared" si="8"/>
        <v>9.8040824999999998</v>
      </c>
      <c r="T31" s="12">
        <f t="shared" si="8"/>
        <v>10.604483423998538</v>
      </c>
      <c r="U31" s="12">
        <f t="shared" si="8"/>
        <v>11.314294078147537</v>
      </c>
      <c r="V31" s="12">
        <f t="shared" si="8"/>
        <v>11.879766742997846</v>
      </c>
      <c r="W31" s="12">
        <f t="shared" si="8"/>
        <v>12.292993145502727</v>
      </c>
      <c r="X31" s="12">
        <f t="shared" si="8"/>
        <v>12.576296763181253</v>
      </c>
      <c r="Y31" s="12">
        <f t="shared" si="8"/>
        <v>12.762131884488399</v>
      </c>
      <c r="Z31" s="12">
        <f t="shared" si="8"/>
        <v>12.880523647636444</v>
      </c>
      <c r="AA31" s="12">
        <f t="shared" si="8"/>
        <v>12.954551142446222</v>
      </c>
      <c r="AB31" s="12">
        <f t="shared" si="8"/>
        <v>13.000298738684599</v>
      </c>
      <c r="AC31" s="12">
        <f t="shared" si="9"/>
        <v>13.028365158252074</v>
      </c>
      <c r="AD31" s="300">
        <f t="shared" si="13"/>
        <v>2.1027358404311562E-3</v>
      </c>
      <c r="AE31" s="299">
        <f t="shared" si="13"/>
        <v>2.1027358404311562E-3</v>
      </c>
      <c r="AF31" s="299">
        <f t="shared" si="13"/>
        <v>2.1027358404311562E-3</v>
      </c>
      <c r="AG31" s="299">
        <f t="shared" si="13"/>
        <v>2.1027358404311562E-3</v>
      </c>
      <c r="AH31" s="299">
        <f t="shared" si="13"/>
        <v>2.1027358404311562E-3</v>
      </c>
      <c r="AI31" s="299">
        <f t="shared" si="13"/>
        <v>2.0075271141165385E-3</v>
      </c>
      <c r="AJ31" s="299">
        <f t="shared" si="13"/>
        <v>1.9544730704093697E-3</v>
      </c>
      <c r="AK31" s="299">
        <f t="shared" si="13"/>
        <v>1.878779798601707E-3</v>
      </c>
      <c r="AL31" s="299">
        <f t="shared" si="13"/>
        <v>1.7783241295927211E-3</v>
      </c>
      <c r="AM31" s="299">
        <f t="shared" si="13"/>
        <v>1.6570787311529053E-3</v>
      </c>
      <c r="AN31" s="299">
        <f t="shared" si="13"/>
        <v>1.5264419323937034E-3</v>
      </c>
      <c r="AO31" s="299">
        <f t="shared" si="13"/>
        <v>1.4018238936207707E-3</v>
      </c>
      <c r="AP31" s="299">
        <f t="shared" si="13"/>
        <v>1.2960175950133255E-3</v>
      </c>
      <c r="AQ31" s="299">
        <f t="shared" si="13"/>
        <v>1.2147109672598741E-3</v>
      </c>
      <c r="AR31" s="299">
        <f t="shared" si="13"/>
        <v>1.1568911579539209E-3</v>
      </c>
      <c r="AS31" s="299">
        <f t="shared" si="10"/>
        <v>1.1180025027962553E-3</v>
      </c>
      <c r="AT31" s="299">
        <f t="shared" si="4"/>
        <v>1.0928174932835102E-3</v>
      </c>
      <c r="AU31" s="299">
        <f t="shared" si="4"/>
        <v>1.076904488052954E-3</v>
      </c>
      <c r="AV31" s="299">
        <f t="shared" si="4"/>
        <v>1.0670060844965095E-3</v>
      </c>
      <c r="AW31" s="299">
        <f t="shared" si="4"/>
        <v>1.0609087842879934E-3</v>
      </c>
      <c r="AX31" s="299">
        <f t="shared" si="4"/>
        <v>1.0571754834089197E-3</v>
      </c>
      <c r="AY31" s="299">
        <f t="shared" si="4"/>
        <v>1.0548980579366217E-3</v>
      </c>
      <c r="AZ31" s="306">
        <f t="shared" si="14"/>
        <v>0.11640700992972332</v>
      </c>
      <c r="BA31" s="2">
        <f t="shared" si="14"/>
        <v>0.11640700992972332</v>
      </c>
      <c r="BB31" s="2">
        <f t="shared" si="14"/>
        <v>0.11640700992972332</v>
      </c>
      <c r="BC31" s="2">
        <f t="shared" si="14"/>
        <v>0.11640700992972332</v>
      </c>
      <c r="BD31" s="2">
        <f t="shared" si="14"/>
        <v>0.11640700992972332</v>
      </c>
      <c r="BE31" s="2">
        <f t="shared" si="14"/>
        <v>0.11113627504405671</v>
      </c>
      <c r="BF31" s="2">
        <f t="shared" si="14"/>
        <v>0.108199214442395</v>
      </c>
      <c r="BG31" s="2">
        <f t="shared" si="14"/>
        <v>0.10400885097709109</v>
      </c>
      <c r="BH31" s="2">
        <f t="shared" si="14"/>
        <v>9.8447646457255497E-2</v>
      </c>
      <c r="BI31" s="2">
        <f t="shared" si="14"/>
        <v>9.1735526927670216E-2</v>
      </c>
      <c r="BJ31" s="2">
        <f t="shared" si="14"/>
        <v>8.4503501469241002E-2</v>
      </c>
      <c r="BK31" s="2">
        <f t="shared" si="14"/>
        <v>7.7604673286482212E-2</v>
      </c>
      <c r="BL31" s="2">
        <f t="shared" si="14"/>
        <v>7.1747259047469342E-2</v>
      </c>
      <c r="BM31" s="2">
        <f t="shared" si="14"/>
        <v>6.7246141388150021E-2</v>
      </c>
      <c r="BN31" s="2">
        <f t="shared" si="14"/>
        <v>6.4045249014226008E-2</v>
      </c>
      <c r="BO31" s="2">
        <f t="shared" si="11"/>
        <v>6.189238131679628E-2</v>
      </c>
      <c r="BP31" s="2">
        <f t="shared" si="6"/>
        <v>6.0498144534381827E-2</v>
      </c>
      <c r="BQ31" s="2">
        <f t="shared" si="6"/>
        <v>5.9617203941527676E-2</v>
      </c>
      <c r="BR31" s="2">
        <f t="shared" si="6"/>
        <v>5.9069230421065308E-2</v>
      </c>
      <c r="BS31" s="2">
        <f t="shared" si="6"/>
        <v>5.873168517535738E-2</v>
      </c>
      <c r="BT31" s="2">
        <f t="shared" si="6"/>
        <v>5.8525010430891193E-2</v>
      </c>
      <c r="BU31" s="2">
        <f t="shared" si="6"/>
        <v>5.8398932640010129E-2</v>
      </c>
    </row>
    <row r="32" spans="1:73" x14ac:dyDescent="0.25">
      <c r="A32" t="s">
        <v>20</v>
      </c>
      <c r="B32" s="1" t="s">
        <v>5</v>
      </c>
      <c r="C32" t="s">
        <v>13</v>
      </c>
      <c r="D32" t="s">
        <v>13</v>
      </c>
      <c r="E32" s="97">
        <v>6.9047049999999999</v>
      </c>
      <c r="F32" s="5">
        <f t="shared" si="7"/>
        <v>1.6916527250000001E-2</v>
      </c>
      <c r="G32" s="1">
        <f>LOOKUP(RIGHT(D32,5),Ref!$C$4:$C$21,Ref!$E$4:$E$21)*$G$3</f>
        <v>1.5</v>
      </c>
      <c r="H32" s="36">
        <f t="shared" si="12"/>
        <v>6.9047049999999999</v>
      </c>
      <c r="I32" s="12">
        <f t="shared" si="12"/>
        <v>6.9047049999999999</v>
      </c>
      <c r="J32" s="12">
        <f t="shared" si="12"/>
        <v>6.9047049999999999</v>
      </c>
      <c r="K32" s="12">
        <f t="shared" si="12"/>
        <v>6.9047049999999999</v>
      </c>
      <c r="L32" s="12">
        <f t="shared" si="12"/>
        <v>6.9047049999999999</v>
      </c>
      <c r="M32" s="12">
        <f t="shared" si="8"/>
        <v>7.2321666636585107</v>
      </c>
      <c r="N32" s="12">
        <f t="shared" si="8"/>
        <v>7.4284833548835794</v>
      </c>
      <c r="O32" s="12">
        <f t="shared" si="8"/>
        <v>7.7277660117007247</v>
      </c>
      <c r="P32" s="12">
        <f t="shared" si="8"/>
        <v>8.1642994263533684</v>
      </c>
      <c r="Q32" s="12">
        <f t="shared" si="8"/>
        <v>8.761666176840512</v>
      </c>
      <c r="R32" s="12">
        <f t="shared" si="8"/>
        <v>9.5115119435538986</v>
      </c>
      <c r="S32" s="12">
        <f t="shared" si="8"/>
        <v>10.3570575</v>
      </c>
      <c r="T32" s="12">
        <f t="shared" si="8"/>
        <v>11.202603056446101</v>
      </c>
      <c r="U32" s="12">
        <f t="shared" si="8"/>
        <v>11.952448823159488</v>
      </c>
      <c r="V32" s="12">
        <f t="shared" si="8"/>
        <v>12.549815573646631</v>
      </c>
      <c r="W32" s="12">
        <f t="shared" si="8"/>
        <v>12.986348988299273</v>
      </c>
      <c r="X32" s="12">
        <f t="shared" si="8"/>
        <v>13.285631645116419</v>
      </c>
      <c r="Y32" s="12">
        <f t="shared" si="8"/>
        <v>13.481948336341489</v>
      </c>
      <c r="Z32" s="12">
        <f t="shared" si="8"/>
        <v>13.607017693769956</v>
      </c>
      <c r="AA32" s="12">
        <f t="shared" si="8"/>
        <v>13.685220526143697</v>
      </c>
      <c r="AB32" s="12">
        <f t="shared" si="8"/>
        <v>13.73354840228383</v>
      </c>
      <c r="AC32" s="12">
        <f t="shared" si="9"/>
        <v>13.763197838758837</v>
      </c>
      <c r="AD32" s="300">
        <f t="shared" si="13"/>
        <v>1.990468398509315E-3</v>
      </c>
      <c r="AE32" s="299">
        <f t="shared" si="13"/>
        <v>1.990468398509315E-3</v>
      </c>
      <c r="AF32" s="299">
        <f t="shared" si="13"/>
        <v>1.990468398509315E-3</v>
      </c>
      <c r="AG32" s="299">
        <f t="shared" si="13"/>
        <v>1.990468398509315E-3</v>
      </c>
      <c r="AH32" s="299">
        <f t="shared" si="13"/>
        <v>1.990468398509315E-3</v>
      </c>
      <c r="AI32" s="299">
        <f t="shared" si="13"/>
        <v>1.9003429736472409E-3</v>
      </c>
      <c r="AJ32" s="299">
        <f t="shared" si="13"/>
        <v>1.8501215452672508E-3</v>
      </c>
      <c r="AK32" s="299">
        <f t="shared" si="13"/>
        <v>1.7784696227499482E-3</v>
      </c>
      <c r="AL32" s="299">
        <f t="shared" si="13"/>
        <v>1.6833773953912807E-3</v>
      </c>
      <c r="AM32" s="299">
        <f t="shared" si="13"/>
        <v>1.5686054257416653E-3</v>
      </c>
      <c r="AN32" s="299">
        <f t="shared" si="13"/>
        <v>1.4449434732449148E-3</v>
      </c>
      <c r="AO32" s="299">
        <f t="shared" si="13"/>
        <v>1.3269789323395434E-3</v>
      </c>
      <c r="AP32" s="299">
        <f t="shared" si="13"/>
        <v>1.2268217515411333E-3</v>
      </c>
      <c r="AQ32" s="299">
        <f t="shared" si="13"/>
        <v>1.149856176493237E-3</v>
      </c>
      <c r="AR32" s="299">
        <f t="shared" si="13"/>
        <v>1.0951234321235326E-3</v>
      </c>
      <c r="AS32" s="299">
        <f t="shared" si="10"/>
        <v>1.0583110861961487E-3</v>
      </c>
      <c r="AT32" s="299">
        <f t="shared" si="4"/>
        <v>1.0344707327920822E-3</v>
      </c>
      <c r="AU32" s="299">
        <f t="shared" si="4"/>
        <v>1.0194073408872574E-3</v>
      </c>
      <c r="AV32" s="299">
        <f t="shared" si="4"/>
        <v>1.0100374242786379E-3</v>
      </c>
      <c r="AW32" s="299">
        <f t="shared" si="4"/>
        <v>1.0042656658162024E-3</v>
      </c>
      <c r="AX32" s="299">
        <f t="shared" si="4"/>
        <v>1.0007316900884668E-3</v>
      </c>
      <c r="AY32" s="299">
        <f t="shared" si="4"/>
        <v>9.9857585893487789E-4</v>
      </c>
      <c r="AZ32" s="306">
        <f t="shared" si="14"/>
        <v>0.11019190816786782</v>
      </c>
      <c r="BA32" s="2">
        <f t="shared" si="14"/>
        <v>0.11019190816786782</v>
      </c>
      <c r="BB32" s="2">
        <f t="shared" si="14"/>
        <v>0.11019190816786782</v>
      </c>
      <c r="BC32" s="2">
        <f t="shared" si="14"/>
        <v>0.11019190816786782</v>
      </c>
      <c r="BD32" s="2">
        <f t="shared" si="14"/>
        <v>0.11019190816786782</v>
      </c>
      <c r="BE32" s="2">
        <f t="shared" si="14"/>
        <v>0.10520258377194712</v>
      </c>
      <c r="BF32" s="2">
        <f t="shared" si="14"/>
        <v>0.10242233615372244</v>
      </c>
      <c r="BG32" s="2">
        <f t="shared" si="14"/>
        <v>9.8455700927566225E-2</v>
      </c>
      <c r="BH32" s="2">
        <f t="shared" si="14"/>
        <v>9.319141539938014E-2</v>
      </c>
      <c r="BI32" s="2">
        <f t="shared" si="14"/>
        <v>8.683766351397107E-2</v>
      </c>
      <c r="BJ32" s="2">
        <f t="shared" si="14"/>
        <v>7.9991764064582055E-2</v>
      </c>
      <c r="BK32" s="2">
        <f t="shared" si="14"/>
        <v>7.3461272111911877E-2</v>
      </c>
      <c r="BL32" s="2">
        <f t="shared" si="14"/>
        <v>6.7916591836075152E-2</v>
      </c>
      <c r="BM32" s="2">
        <f t="shared" si="14"/>
        <v>6.3655793933372229E-2</v>
      </c>
      <c r="BN32" s="2">
        <f t="shared" si="14"/>
        <v>6.0625800819249634E-2</v>
      </c>
      <c r="BO32" s="2">
        <f t="shared" si="11"/>
        <v>5.8587877160219438E-2</v>
      </c>
      <c r="BP32" s="2">
        <f t="shared" si="6"/>
        <v>5.7268080254647961E-2</v>
      </c>
      <c r="BQ32" s="2">
        <f t="shared" si="6"/>
        <v>5.6434174075219966E-2</v>
      </c>
      <c r="BR32" s="2">
        <f t="shared" si="6"/>
        <v>5.5915457480045283E-2</v>
      </c>
      <c r="BS32" s="2">
        <f t="shared" si="6"/>
        <v>5.5595934156321011E-2</v>
      </c>
      <c r="BT32" s="2">
        <f t="shared" si="6"/>
        <v>5.5400294009936492E-2</v>
      </c>
      <c r="BU32" s="2">
        <f t="shared" si="6"/>
        <v>5.5280947654737081E-2</v>
      </c>
    </row>
    <row r="33" spans="1:73" x14ac:dyDescent="0.25">
      <c r="A33" t="s">
        <v>20</v>
      </c>
      <c r="B33" s="1" t="s">
        <v>5</v>
      </c>
      <c r="C33" t="s">
        <v>14</v>
      </c>
      <c r="D33" t="s">
        <v>14</v>
      </c>
      <c r="E33" s="97">
        <v>7.279998</v>
      </c>
      <c r="F33" s="5">
        <f t="shared" si="7"/>
        <v>1.7835995099999998E-2</v>
      </c>
      <c r="G33" s="1">
        <f>LOOKUP(RIGHT(D33,5),Ref!$C$4:$C$21,Ref!$E$4:$E$21)*$G$3</f>
        <v>2</v>
      </c>
      <c r="H33" s="36">
        <f t="shared" si="12"/>
        <v>7.279998</v>
      </c>
      <c r="I33" s="12">
        <f t="shared" si="12"/>
        <v>7.279998</v>
      </c>
      <c r="J33" s="12">
        <f t="shared" si="12"/>
        <v>7.279998</v>
      </c>
      <c r="K33" s="12">
        <f t="shared" si="12"/>
        <v>7.279998</v>
      </c>
      <c r="L33" s="12">
        <f t="shared" si="12"/>
        <v>7.279998</v>
      </c>
      <c r="M33" s="12">
        <f t="shared" si="8"/>
        <v>7.6252582618809397</v>
      </c>
      <c r="N33" s="12">
        <f t="shared" si="8"/>
        <v>7.8322453988382925</v>
      </c>
      <c r="O33" s="12">
        <f t="shared" si="8"/>
        <v>8.1477950339151715</v>
      </c>
      <c r="P33" s="12">
        <f t="shared" si="8"/>
        <v>8.6080554484592273</v>
      </c>
      <c r="Q33" s="12">
        <f t="shared" si="8"/>
        <v>9.2378910096907223</v>
      </c>
      <c r="R33" s="12">
        <f t="shared" si="8"/>
        <v>10.028493313769161</v>
      </c>
      <c r="S33" s="12">
        <f t="shared" si="8"/>
        <v>10.919997</v>
      </c>
      <c r="T33" s="12">
        <f t="shared" si="8"/>
        <v>11.811500686230838</v>
      </c>
      <c r="U33" s="12">
        <f t="shared" si="8"/>
        <v>12.602102990309277</v>
      </c>
      <c r="V33" s="12">
        <f t="shared" si="8"/>
        <v>13.231938551540773</v>
      </c>
      <c r="W33" s="12">
        <f t="shared" si="8"/>
        <v>13.692198966084826</v>
      </c>
      <c r="X33" s="12">
        <f t="shared" si="8"/>
        <v>14.007748601161708</v>
      </c>
      <c r="Y33" s="12">
        <f t="shared" si="8"/>
        <v>14.21473573811906</v>
      </c>
      <c r="Z33" s="12">
        <f t="shared" si="8"/>
        <v>14.346603018754587</v>
      </c>
      <c r="AA33" s="12">
        <f t="shared" si="8"/>
        <v>14.429056427448394</v>
      </c>
      <c r="AB33" s="12">
        <f t="shared" si="8"/>
        <v>14.480011079623168</v>
      </c>
      <c r="AC33" s="12">
        <f t="shared" si="9"/>
        <v>14.511272058656909</v>
      </c>
      <c r="AD33" s="300">
        <f t="shared" si="13"/>
        <v>1.8878572636323882E-3</v>
      </c>
      <c r="AE33" s="299">
        <f t="shared" si="13"/>
        <v>1.8878572636323882E-3</v>
      </c>
      <c r="AF33" s="299">
        <f t="shared" si="13"/>
        <v>1.8878572636323882E-3</v>
      </c>
      <c r="AG33" s="299">
        <f t="shared" si="13"/>
        <v>1.8878572636323882E-3</v>
      </c>
      <c r="AH33" s="299">
        <f t="shared" si="13"/>
        <v>1.8878572636323882E-3</v>
      </c>
      <c r="AI33" s="299">
        <f t="shared" si="13"/>
        <v>1.8023779171171437E-3</v>
      </c>
      <c r="AJ33" s="299">
        <f t="shared" si="13"/>
        <v>1.7547454661683303E-3</v>
      </c>
      <c r="AK33" s="299">
        <f t="shared" si="13"/>
        <v>1.6867872898522335E-3</v>
      </c>
      <c r="AL33" s="299">
        <f t="shared" si="13"/>
        <v>1.5965971857197147E-3</v>
      </c>
      <c r="AM33" s="299">
        <f t="shared" si="13"/>
        <v>1.4877418546194112E-3</v>
      </c>
      <c r="AN33" s="299">
        <f t="shared" si="13"/>
        <v>1.3704548304040096E-3</v>
      </c>
      <c r="AO33" s="299">
        <f t="shared" si="13"/>
        <v>1.2585715090882587E-3</v>
      </c>
      <c r="AP33" s="299">
        <f t="shared" si="13"/>
        <v>1.1635775561991666E-3</v>
      </c>
      <c r="AQ33" s="299">
        <f t="shared" si="13"/>
        <v>1.0905796527847587E-3</v>
      </c>
      <c r="AR33" s="299">
        <f t="shared" si="13"/>
        <v>1.0386684498265681E-3</v>
      </c>
      <c r="AS33" s="299">
        <f t="shared" si="10"/>
        <v>1.0037538263628614E-3</v>
      </c>
      <c r="AT33" s="299">
        <f t="shared" si="4"/>
        <v>9.8114247298737621E-4</v>
      </c>
      <c r="AU33" s="299">
        <f t="shared" si="4"/>
        <v>9.6685561777090461E-4</v>
      </c>
      <c r="AV33" s="299">
        <f t="shared" si="4"/>
        <v>9.5796873207984858E-4</v>
      </c>
      <c r="AW33" s="299">
        <f t="shared" si="4"/>
        <v>9.5249451498330927E-4</v>
      </c>
      <c r="AX33" s="299">
        <f t="shared" si="4"/>
        <v>9.491427201233141E-4</v>
      </c>
      <c r="AY33" s="299">
        <f t="shared" si="4"/>
        <v>9.4709802476140045E-4</v>
      </c>
      <c r="AZ33" s="306">
        <f t="shared" si="14"/>
        <v>0.10451137751496879</v>
      </c>
      <c r="BA33" s="2">
        <f t="shared" si="14"/>
        <v>0.10451137751496879</v>
      </c>
      <c r="BB33" s="2">
        <f t="shared" si="14"/>
        <v>0.10451137751496879</v>
      </c>
      <c r="BC33" s="2">
        <f t="shared" si="14"/>
        <v>0.10451137751496879</v>
      </c>
      <c r="BD33" s="2">
        <f t="shared" si="14"/>
        <v>0.10451137751496879</v>
      </c>
      <c r="BE33" s="2">
        <f t="shared" si="14"/>
        <v>9.9779259030439577E-2</v>
      </c>
      <c r="BF33" s="2">
        <f t="shared" si="14"/>
        <v>9.7142336653428751E-2</v>
      </c>
      <c r="BG33" s="2">
        <f t="shared" si="14"/>
        <v>9.3380186433165382E-2</v>
      </c>
      <c r="BH33" s="2">
        <f t="shared" si="14"/>
        <v>8.8387281406557675E-2</v>
      </c>
      <c r="BI33" s="2">
        <f t="shared" si="14"/>
        <v>8.2361073375739058E-2</v>
      </c>
      <c r="BJ33" s="2">
        <f t="shared" si="14"/>
        <v>7.5868088603257861E-2</v>
      </c>
      <c r="BK33" s="2">
        <f t="shared" si="14"/>
        <v>6.9674251676645857E-2</v>
      </c>
      <c r="BL33" s="2">
        <f t="shared" si="14"/>
        <v>6.441540660224182E-2</v>
      </c>
      <c r="BM33" s="2">
        <f t="shared" si="14"/>
        <v>6.0374258159236437E-2</v>
      </c>
      <c r="BN33" s="2">
        <f t="shared" si="14"/>
        <v>5.7500464978929529E-2</v>
      </c>
      <c r="BO33" s="2">
        <f t="shared" si="11"/>
        <v>5.5567598832795419E-2</v>
      </c>
      <c r="BP33" s="2">
        <f t="shared" si="6"/>
        <v>5.4315839108014734E-2</v>
      </c>
      <c r="BQ33" s="2">
        <f t="shared" si="6"/>
        <v>5.352492183487436E-2</v>
      </c>
      <c r="BR33" s="2">
        <f t="shared" si="6"/>
        <v>5.3032945728797735E-2</v>
      </c>
      <c r="BS33" s="2">
        <f t="shared" si="6"/>
        <v>5.2729894231951777E-2</v>
      </c>
      <c r="BT33" s="2">
        <f t="shared" si="6"/>
        <v>5.2544339579746933E-2</v>
      </c>
      <c r="BU33" s="2">
        <f t="shared" si="6"/>
        <v>5.2431145678391862E-2</v>
      </c>
    </row>
    <row r="34" spans="1:73" x14ac:dyDescent="0.25">
      <c r="A34" t="s">
        <v>20</v>
      </c>
      <c r="B34" s="1" t="s">
        <v>5</v>
      </c>
      <c r="C34" t="s">
        <v>15</v>
      </c>
      <c r="D34" t="s">
        <v>15</v>
      </c>
      <c r="E34" s="97">
        <v>7.2310150000000002</v>
      </c>
      <c r="F34" s="5">
        <f t="shared" si="7"/>
        <v>1.7715986750000003E-2</v>
      </c>
      <c r="G34" s="1">
        <f>LOOKUP(RIGHT(D34,5),Ref!$C$4:$C$21,Ref!$E$4:$E$21)*$G$3</f>
        <v>2.5</v>
      </c>
      <c r="H34" s="36">
        <f t="shared" si="12"/>
        <v>7.2310150000000002</v>
      </c>
      <c r="I34" s="12">
        <f t="shared" si="12"/>
        <v>7.2310150000000002</v>
      </c>
      <c r="J34" s="12">
        <f t="shared" si="12"/>
        <v>7.2310150000000002</v>
      </c>
      <c r="K34" s="12">
        <f t="shared" si="12"/>
        <v>7.2310150000000002</v>
      </c>
      <c r="L34" s="12">
        <f t="shared" si="12"/>
        <v>7.2310150000000002</v>
      </c>
      <c r="M34" s="12">
        <f t="shared" si="8"/>
        <v>7.573952200335083</v>
      </c>
      <c r="N34" s="12">
        <f t="shared" si="8"/>
        <v>7.7795466376063116</v>
      </c>
      <c r="O34" s="12">
        <f t="shared" si="8"/>
        <v>8.0929731171857622</v>
      </c>
      <c r="P34" s="12">
        <f t="shared" si="8"/>
        <v>8.5501366990266199</v>
      </c>
      <c r="Q34" s="12">
        <f t="shared" si="8"/>
        <v>9.175734452047756</v>
      </c>
      <c r="R34" s="12">
        <f t="shared" si="8"/>
        <v>9.9610172391894221</v>
      </c>
      <c r="S34" s="12">
        <f t="shared" si="8"/>
        <v>10.846522500000001</v>
      </c>
      <c r="T34" s="12">
        <f t="shared" si="8"/>
        <v>11.732027760810578</v>
      </c>
      <c r="U34" s="12">
        <f t="shared" si="8"/>
        <v>12.517310547952244</v>
      </c>
      <c r="V34" s="12">
        <f t="shared" si="8"/>
        <v>13.14290830097338</v>
      </c>
      <c r="W34" s="12">
        <f t="shared" si="8"/>
        <v>13.600071882814236</v>
      </c>
      <c r="X34" s="12">
        <f t="shared" si="8"/>
        <v>13.913498362393689</v>
      </c>
      <c r="Y34" s="12">
        <f t="shared" si="8"/>
        <v>14.119092799664918</v>
      </c>
      <c r="Z34" s="12">
        <f t="shared" si="8"/>
        <v>14.250072819753482</v>
      </c>
      <c r="AA34" s="12">
        <f t="shared" si="8"/>
        <v>14.331971445970966</v>
      </c>
      <c r="AB34" s="12">
        <f t="shared" si="8"/>
        <v>14.382583253034042</v>
      </c>
      <c r="AC34" s="12">
        <f t="shared" si="9"/>
        <v>14.413633894573733</v>
      </c>
      <c r="AD34" s="300">
        <f t="shared" si="13"/>
        <v>1.9006456359901423E-3</v>
      </c>
      <c r="AE34" s="299">
        <f t="shared" si="13"/>
        <v>1.9006456359901423E-3</v>
      </c>
      <c r="AF34" s="299">
        <f t="shared" si="13"/>
        <v>1.9006456359901423E-3</v>
      </c>
      <c r="AG34" s="299">
        <f t="shared" si="13"/>
        <v>1.9006456359901423E-3</v>
      </c>
      <c r="AH34" s="299">
        <f t="shared" si="13"/>
        <v>1.9006456359901423E-3</v>
      </c>
      <c r="AI34" s="299">
        <f t="shared" si="13"/>
        <v>1.8145872511475874E-3</v>
      </c>
      <c r="AJ34" s="299">
        <f t="shared" si="13"/>
        <v>1.7666321372884046E-3</v>
      </c>
      <c r="AK34" s="299">
        <f t="shared" si="13"/>
        <v>1.6982136113048694E-3</v>
      </c>
      <c r="AL34" s="299">
        <f t="shared" si="13"/>
        <v>1.6074125581049346E-3</v>
      </c>
      <c r="AM34" s="299">
        <f t="shared" si="13"/>
        <v>1.4978198394202755E-3</v>
      </c>
      <c r="AN34" s="299">
        <f t="shared" si="13"/>
        <v>1.3797383112096335E-3</v>
      </c>
      <c r="AO34" s="299">
        <f t="shared" si="13"/>
        <v>1.2670970906600949E-3</v>
      </c>
      <c r="AP34" s="299">
        <f t="shared" si="13"/>
        <v>1.171459647362759E-3</v>
      </c>
      <c r="AQ34" s="299">
        <f t="shared" si="13"/>
        <v>1.0979672550967931E-3</v>
      </c>
      <c r="AR34" s="299">
        <f t="shared" si="13"/>
        <v>1.0457044049003517E-3</v>
      </c>
      <c r="AS34" s="299">
        <f t="shared" si="10"/>
        <v>1.0105532692732595E-3</v>
      </c>
      <c r="AT34" s="299">
        <f t="shared" si="4"/>
        <v>9.8778874626358182E-4</v>
      </c>
      <c r="AU34" s="299">
        <f t="shared" si="4"/>
        <v>9.7340511168362252E-4</v>
      </c>
      <c r="AV34" s="299">
        <f t="shared" si="4"/>
        <v>9.6445802610060037E-4</v>
      </c>
      <c r="AW34" s="299">
        <f t="shared" si="4"/>
        <v>9.5894672657842114E-4</v>
      </c>
      <c r="AX34" s="299">
        <f t="shared" si="4"/>
        <v>9.5557222661165632E-4</v>
      </c>
      <c r="AY34" s="299">
        <f t="shared" si="4"/>
        <v>9.5351368045384303E-4</v>
      </c>
      <c r="AZ34" s="306">
        <f t="shared" si="14"/>
        <v>0.10521933909502577</v>
      </c>
      <c r="BA34" s="2">
        <f t="shared" si="14"/>
        <v>0.10521933909502577</v>
      </c>
      <c r="BB34" s="2">
        <f t="shared" si="14"/>
        <v>0.10521933909502577</v>
      </c>
      <c r="BC34" s="2">
        <f t="shared" si="14"/>
        <v>0.10521933909502577</v>
      </c>
      <c r="BD34" s="2">
        <f t="shared" si="14"/>
        <v>0.10521933909502577</v>
      </c>
      <c r="BE34" s="2">
        <f t="shared" si="14"/>
        <v>0.10045516517156748</v>
      </c>
      <c r="BF34" s="2">
        <f t="shared" si="14"/>
        <v>9.7800380244307067E-2</v>
      </c>
      <c r="BG34" s="2">
        <f t="shared" si="14"/>
        <v>9.4012745164139627E-2</v>
      </c>
      <c r="BH34" s="2">
        <f t="shared" si="14"/>
        <v>8.8986018126802E-2</v>
      </c>
      <c r="BI34" s="2">
        <f t="shared" si="14"/>
        <v>8.2918988475785715E-2</v>
      </c>
      <c r="BJ34" s="2">
        <f t="shared" si="14"/>
        <v>7.6382020130720235E-2</v>
      </c>
      <c r="BK34" s="2">
        <f t="shared" si="14"/>
        <v>7.0146226063350511E-2</v>
      </c>
      <c r="BL34" s="2">
        <f t="shared" si="14"/>
        <v>6.4851757496493551E-2</v>
      </c>
      <c r="BM34" s="2">
        <f t="shared" si="14"/>
        <v>6.0783234255595509E-2</v>
      </c>
      <c r="BN34" s="2">
        <f t="shared" si="14"/>
        <v>5.7889973958797906E-2</v>
      </c>
      <c r="BO34" s="2">
        <f t="shared" si="11"/>
        <v>5.59440145494862E-2</v>
      </c>
      <c r="BP34" s="2">
        <f t="shared" si="6"/>
        <v>5.4683775386258918E-2</v>
      </c>
      <c r="BQ34" s="2">
        <f t="shared" si="6"/>
        <v>5.3887500428092275E-2</v>
      </c>
      <c r="BR34" s="2">
        <f t="shared" si="6"/>
        <v>5.3392191668770704E-2</v>
      </c>
      <c r="BS34" s="2">
        <f t="shared" si="6"/>
        <v>5.3087087296710141E-2</v>
      </c>
      <c r="BT34" s="2">
        <f t="shared" si="6"/>
        <v>5.2900275694612517E-2</v>
      </c>
      <c r="BU34" s="2">
        <f t="shared" si="6"/>
        <v>5.2786315016135552E-2</v>
      </c>
    </row>
    <row r="35" spans="1:73" x14ac:dyDescent="0.25">
      <c r="A35" t="s">
        <v>20</v>
      </c>
      <c r="B35" s="1" t="s">
        <v>5</v>
      </c>
      <c r="C35" t="s">
        <v>16</v>
      </c>
      <c r="D35" t="s">
        <v>16</v>
      </c>
      <c r="E35" s="97">
        <v>7.2271824999999996</v>
      </c>
      <c r="F35" s="5">
        <f t="shared" si="7"/>
        <v>1.7706597125000001E-2</v>
      </c>
      <c r="G35" s="1">
        <f>LOOKUP(RIGHT(D35,5),Ref!$C$4:$C$21,Ref!$E$4:$E$21)*$G$3</f>
        <v>3</v>
      </c>
      <c r="H35" s="36">
        <f t="shared" si="12"/>
        <v>7.2271824999999996</v>
      </c>
      <c r="I35" s="12">
        <f t="shared" si="12"/>
        <v>7.2271824999999996</v>
      </c>
      <c r="J35" s="12">
        <f t="shared" si="12"/>
        <v>7.2271824999999996</v>
      </c>
      <c r="K35" s="12">
        <f t="shared" si="12"/>
        <v>7.2271824999999996</v>
      </c>
      <c r="L35" s="12">
        <f t="shared" si="12"/>
        <v>7.2271824999999996</v>
      </c>
      <c r="M35" s="12">
        <f t="shared" si="8"/>
        <v>7.5699379406761294</v>
      </c>
      <c r="N35" s="12">
        <f t="shared" si="8"/>
        <v>7.7754234111313796</v>
      </c>
      <c r="O35" s="12">
        <f t="shared" si="8"/>
        <v>8.0886837719871121</v>
      </c>
      <c r="P35" s="12">
        <f t="shared" si="8"/>
        <v>8.5456050532066321</v>
      </c>
      <c r="Q35" s="12">
        <f t="shared" si="8"/>
        <v>9.1708712340503542</v>
      </c>
      <c r="R35" s="12">
        <f t="shared" si="8"/>
        <v>9.9557378145762527</v>
      </c>
      <c r="S35" s="12">
        <f t="shared" si="8"/>
        <v>10.84077375</v>
      </c>
      <c r="T35" s="12">
        <f t="shared" si="8"/>
        <v>11.725809685423746</v>
      </c>
      <c r="U35" s="12">
        <f t="shared" si="8"/>
        <v>12.510676265949645</v>
      </c>
      <c r="V35" s="12">
        <f t="shared" si="8"/>
        <v>13.135942446793367</v>
      </c>
      <c r="W35" s="12">
        <f t="shared" si="8"/>
        <v>13.592863728012885</v>
      </c>
      <c r="X35" s="12">
        <f t="shared" si="8"/>
        <v>13.906124088868619</v>
      </c>
      <c r="Y35" s="12">
        <f t="shared" si="8"/>
        <v>14.111609559323869</v>
      </c>
      <c r="Z35" s="12">
        <f t="shared" si="8"/>
        <v>14.242520158877836</v>
      </c>
      <c r="AA35" s="12">
        <f t="shared" si="8"/>
        <v>14.324375378120646</v>
      </c>
      <c r="AB35" s="12">
        <f t="shared" si="8"/>
        <v>14.374960360491674</v>
      </c>
      <c r="AC35" s="12">
        <f t="shared" si="9"/>
        <v>14.4059945449249</v>
      </c>
      <c r="AD35" s="300">
        <f t="shared" si="13"/>
        <v>1.9016535286786047E-3</v>
      </c>
      <c r="AE35" s="299">
        <f t="shared" si="13"/>
        <v>1.9016535286786047E-3</v>
      </c>
      <c r="AF35" s="299">
        <f t="shared" si="13"/>
        <v>1.9016535286786047E-3</v>
      </c>
      <c r="AG35" s="299">
        <f t="shared" si="13"/>
        <v>1.9016535286786047E-3</v>
      </c>
      <c r="AH35" s="299">
        <f t="shared" si="13"/>
        <v>1.9016535286786047E-3</v>
      </c>
      <c r="AI35" s="299">
        <f t="shared" si="13"/>
        <v>1.8155495079662058E-3</v>
      </c>
      <c r="AJ35" s="299">
        <f t="shared" si="13"/>
        <v>1.7675689640069992E-3</v>
      </c>
      <c r="AK35" s="299">
        <f t="shared" si="13"/>
        <v>1.6991141563880089E-3</v>
      </c>
      <c r="AL35" s="299">
        <f t="shared" si="13"/>
        <v>1.6082649523303379E-3</v>
      </c>
      <c r="AM35" s="299">
        <f t="shared" si="13"/>
        <v>1.4986141177624345E-3</v>
      </c>
      <c r="AN35" s="299">
        <f t="shared" si="13"/>
        <v>1.3804699721408071E-3</v>
      </c>
      <c r="AO35" s="299">
        <f t="shared" si="13"/>
        <v>1.2677690191190698E-3</v>
      </c>
      <c r="AP35" s="299">
        <f t="shared" si="13"/>
        <v>1.1720808602764385E-3</v>
      </c>
      <c r="AQ35" s="299">
        <f t="shared" si="13"/>
        <v>1.0985494957562974E-3</v>
      </c>
      <c r="AR35" s="299">
        <f t="shared" si="13"/>
        <v>1.0462589311118844E-3</v>
      </c>
      <c r="AS35" s="299">
        <f t="shared" si="10"/>
        <v>1.0110891552017648E-3</v>
      </c>
      <c r="AT35" s="299">
        <f t="shared" si="4"/>
        <v>9.8831256040139486E-4</v>
      </c>
      <c r="AU35" s="299">
        <f t="shared" si="4"/>
        <v>9.7392129832904462E-4</v>
      </c>
      <c r="AV35" s="299">
        <f t="shared" si="4"/>
        <v>9.6496946819923707E-4</v>
      </c>
      <c r="AW35" s="299">
        <f t="shared" si="4"/>
        <v>9.5945524609202307E-4</v>
      </c>
      <c r="AX35" s="299">
        <f t="shared" si="4"/>
        <v>9.5607895666288852E-4</v>
      </c>
      <c r="AY35" s="299">
        <f t="shared" si="4"/>
        <v>9.5401931887937599E-4</v>
      </c>
      <c r="AZ35" s="306">
        <f t="shared" si="14"/>
        <v>0.10527513582038614</v>
      </c>
      <c r="BA35" s="2">
        <f t="shared" si="14"/>
        <v>0.10527513582038614</v>
      </c>
      <c r="BB35" s="2">
        <f t="shared" si="14"/>
        <v>0.10527513582038614</v>
      </c>
      <c r="BC35" s="2">
        <f t="shared" si="14"/>
        <v>0.10527513582038614</v>
      </c>
      <c r="BD35" s="2">
        <f t="shared" si="14"/>
        <v>0.10527513582038614</v>
      </c>
      <c r="BE35" s="2">
        <f t="shared" si="14"/>
        <v>0.10050843550485714</v>
      </c>
      <c r="BF35" s="2">
        <f t="shared" si="14"/>
        <v>9.7852242772655612E-2</v>
      </c>
      <c r="BG35" s="2">
        <f t="shared" si="14"/>
        <v>9.4062599148848278E-2</v>
      </c>
      <c r="BH35" s="2">
        <f t="shared" si="14"/>
        <v>8.9033206490243905E-2</v>
      </c>
      <c r="BI35" s="2">
        <f t="shared" si="14"/>
        <v>8.2962959556263274E-2</v>
      </c>
      <c r="BJ35" s="2">
        <f t="shared" si="14"/>
        <v>7.6422524724612945E-2</v>
      </c>
      <c r="BK35" s="2">
        <f t="shared" si="14"/>
        <v>7.0183423880257417E-2</v>
      </c>
      <c r="BL35" s="2">
        <f t="shared" si="14"/>
        <v>6.4886147711574638E-2</v>
      </c>
      <c r="BM35" s="2">
        <f t="shared" si="14"/>
        <v>6.0815466974955303E-2</v>
      </c>
      <c r="BN35" s="2">
        <f t="shared" si="14"/>
        <v>5.7920672412198955E-2</v>
      </c>
      <c r="BO35" s="2">
        <f t="shared" si="11"/>
        <v>5.597368108077428E-2</v>
      </c>
      <c r="BP35" s="2">
        <f t="shared" si="6"/>
        <v>5.4712773625775889E-2</v>
      </c>
      <c r="BQ35" s="2">
        <f t="shared" si="6"/>
        <v>5.3916076411249014E-2</v>
      </c>
      <c r="BR35" s="2">
        <f t="shared" si="6"/>
        <v>5.3420504994824196E-2</v>
      </c>
      <c r="BS35" s="2">
        <f t="shared" si="6"/>
        <v>5.3115238829076268E-2</v>
      </c>
      <c r="BT35" s="2">
        <f t="shared" si="6"/>
        <v>5.2928328162721576E-2</v>
      </c>
      <c r="BU35" s="2">
        <f t="shared" si="6"/>
        <v>5.2814307052077548E-2</v>
      </c>
    </row>
    <row r="36" spans="1:73" x14ac:dyDescent="0.25">
      <c r="A36" t="s">
        <v>20</v>
      </c>
      <c r="B36" s="1" t="s">
        <v>5</v>
      </c>
      <c r="C36" t="s">
        <v>17</v>
      </c>
      <c r="D36" t="s">
        <v>17</v>
      </c>
      <c r="E36" s="97">
        <v>6.9233200000000004</v>
      </c>
      <c r="F36" s="5">
        <f t="shared" si="7"/>
        <v>1.6962134000000004E-2</v>
      </c>
      <c r="G36" s="1">
        <f>LOOKUP(RIGHT(D36,5),Ref!$C$4:$C$21,Ref!$E$4:$E$21)*$G$3</f>
        <v>3</v>
      </c>
      <c r="H36" s="36">
        <f t="shared" si="12"/>
        <v>6.9233200000000004</v>
      </c>
      <c r="I36" s="12">
        <f t="shared" si="12"/>
        <v>6.9233200000000004</v>
      </c>
      <c r="J36" s="12">
        <f t="shared" si="12"/>
        <v>6.9233200000000004</v>
      </c>
      <c r="K36" s="12">
        <f t="shared" si="12"/>
        <v>6.9233200000000004</v>
      </c>
      <c r="L36" s="12">
        <f t="shared" si="12"/>
        <v>6.9233200000000004</v>
      </c>
      <c r="M36" s="12">
        <f t="shared" si="8"/>
        <v>7.2516644962877121</v>
      </c>
      <c r="N36" s="12">
        <f t="shared" si="8"/>
        <v>7.4485104549046754</v>
      </c>
      <c r="O36" s="12">
        <f t="shared" si="8"/>
        <v>7.7485999740941676</v>
      </c>
      <c r="P36" s="12">
        <f t="shared" si="8"/>
        <v>8.1863102774790235</v>
      </c>
      <c r="Q36" s="12">
        <f t="shared" si="8"/>
        <v>8.7852875213993151</v>
      </c>
      <c r="R36" s="12">
        <f t="shared" si="8"/>
        <v>9.5371548631035772</v>
      </c>
      <c r="S36" s="12">
        <f t="shared" si="8"/>
        <v>10.384980000000001</v>
      </c>
      <c r="T36" s="12">
        <f t="shared" si="8"/>
        <v>11.232805136896424</v>
      </c>
      <c r="U36" s="12">
        <f t="shared" si="8"/>
        <v>11.984672478600686</v>
      </c>
      <c r="V36" s="12">
        <f t="shared" si="8"/>
        <v>12.583649722520978</v>
      </c>
      <c r="W36" s="12">
        <f t="shared" si="8"/>
        <v>13.021360025905832</v>
      </c>
      <c r="X36" s="12">
        <f t="shared" si="8"/>
        <v>13.321449545095325</v>
      </c>
      <c r="Y36" s="12">
        <f t="shared" si="8"/>
        <v>13.51829550371229</v>
      </c>
      <c r="Z36" s="12">
        <f t="shared" si="8"/>
        <v>13.643702046594521</v>
      </c>
      <c r="AA36" s="12">
        <f t="shared" si="8"/>
        <v>13.722115712845254</v>
      </c>
      <c r="AB36" s="12">
        <f t="shared" si="8"/>
        <v>13.770573880346763</v>
      </c>
      <c r="AC36" s="12">
        <f t="shared" si="9"/>
        <v>13.800303251338882</v>
      </c>
      <c r="AD36" s="300">
        <f t="shared" si="13"/>
        <v>1.9851165486398517E-3</v>
      </c>
      <c r="AE36" s="299">
        <f t="shared" si="13"/>
        <v>1.9851165486398517E-3</v>
      </c>
      <c r="AF36" s="299">
        <f t="shared" si="13"/>
        <v>1.9851165486398517E-3</v>
      </c>
      <c r="AG36" s="299">
        <f t="shared" si="13"/>
        <v>1.9851165486398517E-3</v>
      </c>
      <c r="AH36" s="299">
        <f t="shared" si="13"/>
        <v>1.9851165486398517E-3</v>
      </c>
      <c r="AI36" s="299">
        <f t="shared" si="13"/>
        <v>1.8952334475160718E-3</v>
      </c>
      <c r="AJ36" s="299">
        <f t="shared" si="13"/>
        <v>1.8451470514456233E-3</v>
      </c>
      <c r="AK36" s="299">
        <f t="shared" si="13"/>
        <v>1.7736877822417106E-3</v>
      </c>
      <c r="AL36" s="299">
        <f t="shared" si="13"/>
        <v>1.6788512330565613E-3</v>
      </c>
      <c r="AM36" s="299">
        <f t="shared" si="13"/>
        <v>1.5643878552696689E-3</v>
      </c>
      <c r="AN36" s="299">
        <f t="shared" si="13"/>
        <v>1.441058397478598E-3</v>
      </c>
      <c r="AO36" s="299">
        <f t="shared" si="13"/>
        <v>1.323411032426568E-3</v>
      </c>
      <c r="AP36" s="299">
        <f t="shared" si="13"/>
        <v>1.2235231481391618E-3</v>
      </c>
      <c r="AQ36" s="299">
        <f t="shared" si="13"/>
        <v>1.1467645134290681E-3</v>
      </c>
      <c r="AR36" s="299">
        <f t="shared" si="13"/>
        <v>1.0921789311198263E-3</v>
      </c>
      <c r="AS36" s="299">
        <f t="shared" si="10"/>
        <v>1.0554655639799949E-3</v>
      </c>
      <c r="AT36" s="299">
        <f t="shared" si="4"/>
        <v>1.0316893110622004E-3</v>
      </c>
      <c r="AU36" s="299">
        <f t="shared" si="4"/>
        <v>1.0166664206855886E-3</v>
      </c>
      <c r="AV36" s="299">
        <f t="shared" si="4"/>
        <v>1.0073216973365137E-3</v>
      </c>
      <c r="AW36" s="299">
        <f t="shared" si="4"/>
        <v>1.0015654576257433E-3</v>
      </c>
      <c r="AX36" s="299">
        <f t="shared" si="4"/>
        <v>9.9804098383611995E-4</v>
      </c>
      <c r="AY36" s="299">
        <f t="shared" si="4"/>
        <v>9.9589094914967762E-4</v>
      </c>
      <c r="AZ36" s="306">
        <f t="shared" si="14"/>
        <v>0.1098956308947467</v>
      </c>
      <c r="BA36" s="2">
        <f t="shared" si="14"/>
        <v>0.1098956308947467</v>
      </c>
      <c r="BB36" s="2">
        <f t="shared" si="14"/>
        <v>0.1098956308947467</v>
      </c>
      <c r="BC36" s="2">
        <f t="shared" si="14"/>
        <v>0.1098956308947467</v>
      </c>
      <c r="BD36" s="2">
        <f t="shared" si="14"/>
        <v>0.1098956308947467</v>
      </c>
      <c r="BE36" s="2">
        <f t="shared" si="14"/>
        <v>0.10491972148955732</v>
      </c>
      <c r="BF36" s="2">
        <f t="shared" si="14"/>
        <v>0.10214694923133526</v>
      </c>
      <c r="BG36" s="2">
        <f t="shared" si="14"/>
        <v>9.819097925172765E-2</v>
      </c>
      <c r="BH36" s="2">
        <f t="shared" si="14"/>
        <v>9.2940848012973129E-2</v>
      </c>
      <c r="BI36" s="2">
        <f t="shared" si="14"/>
        <v>8.6604179707601786E-2</v>
      </c>
      <c r="BJ36" s="2">
        <f t="shared" si="14"/>
        <v>7.9776687094564452E-2</v>
      </c>
      <c r="BK36" s="2">
        <f t="shared" si="14"/>
        <v>7.326375392983113E-2</v>
      </c>
      <c r="BL36" s="2">
        <f t="shared" si="14"/>
        <v>6.7733981851699362E-2</v>
      </c>
      <c r="BM36" s="2">
        <f t="shared" si="14"/>
        <v>6.3484640122184854E-2</v>
      </c>
      <c r="BN36" s="2">
        <f t="shared" si="14"/>
        <v>6.0462793868501959E-2</v>
      </c>
      <c r="BO36" s="2">
        <f t="shared" si="11"/>
        <v>5.8430349654147569E-2</v>
      </c>
      <c r="BP36" s="2">
        <f t="shared" si="6"/>
        <v>5.7114101337894109E-2</v>
      </c>
      <c r="BQ36" s="2">
        <f t="shared" si="6"/>
        <v>5.6282437314473639E-2</v>
      </c>
      <c r="BR36" s="2">
        <f t="shared" si="6"/>
        <v>5.5765115412801373E-2</v>
      </c>
      <c r="BS36" s="2">
        <f t="shared" si="6"/>
        <v>5.5446451203876236E-2</v>
      </c>
      <c r="BT36" s="2">
        <f t="shared" si="6"/>
        <v>5.5251337082769324E-2</v>
      </c>
      <c r="BU36" s="2">
        <f t="shared" si="6"/>
        <v>5.5132311618761143E-2</v>
      </c>
    </row>
    <row r="37" spans="1:73" x14ac:dyDescent="0.25">
      <c r="A37" t="s">
        <v>20</v>
      </c>
      <c r="B37" s="1" t="s">
        <v>5</v>
      </c>
      <c r="C37" t="s">
        <v>18</v>
      </c>
      <c r="D37" t="s">
        <v>18</v>
      </c>
      <c r="E37" s="97">
        <v>6.9324450000000004</v>
      </c>
      <c r="F37" s="5">
        <f t="shared" si="7"/>
        <v>1.6984490250000001E-2</v>
      </c>
      <c r="G37" s="1">
        <f>LOOKUP(RIGHT(D37,5),Ref!$C$4:$C$21,Ref!$E$4:$E$21)*$G$3</f>
        <v>3</v>
      </c>
      <c r="H37" s="36">
        <f t="shared" si="12"/>
        <v>6.9324450000000004</v>
      </c>
      <c r="I37" s="12">
        <f t="shared" si="12"/>
        <v>6.9324450000000004</v>
      </c>
      <c r="J37" s="12">
        <f t="shared" si="12"/>
        <v>6.9324450000000004</v>
      </c>
      <c r="K37" s="12">
        <f t="shared" si="12"/>
        <v>6.9324450000000004</v>
      </c>
      <c r="L37" s="12">
        <f t="shared" si="12"/>
        <v>6.9324450000000004</v>
      </c>
      <c r="M37" s="12">
        <f t="shared" ref="M37:AB52" si="15">M$3*$E37</f>
        <v>7.2612222573804575</v>
      </c>
      <c r="N37" s="12">
        <f t="shared" si="15"/>
        <v>7.4583276607973694</v>
      </c>
      <c r="O37" s="12">
        <f t="shared" si="15"/>
        <v>7.7588127007576198</v>
      </c>
      <c r="P37" s="12">
        <f t="shared" si="15"/>
        <v>8.1970999103837574</v>
      </c>
      <c r="Q37" s="12">
        <f t="shared" si="15"/>
        <v>8.7968666118693175</v>
      </c>
      <c r="R37" s="12">
        <f t="shared" si="15"/>
        <v>9.5497249217063604</v>
      </c>
      <c r="S37" s="12">
        <f t="shared" si="15"/>
        <v>10.3986675</v>
      </c>
      <c r="T37" s="12">
        <f t="shared" si="15"/>
        <v>11.24761007829364</v>
      </c>
      <c r="U37" s="12">
        <f t="shared" si="15"/>
        <v>12.000468388130685</v>
      </c>
      <c r="V37" s="12">
        <f t="shared" si="15"/>
        <v>12.600235089616245</v>
      </c>
      <c r="W37" s="12">
        <f t="shared" si="15"/>
        <v>13.038522299242381</v>
      </c>
      <c r="X37" s="12">
        <f t="shared" si="15"/>
        <v>13.339007339202631</v>
      </c>
      <c r="Y37" s="12">
        <f t="shared" si="15"/>
        <v>13.536112742619544</v>
      </c>
      <c r="Z37" s="12">
        <f t="shared" si="15"/>
        <v>13.661684572488914</v>
      </c>
      <c r="AA37" s="12">
        <f t="shared" si="15"/>
        <v>13.74020158867935</v>
      </c>
      <c r="AB37" s="12">
        <f t="shared" si="15"/>
        <v>13.788723624495258</v>
      </c>
      <c r="AC37" s="12">
        <f t="shared" si="9"/>
        <v>13.818492179074198</v>
      </c>
      <c r="AD37" s="300">
        <f t="shared" si="13"/>
        <v>1.9825035905123314E-3</v>
      </c>
      <c r="AE37" s="299">
        <f t="shared" si="13"/>
        <v>1.9825035905123314E-3</v>
      </c>
      <c r="AF37" s="299">
        <f t="shared" si="13"/>
        <v>1.9825035905123314E-3</v>
      </c>
      <c r="AG37" s="299">
        <f t="shared" si="13"/>
        <v>1.9825035905123314E-3</v>
      </c>
      <c r="AH37" s="299">
        <f t="shared" si="13"/>
        <v>1.9825035905123314E-3</v>
      </c>
      <c r="AI37" s="299">
        <f t="shared" si="13"/>
        <v>1.8927388002150714E-3</v>
      </c>
      <c r="AJ37" s="299">
        <f t="shared" si="13"/>
        <v>1.8427183315864045E-3</v>
      </c>
      <c r="AK37" s="299">
        <f t="shared" si="13"/>
        <v>1.7713531223903945E-3</v>
      </c>
      <c r="AL37" s="299">
        <f t="shared" si="13"/>
        <v>1.676641404128724E-3</v>
      </c>
      <c r="AM37" s="299">
        <f t="shared" si="13"/>
        <v>1.5623286915576831E-3</v>
      </c>
      <c r="AN37" s="299">
        <f t="shared" si="13"/>
        <v>1.439161569176752E-3</v>
      </c>
      <c r="AO37" s="299">
        <f t="shared" si="13"/>
        <v>1.3216690603415544E-3</v>
      </c>
      <c r="AP37" s="299">
        <f t="shared" si="13"/>
        <v>1.2219126559207929E-3</v>
      </c>
      <c r="AQ37" s="299">
        <f t="shared" si="13"/>
        <v>1.1452550566378437E-3</v>
      </c>
      <c r="AR37" s="299">
        <f t="shared" si="13"/>
        <v>1.0907413239341264E-3</v>
      </c>
      <c r="AS37" s="299">
        <f t="shared" si="10"/>
        <v>1.0540762816602192E-3</v>
      </c>
      <c r="AT37" s="299">
        <f t="shared" si="4"/>
        <v>1.0303313248158699E-3</v>
      </c>
      <c r="AU37" s="299">
        <f t="shared" si="4"/>
        <v>1.0153282086855287E-3</v>
      </c>
      <c r="AV37" s="299">
        <f t="shared" si="4"/>
        <v>1.0059957855567312E-3</v>
      </c>
      <c r="AW37" s="299">
        <f t="shared" si="4"/>
        <v>1.0002471226370293E-3</v>
      </c>
      <c r="AX37" s="299">
        <f t="shared" si="4"/>
        <v>9.9672728802208837E-4</v>
      </c>
      <c r="AY37" s="299">
        <f t="shared" si="4"/>
        <v>9.9458008337129913E-4</v>
      </c>
      <c r="AZ37" s="306">
        <f t="shared" si="14"/>
        <v>0.10975097808727191</v>
      </c>
      <c r="BA37" s="2">
        <f t="shared" si="14"/>
        <v>0.10975097808727191</v>
      </c>
      <c r="BB37" s="2">
        <f t="shared" si="14"/>
        <v>0.10975097808727191</v>
      </c>
      <c r="BC37" s="2">
        <f t="shared" si="14"/>
        <v>0.10975097808727191</v>
      </c>
      <c r="BD37" s="2">
        <f t="shared" si="14"/>
        <v>0.10975097808727191</v>
      </c>
      <c r="BE37" s="2">
        <f t="shared" si="14"/>
        <v>0.10478161834433335</v>
      </c>
      <c r="BF37" s="2">
        <f t="shared" si="14"/>
        <v>0.10201249581529864</v>
      </c>
      <c r="BG37" s="2">
        <f t="shared" si="14"/>
        <v>9.806173297776917E-2</v>
      </c>
      <c r="BH37" s="2">
        <f t="shared" si="14"/>
        <v>9.2818512352449534E-2</v>
      </c>
      <c r="BI37" s="2">
        <f t="shared" si="14"/>
        <v>8.6490184841456874E-2</v>
      </c>
      <c r="BJ37" s="2">
        <f t="shared" si="14"/>
        <v>7.9671679082277611E-2</v>
      </c>
      <c r="BK37" s="2">
        <f t="shared" si="14"/>
        <v>7.3167318724847941E-2</v>
      </c>
      <c r="BL37" s="2">
        <f t="shared" si="14"/>
        <v>6.7644825344233855E-2</v>
      </c>
      <c r="BM37" s="2">
        <f t="shared" si="14"/>
        <v>6.3401076914526538E-2</v>
      </c>
      <c r="BN37" s="2">
        <f t="shared" si="14"/>
        <v>6.038320823975913E-2</v>
      </c>
      <c r="BO37" s="2">
        <f t="shared" si="11"/>
        <v>5.8353439279727845E-2</v>
      </c>
      <c r="BP37" s="2">
        <f t="shared" si="6"/>
        <v>5.7038923507459351E-2</v>
      </c>
      <c r="BQ37" s="2">
        <f t="shared" si="6"/>
        <v>5.6208354182116359E-2</v>
      </c>
      <c r="BR37" s="2">
        <f t="shared" si="6"/>
        <v>5.5691713218028564E-2</v>
      </c>
      <c r="BS37" s="2">
        <f t="shared" si="6"/>
        <v>5.5373468458649211E-2</v>
      </c>
      <c r="BT37" s="2">
        <f t="shared" si="6"/>
        <v>5.5178611161268286E-2</v>
      </c>
      <c r="BU37" s="2">
        <f t="shared" si="6"/>
        <v>5.5059742367433329E-2</v>
      </c>
    </row>
    <row r="38" spans="1:73" x14ac:dyDescent="0.25">
      <c r="A38" t="s">
        <v>20</v>
      </c>
      <c r="B38" s="1" t="s">
        <v>5</v>
      </c>
      <c r="C38" t="s">
        <v>6</v>
      </c>
      <c r="D38" t="s">
        <v>6</v>
      </c>
      <c r="E38" s="97">
        <v>7.0025250000000003</v>
      </c>
      <c r="F38" s="5">
        <f t="shared" si="7"/>
        <v>1.715618625E-2</v>
      </c>
      <c r="G38" s="1">
        <f>LOOKUP(RIGHT(D38,5),Ref!$C$4:$C$21,Ref!$E$4:$E$21)*$G$3</f>
        <v>3</v>
      </c>
      <c r="H38" s="36">
        <f t="shared" ref="H38:L53" si="16">$E38</f>
        <v>7.0025250000000003</v>
      </c>
      <c r="I38" s="12">
        <f t="shared" si="16"/>
        <v>7.0025250000000003</v>
      </c>
      <c r="J38" s="12">
        <f t="shared" si="16"/>
        <v>7.0025250000000003</v>
      </c>
      <c r="K38" s="12">
        <f t="shared" si="16"/>
        <v>7.0025250000000003</v>
      </c>
      <c r="L38" s="12">
        <f t="shared" si="16"/>
        <v>7.0025250000000003</v>
      </c>
      <c r="M38" s="12">
        <f t="shared" si="15"/>
        <v>7.3346258625727412</v>
      </c>
      <c r="N38" s="12">
        <f t="shared" si="15"/>
        <v>7.5337238020532578</v>
      </c>
      <c r="O38" s="12">
        <f t="shared" si="15"/>
        <v>7.8372464415329288</v>
      </c>
      <c r="P38" s="12">
        <f t="shared" si="15"/>
        <v>8.2799642910921065</v>
      </c>
      <c r="Q38" s="12">
        <f t="shared" si="15"/>
        <v>8.8857940266789264</v>
      </c>
      <c r="R38" s="12">
        <f t="shared" si="15"/>
        <v>9.6462629717757338</v>
      </c>
      <c r="S38" s="12">
        <f t="shared" si="15"/>
        <v>10.503787500000001</v>
      </c>
      <c r="T38" s="12">
        <f t="shared" si="15"/>
        <v>11.361312028224267</v>
      </c>
      <c r="U38" s="12">
        <f t="shared" si="15"/>
        <v>12.121780973321075</v>
      </c>
      <c r="V38" s="12">
        <f t="shared" si="15"/>
        <v>12.727610708907894</v>
      </c>
      <c r="W38" s="12">
        <f t="shared" si="15"/>
        <v>13.17032855846707</v>
      </c>
      <c r="X38" s="12">
        <f t="shared" si="15"/>
        <v>13.473851197946743</v>
      </c>
      <c r="Y38" s="12">
        <f t="shared" si="15"/>
        <v>13.67294913742726</v>
      </c>
      <c r="Z38" s="12">
        <f t="shared" si="15"/>
        <v>13.79979037135786</v>
      </c>
      <c r="AA38" s="12">
        <f t="shared" si="15"/>
        <v>13.879101115085206</v>
      </c>
      <c r="AB38" s="12">
        <f t="shared" si="15"/>
        <v>13.928113659555708</v>
      </c>
      <c r="AC38" s="12">
        <f t="shared" si="9"/>
        <v>13.958183144081424</v>
      </c>
      <c r="AD38" s="300">
        <f t="shared" si="13"/>
        <v>1.9626630541882046E-3</v>
      </c>
      <c r="AE38" s="299">
        <f t="shared" si="13"/>
        <v>1.9626630541882046E-3</v>
      </c>
      <c r="AF38" s="299">
        <f t="shared" si="13"/>
        <v>1.9626630541882046E-3</v>
      </c>
      <c r="AG38" s="299">
        <f t="shared" si="13"/>
        <v>1.9626630541882046E-3</v>
      </c>
      <c r="AH38" s="299">
        <f t="shared" si="13"/>
        <v>1.9626630541882046E-3</v>
      </c>
      <c r="AI38" s="299">
        <f t="shared" si="13"/>
        <v>1.8737966136296508E-3</v>
      </c>
      <c r="AJ38" s="299">
        <f t="shared" si="13"/>
        <v>1.8242767407777212E-3</v>
      </c>
      <c r="AK38" s="299">
        <f t="shared" si="13"/>
        <v>1.7536257416502876E-3</v>
      </c>
      <c r="AL38" s="299">
        <f t="shared" si="13"/>
        <v>1.6598618810850588E-3</v>
      </c>
      <c r="AM38" s="299">
        <f t="shared" si="13"/>
        <v>1.5466931894060503E-3</v>
      </c>
      <c r="AN38" s="299">
        <f t="shared" si="13"/>
        <v>1.4247587012444123E-3</v>
      </c>
      <c r="AO38" s="299">
        <f t="shared" si="13"/>
        <v>1.3084420361254697E-3</v>
      </c>
      <c r="AP38" s="299">
        <f t="shared" si="13"/>
        <v>1.2096839757051664E-3</v>
      </c>
      <c r="AQ38" s="299">
        <f t="shared" si="13"/>
        <v>1.1337935517707878E-3</v>
      </c>
      <c r="AR38" s="299">
        <f t="shared" si="13"/>
        <v>1.0798253826156301E-3</v>
      </c>
      <c r="AS38" s="299">
        <f t="shared" si="10"/>
        <v>1.0435272774340653E-3</v>
      </c>
      <c r="AT38" s="299">
        <f t="shared" si="4"/>
        <v>1.0200199558106759E-3</v>
      </c>
      <c r="AU38" s="299">
        <f t="shared" si="4"/>
        <v>1.0051669881451261E-3</v>
      </c>
      <c r="AV38" s="299">
        <f t="shared" si="4"/>
        <v>9.9592796221417744E-4</v>
      </c>
      <c r="AW38" s="299">
        <f t="shared" si="4"/>
        <v>9.902368308702164E-4</v>
      </c>
      <c r="AX38" s="299">
        <f t="shared" si="4"/>
        <v>9.8675222212163275E-4</v>
      </c>
      <c r="AY38" s="299">
        <f t="shared" si="4"/>
        <v>9.8462650630550333E-4</v>
      </c>
      <c r="AZ38" s="306">
        <f t="shared" si="14"/>
        <v>0.10865261020649233</v>
      </c>
      <c r="BA38" s="2">
        <f t="shared" si="14"/>
        <v>0.10865261020649233</v>
      </c>
      <c r="BB38" s="2">
        <f t="shared" si="14"/>
        <v>0.10865261020649233</v>
      </c>
      <c r="BC38" s="2">
        <f t="shared" si="14"/>
        <v>0.10865261020649233</v>
      </c>
      <c r="BD38" s="2">
        <f t="shared" si="14"/>
        <v>0.10865261020649233</v>
      </c>
      <c r="BE38" s="2">
        <f t="shared" si="14"/>
        <v>0.10373298291446043</v>
      </c>
      <c r="BF38" s="2">
        <f t="shared" si="14"/>
        <v>0.10099157326140043</v>
      </c>
      <c r="BG38" s="2">
        <f t="shared" si="14"/>
        <v>9.7080348941713329E-2</v>
      </c>
      <c r="BH38" s="2">
        <f t="shared" si="14"/>
        <v>9.1889601517335107E-2</v>
      </c>
      <c r="BI38" s="2">
        <f t="shared" si="14"/>
        <v>8.5624606760166311E-2</v>
      </c>
      <c r="BJ38" s="2">
        <f t="shared" si="14"/>
        <v>7.8874339369804466E-2</v>
      </c>
      <c r="BK38" s="2">
        <f t="shared" si="14"/>
        <v>7.2435073470994885E-2</v>
      </c>
      <c r="BL38" s="2">
        <f t="shared" si="14"/>
        <v>6.6967848202399455E-2</v>
      </c>
      <c r="BM38" s="2">
        <f t="shared" si="14"/>
        <v>6.2766570437195857E-2</v>
      </c>
      <c r="BN38" s="2">
        <f t="shared" si="14"/>
        <v>5.9778904044709161E-2</v>
      </c>
      <c r="BO38" s="2">
        <f t="shared" si="11"/>
        <v>5.7769448644246602E-2</v>
      </c>
      <c r="BP38" s="2">
        <f t="shared" si="6"/>
        <v>5.6468088307384694E-2</v>
      </c>
      <c r="BQ38" s="2">
        <f t="shared" si="6"/>
        <v>5.5645831169191348E-2</v>
      </c>
      <c r="BR38" s="2">
        <f t="shared" si="6"/>
        <v>5.5134360654157749E-2</v>
      </c>
      <c r="BS38" s="2">
        <f t="shared" si="6"/>
        <v>5.481930083060331E-2</v>
      </c>
      <c r="BT38" s="2">
        <f t="shared" si="6"/>
        <v>5.4626393629709072E-2</v>
      </c>
      <c r="BU38" s="2">
        <f t="shared" si="6"/>
        <v>5.4508714453201004E-2</v>
      </c>
    </row>
    <row r="39" spans="1:73" x14ac:dyDescent="0.25">
      <c r="A39" t="s">
        <v>20</v>
      </c>
      <c r="B39" s="1" t="s">
        <v>5</v>
      </c>
      <c r="C39" t="s">
        <v>7</v>
      </c>
      <c r="D39" t="s">
        <v>7</v>
      </c>
      <c r="E39" s="97">
        <v>7.2083849999999998</v>
      </c>
      <c r="F39" s="5">
        <f t="shared" si="7"/>
        <v>1.7660543250000001E-2</v>
      </c>
      <c r="G39" s="1">
        <f>LOOKUP(RIGHT(D39,5),Ref!$C$4:$C$21,Ref!$E$4:$E$21)*$G$3</f>
        <v>3.5</v>
      </c>
      <c r="H39" s="36">
        <f t="shared" si="16"/>
        <v>7.2083849999999998</v>
      </c>
      <c r="I39" s="12">
        <f t="shared" si="16"/>
        <v>7.2083849999999998</v>
      </c>
      <c r="J39" s="12">
        <f t="shared" si="16"/>
        <v>7.2083849999999998</v>
      </c>
      <c r="K39" s="12">
        <f t="shared" si="16"/>
        <v>7.2083849999999998</v>
      </c>
      <c r="L39" s="12">
        <f t="shared" si="16"/>
        <v>7.2083849999999998</v>
      </c>
      <c r="M39" s="12">
        <f t="shared" si="15"/>
        <v>7.5502489528250747</v>
      </c>
      <c r="N39" s="12">
        <f t="shared" si="15"/>
        <v>7.7551999669924312</v>
      </c>
      <c r="O39" s="12">
        <f t="shared" si="15"/>
        <v>8.0676455550604018</v>
      </c>
      <c r="P39" s="12">
        <f t="shared" si="15"/>
        <v>8.5233784094228824</v>
      </c>
      <c r="Q39" s="12">
        <f t="shared" si="15"/>
        <v>9.1470183076821527</v>
      </c>
      <c r="R39" s="12">
        <f t="shared" si="15"/>
        <v>9.9298434938545199</v>
      </c>
      <c r="S39" s="12">
        <f t="shared" si="15"/>
        <v>10.8125775</v>
      </c>
      <c r="T39" s="12">
        <f t="shared" si="15"/>
        <v>11.69531150614548</v>
      </c>
      <c r="U39" s="12">
        <f t="shared" si="15"/>
        <v>12.478136692317847</v>
      </c>
      <c r="V39" s="12">
        <f t="shared" si="15"/>
        <v>13.101776590577117</v>
      </c>
      <c r="W39" s="12">
        <f t="shared" si="15"/>
        <v>13.557509444939596</v>
      </c>
      <c r="X39" s="12">
        <f t="shared" si="15"/>
        <v>13.869955033007569</v>
      </c>
      <c r="Y39" s="12">
        <f t="shared" si="15"/>
        <v>14.074906047174926</v>
      </c>
      <c r="Z39" s="12">
        <f t="shared" si="15"/>
        <v>14.205476155535385</v>
      </c>
      <c r="AA39" s="12">
        <f t="shared" si="15"/>
        <v>14.287118473902408</v>
      </c>
      <c r="AB39" s="12">
        <f t="shared" si="15"/>
        <v>14.337571887545772</v>
      </c>
      <c r="AC39" s="12">
        <f t="shared" si="9"/>
        <v>14.368525353790149</v>
      </c>
      <c r="AD39" s="300">
        <f t="shared" ref="AD39:AR55" si="17">Algae_electricity_factor/H39</f>
        <v>1.9066125218796248E-3</v>
      </c>
      <c r="AE39" s="299">
        <f t="shared" si="17"/>
        <v>1.9066125218796248E-3</v>
      </c>
      <c r="AF39" s="299">
        <f t="shared" si="17"/>
        <v>1.9066125218796248E-3</v>
      </c>
      <c r="AG39" s="299">
        <f t="shared" si="17"/>
        <v>1.9066125218796248E-3</v>
      </c>
      <c r="AH39" s="299">
        <f t="shared" si="17"/>
        <v>1.9066125218796248E-3</v>
      </c>
      <c r="AI39" s="299">
        <f t="shared" si="17"/>
        <v>1.8202839653898857E-3</v>
      </c>
      <c r="AJ39" s="299">
        <f t="shared" si="17"/>
        <v>1.7721783012719925E-3</v>
      </c>
      <c r="AK39" s="299">
        <f t="shared" si="17"/>
        <v>1.7035449822047075E-3</v>
      </c>
      <c r="AL39" s="299">
        <f t="shared" si="17"/>
        <v>1.6124588682270929E-3</v>
      </c>
      <c r="AM39" s="299">
        <f t="shared" si="17"/>
        <v>1.5025220942202176E-3</v>
      </c>
      <c r="AN39" s="299">
        <f t="shared" si="17"/>
        <v>1.3840698609232898E-3</v>
      </c>
      <c r="AO39" s="299">
        <f t="shared" si="17"/>
        <v>1.2710750145864167E-3</v>
      </c>
      <c r="AP39" s="299">
        <f t="shared" si="17"/>
        <v>1.1751373271509252E-3</v>
      </c>
      <c r="AQ39" s="299">
        <f t="shared" si="17"/>
        <v>1.1014142129081254E-3</v>
      </c>
      <c r="AR39" s="299">
        <f t="shared" si="17"/>
        <v>1.0489872887478285E-3</v>
      </c>
      <c r="AS39" s="299">
        <f t="shared" si="10"/>
        <v>1.0137257996644157E-3</v>
      </c>
      <c r="AT39" s="299">
        <f t="shared" si="4"/>
        <v>9.9088980972341983E-4</v>
      </c>
      <c r="AU39" s="299">
        <f t="shared" si="4"/>
        <v>9.7646101916878047E-4</v>
      </c>
      <c r="AV39" s="299">
        <f t="shared" si="4"/>
        <v>9.6748584511008122E-4</v>
      </c>
      <c r="AW39" s="299">
        <f t="shared" si="4"/>
        <v>9.6195724341714022E-4</v>
      </c>
      <c r="AX39" s="299">
        <f t="shared" si="4"/>
        <v>9.5857214954699098E-4</v>
      </c>
      <c r="AY39" s="299">
        <f t="shared" si="4"/>
        <v>9.5650714079047465E-4</v>
      </c>
      <c r="AZ39" s="306">
        <f t="shared" ref="AZ39:BN55" si="18">Algae_yield_cost_factor/H39</f>
        <v>0.10554966463170569</v>
      </c>
      <c r="BA39" s="2">
        <f t="shared" si="18"/>
        <v>0.10554966463170569</v>
      </c>
      <c r="BB39" s="2">
        <f t="shared" si="18"/>
        <v>0.10554966463170569</v>
      </c>
      <c r="BC39" s="2">
        <f t="shared" si="18"/>
        <v>0.10554966463170569</v>
      </c>
      <c r="BD39" s="2">
        <f t="shared" si="18"/>
        <v>0.10554966463170569</v>
      </c>
      <c r="BE39" s="2">
        <f t="shared" si="18"/>
        <v>0.1007705340631892</v>
      </c>
      <c r="BF39" s="2">
        <f t="shared" si="18"/>
        <v>9.810741470555305E-2</v>
      </c>
      <c r="BG39" s="2">
        <f t="shared" si="18"/>
        <v>9.4307888725847902E-2</v>
      </c>
      <c r="BH39" s="2">
        <f t="shared" si="18"/>
        <v>8.9265380784347273E-2</v>
      </c>
      <c r="BI39" s="2">
        <f t="shared" si="18"/>
        <v>8.3179304303700977E-2</v>
      </c>
      <c r="BJ39" s="2">
        <f t="shared" si="18"/>
        <v>7.6621813803721642E-2</v>
      </c>
      <c r="BK39" s="2">
        <f t="shared" si="18"/>
        <v>7.0366443087803793E-2</v>
      </c>
      <c r="BL39" s="2">
        <f t="shared" si="18"/>
        <v>6.5055353069169763E-2</v>
      </c>
      <c r="BM39" s="2">
        <f t="shared" si="18"/>
        <v>6.0974057108592973E-2</v>
      </c>
      <c r="BN39" s="2">
        <f t="shared" si="18"/>
        <v>5.807171371197252E-2</v>
      </c>
      <c r="BO39" s="2">
        <f t="shared" si="11"/>
        <v>5.6119645158735687E-2</v>
      </c>
      <c r="BP39" s="2">
        <f t="shared" si="6"/>
        <v>5.4855449601355785E-2</v>
      </c>
      <c r="BQ39" s="2">
        <f t="shared" si="6"/>
        <v>5.4056674818012865E-2</v>
      </c>
      <c r="BR39" s="2">
        <f t="shared" si="6"/>
        <v>5.3559811086638133E-2</v>
      </c>
      <c r="BS39" s="2">
        <f t="shared" si="6"/>
        <v>5.3253748870075682E-2</v>
      </c>
      <c r="BT39" s="2">
        <f t="shared" si="6"/>
        <v>5.3066350791734697E-2</v>
      </c>
      <c r="BU39" s="2">
        <f t="shared" si="6"/>
        <v>5.2952032345164893E-2</v>
      </c>
    </row>
    <row r="40" spans="1:73" x14ac:dyDescent="0.25">
      <c r="A40" t="s">
        <v>20</v>
      </c>
      <c r="B40" s="1" t="s">
        <v>5</v>
      </c>
      <c r="C40" t="s">
        <v>8</v>
      </c>
      <c r="D40" t="s">
        <v>8</v>
      </c>
      <c r="E40" s="97">
        <v>6.7871750000000004</v>
      </c>
      <c r="F40" s="5">
        <f t="shared" si="7"/>
        <v>1.6628578750000001E-2</v>
      </c>
      <c r="G40" s="1">
        <f>LOOKUP(RIGHT(D40,5),Ref!$C$4:$C$21,Ref!$E$4:$E$21)*$G$3</f>
        <v>4</v>
      </c>
      <c r="H40" s="36">
        <f t="shared" si="16"/>
        <v>6.7871750000000004</v>
      </c>
      <c r="I40" s="12">
        <f t="shared" si="16"/>
        <v>6.7871750000000004</v>
      </c>
      <c r="J40" s="12">
        <f t="shared" si="16"/>
        <v>6.7871750000000004</v>
      </c>
      <c r="K40" s="12">
        <f t="shared" si="16"/>
        <v>6.7871750000000004</v>
      </c>
      <c r="L40" s="12">
        <f t="shared" si="16"/>
        <v>6.7871750000000004</v>
      </c>
      <c r="M40" s="12">
        <f t="shared" si="15"/>
        <v>7.1090627007839524</v>
      </c>
      <c r="N40" s="12">
        <f t="shared" si="15"/>
        <v>7.3020377429856831</v>
      </c>
      <c r="O40" s="12">
        <f t="shared" si="15"/>
        <v>7.5962260922754661</v>
      </c>
      <c r="P40" s="12">
        <f t="shared" si="15"/>
        <v>8.0253289545404076</v>
      </c>
      <c r="Q40" s="12">
        <f t="shared" si="15"/>
        <v>8.6125274915868975</v>
      </c>
      <c r="R40" s="12">
        <f t="shared" si="15"/>
        <v>9.3496095887500541</v>
      </c>
      <c r="S40" s="12">
        <f t="shared" si="15"/>
        <v>10.1807625</v>
      </c>
      <c r="T40" s="12">
        <f t="shared" si="15"/>
        <v>11.011915411249948</v>
      </c>
      <c r="U40" s="12">
        <f t="shared" si="15"/>
        <v>11.748997508413103</v>
      </c>
      <c r="V40" s="12">
        <f t="shared" si="15"/>
        <v>12.336196045459594</v>
      </c>
      <c r="W40" s="12">
        <f t="shared" si="15"/>
        <v>12.765298907724533</v>
      </c>
      <c r="X40" s="12">
        <f t="shared" si="15"/>
        <v>13.059487257014318</v>
      </c>
      <c r="Y40" s="12">
        <f t="shared" si="15"/>
        <v>13.252462299216049</v>
      </c>
      <c r="Z40" s="12">
        <f t="shared" si="15"/>
        <v>13.375402760250164</v>
      </c>
      <c r="AA40" s="12">
        <f t="shared" si="15"/>
        <v>13.452274445400542</v>
      </c>
      <c r="AB40" s="12">
        <f t="shared" si="15"/>
        <v>13.499779697651205</v>
      </c>
      <c r="AC40" s="12">
        <f t="shared" si="9"/>
        <v>13.528924449527969</v>
      </c>
      <c r="AD40" s="300">
        <f t="shared" si="17"/>
        <v>2.0249363105458839E-3</v>
      </c>
      <c r="AE40" s="299">
        <f t="shared" si="17"/>
        <v>2.0249363105458839E-3</v>
      </c>
      <c r="AF40" s="299">
        <f t="shared" si="17"/>
        <v>2.0249363105458839E-3</v>
      </c>
      <c r="AG40" s="299">
        <f t="shared" si="17"/>
        <v>2.0249363105458839E-3</v>
      </c>
      <c r="AH40" s="299">
        <f t="shared" si="17"/>
        <v>2.0249363105458839E-3</v>
      </c>
      <c r="AI40" s="299">
        <f t="shared" si="17"/>
        <v>1.9332502303030304E-3</v>
      </c>
      <c r="AJ40" s="299">
        <f t="shared" si="17"/>
        <v>1.8821591434160033E-3</v>
      </c>
      <c r="AK40" s="299">
        <f t="shared" si="17"/>
        <v>1.8092664616058492E-3</v>
      </c>
      <c r="AL40" s="299">
        <f t="shared" si="17"/>
        <v>1.7125275713157759E-3</v>
      </c>
      <c r="AM40" s="299">
        <f t="shared" si="17"/>
        <v>1.595768154813395E-3</v>
      </c>
      <c r="AN40" s="299">
        <f t="shared" si="17"/>
        <v>1.4699648122276981E-3</v>
      </c>
      <c r="AO40" s="299">
        <f t="shared" si="17"/>
        <v>1.3499575403639226E-3</v>
      </c>
      <c r="AP40" s="299">
        <f t="shared" si="17"/>
        <v>1.248065989454349E-3</v>
      </c>
      <c r="AQ40" s="299">
        <f t="shared" si="17"/>
        <v>1.1697676413402831E-3</v>
      </c>
      <c r="AR40" s="299">
        <f t="shared" si="17"/>
        <v>1.1140871183372338E-3</v>
      </c>
      <c r="AS40" s="299">
        <f t="shared" si="10"/>
        <v>1.0766373120501501E-3</v>
      </c>
      <c r="AT40" s="299">
        <f t="shared" si="4"/>
        <v>1.0523841275734238E-3</v>
      </c>
      <c r="AU40" s="299">
        <f t="shared" si="4"/>
        <v>1.0370598906998788E-3</v>
      </c>
      <c r="AV40" s="299">
        <f t="shared" si="4"/>
        <v>1.0275277200902928E-3</v>
      </c>
      <c r="AW40" s="299">
        <f t="shared" si="4"/>
        <v>1.0216560150709921E-3</v>
      </c>
      <c r="AX40" s="299">
        <f t="shared" si="4"/>
        <v>1.0180608433129081E-3</v>
      </c>
      <c r="AY40" s="299">
        <f t="shared" si="4"/>
        <v>1.0158676807459576E-3</v>
      </c>
      <c r="AZ40" s="306">
        <f t="shared" si="18"/>
        <v>0.11210004446418691</v>
      </c>
      <c r="BA40" s="2">
        <f t="shared" si="18"/>
        <v>0.11210004446418691</v>
      </c>
      <c r="BB40" s="2">
        <f t="shared" si="18"/>
        <v>0.11210004446418691</v>
      </c>
      <c r="BC40" s="2">
        <f t="shared" si="18"/>
        <v>0.11210004446418691</v>
      </c>
      <c r="BD40" s="2">
        <f t="shared" si="18"/>
        <v>0.11210004446418691</v>
      </c>
      <c r="BE40" s="2">
        <f t="shared" si="18"/>
        <v>0.10702432251755437</v>
      </c>
      <c r="BF40" s="2">
        <f t="shared" si="18"/>
        <v>0.10419593078891999</v>
      </c>
      <c r="BG40" s="2">
        <f t="shared" si="18"/>
        <v>0.10016060739159828</v>
      </c>
      <c r="BH40" s="2">
        <f t="shared" si="18"/>
        <v>9.480516295294833E-2</v>
      </c>
      <c r="BI40" s="2">
        <f t="shared" si="18"/>
        <v>8.8341386431502592E-2</v>
      </c>
      <c r="BJ40" s="2">
        <f t="shared" si="18"/>
        <v>8.1376940081188412E-2</v>
      </c>
      <c r="BK40" s="2">
        <f t="shared" si="18"/>
        <v>7.4733362976124609E-2</v>
      </c>
      <c r="BL40" s="2">
        <f t="shared" si="18"/>
        <v>6.9092668338963881E-2</v>
      </c>
      <c r="BM40" s="2">
        <f t="shared" si="18"/>
        <v>6.4758088402129738E-2</v>
      </c>
      <c r="BN40" s="2">
        <f t="shared" si="18"/>
        <v>6.1675626463981996E-2</v>
      </c>
      <c r="BO40" s="2">
        <f t="shared" si="11"/>
        <v>5.9602413134706697E-2</v>
      </c>
      <c r="BP40" s="2">
        <f t="shared" si="6"/>
        <v>5.8259761988554738E-2</v>
      </c>
      <c r="BQ40" s="2">
        <f t="shared" si="6"/>
        <v>5.7411415487009197E-2</v>
      </c>
      <c r="BR40" s="2">
        <f t="shared" si="6"/>
        <v>5.6883716544770986E-2</v>
      </c>
      <c r="BS40" s="2">
        <f t="shared" si="6"/>
        <v>5.6558660200867146E-2</v>
      </c>
      <c r="BT40" s="2">
        <f t="shared" si="6"/>
        <v>5.6359632255228213E-2</v>
      </c>
      <c r="BU40" s="2">
        <f t="shared" si="6"/>
        <v>5.6238219240906766E-2</v>
      </c>
    </row>
    <row r="41" spans="1:73" x14ac:dyDescent="0.25">
      <c r="A41" t="s">
        <v>20</v>
      </c>
      <c r="B41" s="1" t="s">
        <v>5</v>
      </c>
      <c r="C41" t="s">
        <v>9</v>
      </c>
      <c r="D41" t="s">
        <v>9</v>
      </c>
      <c r="E41" s="97">
        <v>7.0912199999999999</v>
      </c>
      <c r="F41" s="5">
        <f t="shared" si="7"/>
        <v>1.7373488999999999E-2</v>
      </c>
      <c r="G41" s="1">
        <f>LOOKUP(RIGHT(D41,5),Ref!$C$4:$C$21,Ref!$E$4:$E$21)*$G$3</f>
        <v>4.5</v>
      </c>
      <c r="H41" s="36">
        <f t="shared" si="16"/>
        <v>7.0912199999999999</v>
      </c>
      <c r="I41" s="12">
        <f t="shared" si="16"/>
        <v>7.0912199999999999</v>
      </c>
      <c r="J41" s="12">
        <f t="shared" si="16"/>
        <v>7.0912199999999999</v>
      </c>
      <c r="K41" s="12">
        <f t="shared" si="16"/>
        <v>7.0912199999999999</v>
      </c>
      <c r="L41" s="12">
        <f t="shared" si="16"/>
        <v>7.0912199999999999</v>
      </c>
      <c r="M41" s="12">
        <f t="shared" si="15"/>
        <v>7.4275273003942246</v>
      </c>
      <c r="N41" s="12">
        <f t="shared" si="15"/>
        <v>7.6291470433302422</v>
      </c>
      <c r="O41" s="12">
        <f t="shared" si="15"/>
        <v>7.9365141447016807</v>
      </c>
      <c r="P41" s="12">
        <f t="shared" si="15"/>
        <v>8.3848395229261108</v>
      </c>
      <c r="Q41" s="12">
        <f t="shared" si="15"/>
        <v>8.9983427860473366</v>
      </c>
      <c r="R41" s="12">
        <f t="shared" si="15"/>
        <v>9.7684439413947857</v>
      </c>
      <c r="S41" s="12">
        <f t="shared" si="15"/>
        <v>10.63683</v>
      </c>
      <c r="T41" s="12">
        <f t="shared" si="15"/>
        <v>11.505216058605214</v>
      </c>
      <c r="U41" s="12">
        <f t="shared" si="15"/>
        <v>12.275317213952663</v>
      </c>
      <c r="V41" s="12">
        <f t="shared" si="15"/>
        <v>12.888820477073889</v>
      </c>
      <c r="W41" s="12">
        <f t="shared" si="15"/>
        <v>13.337145855298317</v>
      </c>
      <c r="X41" s="12">
        <f t="shared" si="15"/>
        <v>13.644512956669757</v>
      </c>
      <c r="Y41" s="12">
        <f t="shared" si="15"/>
        <v>13.846132699605775</v>
      </c>
      <c r="Z41" s="12">
        <f t="shared" si="15"/>
        <v>13.974580523051367</v>
      </c>
      <c r="AA41" s="12">
        <f t="shared" si="15"/>
        <v>14.054895828192617</v>
      </c>
      <c r="AB41" s="12">
        <f t="shared" si="15"/>
        <v>14.104529172679085</v>
      </c>
      <c r="AC41" s="12">
        <f t="shared" si="9"/>
        <v>14.134979521668694</v>
      </c>
      <c r="AD41" s="300">
        <f t="shared" si="17"/>
        <v>1.9381146126518794E-3</v>
      </c>
      <c r="AE41" s="299">
        <f t="shared" si="17"/>
        <v>1.9381146126518794E-3</v>
      </c>
      <c r="AF41" s="299">
        <f t="shared" si="17"/>
        <v>1.9381146126518794E-3</v>
      </c>
      <c r="AG41" s="299">
        <f t="shared" si="17"/>
        <v>1.9381146126518794E-3</v>
      </c>
      <c r="AH41" s="299">
        <f t="shared" si="17"/>
        <v>1.9381146126518794E-3</v>
      </c>
      <c r="AI41" s="299">
        <f t="shared" si="17"/>
        <v>1.850359688721683E-3</v>
      </c>
      <c r="AJ41" s="299">
        <f t="shared" si="17"/>
        <v>1.801459196614195E-3</v>
      </c>
      <c r="AK41" s="299">
        <f t="shared" si="17"/>
        <v>1.7316918804591707E-3</v>
      </c>
      <c r="AL41" s="299">
        <f t="shared" si="17"/>
        <v>1.6391007920844582E-3</v>
      </c>
      <c r="AM41" s="299">
        <f t="shared" si="17"/>
        <v>1.5273475828060058E-3</v>
      </c>
      <c r="AN41" s="299">
        <f t="shared" si="17"/>
        <v>1.4069382171800519E-3</v>
      </c>
      <c r="AO41" s="299">
        <f t="shared" si="17"/>
        <v>1.2920764084345861E-3</v>
      </c>
      <c r="AP41" s="299">
        <f t="shared" si="17"/>
        <v>1.1945535862622823E-3</v>
      </c>
      <c r="AQ41" s="299">
        <f t="shared" si="17"/>
        <v>1.119612378563031E-3</v>
      </c>
      <c r="AR41" s="299">
        <f t="shared" si="17"/>
        <v>1.06631922820058E-3</v>
      </c>
      <c r="AS41" s="299">
        <f t="shared" si="10"/>
        <v>1.030475129584751E-3</v>
      </c>
      <c r="AT41" s="299">
        <f t="shared" si="4"/>
        <v>1.0072618309773429E-3</v>
      </c>
      <c r="AU41" s="299">
        <f t="shared" si="4"/>
        <v>9.9259464008463272E-4</v>
      </c>
      <c r="AV41" s="299">
        <f t="shared" si="4"/>
        <v>9.8347117331063394E-4</v>
      </c>
      <c r="AW41" s="299">
        <f t="shared" si="4"/>
        <v>9.7785122504864645E-4</v>
      </c>
      <c r="AX41" s="299">
        <f t="shared" si="4"/>
        <v>9.7441020081344074E-4</v>
      </c>
      <c r="AY41" s="299">
        <f t="shared" si="4"/>
        <v>9.723110728572722E-4</v>
      </c>
      <c r="AZ41" s="306">
        <f t="shared" si="18"/>
        <v>0.10729361369217395</v>
      </c>
      <c r="BA41" s="2">
        <f t="shared" si="18"/>
        <v>0.10729361369217395</v>
      </c>
      <c r="BB41" s="2">
        <f t="shared" si="18"/>
        <v>0.10729361369217395</v>
      </c>
      <c r="BC41" s="2">
        <f t="shared" si="18"/>
        <v>0.10729361369217395</v>
      </c>
      <c r="BD41" s="2">
        <f t="shared" si="18"/>
        <v>0.10729361369217395</v>
      </c>
      <c r="BE41" s="2">
        <f t="shared" si="18"/>
        <v>0.10243551972482622</v>
      </c>
      <c r="BF41" s="2">
        <f t="shared" si="18"/>
        <v>9.9728398858347084E-2</v>
      </c>
      <c r="BG41" s="2">
        <f t="shared" si="18"/>
        <v>9.5866095040496715E-2</v>
      </c>
      <c r="BH41" s="2">
        <f t="shared" si="18"/>
        <v>9.0740272035725461E-2</v>
      </c>
      <c r="BI41" s="2">
        <f t="shared" si="18"/>
        <v>8.4553638083888757E-2</v>
      </c>
      <c r="BJ41" s="2">
        <f t="shared" si="18"/>
        <v>7.7887801153474295E-2</v>
      </c>
      <c r="BK41" s="2">
        <f t="shared" si="18"/>
        <v>7.152907579478264E-2</v>
      </c>
      <c r="BL41" s="2">
        <f t="shared" si="18"/>
        <v>6.6130233053481244E-2</v>
      </c>
      <c r="BM41" s="2">
        <f t="shared" si="18"/>
        <v>6.198150369763241E-2</v>
      </c>
      <c r="BN41" s="2">
        <f t="shared" si="18"/>
        <v>5.903120620227225E-2</v>
      </c>
      <c r="BO41" s="2">
        <f t="shared" si="11"/>
        <v>5.7046884508949514E-2</v>
      </c>
      <c r="BP41" s="2">
        <f t="shared" si="6"/>
        <v>5.5761801223861207E-2</v>
      </c>
      <c r="BQ41" s="2">
        <f t="shared" si="6"/>
        <v>5.4949828648390778E-2</v>
      </c>
      <c r="BR41" s="2">
        <f t="shared" si="6"/>
        <v>5.444475546376449E-2</v>
      </c>
      <c r="BS41" s="2">
        <f t="shared" si="6"/>
        <v>5.4133636320523197E-2</v>
      </c>
      <c r="BT41" s="2">
        <f t="shared" si="6"/>
        <v>5.3943141949041006E-2</v>
      </c>
      <c r="BU41" s="2">
        <f t="shared" si="6"/>
        <v>5.3826934670818477E-2</v>
      </c>
    </row>
    <row r="42" spans="1:73" x14ac:dyDescent="0.25">
      <c r="A42" t="s">
        <v>20</v>
      </c>
      <c r="B42" s="1" t="s">
        <v>5</v>
      </c>
      <c r="C42" t="s">
        <v>10</v>
      </c>
      <c r="D42" t="s">
        <v>10</v>
      </c>
      <c r="E42" s="97">
        <v>7.0548659999999996</v>
      </c>
      <c r="F42" s="5">
        <f t="shared" si="7"/>
        <v>1.72844217E-2</v>
      </c>
      <c r="G42" s="1">
        <f>LOOKUP(RIGHT(D42,5),Ref!$C$4:$C$21,Ref!$E$4:$E$21)*$G$3</f>
        <v>4.5</v>
      </c>
      <c r="H42" s="36">
        <f t="shared" si="16"/>
        <v>7.0548659999999996</v>
      </c>
      <c r="I42" s="12">
        <f t="shared" si="16"/>
        <v>7.0548659999999996</v>
      </c>
      <c r="J42" s="12">
        <f t="shared" si="16"/>
        <v>7.0548659999999996</v>
      </c>
      <c r="K42" s="12">
        <f t="shared" si="16"/>
        <v>7.0548659999999996</v>
      </c>
      <c r="L42" s="12">
        <f t="shared" si="16"/>
        <v>7.0548659999999996</v>
      </c>
      <c r="M42" s="12">
        <f t="shared" si="15"/>
        <v>7.3894491802007272</v>
      </c>
      <c r="N42" s="12">
        <f t="shared" si="15"/>
        <v>7.5900352950537489</v>
      </c>
      <c r="O42" s="12">
        <f t="shared" si="15"/>
        <v>7.8958266416744882</v>
      </c>
      <c r="P42" s="12">
        <f t="shared" si="15"/>
        <v>8.3418536254336537</v>
      </c>
      <c r="Q42" s="12">
        <f t="shared" si="15"/>
        <v>8.9522116896148525</v>
      </c>
      <c r="R42" s="12">
        <f t="shared" si="15"/>
        <v>9.7183648279212971</v>
      </c>
      <c r="S42" s="12">
        <f t="shared" si="15"/>
        <v>10.582298999999999</v>
      </c>
      <c r="T42" s="12">
        <f t="shared" si="15"/>
        <v>11.446233172078701</v>
      </c>
      <c r="U42" s="12">
        <f t="shared" si="15"/>
        <v>12.212386310385147</v>
      </c>
      <c r="V42" s="12">
        <f t="shared" si="15"/>
        <v>12.822744374566346</v>
      </c>
      <c r="W42" s="12">
        <f t="shared" si="15"/>
        <v>13.268771358325509</v>
      </c>
      <c r="X42" s="12">
        <f t="shared" si="15"/>
        <v>13.574562704946249</v>
      </c>
      <c r="Y42" s="12">
        <f t="shared" si="15"/>
        <v>13.775148819799272</v>
      </c>
      <c r="Z42" s="12">
        <f t="shared" si="15"/>
        <v>13.902938139888102</v>
      </c>
      <c r="AA42" s="12">
        <f t="shared" si="15"/>
        <v>13.982841698869578</v>
      </c>
      <c r="AB42" s="12">
        <f t="shared" si="15"/>
        <v>14.032220591991477</v>
      </c>
      <c r="AC42" s="12">
        <f t="shared" si="9"/>
        <v>14.062514833571194</v>
      </c>
      <c r="AD42" s="300">
        <f t="shared" si="17"/>
        <v>1.9481017929368553E-3</v>
      </c>
      <c r="AE42" s="299">
        <f t="shared" si="17"/>
        <v>1.9481017929368553E-3</v>
      </c>
      <c r="AF42" s="299">
        <f t="shared" si="17"/>
        <v>1.9481017929368553E-3</v>
      </c>
      <c r="AG42" s="299">
        <f t="shared" si="17"/>
        <v>1.9481017929368553E-3</v>
      </c>
      <c r="AH42" s="299">
        <f t="shared" si="17"/>
        <v>1.9481017929368553E-3</v>
      </c>
      <c r="AI42" s="299">
        <f t="shared" si="17"/>
        <v>1.8598946644566988E-3</v>
      </c>
      <c r="AJ42" s="299">
        <f t="shared" si="17"/>
        <v>1.8107421862037514E-3</v>
      </c>
      <c r="AK42" s="299">
        <f t="shared" si="17"/>
        <v>1.7406153563440723E-3</v>
      </c>
      <c r="AL42" s="299">
        <f t="shared" si="17"/>
        <v>1.6475471424751587E-3</v>
      </c>
      <c r="AM42" s="299">
        <f t="shared" si="17"/>
        <v>1.5352180645451811E-3</v>
      </c>
      <c r="AN42" s="299">
        <f t="shared" si="17"/>
        <v>1.4141882247560094E-3</v>
      </c>
      <c r="AO42" s="299">
        <f t="shared" si="17"/>
        <v>1.2987345286245703E-3</v>
      </c>
      <c r="AP42" s="299">
        <f t="shared" si="17"/>
        <v>1.2007091675412152E-3</v>
      </c>
      <c r="AQ42" s="299">
        <f t="shared" si="17"/>
        <v>1.1253817848721347E-3</v>
      </c>
      <c r="AR42" s="299">
        <f t="shared" si="17"/>
        <v>1.0718140128246965E-3</v>
      </c>
      <c r="AS42" s="299">
        <f t="shared" si="10"/>
        <v>1.0357852081689402E-3</v>
      </c>
      <c r="AT42" s="299">
        <f t="shared" si="4"/>
        <v>1.0124522905272976E-3</v>
      </c>
      <c r="AU42" s="299">
        <f t="shared" si="4"/>
        <v>9.977095190271438E-4</v>
      </c>
      <c r="AV42" s="299">
        <f t="shared" si="4"/>
        <v>9.8853903867257478E-4</v>
      </c>
      <c r="AW42" s="299">
        <f t="shared" si="4"/>
        <v>9.828901305977268E-4</v>
      </c>
      <c r="AX42" s="299">
        <f t="shared" si="4"/>
        <v>9.7943137463026042E-4</v>
      </c>
      <c r="AY42" s="299">
        <f t="shared" si="4"/>
        <v>9.7732142978576011E-4</v>
      </c>
      <c r="AZ42" s="306">
        <f t="shared" si="18"/>
        <v>0.10784650187348956</v>
      </c>
      <c r="BA42" s="2">
        <f t="shared" si="18"/>
        <v>0.10784650187348956</v>
      </c>
      <c r="BB42" s="2">
        <f t="shared" si="18"/>
        <v>0.10784650187348956</v>
      </c>
      <c r="BC42" s="2">
        <f t="shared" si="18"/>
        <v>0.10784650187348956</v>
      </c>
      <c r="BD42" s="2">
        <f t="shared" si="18"/>
        <v>0.10784650187348956</v>
      </c>
      <c r="BE42" s="2">
        <f t="shared" si="18"/>
        <v>0.10296337395821298</v>
      </c>
      <c r="BF42" s="2">
        <f t="shared" si="18"/>
        <v>0.10024230319219218</v>
      </c>
      <c r="BG42" s="2">
        <f t="shared" si="18"/>
        <v>9.6360096771940268E-2</v>
      </c>
      <c r="BH42" s="2">
        <f t="shared" si="18"/>
        <v>9.1207860201055146E-2</v>
      </c>
      <c r="BI42" s="2">
        <f t="shared" si="18"/>
        <v>8.498934628286825E-2</v>
      </c>
      <c r="BJ42" s="2">
        <f t="shared" si="18"/>
        <v>7.8289160034441474E-2</v>
      </c>
      <c r="BK42" s="2">
        <f t="shared" si="18"/>
        <v>7.1897667915659713E-2</v>
      </c>
      <c r="BL42" s="2">
        <f t="shared" si="18"/>
        <v>6.6471004726880334E-2</v>
      </c>
      <c r="BM42" s="2">
        <f t="shared" si="18"/>
        <v>6.2300896806647348E-2</v>
      </c>
      <c r="BN42" s="2">
        <f t="shared" si="18"/>
        <v>5.9335396313080505E-2</v>
      </c>
      <c r="BO42" s="2">
        <f t="shared" si="11"/>
        <v>5.7340849332581649E-2</v>
      </c>
      <c r="BP42" s="2">
        <f t="shared" si="6"/>
        <v>5.6049143963141056E-2</v>
      </c>
      <c r="BQ42" s="2">
        <f t="shared" si="6"/>
        <v>5.5232987261280606E-2</v>
      </c>
      <c r="BR42" s="2">
        <f t="shared" si="6"/>
        <v>5.472531141481015E-2</v>
      </c>
      <c r="BS42" s="2">
        <f t="shared" si="6"/>
        <v>5.4412589062474113E-2</v>
      </c>
      <c r="BT42" s="2">
        <f t="shared" si="6"/>
        <v>5.4221113066056613E-2</v>
      </c>
      <c r="BU42" s="2">
        <f t="shared" si="6"/>
        <v>5.4104306967191353E-2</v>
      </c>
    </row>
    <row r="43" spans="1:73" x14ac:dyDescent="0.25">
      <c r="A43" t="s">
        <v>21</v>
      </c>
      <c r="B43" s="1" t="s">
        <v>5</v>
      </c>
      <c r="C43" t="s">
        <v>13</v>
      </c>
      <c r="D43" t="s">
        <v>13</v>
      </c>
      <c r="E43" s="97">
        <v>7.2311975000000004</v>
      </c>
      <c r="F43" s="5">
        <f t="shared" si="7"/>
        <v>1.7716433875E-2</v>
      </c>
      <c r="G43" s="1">
        <f>LOOKUP(RIGHT(D43,5),Ref!$C$4:$C$21,Ref!$E$4:$E$21)*$G$3</f>
        <v>1.5</v>
      </c>
      <c r="H43" s="36">
        <f t="shared" si="16"/>
        <v>7.2311975000000004</v>
      </c>
      <c r="I43" s="12">
        <f t="shared" si="16"/>
        <v>7.2311975000000004</v>
      </c>
      <c r="J43" s="12">
        <f t="shared" si="16"/>
        <v>7.2311975000000004</v>
      </c>
      <c r="K43" s="12">
        <f t="shared" si="16"/>
        <v>7.2311975000000004</v>
      </c>
      <c r="L43" s="12">
        <f t="shared" si="16"/>
        <v>7.2311975000000004</v>
      </c>
      <c r="M43" s="12">
        <f t="shared" si="15"/>
        <v>7.574143355556938</v>
      </c>
      <c r="N43" s="12">
        <f t="shared" si="15"/>
        <v>7.7797429817241657</v>
      </c>
      <c r="O43" s="12">
        <f t="shared" si="15"/>
        <v>8.0931773717190314</v>
      </c>
      <c r="P43" s="12">
        <f t="shared" si="15"/>
        <v>8.5503524916847145</v>
      </c>
      <c r="Q43" s="12">
        <f t="shared" si="15"/>
        <v>9.175966033857156</v>
      </c>
      <c r="R43" s="12">
        <f t="shared" si="15"/>
        <v>9.9612686403614781</v>
      </c>
      <c r="S43" s="12">
        <f t="shared" si="15"/>
        <v>10.846796250000001</v>
      </c>
      <c r="T43" s="12">
        <f t="shared" si="15"/>
        <v>11.732323859638523</v>
      </c>
      <c r="U43" s="12">
        <f t="shared" si="15"/>
        <v>12.517626466142845</v>
      </c>
      <c r="V43" s="12">
        <f t="shared" si="15"/>
        <v>13.143240008315287</v>
      </c>
      <c r="W43" s="12">
        <f t="shared" si="15"/>
        <v>13.600415128280968</v>
      </c>
      <c r="X43" s="12">
        <f t="shared" si="15"/>
        <v>13.913849518275835</v>
      </c>
      <c r="Y43" s="12">
        <f t="shared" si="15"/>
        <v>14.119449144443063</v>
      </c>
      <c r="Z43" s="12">
        <f t="shared" si="15"/>
        <v>14.25043247027137</v>
      </c>
      <c r="AA43" s="12">
        <f t="shared" si="15"/>
        <v>14.332333163487649</v>
      </c>
      <c r="AB43" s="12">
        <f t="shared" si="15"/>
        <v>14.382946247917012</v>
      </c>
      <c r="AC43" s="12">
        <f t="shared" si="9"/>
        <v>14.41399767312844</v>
      </c>
      <c r="AD43" s="300">
        <f t="shared" si="17"/>
        <v>1.9005976677485656E-3</v>
      </c>
      <c r="AE43" s="299">
        <f t="shared" si="17"/>
        <v>1.9005976677485656E-3</v>
      </c>
      <c r="AF43" s="299">
        <f t="shared" si="17"/>
        <v>1.9005976677485656E-3</v>
      </c>
      <c r="AG43" s="299">
        <f t="shared" si="17"/>
        <v>1.9005976677485656E-3</v>
      </c>
      <c r="AH43" s="299">
        <f t="shared" si="17"/>
        <v>1.9005976677485656E-3</v>
      </c>
      <c r="AI43" s="299">
        <f t="shared" si="17"/>
        <v>1.8145414548360727E-3</v>
      </c>
      <c r="AJ43" s="299">
        <f t="shared" si="17"/>
        <v>1.7665875512616704E-3</v>
      </c>
      <c r="AK43" s="299">
        <f t="shared" si="17"/>
        <v>1.6981707520157872E-3</v>
      </c>
      <c r="AL43" s="299">
        <f t="shared" si="17"/>
        <v>1.607371990440747E-3</v>
      </c>
      <c r="AM43" s="299">
        <f t="shared" si="17"/>
        <v>1.4977820376425347E-3</v>
      </c>
      <c r="AN43" s="299">
        <f t="shared" si="17"/>
        <v>1.3797034895577846E-3</v>
      </c>
      <c r="AO43" s="299">
        <f t="shared" si="17"/>
        <v>1.2670651118323771E-3</v>
      </c>
      <c r="AP43" s="299">
        <f t="shared" si="17"/>
        <v>1.1714300822201055E-3</v>
      </c>
      <c r="AQ43" s="299">
        <f t="shared" si="17"/>
        <v>1.0979395447453532E-3</v>
      </c>
      <c r="AR43" s="299">
        <f t="shared" si="17"/>
        <v>1.0456780135517686E-3</v>
      </c>
      <c r="AS43" s="299">
        <f t="shared" si="10"/>
        <v>1.0105277650643587E-3</v>
      </c>
      <c r="AT43" s="299">
        <f t="shared" si="4"/>
        <v>9.8776381658268256E-4</v>
      </c>
      <c r="AU43" s="299">
        <f t="shared" si="4"/>
        <v>9.7338054501497839E-4</v>
      </c>
      <c r="AV43" s="299">
        <f t="shared" si="4"/>
        <v>9.6443368523731134E-4</v>
      </c>
      <c r="AW43" s="299">
        <f t="shared" si="4"/>
        <v>9.589225248085759E-4</v>
      </c>
      <c r="AX43" s="299">
        <f t="shared" si="4"/>
        <v>9.5554811000699209E-4</v>
      </c>
      <c r="AY43" s="299">
        <f t="shared" si="4"/>
        <v>9.5348961580249262E-4</v>
      </c>
      <c r="AZ43" s="306">
        <f t="shared" si="18"/>
        <v>0.10521668358335086</v>
      </c>
      <c r="BA43" s="2">
        <f t="shared" si="18"/>
        <v>0.10521668358335086</v>
      </c>
      <c r="BB43" s="2">
        <f t="shared" si="18"/>
        <v>0.10521668358335086</v>
      </c>
      <c r="BC43" s="2">
        <f t="shared" si="18"/>
        <v>0.10521668358335086</v>
      </c>
      <c r="BD43" s="2">
        <f t="shared" si="18"/>
        <v>0.10521668358335086</v>
      </c>
      <c r="BE43" s="2">
        <f t="shared" si="18"/>
        <v>0.10045262989747993</v>
      </c>
      <c r="BF43" s="2">
        <f t="shared" si="18"/>
        <v>9.779791197132813E-2</v>
      </c>
      <c r="BG43" s="2">
        <f t="shared" si="18"/>
        <v>9.4010372482990698E-2</v>
      </c>
      <c r="BH43" s="2">
        <f t="shared" si="18"/>
        <v>8.8983772309520953E-2</v>
      </c>
      <c r="BI43" s="2">
        <f t="shared" si="18"/>
        <v>8.2916895777391447E-2</v>
      </c>
      <c r="BJ43" s="2">
        <f t="shared" si="18"/>
        <v>7.6380092411462971E-2</v>
      </c>
      <c r="BK43" s="2">
        <f t="shared" si="18"/>
        <v>7.0144455722233906E-2</v>
      </c>
      <c r="BL43" s="2">
        <f t="shared" si="18"/>
        <v>6.4850120776469899E-2</v>
      </c>
      <c r="BM43" s="2">
        <f t="shared" si="18"/>
        <v>6.0781700216419876E-2</v>
      </c>
      <c r="BN43" s="2">
        <f t="shared" si="18"/>
        <v>5.7888512939340539E-2</v>
      </c>
      <c r="BO43" s="2">
        <f t="shared" si="11"/>
        <v>5.5942602641893394E-2</v>
      </c>
      <c r="BP43" s="2">
        <f t="shared" si="6"/>
        <v>5.4682395284414376E-2</v>
      </c>
      <c r="BQ43" s="2">
        <f t="shared" si="6"/>
        <v>5.3886140422529136E-2</v>
      </c>
      <c r="BR43" s="2">
        <f t="shared" si="6"/>
        <v>5.3390844163744108E-2</v>
      </c>
      <c r="BS43" s="2">
        <f t="shared" si="6"/>
        <v>5.3085747491867077E-2</v>
      </c>
      <c r="BT43" s="2">
        <f t="shared" si="6"/>
        <v>5.2898940604495806E-2</v>
      </c>
      <c r="BU43" s="2">
        <f t="shared" si="6"/>
        <v>5.2784982802143263E-2</v>
      </c>
    </row>
    <row r="44" spans="1:73" x14ac:dyDescent="0.25">
      <c r="A44" t="s">
        <v>21</v>
      </c>
      <c r="B44" s="1" t="s">
        <v>5</v>
      </c>
      <c r="C44" t="s">
        <v>14</v>
      </c>
      <c r="D44" t="s">
        <v>14</v>
      </c>
      <c r="E44" s="97">
        <v>5.1258957499999998</v>
      </c>
      <c r="F44" s="5">
        <f t="shared" si="7"/>
        <v>1.25584445875E-2</v>
      </c>
      <c r="G44" s="1">
        <f>LOOKUP(RIGHT(D44,5),Ref!$C$4:$C$21,Ref!$E$4:$E$21)*$G$3</f>
        <v>2</v>
      </c>
      <c r="H44" s="36">
        <f t="shared" si="16"/>
        <v>5.1258957499999998</v>
      </c>
      <c r="I44" s="12">
        <f t="shared" si="16"/>
        <v>5.1258957499999998</v>
      </c>
      <c r="J44" s="12">
        <f t="shared" si="16"/>
        <v>5.1258957499999998</v>
      </c>
      <c r="K44" s="12">
        <f t="shared" si="16"/>
        <v>5.1258957499999998</v>
      </c>
      <c r="L44" s="12">
        <f t="shared" si="16"/>
        <v>5.1258957499999998</v>
      </c>
      <c r="M44" s="12">
        <f t="shared" si="15"/>
        <v>5.3689958317609285</v>
      </c>
      <c r="N44" s="12">
        <f t="shared" si="15"/>
        <v>5.5147368725736268</v>
      </c>
      <c r="O44" s="12">
        <f t="shared" si="15"/>
        <v>5.7369175013807538</v>
      </c>
      <c r="P44" s="12">
        <f t="shared" si="15"/>
        <v>6.0609899671705252</v>
      </c>
      <c r="Q44" s="12">
        <f t="shared" si="15"/>
        <v>6.5044614387994173</v>
      </c>
      <c r="R44" s="12">
        <f t="shared" si="15"/>
        <v>7.0611298596445717</v>
      </c>
      <c r="S44" s="12">
        <f t="shared" si="15"/>
        <v>7.6888436249999996</v>
      </c>
      <c r="T44" s="12">
        <f t="shared" si="15"/>
        <v>8.3165573903554275</v>
      </c>
      <c r="U44" s="12">
        <f t="shared" si="15"/>
        <v>8.873225811200582</v>
      </c>
      <c r="V44" s="12">
        <f t="shared" si="15"/>
        <v>9.3166972828294732</v>
      </c>
      <c r="W44" s="12">
        <f t="shared" si="15"/>
        <v>9.6407697486192436</v>
      </c>
      <c r="X44" s="12">
        <f t="shared" si="15"/>
        <v>9.8629503774263725</v>
      </c>
      <c r="Y44" s="12">
        <f t="shared" si="15"/>
        <v>10.008691418239071</v>
      </c>
      <c r="Z44" s="12">
        <f t="shared" si="15"/>
        <v>10.101540060968603</v>
      </c>
      <c r="AA44" s="12">
        <f t="shared" si="15"/>
        <v>10.159596062796707</v>
      </c>
      <c r="AB44" s="12">
        <f t="shared" si="15"/>
        <v>10.195473577464348</v>
      </c>
      <c r="AC44" s="12">
        <f t="shared" si="9"/>
        <v>10.217484643891824</v>
      </c>
      <c r="AD44" s="300">
        <f t="shared" si="17"/>
        <v>2.6812088606228989E-3</v>
      </c>
      <c r="AE44" s="299">
        <f t="shared" si="17"/>
        <v>2.6812088606228989E-3</v>
      </c>
      <c r="AF44" s="299">
        <f t="shared" si="17"/>
        <v>2.6812088606228989E-3</v>
      </c>
      <c r="AG44" s="299">
        <f t="shared" si="17"/>
        <v>2.6812088606228989E-3</v>
      </c>
      <c r="AH44" s="299">
        <f t="shared" si="17"/>
        <v>2.6812088606228989E-3</v>
      </c>
      <c r="AI44" s="299">
        <f t="shared" si="17"/>
        <v>2.5598077432333602E-3</v>
      </c>
      <c r="AJ44" s="299">
        <f t="shared" si="17"/>
        <v>2.4921582699403344E-3</v>
      </c>
      <c r="AK44" s="299">
        <f t="shared" si="17"/>
        <v>2.3956414050265613E-3</v>
      </c>
      <c r="AL44" s="299">
        <f t="shared" si="17"/>
        <v>2.2675498850801157E-3</v>
      </c>
      <c r="AM44" s="299">
        <f t="shared" si="17"/>
        <v>2.1129492784057505E-3</v>
      </c>
      <c r="AN44" s="299">
        <f t="shared" si="17"/>
        <v>1.9463736507773354E-3</v>
      </c>
      <c r="AO44" s="299">
        <f t="shared" si="17"/>
        <v>1.7874725737485992E-3</v>
      </c>
      <c r="AP44" s="299">
        <f t="shared" si="17"/>
        <v>1.65255843956148E-3</v>
      </c>
      <c r="AQ44" s="299">
        <f t="shared" si="17"/>
        <v>1.5488839567433139E-3</v>
      </c>
      <c r="AR44" s="299">
        <f t="shared" si="17"/>
        <v>1.475157632185656E-3</v>
      </c>
      <c r="AS44" s="299">
        <f t="shared" si="10"/>
        <v>1.4255705158291562E-3</v>
      </c>
      <c r="AT44" s="299">
        <f t="shared" si="4"/>
        <v>1.3934569857498866E-3</v>
      </c>
      <c r="AU44" s="299">
        <f t="shared" si="4"/>
        <v>1.3731662341476512E-3</v>
      </c>
      <c r="AV44" s="299">
        <f t="shared" si="4"/>
        <v>1.3605447308607153E-3</v>
      </c>
      <c r="AW44" s="299">
        <f t="shared" si="4"/>
        <v>1.3527700332355496E-3</v>
      </c>
      <c r="AX44" s="299">
        <f t="shared" si="4"/>
        <v>1.3480096828368559E-3</v>
      </c>
      <c r="AY44" s="299">
        <f t="shared" si="4"/>
        <v>1.3451057263634257E-3</v>
      </c>
      <c r="AZ44" s="306">
        <f t="shared" si="18"/>
        <v>0.1484311535766637</v>
      </c>
      <c r="BA44" s="2">
        <f t="shared" si="18"/>
        <v>0.1484311535766637</v>
      </c>
      <c r="BB44" s="2">
        <f t="shared" si="18"/>
        <v>0.1484311535766637</v>
      </c>
      <c r="BC44" s="2">
        <f t="shared" si="18"/>
        <v>0.1484311535766637</v>
      </c>
      <c r="BD44" s="2">
        <f t="shared" si="18"/>
        <v>0.1484311535766637</v>
      </c>
      <c r="BE44" s="2">
        <f t="shared" si="18"/>
        <v>0.14171041347906502</v>
      </c>
      <c r="BF44" s="2">
        <f t="shared" si="18"/>
        <v>0.13796535299265267</v>
      </c>
      <c r="BG44" s="2">
        <f t="shared" si="18"/>
        <v>0.13262219983172133</v>
      </c>
      <c r="BH44" s="2">
        <f t="shared" si="18"/>
        <v>0.12553108046826297</v>
      </c>
      <c r="BI44" s="2">
        <f t="shared" si="18"/>
        <v>0.11697242368872478</v>
      </c>
      <c r="BJ44" s="2">
        <f t="shared" si="18"/>
        <v>0.10775083229024703</v>
      </c>
      <c r="BK44" s="2">
        <f t="shared" si="18"/>
        <v>9.8954102384442466E-2</v>
      </c>
      <c r="BL44" s="2">
        <f t="shared" si="18"/>
        <v>9.1485284544366191E-2</v>
      </c>
      <c r="BM44" s="2">
        <f t="shared" si="18"/>
        <v>8.5745887175080554E-2</v>
      </c>
      <c r="BN44" s="2">
        <f t="shared" si="18"/>
        <v>8.1664413492154433E-2</v>
      </c>
      <c r="BO44" s="2">
        <f t="shared" si="11"/>
        <v>7.8919281252950377E-2</v>
      </c>
      <c r="BP44" s="2">
        <f t="shared" si="6"/>
        <v>7.7141483042192011E-2</v>
      </c>
      <c r="BQ44" s="2">
        <f t="shared" si="6"/>
        <v>7.601819133915115E-2</v>
      </c>
      <c r="BR44" s="2">
        <f t="shared" si="6"/>
        <v>7.5319467595445361E-2</v>
      </c>
      <c r="BS44" s="2">
        <f t="shared" si="6"/>
        <v>7.4889061984692237E-2</v>
      </c>
      <c r="BT44" s="2">
        <f t="shared" si="6"/>
        <v>7.4625529996757853E-2</v>
      </c>
      <c r="BU44" s="2">
        <f t="shared" si="6"/>
        <v>7.44647675826028E-2</v>
      </c>
    </row>
    <row r="45" spans="1:73" x14ac:dyDescent="0.25">
      <c r="A45" t="s">
        <v>21</v>
      </c>
      <c r="B45" s="1" t="s">
        <v>5</v>
      </c>
      <c r="C45" t="s">
        <v>15</v>
      </c>
      <c r="D45" t="s">
        <v>15</v>
      </c>
      <c r="E45" s="97">
        <v>5.0703610000000001</v>
      </c>
      <c r="F45" s="5">
        <f t="shared" si="7"/>
        <v>1.2422384449999999E-2</v>
      </c>
      <c r="G45" s="1">
        <f>LOOKUP(RIGHT(D45,5),Ref!$C$4:$C$21,Ref!$E$4:$E$21)*$G$3</f>
        <v>2.5</v>
      </c>
      <c r="H45" s="36">
        <f t="shared" si="16"/>
        <v>5.0703610000000001</v>
      </c>
      <c r="I45" s="12">
        <f t="shared" si="16"/>
        <v>5.0703610000000001</v>
      </c>
      <c r="J45" s="12">
        <f t="shared" si="16"/>
        <v>5.0703610000000001</v>
      </c>
      <c r="K45" s="12">
        <f t="shared" si="16"/>
        <v>5.0703610000000001</v>
      </c>
      <c r="L45" s="12">
        <f t="shared" si="16"/>
        <v>5.0703610000000001</v>
      </c>
      <c r="M45" s="12">
        <f t="shared" si="15"/>
        <v>5.3108272977504809</v>
      </c>
      <c r="N45" s="12">
        <f t="shared" si="15"/>
        <v>5.4549893575106925</v>
      </c>
      <c r="O45" s="12">
        <f t="shared" si="15"/>
        <v>5.6747628469069866</v>
      </c>
      <c r="P45" s="12">
        <f t="shared" si="15"/>
        <v>5.9953242613123212</v>
      </c>
      <c r="Q45" s="12">
        <f t="shared" si="15"/>
        <v>6.4339910941989906</v>
      </c>
      <c r="R45" s="12">
        <f t="shared" si="15"/>
        <v>6.9846284829880343</v>
      </c>
      <c r="S45" s="12">
        <f t="shared" si="15"/>
        <v>7.6055415000000002</v>
      </c>
      <c r="T45" s="12">
        <f t="shared" si="15"/>
        <v>8.2264545170119661</v>
      </c>
      <c r="U45" s="12">
        <f t="shared" si="15"/>
        <v>8.7770919058010097</v>
      </c>
      <c r="V45" s="12">
        <f t="shared" si="15"/>
        <v>9.2157587386876791</v>
      </c>
      <c r="W45" s="12">
        <f t="shared" si="15"/>
        <v>9.5363201530930137</v>
      </c>
      <c r="X45" s="12">
        <f t="shared" si="15"/>
        <v>9.7560936424893079</v>
      </c>
      <c r="Y45" s="12">
        <f t="shared" si="15"/>
        <v>9.9002557022495203</v>
      </c>
      <c r="Z45" s="12">
        <f t="shared" si="15"/>
        <v>9.9920984083753233</v>
      </c>
      <c r="AA45" s="12">
        <f t="shared" si="15"/>
        <v>10.049525422470399</v>
      </c>
      <c r="AB45" s="12">
        <f t="shared" si="15"/>
        <v>10.085014234576605</v>
      </c>
      <c r="AC45" s="12">
        <f t="shared" si="9"/>
        <v>10.106786829694693</v>
      </c>
      <c r="AD45" s="300">
        <f t="shared" si="17"/>
        <v>2.710575657932297E-3</v>
      </c>
      <c r="AE45" s="299">
        <f t="shared" si="17"/>
        <v>2.710575657932297E-3</v>
      </c>
      <c r="AF45" s="299">
        <f t="shared" si="17"/>
        <v>2.710575657932297E-3</v>
      </c>
      <c r="AG45" s="299">
        <f t="shared" si="17"/>
        <v>2.710575657932297E-3</v>
      </c>
      <c r="AH45" s="299">
        <f t="shared" si="17"/>
        <v>2.710575657932297E-3</v>
      </c>
      <c r="AI45" s="299">
        <f t="shared" si="17"/>
        <v>2.5878448559889466E-3</v>
      </c>
      <c r="AJ45" s="299">
        <f t="shared" si="17"/>
        <v>2.5194544302100997E-3</v>
      </c>
      <c r="AK45" s="299">
        <f t="shared" si="17"/>
        <v>2.4218804334740027E-3</v>
      </c>
      <c r="AL45" s="299">
        <f t="shared" si="17"/>
        <v>2.2923859502006175E-3</v>
      </c>
      <c r="AM45" s="299">
        <f t="shared" si="17"/>
        <v>2.1360920309511696E-3</v>
      </c>
      <c r="AN45" s="299">
        <f t="shared" si="17"/>
        <v>1.9676919305018966E-3</v>
      </c>
      <c r="AO45" s="299">
        <f t="shared" si="17"/>
        <v>1.8070504386215314E-3</v>
      </c>
      <c r="AP45" s="299">
        <f t="shared" si="17"/>
        <v>1.6706586142436054E-3</v>
      </c>
      <c r="AQ45" s="299">
        <f t="shared" si="17"/>
        <v>1.5658486035045112E-3</v>
      </c>
      <c r="AR45" s="299">
        <f t="shared" si="17"/>
        <v>1.4913147678046032E-3</v>
      </c>
      <c r="AS45" s="299">
        <f t="shared" si="10"/>
        <v>1.4411845327017105E-3</v>
      </c>
      <c r="AT45" s="299">
        <f t="shared" si="4"/>
        <v>1.4087192689165829E-3</v>
      </c>
      <c r="AU45" s="299">
        <f t="shared" si="4"/>
        <v>1.3882062763698579E-3</v>
      </c>
      <c r="AV45" s="299">
        <f t="shared" si="4"/>
        <v>1.3754465320326959E-3</v>
      </c>
      <c r="AW45" s="299">
        <f t="shared" si="4"/>
        <v>1.3675866795459855E-3</v>
      </c>
      <c r="AX45" s="299">
        <f t="shared" si="4"/>
        <v>1.3627741898875219E-3</v>
      </c>
      <c r="AY45" s="299">
        <f t="shared" si="4"/>
        <v>1.3598384269023342E-3</v>
      </c>
      <c r="AZ45" s="306">
        <f t="shared" si="18"/>
        <v>0.15005689324413346</v>
      </c>
      <c r="BA45" s="2">
        <f t="shared" si="18"/>
        <v>0.15005689324413346</v>
      </c>
      <c r="BB45" s="2">
        <f t="shared" si="18"/>
        <v>0.15005689324413346</v>
      </c>
      <c r="BC45" s="2">
        <f t="shared" si="18"/>
        <v>0.15005689324413346</v>
      </c>
      <c r="BD45" s="2">
        <f t="shared" si="18"/>
        <v>0.15005689324413346</v>
      </c>
      <c r="BE45" s="2">
        <f t="shared" si="18"/>
        <v>0.14326254209179229</v>
      </c>
      <c r="BF45" s="2">
        <f t="shared" si="18"/>
        <v>0.13947646263299357</v>
      </c>
      <c r="BG45" s="2">
        <f t="shared" si="18"/>
        <v>0.13407478687869975</v>
      </c>
      <c r="BH45" s="2">
        <f t="shared" si="18"/>
        <v>0.12690599976316816</v>
      </c>
      <c r="BI45" s="2">
        <f t="shared" si="18"/>
        <v>0.1182536015587911</v>
      </c>
      <c r="BJ45" s="2">
        <f t="shared" si="18"/>
        <v>0.10893100773210034</v>
      </c>
      <c r="BK45" s="2">
        <f t="shared" si="18"/>
        <v>0.10003792882942231</v>
      </c>
      <c r="BL45" s="2">
        <f t="shared" si="18"/>
        <v>9.2487306373946018E-2</v>
      </c>
      <c r="BM45" s="2">
        <f t="shared" si="18"/>
        <v>8.668504641991466E-2</v>
      </c>
      <c r="BN45" s="2">
        <f t="shared" si="18"/>
        <v>8.2558869091505921E-2</v>
      </c>
      <c r="BO45" s="2">
        <f t="shared" si="11"/>
        <v>7.9783669913750299E-2</v>
      </c>
      <c r="BP45" s="2">
        <f t="shared" si="6"/>
        <v>7.7986399799672854E-2</v>
      </c>
      <c r="BQ45" s="2">
        <f t="shared" si="6"/>
        <v>7.6850804885104165E-2</v>
      </c>
      <c r="BR45" s="2">
        <f t="shared" si="6"/>
        <v>7.614442814619235E-2</v>
      </c>
      <c r="BS45" s="2">
        <f t="shared" si="6"/>
        <v>7.5709308380373805E-2</v>
      </c>
      <c r="BT45" s="2">
        <f t="shared" si="6"/>
        <v>7.5442889974082411E-2</v>
      </c>
      <c r="BU45" s="2">
        <f t="shared" si="6"/>
        <v>7.5280366758185738E-2</v>
      </c>
    </row>
    <row r="46" spans="1:73" x14ac:dyDescent="0.25">
      <c r="A46" t="s">
        <v>21</v>
      </c>
      <c r="B46" s="1" t="s">
        <v>5</v>
      </c>
      <c r="C46" t="s">
        <v>16</v>
      </c>
      <c r="D46" t="s">
        <v>16</v>
      </c>
      <c r="E46" s="97">
        <v>6.5360550000000002</v>
      </c>
      <c r="F46" s="5">
        <f t="shared" si="7"/>
        <v>1.6013334750000004E-2</v>
      </c>
      <c r="G46" s="1">
        <f>LOOKUP(RIGHT(D46,5),Ref!$C$4:$C$21,Ref!$E$4:$E$21)*$G$3</f>
        <v>3</v>
      </c>
      <c r="H46" s="36">
        <f t="shared" si="16"/>
        <v>6.5360550000000002</v>
      </c>
      <c r="I46" s="12">
        <f t="shared" si="16"/>
        <v>6.5360550000000002</v>
      </c>
      <c r="J46" s="12">
        <f t="shared" si="16"/>
        <v>6.5360550000000002</v>
      </c>
      <c r="K46" s="12">
        <f t="shared" si="16"/>
        <v>6.5360550000000002</v>
      </c>
      <c r="L46" s="12">
        <f t="shared" si="16"/>
        <v>6.5360550000000002</v>
      </c>
      <c r="M46" s="12">
        <f t="shared" si="15"/>
        <v>6.8460331155116014</v>
      </c>
      <c r="N46" s="12">
        <f t="shared" si="15"/>
        <v>7.0318682368187488</v>
      </c>
      <c r="O46" s="12">
        <f t="shared" si="15"/>
        <v>7.3151718544972715</v>
      </c>
      <c r="P46" s="12">
        <f t="shared" si="15"/>
        <v>7.728398257002155</v>
      </c>
      <c r="Q46" s="12">
        <f t="shared" si="15"/>
        <v>8.2938709218524647</v>
      </c>
      <c r="R46" s="12">
        <f t="shared" si="15"/>
        <v>9.0036815760014637</v>
      </c>
      <c r="S46" s="12">
        <f t="shared" si="15"/>
        <v>9.8040824999999998</v>
      </c>
      <c r="T46" s="12">
        <f t="shared" si="15"/>
        <v>10.604483423998538</v>
      </c>
      <c r="U46" s="12">
        <f t="shared" si="15"/>
        <v>11.314294078147537</v>
      </c>
      <c r="V46" s="12">
        <f t="shared" si="15"/>
        <v>11.879766742997846</v>
      </c>
      <c r="W46" s="12">
        <f t="shared" si="15"/>
        <v>12.292993145502727</v>
      </c>
      <c r="X46" s="12">
        <f t="shared" si="15"/>
        <v>12.576296763181253</v>
      </c>
      <c r="Y46" s="12">
        <f t="shared" si="15"/>
        <v>12.762131884488399</v>
      </c>
      <c r="Z46" s="12">
        <f t="shared" si="15"/>
        <v>12.880523647636444</v>
      </c>
      <c r="AA46" s="12">
        <f t="shared" si="15"/>
        <v>12.954551142446222</v>
      </c>
      <c r="AB46" s="12">
        <f t="shared" si="15"/>
        <v>13.000298738684599</v>
      </c>
      <c r="AC46" s="12">
        <f t="shared" si="9"/>
        <v>13.028365158252074</v>
      </c>
      <c r="AD46" s="300">
        <f t="shared" si="17"/>
        <v>2.1027358404311562E-3</v>
      </c>
      <c r="AE46" s="299">
        <f t="shared" si="17"/>
        <v>2.1027358404311562E-3</v>
      </c>
      <c r="AF46" s="299">
        <f t="shared" si="17"/>
        <v>2.1027358404311562E-3</v>
      </c>
      <c r="AG46" s="299">
        <f t="shared" si="17"/>
        <v>2.1027358404311562E-3</v>
      </c>
      <c r="AH46" s="299">
        <f t="shared" si="17"/>
        <v>2.1027358404311562E-3</v>
      </c>
      <c r="AI46" s="299">
        <f t="shared" si="17"/>
        <v>2.0075271141165385E-3</v>
      </c>
      <c r="AJ46" s="299">
        <f t="shared" si="17"/>
        <v>1.9544730704093697E-3</v>
      </c>
      <c r="AK46" s="299">
        <f t="shared" si="17"/>
        <v>1.878779798601707E-3</v>
      </c>
      <c r="AL46" s="299">
        <f t="shared" si="17"/>
        <v>1.7783241295927211E-3</v>
      </c>
      <c r="AM46" s="299">
        <f t="shared" si="17"/>
        <v>1.6570787311529053E-3</v>
      </c>
      <c r="AN46" s="299">
        <f t="shared" si="17"/>
        <v>1.5264419323937034E-3</v>
      </c>
      <c r="AO46" s="299">
        <f t="shared" si="17"/>
        <v>1.4018238936207707E-3</v>
      </c>
      <c r="AP46" s="299">
        <f t="shared" si="17"/>
        <v>1.2960175950133255E-3</v>
      </c>
      <c r="AQ46" s="299">
        <f t="shared" si="17"/>
        <v>1.2147109672598741E-3</v>
      </c>
      <c r="AR46" s="299">
        <f t="shared" si="17"/>
        <v>1.1568911579539209E-3</v>
      </c>
      <c r="AS46" s="299">
        <f t="shared" si="10"/>
        <v>1.1180025027962553E-3</v>
      </c>
      <c r="AT46" s="299">
        <f t="shared" si="4"/>
        <v>1.0928174932835102E-3</v>
      </c>
      <c r="AU46" s="299">
        <f t="shared" si="4"/>
        <v>1.076904488052954E-3</v>
      </c>
      <c r="AV46" s="299">
        <f t="shared" si="4"/>
        <v>1.0670060844965095E-3</v>
      </c>
      <c r="AW46" s="299">
        <f t="shared" si="4"/>
        <v>1.0609087842879934E-3</v>
      </c>
      <c r="AX46" s="299">
        <f t="shared" si="4"/>
        <v>1.0571754834089197E-3</v>
      </c>
      <c r="AY46" s="299">
        <f t="shared" si="4"/>
        <v>1.0548980579366217E-3</v>
      </c>
      <c r="AZ46" s="306">
        <f t="shared" si="18"/>
        <v>0.11640700992972332</v>
      </c>
      <c r="BA46" s="2">
        <f t="shared" si="18"/>
        <v>0.11640700992972332</v>
      </c>
      <c r="BB46" s="2">
        <f t="shared" si="18"/>
        <v>0.11640700992972332</v>
      </c>
      <c r="BC46" s="2">
        <f t="shared" si="18"/>
        <v>0.11640700992972332</v>
      </c>
      <c r="BD46" s="2">
        <f t="shared" si="18"/>
        <v>0.11640700992972332</v>
      </c>
      <c r="BE46" s="2">
        <f t="shared" si="18"/>
        <v>0.11113627504405671</v>
      </c>
      <c r="BF46" s="2">
        <f t="shared" si="18"/>
        <v>0.108199214442395</v>
      </c>
      <c r="BG46" s="2">
        <f t="shared" si="18"/>
        <v>0.10400885097709109</v>
      </c>
      <c r="BH46" s="2">
        <f t="shared" si="18"/>
        <v>9.8447646457255497E-2</v>
      </c>
      <c r="BI46" s="2">
        <f t="shared" si="18"/>
        <v>9.1735526927670216E-2</v>
      </c>
      <c r="BJ46" s="2">
        <f t="shared" si="18"/>
        <v>8.4503501469241002E-2</v>
      </c>
      <c r="BK46" s="2">
        <f t="shared" si="18"/>
        <v>7.7604673286482212E-2</v>
      </c>
      <c r="BL46" s="2">
        <f t="shared" si="18"/>
        <v>7.1747259047469342E-2</v>
      </c>
      <c r="BM46" s="2">
        <f t="shared" si="18"/>
        <v>6.7246141388150021E-2</v>
      </c>
      <c r="BN46" s="2">
        <f t="shared" si="18"/>
        <v>6.4045249014226008E-2</v>
      </c>
      <c r="BO46" s="2">
        <f t="shared" si="11"/>
        <v>6.189238131679628E-2</v>
      </c>
      <c r="BP46" s="2">
        <f t="shared" si="6"/>
        <v>6.0498144534381827E-2</v>
      </c>
      <c r="BQ46" s="2">
        <f t="shared" si="6"/>
        <v>5.9617203941527676E-2</v>
      </c>
      <c r="BR46" s="2">
        <f t="shared" si="6"/>
        <v>5.9069230421065308E-2</v>
      </c>
      <c r="BS46" s="2">
        <f t="shared" si="6"/>
        <v>5.873168517535738E-2</v>
      </c>
      <c r="BT46" s="2">
        <f t="shared" si="6"/>
        <v>5.8525010430891193E-2</v>
      </c>
      <c r="BU46" s="2">
        <f t="shared" si="6"/>
        <v>5.8398932640010129E-2</v>
      </c>
    </row>
    <row r="47" spans="1:73" x14ac:dyDescent="0.25">
      <c r="A47" t="s">
        <v>21</v>
      </c>
      <c r="B47" s="1" t="s">
        <v>5</v>
      </c>
      <c r="C47" t="s">
        <v>17</v>
      </c>
      <c r="D47" t="s">
        <v>17</v>
      </c>
      <c r="E47" s="97">
        <v>5.7359749999999998</v>
      </c>
      <c r="F47" s="5">
        <f t="shared" si="7"/>
        <v>1.4053138749999999E-2</v>
      </c>
      <c r="G47" s="1">
        <f>LOOKUP(RIGHT(D47,5),Ref!$C$4:$C$21,Ref!$E$4:$E$21)*$G$3</f>
        <v>3</v>
      </c>
      <c r="H47" s="36">
        <f t="shared" si="16"/>
        <v>5.7359749999999998</v>
      </c>
      <c r="I47" s="12">
        <f t="shared" si="16"/>
        <v>5.7359749999999998</v>
      </c>
      <c r="J47" s="12">
        <f t="shared" si="16"/>
        <v>5.7359749999999998</v>
      </c>
      <c r="K47" s="12">
        <f t="shared" si="16"/>
        <v>5.7359749999999998</v>
      </c>
      <c r="L47" s="12">
        <f t="shared" si="16"/>
        <v>5.7359749999999998</v>
      </c>
      <c r="M47" s="12">
        <f t="shared" si="15"/>
        <v>6.008008622899693</v>
      </c>
      <c r="N47" s="12">
        <f t="shared" si="15"/>
        <v>6.1710956241473518</v>
      </c>
      <c r="O47" s="12">
        <f t="shared" si="15"/>
        <v>6.4197199806458158</v>
      </c>
      <c r="P47" s="12">
        <f t="shared" si="15"/>
        <v>6.7823632439151647</v>
      </c>
      <c r="Q47" s="12">
        <f t="shared" si="15"/>
        <v>7.2786162694427583</v>
      </c>
      <c r="R47" s="12">
        <f t="shared" si="15"/>
        <v>7.9015388377094427</v>
      </c>
      <c r="S47" s="12">
        <f t="shared" si="15"/>
        <v>8.6039624999999997</v>
      </c>
      <c r="T47" s="12">
        <f t="shared" si="15"/>
        <v>9.3063861622905577</v>
      </c>
      <c r="U47" s="12">
        <f t="shared" si="15"/>
        <v>9.9293087305572421</v>
      </c>
      <c r="V47" s="12">
        <f t="shared" si="15"/>
        <v>10.425561756084836</v>
      </c>
      <c r="W47" s="12">
        <f t="shared" si="15"/>
        <v>10.788205019354182</v>
      </c>
      <c r="X47" s="12">
        <f t="shared" si="15"/>
        <v>11.036829375852648</v>
      </c>
      <c r="Y47" s="12">
        <f t="shared" si="15"/>
        <v>11.199916377100307</v>
      </c>
      <c r="Z47" s="12">
        <f t="shared" si="15"/>
        <v>11.30381577721599</v>
      </c>
      <c r="AA47" s="12">
        <f t="shared" si="15"/>
        <v>11.368781549312692</v>
      </c>
      <c r="AB47" s="12">
        <f t="shared" si="15"/>
        <v>11.408929171744484</v>
      </c>
      <c r="AC47" s="12">
        <f t="shared" si="9"/>
        <v>11.433559974419575</v>
      </c>
      <c r="AD47" s="300">
        <f t="shared" si="17"/>
        <v>2.3960350426090178E-3</v>
      </c>
      <c r="AE47" s="299">
        <f t="shared" si="17"/>
        <v>2.3960350426090178E-3</v>
      </c>
      <c r="AF47" s="299">
        <f t="shared" si="17"/>
        <v>2.3960350426090178E-3</v>
      </c>
      <c r="AG47" s="299">
        <f t="shared" si="17"/>
        <v>2.3960350426090178E-3</v>
      </c>
      <c r="AH47" s="299">
        <f t="shared" si="17"/>
        <v>2.3960350426090178E-3</v>
      </c>
      <c r="AI47" s="299">
        <f t="shared" si="17"/>
        <v>2.2875461681504841E-3</v>
      </c>
      <c r="AJ47" s="299">
        <f t="shared" si="17"/>
        <v>2.2270919040293085E-3</v>
      </c>
      <c r="AK47" s="299">
        <f t="shared" si="17"/>
        <v>2.1408405888361927E-3</v>
      </c>
      <c r="AL47" s="299">
        <f t="shared" si="17"/>
        <v>2.0263729041436118E-3</v>
      </c>
      <c r="AM47" s="299">
        <f t="shared" si="17"/>
        <v>1.8882156435733426E-3</v>
      </c>
      <c r="AN47" s="299">
        <f t="shared" si="17"/>
        <v>1.7393570272589277E-3</v>
      </c>
      <c r="AO47" s="299">
        <f t="shared" si="17"/>
        <v>1.5973566950726785E-3</v>
      </c>
      <c r="AP47" s="299">
        <f t="shared" si="17"/>
        <v>1.476792050518843E-3</v>
      </c>
      <c r="AQ47" s="299">
        <f t="shared" si="17"/>
        <v>1.3841444028458521E-3</v>
      </c>
      <c r="AR47" s="299">
        <f t="shared" si="17"/>
        <v>1.3182596223659474E-3</v>
      </c>
      <c r="AS47" s="299">
        <f t="shared" si="10"/>
        <v>1.2739465999091662E-3</v>
      </c>
      <c r="AT47" s="299">
        <f t="shared" si="4"/>
        <v>1.2452486702022156E-3</v>
      </c>
      <c r="AU47" s="299">
        <f t="shared" si="4"/>
        <v>1.2271160462974384E-3</v>
      </c>
      <c r="AV47" s="299">
        <f t="shared" si="4"/>
        <v>1.2158369681882911E-3</v>
      </c>
      <c r="AW47" s="299">
        <f t="shared" si="4"/>
        <v>1.2088891886888387E-3</v>
      </c>
      <c r="AX47" s="299">
        <f t="shared" si="4"/>
        <v>1.2046351499461357E-3</v>
      </c>
      <c r="AY47" s="299">
        <f t="shared" si="4"/>
        <v>1.2020400587636707E-3</v>
      </c>
      <c r="AZ47" s="306">
        <f t="shared" si="18"/>
        <v>0.13264399152475695</v>
      </c>
      <c r="BA47" s="2">
        <f t="shared" si="18"/>
        <v>0.13264399152475695</v>
      </c>
      <c r="BB47" s="2">
        <f t="shared" si="18"/>
        <v>0.13264399152475695</v>
      </c>
      <c r="BC47" s="2">
        <f t="shared" si="18"/>
        <v>0.13264399152475695</v>
      </c>
      <c r="BD47" s="2">
        <f t="shared" si="18"/>
        <v>0.13264399152475695</v>
      </c>
      <c r="BE47" s="2">
        <f t="shared" si="18"/>
        <v>0.12663807045586534</v>
      </c>
      <c r="BF47" s="2">
        <f t="shared" si="18"/>
        <v>0.12329133522239689</v>
      </c>
      <c r="BG47" s="2">
        <f t="shared" si="18"/>
        <v>0.11851648071567102</v>
      </c>
      <c r="BH47" s="2">
        <f t="shared" si="18"/>
        <v>0.11217957398091469</v>
      </c>
      <c r="BI47" s="2">
        <f t="shared" si="18"/>
        <v>0.10453121735245248</v>
      </c>
      <c r="BJ47" s="2">
        <f t="shared" si="18"/>
        <v>9.6290435940801694E-2</v>
      </c>
      <c r="BK47" s="2">
        <f t="shared" si="18"/>
        <v>8.8429327683171299E-2</v>
      </c>
      <c r="BL47" s="2">
        <f t="shared" si="18"/>
        <v>8.1754894544259216E-2</v>
      </c>
      <c r="BM47" s="2">
        <f t="shared" si="18"/>
        <v>7.6625940428737035E-2</v>
      </c>
      <c r="BN47" s="2">
        <f t="shared" si="18"/>
        <v>7.2978572961994601E-2</v>
      </c>
      <c r="BO47" s="2">
        <f t="shared" si="11"/>
        <v>7.0525413441926255E-2</v>
      </c>
      <c r="BP47" s="2">
        <f t="shared" si="6"/>
        <v>6.8936702142995576E-2</v>
      </c>
      <c r="BQ47" s="2">
        <f t="shared" si="6"/>
        <v>6.7932883931335411E-2</v>
      </c>
      <c r="BR47" s="2">
        <f t="shared" si="6"/>
        <v>6.7308476560611938E-2</v>
      </c>
      <c r="BS47" s="2">
        <f t="shared" si="6"/>
        <v>6.6923848961827848E-2</v>
      </c>
      <c r="BT47" s="2">
        <f t="shared" si="6"/>
        <v>6.6688346279730734E-2</v>
      </c>
      <c r="BU47" s="2">
        <f t="shared" si="6"/>
        <v>6.6544682582542883E-2</v>
      </c>
    </row>
    <row r="48" spans="1:73" x14ac:dyDescent="0.25">
      <c r="A48" t="s">
        <v>21</v>
      </c>
      <c r="B48" s="1" t="s">
        <v>5</v>
      </c>
      <c r="C48" t="s">
        <v>18</v>
      </c>
      <c r="D48" t="s">
        <v>18</v>
      </c>
      <c r="E48" s="97">
        <v>5.1578150000000003</v>
      </c>
      <c r="F48" s="5">
        <f t="shared" si="7"/>
        <v>1.2636646750000001E-2</v>
      </c>
      <c r="G48" s="1">
        <f>LOOKUP(RIGHT(D48,5),Ref!$C$4:$C$21,Ref!$E$4:$E$21)*$G$3</f>
        <v>3</v>
      </c>
      <c r="H48" s="36">
        <f t="shared" si="16"/>
        <v>5.1578150000000003</v>
      </c>
      <c r="I48" s="12">
        <f t="shared" si="16"/>
        <v>5.1578150000000003</v>
      </c>
      <c r="J48" s="12">
        <f t="shared" si="16"/>
        <v>5.1578150000000003</v>
      </c>
      <c r="K48" s="12">
        <f t="shared" si="16"/>
        <v>5.1578150000000003</v>
      </c>
      <c r="L48" s="12">
        <f t="shared" si="16"/>
        <v>5.1578150000000003</v>
      </c>
      <c r="M48" s="12">
        <f t="shared" si="15"/>
        <v>5.4024288800633515</v>
      </c>
      <c r="N48" s="12">
        <f t="shared" si="15"/>
        <v>5.5490774587862699</v>
      </c>
      <c r="O48" s="12">
        <f t="shared" si="15"/>
        <v>5.7726416192495087</v>
      </c>
      <c r="P48" s="12">
        <f t="shared" si="15"/>
        <v>6.0987321030712822</v>
      </c>
      <c r="Q48" s="12">
        <f t="shared" si="15"/>
        <v>6.5449650972634821</v>
      </c>
      <c r="R48" s="12">
        <f t="shared" si="15"/>
        <v>7.1050999246371074</v>
      </c>
      <c r="S48" s="12">
        <f t="shared" si="15"/>
        <v>7.7367225000000008</v>
      </c>
      <c r="T48" s="12">
        <f t="shared" si="15"/>
        <v>8.3683450753628943</v>
      </c>
      <c r="U48" s="12">
        <f t="shared" si="15"/>
        <v>8.9284799027365178</v>
      </c>
      <c r="V48" s="12">
        <f t="shared" si="15"/>
        <v>9.3747128969287186</v>
      </c>
      <c r="W48" s="12">
        <f t="shared" si="15"/>
        <v>9.7008033807504912</v>
      </c>
      <c r="X48" s="12">
        <f t="shared" si="15"/>
        <v>9.92436754121373</v>
      </c>
      <c r="Y48" s="12">
        <f t="shared" si="15"/>
        <v>10.071016119936649</v>
      </c>
      <c r="Z48" s="12">
        <f t="shared" si="15"/>
        <v>10.164442936547195</v>
      </c>
      <c r="AA48" s="12">
        <f t="shared" si="15"/>
        <v>10.222860456464375</v>
      </c>
      <c r="AB48" s="12">
        <f t="shared" si="15"/>
        <v>10.258961382495787</v>
      </c>
      <c r="AC48" s="12">
        <f t="shared" si="9"/>
        <v>10.281109513109961</v>
      </c>
      <c r="AD48" s="300">
        <f t="shared" si="17"/>
        <v>2.6646161414337773E-3</v>
      </c>
      <c r="AE48" s="299">
        <f t="shared" si="17"/>
        <v>2.6646161414337773E-3</v>
      </c>
      <c r="AF48" s="299">
        <f t="shared" si="17"/>
        <v>2.6646161414337773E-3</v>
      </c>
      <c r="AG48" s="299">
        <f t="shared" si="17"/>
        <v>2.6646161414337773E-3</v>
      </c>
      <c r="AH48" s="299">
        <f t="shared" si="17"/>
        <v>2.6646161414337773E-3</v>
      </c>
      <c r="AI48" s="299">
        <f t="shared" si="17"/>
        <v>2.5439663174923821E-3</v>
      </c>
      <c r="AJ48" s="299">
        <f t="shared" si="17"/>
        <v>2.4767354944321409E-3</v>
      </c>
      <c r="AK48" s="299">
        <f t="shared" si="17"/>
        <v>2.3808159262303282E-3</v>
      </c>
      <c r="AL48" s="299">
        <f t="shared" si="17"/>
        <v>2.253517103433363E-3</v>
      </c>
      <c r="AM48" s="299">
        <f t="shared" si="17"/>
        <v>2.0998732459666745E-3</v>
      </c>
      <c r="AN48" s="299">
        <f t="shared" si="17"/>
        <v>1.9343284752228469E-3</v>
      </c>
      <c r="AO48" s="299">
        <f t="shared" si="17"/>
        <v>1.7764107609558515E-3</v>
      </c>
      <c r="AP48" s="299">
        <f t="shared" si="17"/>
        <v>1.6423315458144233E-3</v>
      </c>
      <c r="AQ48" s="299">
        <f t="shared" si="17"/>
        <v>1.5392986547818673E-3</v>
      </c>
      <c r="AR48" s="299">
        <f t="shared" si="17"/>
        <v>1.4660285871828508E-3</v>
      </c>
      <c r="AS48" s="299">
        <f t="shared" si="10"/>
        <v>1.4167483417714629E-3</v>
      </c>
      <c r="AT48" s="299">
        <f t="shared" si="4"/>
        <v>1.3848335469696285E-3</v>
      </c>
      <c r="AU48" s="299">
        <f t="shared" si="4"/>
        <v>1.3646683651237878E-3</v>
      </c>
      <c r="AV48" s="299">
        <f t="shared" si="4"/>
        <v>1.352124970283702E-3</v>
      </c>
      <c r="AW48" s="299">
        <f t="shared" ref="AW48:AY111" si="19">Algae_electricity_factor/AA48</f>
        <v>1.3443983865434224E-3</v>
      </c>
      <c r="AX48" s="299">
        <f t="shared" si="19"/>
        <v>1.3396674956764223E-3</v>
      </c>
      <c r="AY48" s="299">
        <f t="shared" si="19"/>
        <v>1.3367815104006146E-3</v>
      </c>
      <c r="AZ48" s="306">
        <f t="shared" si="18"/>
        <v>0.14751258416329738</v>
      </c>
      <c r="BA48" s="2">
        <f t="shared" si="18"/>
        <v>0.14751258416329738</v>
      </c>
      <c r="BB48" s="2">
        <f t="shared" si="18"/>
        <v>0.14751258416329738</v>
      </c>
      <c r="BC48" s="2">
        <f t="shared" si="18"/>
        <v>0.14751258416329738</v>
      </c>
      <c r="BD48" s="2">
        <f t="shared" si="18"/>
        <v>0.14751258416329738</v>
      </c>
      <c r="BE48" s="2">
        <f t="shared" si="18"/>
        <v>0.14083343551156488</v>
      </c>
      <c r="BF48" s="2">
        <f t="shared" si="18"/>
        <v>0.13711155141320269</v>
      </c>
      <c r="BG48" s="2">
        <f t="shared" si="18"/>
        <v>0.13180146447150023</v>
      </c>
      <c r="BH48" s="2">
        <f t="shared" si="18"/>
        <v>0.12475422865402833</v>
      </c>
      <c r="BI48" s="2">
        <f t="shared" si="18"/>
        <v>0.11624853730760673</v>
      </c>
      <c r="BJ48" s="2">
        <f t="shared" si="18"/>
        <v>0.10708401392751388</v>
      </c>
      <c r="BK48" s="2">
        <f t="shared" si="18"/>
        <v>9.834172277553159E-2</v>
      </c>
      <c r="BL48" s="2">
        <f t="shared" si="18"/>
        <v>9.0919125876656529E-2</v>
      </c>
      <c r="BM48" s="2">
        <f t="shared" si="18"/>
        <v>8.5215246892477711E-2</v>
      </c>
      <c r="BN48" s="2">
        <f t="shared" si="18"/>
        <v>8.115903149796512E-2</v>
      </c>
      <c r="BO48" s="2">
        <f t="shared" si="11"/>
        <v>7.8430887569165025E-2</v>
      </c>
      <c r="BP48" s="2">
        <f t="shared" si="6"/>
        <v>7.6664091301194212E-2</v>
      </c>
      <c r="BQ48" s="2">
        <f t="shared" si="6"/>
        <v>7.5547751113221706E-2</v>
      </c>
      <c r="BR48" s="2">
        <f t="shared" si="6"/>
        <v>7.4853351436559079E-2</v>
      </c>
      <c r="BS48" s="2">
        <f t="shared" ref="BS48:BU111" si="20">Algae_yield_cost_factor/AA48</f>
        <v>7.4425609400263576E-2</v>
      </c>
      <c r="BT48" s="2">
        <f t="shared" si="20"/>
        <v>7.41637082857525E-2</v>
      </c>
      <c r="BU48" s="2">
        <f t="shared" si="20"/>
        <v>7.400394075328437E-2</v>
      </c>
    </row>
    <row r="49" spans="1:73" x14ac:dyDescent="0.25">
      <c r="A49" t="s">
        <v>21</v>
      </c>
      <c r="B49" s="1" t="s">
        <v>5</v>
      </c>
      <c r="C49" t="s">
        <v>6</v>
      </c>
      <c r="D49" t="s">
        <v>6</v>
      </c>
      <c r="E49" s="97">
        <v>7.0842850000000004</v>
      </c>
      <c r="F49" s="5">
        <f t="shared" si="7"/>
        <v>1.7356498250000001E-2</v>
      </c>
      <c r="G49" s="1">
        <f>LOOKUP(RIGHT(D49,5),Ref!$C$4:$C$21,Ref!$E$4:$E$21)*$G$3</f>
        <v>3</v>
      </c>
      <c r="H49" s="36">
        <f t="shared" si="16"/>
        <v>7.0842850000000004</v>
      </c>
      <c r="I49" s="12">
        <f t="shared" si="16"/>
        <v>7.0842850000000004</v>
      </c>
      <c r="J49" s="12">
        <f t="shared" si="16"/>
        <v>7.0842850000000004</v>
      </c>
      <c r="K49" s="12">
        <f t="shared" si="16"/>
        <v>7.0842850000000004</v>
      </c>
      <c r="L49" s="12">
        <f t="shared" si="16"/>
        <v>7.0842850000000004</v>
      </c>
      <c r="M49" s="12">
        <f t="shared" si="15"/>
        <v>7.420263401963739</v>
      </c>
      <c r="N49" s="12">
        <f t="shared" si="15"/>
        <v>7.6216859668517953</v>
      </c>
      <c r="O49" s="12">
        <f t="shared" si="15"/>
        <v>7.9287524724374574</v>
      </c>
      <c r="P49" s="12">
        <f t="shared" si="15"/>
        <v>8.3766394019185135</v>
      </c>
      <c r="Q49" s="12">
        <f t="shared" si="15"/>
        <v>8.989542677290137</v>
      </c>
      <c r="R49" s="12">
        <f t="shared" si="15"/>
        <v>9.7588906968566711</v>
      </c>
      <c r="S49" s="12">
        <f t="shared" si="15"/>
        <v>10.6264275</v>
      </c>
      <c r="T49" s="12">
        <f t="shared" si="15"/>
        <v>11.493964303143331</v>
      </c>
      <c r="U49" s="12">
        <f t="shared" si="15"/>
        <v>12.263312322709863</v>
      </c>
      <c r="V49" s="12">
        <f t="shared" si="15"/>
        <v>12.876215598081487</v>
      </c>
      <c r="W49" s="12">
        <f t="shared" si="15"/>
        <v>13.324102527562541</v>
      </c>
      <c r="X49" s="12">
        <f t="shared" si="15"/>
        <v>13.631169033148206</v>
      </c>
      <c r="Y49" s="12">
        <f t="shared" si="15"/>
        <v>13.832591598036263</v>
      </c>
      <c r="Z49" s="12">
        <f t="shared" si="15"/>
        <v>13.960913803371628</v>
      </c>
      <c r="AA49" s="12">
        <f t="shared" si="15"/>
        <v>14.041150562558705</v>
      </c>
      <c r="AB49" s="12">
        <f t="shared" si="15"/>
        <v>14.09073536712623</v>
      </c>
      <c r="AC49" s="12">
        <f t="shared" si="9"/>
        <v>14.121155936589854</v>
      </c>
      <c r="AD49" s="300">
        <f t="shared" si="17"/>
        <v>1.9400118859601581E-3</v>
      </c>
      <c r="AE49" s="299">
        <f t="shared" si="17"/>
        <v>1.9400118859601581E-3</v>
      </c>
      <c r="AF49" s="299">
        <f t="shared" si="17"/>
        <v>1.9400118859601581E-3</v>
      </c>
      <c r="AG49" s="299">
        <f t="shared" si="17"/>
        <v>1.9400118859601581E-3</v>
      </c>
      <c r="AH49" s="299">
        <f t="shared" si="17"/>
        <v>1.9400118859601581E-3</v>
      </c>
      <c r="AI49" s="299">
        <f t="shared" si="17"/>
        <v>1.852171056339062E-3</v>
      </c>
      <c r="AJ49" s="299">
        <f t="shared" si="17"/>
        <v>1.8032226942047802E-3</v>
      </c>
      <c r="AK49" s="299">
        <f t="shared" si="17"/>
        <v>1.7333870809192007E-3</v>
      </c>
      <c r="AL49" s="299">
        <f t="shared" si="17"/>
        <v>1.6407053526001781E-3</v>
      </c>
      <c r="AM49" s="299">
        <f t="shared" si="17"/>
        <v>1.5288427450541025E-3</v>
      </c>
      <c r="AN49" s="299">
        <f t="shared" si="17"/>
        <v>1.408315507412749E-3</v>
      </c>
      <c r="AO49" s="299">
        <f t="shared" si="17"/>
        <v>1.2933412573067722E-3</v>
      </c>
      <c r="AP49" s="299">
        <f t="shared" si="17"/>
        <v>1.1957229673812983E-3</v>
      </c>
      <c r="AQ49" s="299">
        <f t="shared" si="17"/>
        <v>1.1207083976878028E-3</v>
      </c>
      <c r="AR49" s="299">
        <f t="shared" si="17"/>
        <v>1.0673630772054647E-3</v>
      </c>
      <c r="AS49" s="299">
        <f t="shared" si="10"/>
        <v>1.0314838898228937E-3</v>
      </c>
      <c r="AT49" s="299">
        <f t="shared" si="10"/>
        <v>1.0082478670837146E-3</v>
      </c>
      <c r="AU49" s="299">
        <f t="shared" si="10"/>
        <v>9.9356631807739925E-4</v>
      </c>
      <c r="AV49" s="299">
        <f t="shared" si="10"/>
        <v>9.8443392009268872E-4</v>
      </c>
      <c r="AW49" s="299">
        <f t="shared" si="19"/>
        <v>9.7880847030991282E-4</v>
      </c>
      <c r="AX49" s="299">
        <f t="shared" si="19"/>
        <v>9.7536407756213732E-4</v>
      </c>
      <c r="AY49" s="299">
        <f t="shared" si="19"/>
        <v>9.7326289471230264E-4</v>
      </c>
      <c r="AZ49" s="306">
        <f t="shared" si="18"/>
        <v>0.10739864633992248</v>
      </c>
      <c r="BA49" s="2">
        <f t="shared" si="18"/>
        <v>0.10739864633992248</v>
      </c>
      <c r="BB49" s="2">
        <f t="shared" si="18"/>
        <v>0.10739864633992248</v>
      </c>
      <c r="BC49" s="2">
        <f t="shared" si="18"/>
        <v>0.10739864633992248</v>
      </c>
      <c r="BD49" s="2">
        <f t="shared" si="18"/>
        <v>0.10739864633992248</v>
      </c>
      <c r="BE49" s="2">
        <f t="shared" si="18"/>
        <v>0.10253579665175555</v>
      </c>
      <c r="BF49" s="2">
        <f t="shared" si="18"/>
        <v>9.982602571075104E-2</v>
      </c>
      <c r="BG49" s="2">
        <f t="shared" si="18"/>
        <v>9.5959940978245659E-2</v>
      </c>
      <c r="BH49" s="2">
        <f t="shared" si="18"/>
        <v>9.0829100165391016E-2</v>
      </c>
      <c r="BI49" s="2">
        <f t="shared" si="18"/>
        <v>8.4636409948672817E-2</v>
      </c>
      <c r="BJ49" s="2">
        <f t="shared" si="18"/>
        <v>7.7964047648498042E-2</v>
      </c>
      <c r="BK49" s="2">
        <f t="shared" si="18"/>
        <v>7.1599097559948324E-2</v>
      </c>
      <c r="BL49" s="2">
        <f t="shared" si="18"/>
        <v>6.6194969744089519E-2</v>
      </c>
      <c r="BM49" s="2">
        <f t="shared" si="18"/>
        <v>6.204217908380661E-2</v>
      </c>
      <c r="BN49" s="2">
        <f t="shared" si="18"/>
        <v>5.9088993461679902E-2</v>
      </c>
      <c r="BO49" s="2">
        <f t="shared" si="11"/>
        <v>5.7102729261676081E-2</v>
      </c>
      <c r="BP49" s="2">
        <f t="shared" si="11"/>
        <v>5.5816387973474955E-2</v>
      </c>
      <c r="BQ49" s="2">
        <f t="shared" si="11"/>
        <v>5.5003620535882113E-2</v>
      </c>
      <c r="BR49" s="2">
        <f t="shared" si="11"/>
        <v>5.4498052921326007E-2</v>
      </c>
      <c r="BS49" s="2">
        <f t="shared" si="20"/>
        <v>5.4186629215061288E-2</v>
      </c>
      <c r="BT49" s="2">
        <f t="shared" si="20"/>
        <v>5.3995948363438018E-2</v>
      </c>
      <c r="BU49" s="2">
        <f t="shared" si="20"/>
        <v>5.3879627326738178E-2</v>
      </c>
    </row>
    <row r="50" spans="1:73" x14ac:dyDescent="0.25">
      <c r="A50" t="s">
        <v>21</v>
      </c>
      <c r="B50" s="1" t="s">
        <v>5</v>
      </c>
      <c r="C50" t="s">
        <v>9</v>
      </c>
      <c r="D50" t="s">
        <v>9</v>
      </c>
      <c r="E50" s="97">
        <v>6.4502800000000002</v>
      </c>
      <c r="F50" s="5">
        <f t="shared" si="7"/>
        <v>1.5803186E-2</v>
      </c>
      <c r="G50" s="1">
        <f>LOOKUP(RIGHT(D50,5),Ref!$C$4:$C$21,Ref!$E$4:$E$21)*$G$3</f>
        <v>4.5</v>
      </c>
      <c r="H50" s="36">
        <f t="shared" si="16"/>
        <v>6.4502800000000002</v>
      </c>
      <c r="I50" s="12">
        <f t="shared" si="16"/>
        <v>6.4502800000000002</v>
      </c>
      <c r="J50" s="12">
        <f t="shared" si="16"/>
        <v>6.4502800000000002</v>
      </c>
      <c r="K50" s="12">
        <f t="shared" si="16"/>
        <v>6.4502800000000002</v>
      </c>
      <c r="L50" s="12">
        <f t="shared" si="16"/>
        <v>6.4502800000000002</v>
      </c>
      <c r="M50" s="12">
        <f t="shared" si="15"/>
        <v>6.7561901612397959</v>
      </c>
      <c r="N50" s="12">
        <f t="shared" si="15"/>
        <v>6.9395865014274261</v>
      </c>
      <c r="O50" s="12">
        <f t="shared" si="15"/>
        <v>7.2191722238608245</v>
      </c>
      <c r="P50" s="12">
        <f t="shared" si="15"/>
        <v>7.6269757076976648</v>
      </c>
      <c r="Q50" s="12">
        <f t="shared" si="15"/>
        <v>8.1850274714344522</v>
      </c>
      <c r="R50" s="12">
        <f t="shared" si="15"/>
        <v>8.8855230251353028</v>
      </c>
      <c r="S50" s="12">
        <f t="shared" si="15"/>
        <v>9.6754200000000008</v>
      </c>
      <c r="T50" s="12">
        <f t="shared" si="15"/>
        <v>10.465316974864699</v>
      </c>
      <c r="U50" s="12">
        <f t="shared" si="15"/>
        <v>11.165812528565548</v>
      </c>
      <c r="V50" s="12">
        <f t="shared" si="15"/>
        <v>11.723864292302336</v>
      </c>
      <c r="W50" s="12">
        <f t="shared" si="15"/>
        <v>12.131667776139174</v>
      </c>
      <c r="X50" s="12">
        <f t="shared" si="15"/>
        <v>12.411253498572574</v>
      </c>
      <c r="Y50" s="12">
        <f t="shared" si="15"/>
        <v>12.594649838760205</v>
      </c>
      <c r="Z50" s="12">
        <f t="shared" si="15"/>
        <v>12.711487904229143</v>
      </c>
      <c r="AA50" s="12">
        <f t="shared" si="15"/>
        <v>12.78454390960572</v>
      </c>
      <c r="AB50" s="12">
        <f t="shared" si="15"/>
        <v>12.829691143688738</v>
      </c>
      <c r="AC50" s="12">
        <f t="shared" si="9"/>
        <v>12.857389237540104</v>
      </c>
      <c r="AD50" s="300">
        <f t="shared" si="17"/>
        <v>2.1306977532028469E-3</v>
      </c>
      <c r="AE50" s="299">
        <f t="shared" si="17"/>
        <v>2.1306977532028469E-3</v>
      </c>
      <c r="AF50" s="299">
        <f t="shared" si="17"/>
        <v>2.1306977532028469E-3</v>
      </c>
      <c r="AG50" s="299">
        <f t="shared" si="17"/>
        <v>2.1306977532028469E-3</v>
      </c>
      <c r="AH50" s="299">
        <f t="shared" si="17"/>
        <v>2.1306977532028469E-3</v>
      </c>
      <c r="AI50" s="299">
        <f t="shared" si="17"/>
        <v>2.0342229534000031E-3</v>
      </c>
      <c r="AJ50" s="299">
        <f t="shared" si="17"/>
        <v>1.980463403792473E-3</v>
      </c>
      <c r="AK50" s="299">
        <f t="shared" si="17"/>
        <v>1.903763572519283E-3</v>
      </c>
      <c r="AL50" s="299">
        <f t="shared" si="17"/>
        <v>1.8019720568479434E-3</v>
      </c>
      <c r="AM50" s="299">
        <f t="shared" si="17"/>
        <v>1.6791143525778113E-3</v>
      </c>
      <c r="AN50" s="299">
        <f t="shared" si="17"/>
        <v>1.5467403623457474E-3</v>
      </c>
      <c r="AO50" s="299">
        <f t="shared" si="17"/>
        <v>1.4204651688018979E-3</v>
      </c>
      <c r="AP50" s="299">
        <f t="shared" si="17"/>
        <v>1.313251871542758E-3</v>
      </c>
      <c r="AQ50" s="299">
        <f t="shared" si="17"/>
        <v>1.2308640386330108E-3</v>
      </c>
      <c r="AR50" s="299">
        <f t="shared" si="17"/>
        <v>1.1722753488841594E-3</v>
      </c>
      <c r="AS50" s="299">
        <f t="shared" si="10"/>
        <v>1.1328695573547161E-3</v>
      </c>
      <c r="AT50" s="299">
        <f t="shared" si="10"/>
        <v>1.1073496408005783E-3</v>
      </c>
      <c r="AU50" s="299">
        <f t="shared" si="10"/>
        <v>1.0912250264579135E-3</v>
      </c>
      <c r="AV50" s="299">
        <f t="shared" si="10"/>
        <v>1.0811949951946012E-3</v>
      </c>
      <c r="AW50" s="299">
        <f t="shared" si="19"/>
        <v>1.0750166138662914E-3</v>
      </c>
      <c r="AX50" s="299">
        <f t="shared" si="19"/>
        <v>1.0712336680287191E-3</v>
      </c>
      <c r="AY50" s="299">
        <f t="shared" si="19"/>
        <v>1.0689259576432257E-3</v>
      </c>
      <c r="AZ50" s="306">
        <f t="shared" si="18"/>
        <v>0.11795497548729943</v>
      </c>
      <c r="BA50" s="2">
        <f t="shared" si="18"/>
        <v>0.11795497548729943</v>
      </c>
      <c r="BB50" s="2">
        <f t="shared" si="18"/>
        <v>0.11795497548729943</v>
      </c>
      <c r="BC50" s="2">
        <f t="shared" si="18"/>
        <v>0.11795497548729943</v>
      </c>
      <c r="BD50" s="2">
        <f t="shared" si="18"/>
        <v>0.11795497548729943</v>
      </c>
      <c r="BE50" s="2">
        <f t="shared" si="18"/>
        <v>0.11261415104198298</v>
      </c>
      <c r="BF50" s="2">
        <f t="shared" si="18"/>
        <v>0.1096380337833843</v>
      </c>
      <c r="BG50" s="2">
        <f t="shared" si="18"/>
        <v>0.10539194739965879</v>
      </c>
      <c r="BH50" s="2">
        <f t="shared" si="18"/>
        <v>9.9756790692059422E-2</v>
      </c>
      <c r="BI50" s="2">
        <f t="shared" si="18"/>
        <v>9.2955414253836049E-2</v>
      </c>
      <c r="BJ50" s="2">
        <f t="shared" si="18"/>
        <v>8.5627218244097927E-2</v>
      </c>
      <c r="BK50" s="2">
        <f t="shared" si="18"/>
        <v>7.8636650324866275E-2</v>
      </c>
      <c r="BL50" s="2">
        <f t="shared" si="18"/>
        <v>7.2701344939058027E-2</v>
      </c>
      <c r="BM50" s="2">
        <f t="shared" si="18"/>
        <v>6.8140371991715853E-2</v>
      </c>
      <c r="BN50" s="2">
        <f t="shared" si="18"/>
        <v>6.4896914559627955E-2</v>
      </c>
      <c r="BO50" s="2">
        <f t="shared" si="11"/>
        <v>6.2715418302391981E-2</v>
      </c>
      <c r="BP50" s="2">
        <f t="shared" si="11"/>
        <v>6.1302641137232654E-2</v>
      </c>
      <c r="BQ50" s="2">
        <f t="shared" si="11"/>
        <v>6.0409985908835222E-2</v>
      </c>
      <c r="BR50" s="2">
        <f t="shared" si="11"/>
        <v>5.9854725506451809E-2</v>
      </c>
      <c r="BS50" s="2">
        <f t="shared" si="20"/>
        <v>5.9512691627157346E-2</v>
      </c>
      <c r="BT50" s="2">
        <f t="shared" si="20"/>
        <v>5.9303268548323261E-2</v>
      </c>
      <c r="BU50" s="2">
        <f t="shared" si="20"/>
        <v>5.9175514191074093E-2</v>
      </c>
    </row>
    <row r="51" spans="1:73" x14ac:dyDescent="0.25">
      <c r="A51" t="s">
        <v>46</v>
      </c>
      <c r="B51" s="1" t="s">
        <v>5</v>
      </c>
      <c r="C51" t="s">
        <v>6</v>
      </c>
      <c r="D51" t="s">
        <v>6</v>
      </c>
      <c r="E51" s="97">
        <v>5.3530899999999999</v>
      </c>
      <c r="F51" s="5">
        <f t="shared" si="7"/>
        <v>1.3115070500000001E-2</v>
      </c>
      <c r="G51" s="1">
        <f>LOOKUP(RIGHT(D51,5),Ref!$C$4:$C$21,Ref!$E$4:$E$21)*$G$3</f>
        <v>3</v>
      </c>
      <c r="H51" s="36">
        <f t="shared" si="16"/>
        <v>5.3530899999999999</v>
      </c>
      <c r="I51" s="12">
        <f t="shared" si="16"/>
        <v>5.3530899999999999</v>
      </c>
      <c r="J51" s="12">
        <f t="shared" si="16"/>
        <v>5.3530899999999999</v>
      </c>
      <c r="K51" s="12">
        <f t="shared" si="16"/>
        <v>5.3530899999999999</v>
      </c>
      <c r="L51" s="12">
        <f t="shared" si="16"/>
        <v>5.3530899999999999</v>
      </c>
      <c r="M51" s="12">
        <f t="shared" si="15"/>
        <v>5.6069649674481008</v>
      </c>
      <c r="N51" s="12">
        <f t="shared" si="15"/>
        <v>5.7591656648899177</v>
      </c>
      <c r="O51" s="12">
        <f t="shared" si="15"/>
        <v>5.9911939698473775</v>
      </c>
      <c r="P51" s="12">
        <f t="shared" si="15"/>
        <v>6.3296302472325676</v>
      </c>
      <c r="Q51" s="12">
        <f t="shared" si="15"/>
        <v>6.7927576333215072</v>
      </c>
      <c r="R51" s="12">
        <f t="shared" si="15"/>
        <v>7.3740991787366648</v>
      </c>
      <c r="S51" s="12">
        <f t="shared" si="15"/>
        <v>8.029634999999999</v>
      </c>
      <c r="T51" s="12">
        <f t="shared" si="15"/>
        <v>8.6851708212633358</v>
      </c>
      <c r="U51" s="12">
        <f t="shared" si="15"/>
        <v>9.2665123666784925</v>
      </c>
      <c r="V51" s="12">
        <f t="shared" si="15"/>
        <v>9.7296397527674312</v>
      </c>
      <c r="W51" s="12">
        <f t="shared" si="15"/>
        <v>10.068076030152621</v>
      </c>
      <c r="X51" s="12">
        <f t="shared" si="15"/>
        <v>10.300104335110081</v>
      </c>
      <c r="Y51" s="12">
        <f t="shared" si="15"/>
        <v>10.4523050325519</v>
      </c>
      <c r="Z51" s="12">
        <f t="shared" si="15"/>
        <v>10.549268990687223</v>
      </c>
      <c r="AA51" s="12">
        <f t="shared" si="15"/>
        <v>10.609898199314028</v>
      </c>
      <c r="AB51" s="12">
        <f t="shared" si="15"/>
        <v>10.647365907273599</v>
      </c>
      <c r="AC51" s="12">
        <f t="shared" si="9"/>
        <v>10.67035256664572</v>
      </c>
      <c r="AD51" s="300">
        <f t="shared" si="17"/>
        <v>2.5674137934406597E-3</v>
      </c>
      <c r="AE51" s="299">
        <f t="shared" si="17"/>
        <v>2.5674137934406597E-3</v>
      </c>
      <c r="AF51" s="299">
        <f t="shared" si="17"/>
        <v>2.5674137934406597E-3</v>
      </c>
      <c r="AG51" s="299">
        <f t="shared" si="17"/>
        <v>2.5674137934406597E-3</v>
      </c>
      <c r="AH51" s="299">
        <f t="shared" si="17"/>
        <v>2.5674137934406597E-3</v>
      </c>
      <c r="AI51" s="299">
        <f t="shared" si="17"/>
        <v>2.451165146085153E-3</v>
      </c>
      <c r="AJ51" s="299">
        <f t="shared" si="17"/>
        <v>2.3863868315710203E-3</v>
      </c>
      <c r="AK51" s="299">
        <f t="shared" si="17"/>
        <v>2.2939663066658096E-3</v>
      </c>
      <c r="AL51" s="299">
        <f t="shared" si="17"/>
        <v>2.1713112088242777E-3</v>
      </c>
      <c r="AM51" s="299">
        <f t="shared" si="17"/>
        <v>2.0232721150112562E-3</v>
      </c>
      <c r="AN51" s="299">
        <f t="shared" si="17"/>
        <v>1.8637662405137085E-3</v>
      </c>
      <c r="AO51" s="299">
        <f t="shared" si="17"/>
        <v>1.7116091956271065E-3</v>
      </c>
      <c r="AP51" s="299">
        <f t="shared" si="17"/>
        <v>1.5824210469046515E-3</v>
      </c>
      <c r="AQ51" s="299">
        <f t="shared" si="17"/>
        <v>1.4831466855804287E-3</v>
      </c>
      <c r="AR51" s="299">
        <f t="shared" si="17"/>
        <v>1.4125494317115005E-3</v>
      </c>
      <c r="AS51" s="299">
        <f t="shared" si="10"/>
        <v>1.3650668769652628E-3</v>
      </c>
      <c r="AT51" s="299">
        <f t="shared" si="10"/>
        <v>1.3343162997564312E-3</v>
      </c>
      <c r="AU51" s="299">
        <f t="shared" si="10"/>
        <v>1.3148867221849342E-3</v>
      </c>
      <c r="AV51" s="299">
        <f t="shared" si="10"/>
        <v>1.3028008969779758E-3</v>
      </c>
      <c r="AW51" s="299">
        <f t="shared" si="19"/>
        <v>1.2953561707517455E-3</v>
      </c>
      <c r="AX51" s="299">
        <f t="shared" si="19"/>
        <v>1.2907978577255915E-3</v>
      </c>
      <c r="AY51" s="299">
        <f t="shared" si="19"/>
        <v>1.2880171501071242E-3</v>
      </c>
      <c r="AZ51" s="306">
        <f t="shared" si="18"/>
        <v>0.14213148280455173</v>
      </c>
      <c r="BA51" s="2">
        <f t="shared" si="18"/>
        <v>0.14213148280455173</v>
      </c>
      <c r="BB51" s="2">
        <f t="shared" si="18"/>
        <v>0.14213148280455173</v>
      </c>
      <c r="BC51" s="2">
        <f t="shared" si="18"/>
        <v>0.14213148280455173</v>
      </c>
      <c r="BD51" s="2">
        <f t="shared" si="18"/>
        <v>0.14213148280455173</v>
      </c>
      <c r="BE51" s="2">
        <f t="shared" si="18"/>
        <v>0.13569598235469274</v>
      </c>
      <c r="BF51" s="2">
        <f t="shared" si="18"/>
        <v>0.13210986860902546</v>
      </c>
      <c r="BG51" s="2">
        <f t="shared" si="18"/>
        <v>0.12699348796173257</v>
      </c>
      <c r="BH51" s="2">
        <f t="shared" si="18"/>
        <v>0.12020332777240382</v>
      </c>
      <c r="BI51" s="2">
        <f t="shared" si="18"/>
        <v>0.11200791495252903</v>
      </c>
      <c r="BJ51" s="2">
        <f t="shared" si="18"/>
        <v>0.10317770358718796</v>
      </c>
      <c r="BK51" s="2">
        <f t="shared" si="18"/>
        <v>9.4754321869701161E-2</v>
      </c>
      <c r="BL51" s="2">
        <f t="shared" si="18"/>
        <v>8.7602493369905457E-2</v>
      </c>
      <c r="BM51" s="2">
        <f t="shared" si="18"/>
        <v>8.2106685792827122E-2</v>
      </c>
      <c r="BN51" s="2">
        <f t="shared" si="18"/>
        <v>7.8198436799246235E-2</v>
      </c>
      <c r="BO51" s="2">
        <f t="shared" si="11"/>
        <v>7.5569812644202317E-2</v>
      </c>
      <c r="BP51" s="2">
        <f t="shared" si="11"/>
        <v>7.3867467215135388E-2</v>
      </c>
      <c r="BQ51" s="2">
        <f t="shared" si="11"/>
        <v>7.2791849923696708E-2</v>
      </c>
      <c r="BR51" s="2">
        <f t="shared" si="11"/>
        <v>7.2122781204828623E-2</v>
      </c>
      <c r="BS51" s="2">
        <f t="shared" si="20"/>
        <v>7.1710642740701255E-2</v>
      </c>
      <c r="BT51" s="2">
        <f t="shared" si="20"/>
        <v>7.1458295498838711E-2</v>
      </c>
      <c r="BU51" s="2">
        <f t="shared" si="20"/>
        <v>7.1304356115141243E-2</v>
      </c>
    </row>
    <row r="52" spans="1:73" x14ac:dyDescent="0.25">
      <c r="A52" t="s">
        <v>46</v>
      </c>
      <c r="B52" s="1" t="s">
        <v>5</v>
      </c>
      <c r="C52" t="s">
        <v>7</v>
      </c>
      <c r="D52" t="s">
        <v>7</v>
      </c>
      <c r="E52" s="97">
        <v>5.583405</v>
      </c>
      <c r="F52" s="5">
        <f t="shared" si="7"/>
        <v>1.367934225E-2</v>
      </c>
      <c r="G52" s="1">
        <f>LOOKUP(RIGHT(D52,5),Ref!$C$4:$C$21,Ref!$E$4:$E$21)*$G$3</f>
        <v>3.5</v>
      </c>
      <c r="H52" s="36">
        <f t="shared" si="16"/>
        <v>5.583405</v>
      </c>
      <c r="I52" s="12">
        <f t="shared" si="16"/>
        <v>5.583405</v>
      </c>
      <c r="J52" s="12">
        <f t="shared" si="16"/>
        <v>5.583405</v>
      </c>
      <c r="K52" s="12">
        <f t="shared" si="16"/>
        <v>5.583405</v>
      </c>
      <c r="L52" s="12">
        <f t="shared" si="16"/>
        <v>5.583405</v>
      </c>
      <c r="M52" s="12">
        <f t="shared" si="15"/>
        <v>5.8482028574289924</v>
      </c>
      <c r="N52" s="12">
        <f t="shared" si="15"/>
        <v>6.0069519416215105</v>
      </c>
      <c r="O52" s="12">
        <f t="shared" si="15"/>
        <v>6.2489631908329013</v>
      </c>
      <c r="P52" s="12">
        <f t="shared" si="15"/>
        <v>6.6019605817480294</v>
      </c>
      <c r="Q52" s="12">
        <f t="shared" si="15"/>
        <v>7.0850138767843385</v>
      </c>
      <c r="R52" s="12">
        <f t="shared" si="15"/>
        <v>7.6913674578709097</v>
      </c>
      <c r="S52" s="12">
        <f t="shared" si="15"/>
        <v>8.3751075000000004</v>
      </c>
      <c r="T52" s="12">
        <f t="shared" si="15"/>
        <v>9.0588475421290902</v>
      </c>
      <c r="U52" s="12">
        <f t="shared" si="15"/>
        <v>9.6652011232156614</v>
      </c>
      <c r="V52" s="12">
        <f t="shared" si="15"/>
        <v>10.148254418251971</v>
      </c>
      <c r="W52" s="12">
        <f t="shared" si="15"/>
        <v>10.501251809167098</v>
      </c>
      <c r="X52" s="12">
        <f t="shared" si="15"/>
        <v>10.743263058378488</v>
      </c>
      <c r="Y52" s="12">
        <f t="shared" si="15"/>
        <v>10.902012142571008</v>
      </c>
      <c r="Z52" s="12">
        <f t="shared" si="15"/>
        <v>11.003147944261723</v>
      </c>
      <c r="AA52" s="12">
        <f t="shared" si="15"/>
        <v>11.066385705366608</v>
      </c>
      <c r="AB52" s="12">
        <f t="shared" ref="AB52:AC67" si="21">AB$3*$E52</f>
        <v>11.105465449581633</v>
      </c>
      <c r="AC52" s="12">
        <f t="shared" si="21"/>
        <v>11.129441102685094</v>
      </c>
      <c r="AD52" s="300">
        <f t="shared" si="17"/>
        <v>2.4615081842583979E-3</v>
      </c>
      <c r="AE52" s="299">
        <f t="shared" si="17"/>
        <v>2.4615081842583979E-3</v>
      </c>
      <c r="AF52" s="299">
        <f t="shared" si="17"/>
        <v>2.4615081842583979E-3</v>
      </c>
      <c r="AG52" s="299">
        <f t="shared" si="17"/>
        <v>2.4615081842583979E-3</v>
      </c>
      <c r="AH52" s="299">
        <f t="shared" si="17"/>
        <v>2.4615081842583979E-3</v>
      </c>
      <c r="AI52" s="299">
        <f t="shared" si="17"/>
        <v>2.3500547841070049E-3</v>
      </c>
      <c r="AJ52" s="299">
        <f t="shared" si="17"/>
        <v>2.2879485697731962E-3</v>
      </c>
      <c r="AK52" s="299">
        <f t="shared" si="17"/>
        <v>2.1993403839681487E-3</v>
      </c>
      <c r="AL52" s="299">
        <f t="shared" si="17"/>
        <v>2.0817447988897729E-3</v>
      </c>
      <c r="AM52" s="299">
        <f t="shared" si="17"/>
        <v>1.9398123055994689E-3</v>
      </c>
      <c r="AN52" s="299">
        <f t="shared" si="17"/>
        <v>1.7868860353908642E-3</v>
      </c>
      <c r="AO52" s="299">
        <f t="shared" si="17"/>
        <v>1.6410054561722652E-3</v>
      </c>
      <c r="AP52" s="299">
        <f t="shared" si="17"/>
        <v>1.5171463080279545E-3</v>
      </c>
      <c r="AQ52" s="299">
        <f t="shared" si="17"/>
        <v>1.4219670059961147E-3</v>
      </c>
      <c r="AR52" s="299">
        <f t="shared" si="17"/>
        <v>1.3542818830803991E-3</v>
      </c>
      <c r="AS52" s="299">
        <f t="shared" si="10"/>
        <v>1.3087579798373892E-3</v>
      </c>
      <c r="AT52" s="299">
        <f t="shared" si="10"/>
        <v>1.2792758614256273E-3</v>
      </c>
      <c r="AU52" s="299">
        <f t="shared" si="10"/>
        <v>1.2606477523412593E-3</v>
      </c>
      <c r="AV52" s="299">
        <f t="shared" si="10"/>
        <v>1.2490604664364905E-3</v>
      </c>
      <c r="AW52" s="299">
        <f t="shared" si="19"/>
        <v>1.2419228345587436E-3</v>
      </c>
      <c r="AX52" s="299">
        <f t="shared" si="19"/>
        <v>1.2375525515724343E-3</v>
      </c>
      <c r="AY52" s="299">
        <f t="shared" si="19"/>
        <v>1.234886547916002E-3</v>
      </c>
      <c r="AZ52" s="306">
        <f t="shared" si="18"/>
        <v>0.13626857075319054</v>
      </c>
      <c r="BA52" s="2">
        <f t="shared" si="18"/>
        <v>0.13626857075319054</v>
      </c>
      <c r="BB52" s="2">
        <f t="shared" si="18"/>
        <v>0.13626857075319054</v>
      </c>
      <c r="BC52" s="2">
        <f t="shared" si="18"/>
        <v>0.13626857075319054</v>
      </c>
      <c r="BD52" s="2">
        <f t="shared" si="18"/>
        <v>0.13626857075319054</v>
      </c>
      <c r="BE52" s="2">
        <f t="shared" si="18"/>
        <v>0.13009853417100892</v>
      </c>
      <c r="BF52" s="2">
        <f t="shared" si="18"/>
        <v>0.12666034732430981</v>
      </c>
      <c r="BG52" s="2">
        <f t="shared" si="18"/>
        <v>0.12175501696063085</v>
      </c>
      <c r="BH52" s="2">
        <f t="shared" si="18"/>
        <v>0.11524495032425144</v>
      </c>
      <c r="BI52" s="2">
        <f t="shared" si="18"/>
        <v>0.1073875976135053</v>
      </c>
      <c r="BJ52" s="2">
        <f t="shared" si="18"/>
        <v>9.8921631745420582E-2</v>
      </c>
      <c r="BK52" s="2">
        <f t="shared" si="18"/>
        <v>9.0845713835460348E-2</v>
      </c>
      <c r="BL52" s="2">
        <f t="shared" si="18"/>
        <v>8.3988897676866944E-2</v>
      </c>
      <c r="BM52" s="2">
        <f t="shared" si="18"/>
        <v>7.8719791713251136E-2</v>
      </c>
      <c r="BN52" s="2">
        <f t="shared" si="18"/>
        <v>7.497275767129144E-2</v>
      </c>
      <c r="BO52" s="2">
        <f t="shared" si="11"/>
        <v>7.2452564047844087E-2</v>
      </c>
      <c r="BP52" s="2">
        <f t="shared" si="11"/>
        <v>7.0820440228618387E-2</v>
      </c>
      <c r="BQ52" s="2">
        <f t="shared" si="11"/>
        <v>6.9789192062557098E-2</v>
      </c>
      <c r="BR52" s="2">
        <f t="shared" si="11"/>
        <v>6.9147722373669118E-2</v>
      </c>
      <c r="BS52" s="2">
        <f t="shared" si="20"/>
        <v>6.8752584587508964E-2</v>
      </c>
      <c r="BT52" s="2">
        <f t="shared" si="20"/>
        <v>6.8510646648752602E-2</v>
      </c>
      <c r="BU52" s="2">
        <f t="shared" si="20"/>
        <v>6.8363057252053439E-2</v>
      </c>
    </row>
    <row r="53" spans="1:73" x14ac:dyDescent="0.25">
      <c r="A53" t="s">
        <v>46</v>
      </c>
      <c r="B53" s="1" t="s">
        <v>5</v>
      </c>
      <c r="C53" t="s">
        <v>8</v>
      </c>
      <c r="D53" t="s">
        <v>8</v>
      </c>
      <c r="E53" s="97">
        <v>5.8494900000000003</v>
      </c>
      <c r="F53" s="5">
        <f t="shared" si="7"/>
        <v>1.4331250500000002E-2</v>
      </c>
      <c r="G53" s="1">
        <f>LOOKUP(RIGHT(D53,5),Ref!$C$4:$C$21,Ref!$E$4:$E$21)*$G$3</f>
        <v>4</v>
      </c>
      <c r="H53" s="36">
        <f t="shared" si="16"/>
        <v>5.8494900000000003</v>
      </c>
      <c r="I53" s="12">
        <f t="shared" si="16"/>
        <v>5.8494900000000003</v>
      </c>
      <c r="J53" s="12">
        <f t="shared" si="16"/>
        <v>5.8494900000000003</v>
      </c>
      <c r="K53" s="12">
        <f t="shared" si="16"/>
        <v>5.8494900000000003</v>
      </c>
      <c r="L53" s="12">
        <f t="shared" si="16"/>
        <v>5.8494900000000003</v>
      </c>
      <c r="M53" s="12">
        <f t="shared" ref="M53:AB68" si="22">M$3*$E53</f>
        <v>6.1269071708934453</v>
      </c>
      <c r="N53" s="12">
        <f t="shared" si="22"/>
        <v>6.2932216654524638</v>
      </c>
      <c r="O53" s="12">
        <f t="shared" si="22"/>
        <v>6.546766300339157</v>
      </c>
      <c r="P53" s="12">
        <f t="shared" si="22"/>
        <v>6.9165862772500439</v>
      </c>
      <c r="Q53" s="12">
        <f t="shared" si="22"/>
        <v>7.4226601548895736</v>
      </c>
      <c r="R53" s="12">
        <f t="shared" si="22"/>
        <v>8.0579103667280645</v>
      </c>
      <c r="S53" s="12">
        <f t="shared" si="22"/>
        <v>8.7742350000000009</v>
      </c>
      <c r="T53" s="12">
        <f t="shared" si="22"/>
        <v>9.4905596332719355</v>
      </c>
      <c r="U53" s="12">
        <f t="shared" si="22"/>
        <v>10.125809845110426</v>
      </c>
      <c r="V53" s="12">
        <f t="shared" si="22"/>
        <v>10.631883722749958</v>
      </c>
      <c r="W53" s="12">
        <f t="shared" si="22"/>
        <v>11.001703699660842</v>
      </c>
      <c r="X53" s="12">
        <f t="shared" si="22"/>
        <v>11.255248334547538</v>
      </c>
      <c r="Y53" s="12">
        <f t="shared" si="22"/>
        <v>11.421562829106556</v>
      </c>
      <c r="Z53" s="12">
        <f t="shared" si="22"/>
        <v>11.527518399342251</v>
      </c>
      <c r="AA53" s="12">
        <f t="shared" si="22"/>
        <v>11.593769844688845</v>
      </c>
      <c r="AB53" s="12">
        <f t="shared" si="22"/>
        <v>11.634711988951773</v>
      </c>
      <c r="AC53" s="12">
        <f t="shared" si="21"/>
        <v>11.659830235446906</v>
      </c>
      <c r="AD53" s="300">
        <f t="shared" si="17"/>
        <v>2.3495376696992831E-3</v>
      </c>
      <c r="AE53" s="299">
        <f t="shared" si="17"/>
        <v>2.3495376696992831E-3</v>
      </c>
      <c r="AF53" s="299">
        <f t="shared" si="17"/>
        <v>2.3495376696992831E-3</v>
      </c>
      <c r="AG53" s="299">
        <f t="shared" si="17"/>
        <v>2.3495376696992831E-3</v>
      </c>
      <c r="AH53" s="299">
        <f t="shared" si="17"/>
        <v>2.3495376696992831E-3</v>
      </c>
      <c r="AI53" s="299">
        <f t="shared" si="17"/>
        <v>2.2431541265746195E-3</v>
      </c>
      <c r="AJ53" s="299">
        <f t="shared" si="17"/>
        <v>2.1838730358056022E-3</v>
      </c>
      <c r="AK53" s="299">
        <f t="shared" si="17"/>
        <v>2.0992955106427535E-3</v>
      </c>
      <c r="AL53" s="299">
        <f t="shared" si="17"/>
        <v>1.9870491818680179E-3</v>
      </c>
      <c r="AM53" s="299">
        <f t="shared" si="17"/>
        <v>1.8515729963031996E-3</v>
      </c>
      <c r="AN53" s="299">
        <f t="shared" si="17"/>
        <v>1.7056031251325378E-3</v>
      </c>
      <c r="AO53" s="299">
        <f t="shared" si="17"/>
        <v>1.5663584464661886E-3</v>
      </c>
      <c r="AP53" s="299">
        <f t="shared" si="17"/>
        <v>1.448133475221741E-3</v>
      </c>
      <c r="AQ53" s="299">
        <f t="shared" si="17"/>
        <v>1.3572837445852094E-3</v>
      </c>
      <c r="AR53" s="299">
        <f t="shared" si="17"/>
        <v>1.292677521869516E-3</v>
      </c>
      <c r="AS53" s="299">
        <f t="shared" si="10"/>
        <v>1.2492244363891515E-3</v>
      </c>
      <c r="AT53" s="299">
        <f t="shared" si="10"/>
        <v>1.2210834177104591E-3</v>
      </c>
      <c r="AU53" s="299">
        <f t="shared" si="10"/>
        <v>1.2033026748760917E-3</v>
      </c>
      <c r="AV53" s="299">
        <f t="shared" si="10"/>
        <v>1.1922424781654181E-3</v>
      </c>
      <c r="AW53" s="299">
        <f t="shared" si="19"/>
        <v>1.1854295270338887E-3</v>
      </c>
      <c r="AX53" s="299">
        <f t="shared" si="19"/>
        <v>1.1812580420194386E-3</v>
      </c>
      <c r="AY53" s="299">
        <f t="shared" si="19"/>
        <v>1.1787133110864273E-3</v>
      </c>
      <c r="AZ53" s="306">
        <f t="shared" si="18"/>
        <v>0.13006990682712813</v>
      </c>
      <c r="BA53" s="2">
        <f t="shared" si="18"/>
        <v>0.13006990682712813</v>
      </c>
      <c r="BB53" s="2">
        <f t="shared" si="18"/>
        <v>0.13006990682712813</v>
      </c>
      <c r="BC53" s="2">
        <f t="shared" si="18"/>
        <v>0.13006990682712813</v>
      </c>
      <c r="BD53" s="2">
        <f t="shared" si="18"/>
        <v>0.13006990682712813</v>
      </c>
      <c r="BE53" s="2">
        <f t="shared" si="18"/>
        <v>0.12418053645413225</v>
      </c>
      <c r="BF53" s="2">
        <f t="shared" si="18"/>
        <v>0.12089874784849414</v>
      </c>
      <c r="BG53" s="2">
        <f t="shared" si="18"/>
        <v>0.11621655400266878</v>
      </c>
      <c r="BH53" s="2">
        <f t="shared" si="18"/>
        <v>0.11000262106015689</v>
      </c>
      <c r="BI53" s="2">
        <f t="shared" si="18"/>
        <v>0.10250268817507741</v>
      </c>
      <c r="BJ53" s="2">
        <f t="shared" si="18"/>
        <v>9.4421827081598561E-2</v>
      </c>
      <c r="BK53" s="2">
        <f t="shared" si="18"/>
        <v>8.6713271218085419E-2</v>
      </c>
      <c r="BL53" s="2">
        <f t="shared" si="18"/>
        <v>8.0168361897106799E-2</v>
      </c>
      <c r="BM53" s="2">
        <f t="shared" si="18"/>
        <v>7.513894008720845E-2</v>
      </c>
      <c r="BN53" s="2">
        <f t="shared" si="18"/>
        <v>7.1562353306985224E-2</v>
      </c>
      <c r="BO53" s="2">
        <f t="shared" si="11"/>
        <v>6.9156799715454326E-2</v>
      </c>
      <c r="BP53" s="2">
        <f t="shared" si="11"/>
        <v>6.7598918892872548E-2</v>
      </c>
      <c r="BQ53" s="2">
        <f t="shared" si="11"/>
        <v>6.6614580742601778E-2</v>
      </c>
      <c r="BR53" s="2">
        <f t="shared" si="11"/>
        <v>6.6002290599651584E-2</v>
      </c>
      <c r="BS53" s="2">
        <f t="shared" si="20"/>
        <v>6.5625127070705391E-2</v>
      </c>
      <c r="BT53" s="2">
        <f t="shared" si="20"/>
        <v>6.5394194545486617E-2</v>
      </c>
      <c r="BU53" s="2">
        <f t="shared" si="20"/>
        <v>6.5253318781022168E-2</v>
      </c>
    </row>
    <row r="54" spans="1:73" x14ac:dyDescent="0.25">
      <c r="A54" t="s">
        <v>46</v>
      </c>
      <c r="B54" s="1" t="s">
        <v>5</v>
      </c>
      <c r="C54" t="s">
        <v>9</v>
      </c>
      <c r="D54" t="s">
        <v>9</v>
      </c>
      <c r="E54" s="97">
        <v>5.7797749999999999</v>
      </c>
      <c r="F54" s="5">
        <f t="shared" si="7"/>
        <v>1.416044875E-2</v>
      </c>
      <c r="G54" s="1">
        <f>LOOKUP(RIGHT(D54,5),Ref!$C$4:$C$21,Ref!$E$4:$E$21)*$G$3</f>
        <v>4.5</v>
      </c>
      <c r="H54" s="36">
        <f t="shared" ref="H54:L69" si="23">$E54</f>
        <v>5.7797749999999999</v>
      </c>
      <c r="I54" s="12">
        <f t="shared" si="23"/>
        <v>5.7797749999999999</v>
      </c>
      <c r="J54" s="12">
        <f t="shared" si="23"/>
        <v>5.7797749999999999</v>
      </c>
      <c r="K54" s="12">
        <f t="shared" si="23"/>
        <v>5.7797749999999999</v>
      </c>
      <c r="L54" s="12">
        <f t="shared" si="23"/>
        <v>5.7797749999999999</v>
      </c>
      <c r="M54" s="12">
        <f t="shared" si="22"/>
        <v>6.0538858761448706</v>
      </c>
      <c r="N54" s="12">
        <f t="shared" si="22"/>
        <v>6.2182182124322818</v>
      </c>
      <c r="O54" s="12">
        <f t="shared" si="22"/>
        <v>6.4687410686303846</v>
      </c>
      <c r="P54" s="12">
        <f t="shared" si="22"/>
        <v>6.8341534818578831</v>
      </c>
      <c r="Q54" s="12">
        <f t="shared" si="22"/>
        <v>7.3341959036987641</v>
      </c>
      <c r="R54" s="12">
        <f t="shared" si="22"/>
        <v>7.9618751190028014</v>
      </c>
      <c r="S54" s="12">
        <f t="shared" si="22"/>
        <v>8.6696624999999994</v>
      </c>
      <c r="T54" s="12">
        <f t="shared" si="22"/>
        <v>9.3774498809971991</v>
      </c>
      <c r="U54" s="12">
        <f t="shared" si="22"/>
        <v>10.005129096301236</v>
      </c>
      <c r="V54" s="12">
        <f t="shared" si="22"/>
        <v>10.505171518142117</v>
      </c>
      <c r="W54" s="12">
        <f t="shared" si="22"/>
        <v>10.870583931369614</v>
      </c>
      <c r="X54" s="12">
        <f t="shared" si="22"/>
        <v>11.121106787567717</v>
      </c>
      <c r="Y54" s="12">
        <f t="shared" si="22"/>
        <v>11.285439123855129</v>
      </c>
      <c r="Z54" s="12">
        <f t="shared" si="22"/>
        <v>11.390131901509079</v>
      </c>
      <c r="AA54" s="12">
        <f t="shared" si="22"/>
        <v>11.455593753316352</v>
      </c>
      <c r="AB54" s="12">
        <f t="shared" si="22"/>
        <v>11.496047943657263</v>
      </c>
      <c r="AC54" s="12">
        <f t="shared" si="21"/>
        <v>11.520866827549092</v>
      </c>
      <c r="AD54" s="300">
        <f t="shared" si="17"/>
        <v>2.3778775304452611E-3</v>
      </c>
      <c r="AE54" s="299">
        <f t="shared" si="17"/>
        <v>2.3778775304452611E-3</v>
      </c>
      <c r="AF54" s="299">
        <f t="shared" si="17"/>
        <v>2.3778775304452611E-3</v>
      </c>
      <c r="AG54" s="299">
        <f t="shared" si="17"/>
        <v>2.3778775304452611E-3</v>
      </c>
      <c r="AH54" s="299">
        <f t="shared" si="17"/>
        <v>2.3778775304452611E-3</v>
      </c>
      <c r="AI54" s="299">
        <f t="shared" si="17"/>
        <v>2.2702108009147368E-3</v>
      </c>
      <c r="AJ54" s="299">
        <f t="shared" si="17"/>
        <v>2.2102146682551681E-3</v>
      </c>
      <c r="AK54" s="299">
        <f t="shared" si="17"/>
        <v>2.1246169784376865E-3</v>
      </c>
      <c r="AL54" s="299">
        <f t="shared" si="17"/>
        <v>2.0110167469919076E-3</v>
      </c>
      <c r="AM54" s="299">
        <f t="shared" si="17"/>
        <v>1.8739064628200239E-3</v>
      </c>
      <c r="AN54" s="299">
        <f t="shared" si="17"/>
        <v>1.7261759193794789E-3</v>
      </c>
      <c r="AO54" s="299">
        <f t="shared" si="17"/>
        <v>1.5852516869635075E-3</v>
      </c>
      <c r="AP54" s="299">
        <f t="shared" si="17"/>
        <v>1.4656006993308253E-3</v>
      </c>
      <c r="AQ54" s="299">
        <f t="shared" si="17"/>
        <v>1.3736551493983308E-3</v>
      </c>
      <c r="AR54" s="299">
        <f t="shared" si="17"/>
        <v>1.3082696536457761E-3</v>
      </c>
      <c r="AS54" s="299">
        <f t="shared" si="10"/>
        <v>1.2642924419054337E-3</v>
      </c>
      <c r="AT54" s="299">
        <f t="shared" si="10"/>
        <v>1.2358119894049775E-3</v>
      </c>
      <c r="AU54" s="299">
        <f t="shared" si="10"/>
        <v>1.2178167772380327E-3</v>
      </c>
      <c r="AV54" s="299">
        <f t="shared" si="10"/>
        <v>1.2066231736709186E-3</v>
      </c>
      <c r="AW54" s="299">
        <f t="shared" si="19"/>
        <v>1.1997280454843764E-3</v>
      </c>
      <c r="AX54" s="299">
        <f t="shared" si="19"/>
        <v>1.1955062444839611E-3</v>
      </c>
      <c r="AY54" s="299">
        <f t="shared" si="19"/>
        <v>1.19293081929088E-3</v>
      </c>
      <c r="AZ54" s="306">
        <f t="shared" si="18"/>
        <v>0.13163879550436094</v>
      </c>
      <c r="BA54" s="2">
        <f t="shared" si="18"/>
        <v>0.13163879550436094</v>
      </c>
      <c r="BB54" s="2">
        <f t="shared" si="18"/>
        <v>0.13163879550436094</v>
      </c>
      <c r="BC54" s="2">
        <f t="shared" si="18"/>
        <v>0.13163879550436094</v>
      </c>
      <c r="BD54" s="2">
        <f t="shared" si="18"/>
        <v>0.13163879550436094</v>
      </c>
      <c r="BE54" s="2">
        <f t="shared" si="18"/>
        <v>0.1256783882042263</v>
      </c>
      <c r="BF54" s="2">
        <f t="shared" si="18"/>
        <v>0.12235701503125782</v>
      </c>
      <c r="BG54" s="2">
        <f t="shared" si="18"/>
        <v>0.11761834508662899</v>
      </c>
      <c r="BH54" s="2">
        <f t="shared" si="18"/>
        <v>0.11132946037954369</v>
      </c>
      <c r="BI54" s="2">
        <f t="shared" si="18"/>
        <v>0.1037390641423297</v>
      </c>
      <c r="BJ54" s="2">
        <f t="shared" si="18"/>
        <v>9.5560732605601426E-2</v>
      </c>
      <c r="BK54" s="2">
        <f t="shared" si="18"/>
        <v>8.7759197002907297E-2</v>
      </c>
      <c r="BL54" s="2">
        <f t="shared" si="18"/>
        <v>8.1135343717273989E-2</v>
      </c>
      <c r="BM54" s="2">
        <f t="shared" si="18"/>
        <v>7.6045257583681886E-2</v>
      </c>
      <c r="BN54" s="2">
        <f t="shared" si="18"/>
        <v>7.2425530413498279E-2</v>
      </c>
      <c r="BO54" s="2">
        <f t="shared" si="11"/>
        <v>6.9990961303433602E-2</v>
      </c>
      <c r="BP54" s="2">
        <f t="shared" si="11"/>
        <v>6.8414289496506187E-2</v>
      </c>
      <c r="BQ54" s="2">
        <f t="shared" si="11"/>
        <v>6.7418078369493914E-2</v>
      </c>
      <c r="BR54" s="2">
        <f t="shared" si="11"/>
        <v>6.6798402851279859E-2</v>
      </c>
      <c r="BS54" s="2">
        <f t="shared" si="20"/>
        <v>6.6416690018005972E-2</v>
      </c>
      <c r="BT54" s="2">
        <f t="shared" si="20"/>
        <v>6.6182972010481123E-2</v>
      </c>
      <c r="BU54" s="2">
        <f t="shared" si="20"/>
        <v>6.6040397018292479E-2</v>
      </c>
    </row>
    <row r="55" spans="1:73" x14ac:dyDescent="0.25">
      <c r="A55" t="s">
        <v>46</v>
      </c>
      <c r="B55" s="1" t="s">
        <v>5</v>
      </c>
      <c r="C55" t="s">
        <v>10</v>
      </c>
      <c r="D55" t="s">
        <v>10</v>
      </c>
      <c r="E55" s="97">
        <v>5.690715</v>
      </c>
      <c r="F55" s="5">
        <f t="shared" si="7"/>
        <v>1.3942251749999999E-2</v>
      </c>
      <c r="G55" s="1">
        <f>LOOKUP(RIGHT(D55,5),Ref!$C$4:$C$21,Ref!$E$4:$E$21)*$G$3</f>
        <v>4.5</v>
      </c>
      <c r="H55" s="36">
        <f t="shared" si="23"/>
        <v>5.690715</v>
      </c>
      <c r="I55" s="12">
        <f t="shared" si="23"/>
        <v>5.690715</v>
      </c>
      <c r="J55" s="12">
        <f t="shared" si="23"/>
        <v>5.690715</v>
      </c>
      <c r="K55" s="12">
        <f t="shared" si="23"/>
        <v>5.690715</v>
      </c>
      <c r="L55" s="12">
        <f t="shared" si="23"/>
        <v>5.690715</v>
      </c>
      <c r="M55" s="12">
        <f t="shared" si="22"/>
        <v>5.9606021278796764</v>
      </c>
      <c r="N55" s="12">
        <f t="shared" si="22"/>
        <v>6.1224022829195901</v>
      </c>
      <c r="O55" s="12">
        <f t="shared" si="22"/>
        <v>6.3690648563950951</v>
      </c>
      <c r="P55" s="12">
        <f t="shared" si="22"/>
        <v>6.7288466647076888</v>
      </c>
      <c r="Q55" s="12">
        <f t="shared" si="22"/>
        <v>7.2211839807115519</v>
      </c>
      <c r="R55" s="12">
        <f t="shared" si="22"/>
        <v>7.8391913470396384</v>
      </c>
      <c r="S55" s="12">
        <f t="shared" si="22"/>
        <v>8.5360724999999995</v>
      </c>
      <c r="T55" s="12">
        <f t="shared" si="22"/>
        <v>9.2329536529603615</v>
      </c>
      <c r="U55" s="12">
        <f t="shared" si="22"/>
        <v>9.850961019288448</v>
      </c>
      <c r="V55" s="12">
        <f t="shared" si="22"/>
        <v>10.34329833529231</v>
      </c>
      <c r="W55" s="12">
        <f t="shared" si="22"/>
        <v>10.703080143604904</v>
      </c>
      <c r="X55" s="12">
        <f t="shared" si="22"/>
        <v>10.94974271708041</v>
      </c>
      <c r="Y55" s="12">
        <f t="shared" si="22"/>
        <v>11.111542872120323</v>
      </c>
      <c r="Z55" s="12">
        <f t="shared" si="22"/>
        <v>11.214622448779796</v>
      </c>
      <c r="AA55" s="12">
        <f t="shared" si="22"/>
        <v>11.279075605175576</v>
      </c>
      <c r="AB55" s="12">
        <f t="shared" si="22"/>
        <v>11.318906440767945</v>
      </c>
      <c r="AC55" s="12">
        <f t="shared" si="21"/>
        <v>11.343342892852409</v>
      </c>
      <c r="AD55" s="300">
        <f t="shared" si="17"/>
        <v>2.4150914434353608E-3</v>
      </c>
      <c r="AE55" s="299">
        <f t="shared" si="17"/>
        <v>2.4150914434353608E-3</v>
      </c>
      <c r="AF55" s="299">
        <f t="shared" si="17"/>
        <v>2.4150914434353608E-3</v>
      </c>
      <c r="AG55" s="299">
        <f t="shared" si="17"/>
        <v>2.4150914434353608E-3</v>
      </c>
      <c r="AH55" s="299">
        <f t="shared" si="17"/>
        <v>2.4150914434353608E-3</v>
      </c>
      <c r="AI55" s="299">
        <f t="shared" si="17"/>
        <v>2.3057397237178411E-3</v>
      </c>
      <c r="AJ55" s="299">
        <f t="shared" si="17"/>
        <v>2.2448046483112428E-3</v>
      </c>
      <c r="AK55" s="299">
        <f t="shared" si="17"/>
        <v>2.1578673499814487E-3</v>
      </c>
      <c r="AL55" s="299">
        <f t="shared" si="17"/>
        <v>2.0424892687202142E-3</v>
      </c>
      <c r="AM55" s="299">
        <f t="shared" si="17"/>
        <v>1.9032332011259753E-3</v>
      </c>
      <c r="AN55" s="299">
        <f t="shared" si="17"/>
        <v>1.7531906666265185E-3</v>
      </c>
      <c r="AO55" s="299">
        <f t="shared" si="17"/>
        <v>1.6100609622902407E-3</v>
      </c>
      <c r="AP55" s="299">
        <f t="shared" si="17"/>
        <v>1.4885374301778988E-3</v>
      </c>
      <c r="AQ55" s="299">
        <f t="shared" si="17"/>
        <v>1.3951529273762149E-3</v>
      </c>
      <c r="AR55" s="299">
        <f t="shared" si="17"/>
        <v>1.328744145050405E-3</v>
      </c>
      <c r="AS55" s="299">
        <f t="shared" si="10"/>
        <v>1.284078687548749E-3</v>
      </c>
      <c r="AT55" s="299">
        <f t="shared" si="10"/>
        <v>1.2551525144139451E-3</v>
      </c>
      <c r="AU55" s="299">
        <f t="shared" si="10"/>
        <v>1.2368756761955133E-3</v>
      </c>
      <c r="AV55" s="299">
        <f t="shared" si="10"/>
        <v>1.2255068921223139E-3</v>
      </c>
      <c r="AW55" s="299">
        <f t="shared" si="19"/>
        <v>1.2185038548037394E-3</v>
      </c>
      <c r="AX55" s="299">
        <f t="shared" si="19"/>
        <v>1.2142159823875008E-3</v>
      </c>
      <c r="AY55" s="299">
        <f t="shared" si="19"/>
        <v>1.2116002516497392E-3</v>
      </c>
      <c r="AZ55" s="306">
        <f t="shared" si="18"/>
        <v>0.13369894983077132</v>
      </c>
      <c r="BA55" s="2">
        <f t="shared" si="18"/>
        <v>0.13369894983077132</v>
      </c>
      <c r="BB55" s="2">
        <f t="shared" si="18"/>
        <v>0.13369894983077132</v>
      </c>
      <c r="BC55" s="2">
        <f t="shared" si="18"/>
        <v>0.13369894983077132</v>
      </c>
      <c r="BD55" s="2">
        <f t="shared" si="18"/>
        <v>0.13369894983077132</v>
      </c>
      <c r="BE55" s="2">
        <f t="shared" si="18"/>
        <v>0.12764526183143632</v>
      </c>
      <c r="BF55" s="2">
        <f t="shared" si="18"/>
        <v>0.12427190898723413</v>
      </c>
      <c r="BG55" s="2">
        <f t="shared" si="18"/>
        <v>0.11945907859962607</v>
      </c>
      <c r="BH55" s="2">
        <f t="shared" si="18"/>
        <v>0.1130717725040135</v>
      </c>
      <c r="BI55" s="2">
        <f t="shared" si="18"/>
        <v>0.10536258615186908</v>
      </c>
      <c r="BJ55" s="2">
        <f t="shared" si="18"/>
        <v>9.7056263280719562E-2</v>
      </c>
      <c r="BK55" s="2">
        <f t="shared" si="18"/>
        <v>8.9132633220514207E-2</v>
      </c>
      <c r="BL55" s="2">
        <f t="shared" si="18"/>
        <v>8.240511626983732E-2</v>
      </c>
      <c r="BM55" s="2">
        <f t="shared" si="18"/>
        <v>7.7235370010749954E-2</v>
      </c>
      <c r="BN55" s="2">
        <f t="shared" si="18"/>
        <v>7.3558993913010406E-2</v>
      </c>
      <c r="BO55" s="2">
        <f t="shared" si="11"/>
        <v>7.1086323663643841E-2</v>
      </c>
      <c r="BP55" s="2">
        <f t="shared" si="11"/>
        <v>6.9484976856980019E-2</v>
      </c>
      <c r="BQ55" s="2">
        <f t="shared" si="11"/>
        <v>6.8473174971517933E-2</v>
      </c>
      <c r="BR55" s="2">
        <f t="shared" si="11"/>
        <v>6.7843801497659964E-2</v>
      </c>
      <c r="BS55" s="2">
        <f t="shared" si="20"/>
        <v>6.7456114837734893E-2</v>
      </c>
      <c r="BT55" s="2">
        <f t="shared" si="20"/>
        <v>6.7218739130650282E-2</v>
      </c>
      <c r="BU55" s="2">
        <f t="shared" si="20"/>
        <v>6.7073932832060895E-2</v>
      </c>
    </row>
    <row r="56" spans="1:73" x14ac:dyDescent="0.25">
      <c r="A56" t="s">
        <v>46</v>
      </c>
      <c r="B56" s="1" t="s">
        <v>5</v>
      </c>
      <c r="C56" t="s">
        <v>11</v>
      </c>
      <c r="D56" t="s">
        <v>11</v>
      </c>
      <c r="E56" s="97">
        <v>5.5748639999999998</v>
      </c>
      <c r="F56" s="5">
        <f t="shared" si="7"/>
        <v>1.3658416799999998E-2</v>
      </c>
      <c r="G56" s="1">
        <f>LOOKUP(RIGHT(D56,5),Ref!$C$4:$C$21,Ref!$E$4:$E$21)*$G$3</f>
        <v>4.5</v>
      </c>
      <c r="H56" s="36">
        <f t="shared" si="23"/>
        <v>5.5748639999999998</v>
      </c>
      <c r="I56" s="12">
        <f t="shared" si="23"/>
        <v>5.5748639999999998</v>
      </c>
      <c r="J56" s="12">
        <f t="shared" si="23"/>
        <v>5.5748639999999998</v>
      </c>
      <c r="K56" s="12">
        <f t="shared" si="23"/>
        <v>5.5748639999999998</v>
      </c>
      <c r="L56" s="12">
        <f t="shared" si="23"/>
        <v>5.5748639999999998</v>
      </c>
      <c r="M56" s="12">
        <f t="shared" si="22"/>
        <v>5.8392567930461823</v>
      </c>
      <c r="N56" s="12">
        <f t="shared" si="22"/>
        <v>5.9977630369059494</v>
      </c>
      <c r="O56" s="12">
        <f t="shared" si="22"/>
        <v>6.2394040786759106</v>
      </c>
      <c r="P56" s="12">
        <f t="shared" si="22"/>
        <v>6.5918614853491988</v>
      </c>
      <c r="Q56" s="12">
        <f t="shared" si="22"/>
        <v>7.0741758481044164</v>
      </c>
      <c r="R56" s="12">
        <f t="shared" si="22"/>
        <v>7.6796018830187043</v>
      </c>
      <c r="S56" s="12">
        <f t="shared" si="22"/>
        <v>8.3622960000000006</v>
      </c>
      <c r="T56" s="12">
        <f t="shared" si="22"/>
        <v>9.0449901169812943</v>
      </c>
      <c r="U56" s="12">
        <f t="shared" si="22"/>
        <v>9.6504161518955822</v>
      </c>
      <c r="V56" s="12">
        <f t="shared" si="22"/>
        <v>10.132730514650801</v>
      </c>
      <c r="W56" s="12">
        <f t="shared" si="22"/>
        <v>10.485187921324089</v>
      </c>
      <c r="X56" s="12">
        <f t="shared" si="22"/>
        <v>10.72682896309405</v>
      </c>
      <c r="Y56" s="12">
        <f t="shared" si="22"/>
        <v>10.885335206953817</v>
      </c>
      <c r="Z56" s="12">
        <f t="shared" si="22"/>
        <v>10.986316300024571</v>
      </c>
      <c r="AA56" s="12">
        <f t="shared" si="22"/>
        <v>11.049457325585895</v>
      </c>
      <c r="AB56" s="12">
        <f t="shared" si="22"/>
        <v>11.088477289058641</v>
      </c>
      <c r="AC56" s="12">
        <f t="shared" si="21"/>
        <v>11.112416266324837</v>
      </c>
      <c r="AD56" s="300">
        <f t="shared" ref="AD56:AR72" si="24">Algae_electricity_factor/H56</f>
        <v>2.4652793509454688E-3</v>
      </c>
      <c r="AE56" s="299">
        <f t="shared" si="24"/>
        <v>2.4652793509454688E-3</v>
      </c>
      <c r="AF56" s="299">
        <f t="shared" si="24"/>
        <v>2.4652793509454688E-3</v>
      </c>
      <c r="AG56" s="299">
        <f t="shared" si="24"/>
        <v>2.4652793509454688E-3</v>
      </c>
      <c r="AH56" s="299">
        <f t="shared" si="24"/>
        <v>2.4652793509454688E-3</v>
      </c>
      <c r="AI56" s="299">
        <f t="shared" si="24"/>
        <v>2.3536551980204313E-3</v>
      </c>
      <c r="AJ56" s="299">
        <f t="shared" si="24"/>
        <v>2.2914538335310985E-3</v>
      </c>
      <c r="AK56" s="299">
        <f t="shared" si="24"/>
        <v>2.2027098950843788E-3</v>
      </c>
      <c r="AL56" s="299">
        <f t="shared" si="24"/>
        <v>2.0849341470653192E-3</v>
      </c>
      <c r="AM56" s="299">
        <f t="shared" si="24"/>
        <v>1.9427842053448487E-3</v>
      </c>
      <c r="AN56" s="299">
        <f t="shared" si="24"/>
        <v>1.78962364363176E-3</v>
      </c>
      <c r="AO56" s="299">
        <f t="shared" si="24"/>
        <v>1.6435195672969791E-3</v>
      </c>
      <c r="AP56" s="299">
        <f t="shared" si="24"/>
        <v>1.5194706600869228E-3</v>
      </c>
      <c r="AQ56" s="299">
        <f t="shared" si="24"/>
        <v>1.4241455380998957E-3</v>
      </c>
      <c r="AR56" s="299">
        <f t="shared" si="24"/>
        <v>1.3563567178321329E-3</v>
      </c>
      <c r="AS56" s="299">
        <f t="shared" si="10"/>
        <v>1.3107630694513765E-3</v>
      </c>
      <c r="AT56" s="299">
        <f t="shared" si="10"/>
        <v>1.2812357828035185E-3</v>
      </c>
      <c r="AU56" s="299">
        <f t="shared" si="10"/>
        <v>1.2625791344256919E-3</v>
      </c>
      <c r="AV56" s="299">
        <f t="shared" si="10"/>
        <v>1.2509740961580108E-3</v>
      </c>
      <c r="AW56" s="299">
        <f t="shared" si="19"/>
        <v>1.2438255290334369E-3</v>
      </c>
      <c r="AX56" s="299">
        <f t="shared" si="19"/>
        <v>1.239448550531867E-3</v>
      </c>
      <c r="AY56" s="299">
        <f t="shared" si="19"/>
        <v>1.2367784624103739E-3</v>
      </c>
      <c r="AZ56" s="306">
        <f t="shared" ref="AZ56:BN72" si="25">Algae_yield_cost_factor/H56</f>
        <v>0.13647734174075238</v>
      </c>
      <c r="BA56" s="2">
        <f t="shared" si="25"/>
        <v>0.13647734174075238</v>
      </c>
      <c r="BB56" s="2">
        <f t="shared" si="25"/>
        <v>0.13647734174075238</v>
      </c>
      <c r="BC56" s="2">
        <f t="shared" si="25"/>
        <v>0.13647734174075238</v>
      </c>
      <c r="BD56" s="2">
        <f t="shared" si="25"/>
        <v>0.13647734174075238</v>
      </c>
      <c r="BE56" s="2">
        <f t="shared" si="25"/>
        <v>0.13029785232125521</v>
      </c>
      <c r="BF56" s="2">
        <f t="shared" si="25"/>
        <v>0.12685439798213696</v>
      </c>
      <c r="BG56" s="2">
        <f t="shared" si="25"/>
        <v>0.1219415523810215</v>
      </c>
      <c r="BH56" s="2">
        <f t="shared" si="25"/>
        <v>0.11542151196247606</v>
      </c>
      <c r="BI56" s="2">
        <f t="shared" si="25"/>
        <v>0.10755212135277804</v>
      </c>
      <c r="BJ56" s="2">
        <f t="shared" si="25"/>
        <v>9.9073185156721311E-2</v>
      </c>
      <c r="BK56" s="2">
        <f t="shared" si="25"/>
        <v>9.0984894493834914E-2</v>
      </c>
      <c r="BL56" s="2">
        <f t="shared" si="25"/>
        <v>8.4117573313628333E-2</v>
      </c>
      <c r="BM56" s="2">
        <f t="shared" si="25"/>
        <v>7.8840394788236082E-2</v>
      </c>
      <c r="BN56" s="2">
        <f t="shared" si="25"/>
        <v>7.508762008287144E-2</v>
      </c>
      <c r="BO56" s="2">
        <f t="shared" si="11"/>
        <v>7.2563565383398212E-2</v>
      </c>
      <c r="BP56" s="2">
        <f t="shared" si="11"/>
        <v>7.0928941060206863E-2</v>
      </c>
      <c r="BQ56" s="2">
        <f t="shared" si="11"/>
        <v>6.9896112964915671E-2</v>
      </c>
      <c r="BR56" s="2">
        <f t="shared" si="11"/>
        <v>6.9253660508983905E-2</v>
      </c>
      <c r="BS56" s="2">
        <f t="shared" si="20"/>
        <v>6.8857917349879838E-2</v>
      </c>
      <c r="BT56" s="2">
        <f t="shared" si="20"/>
        <v>6.8615608748819445E-2</v>
      </c>
      <c r="BU56" s="2">
        <f t="shared" si="20"/>
        <v>6.8467793237001195E-2</v>
      </c>
    </row>
    <row r="57" spans="1:73" x14ac:dyDescent="0.25">
      <c r="A57" t="s">
        <v>22</v>
      </c>
      <c r="B57" s="1" t="s">
        <v>5</v>
      </c>
      <c r="C57" t="s">
        <v>13</v>
      </c>
      <c r="D57" t="s">
        <v>13</v>
      </c>
      <c r="E57" s="97">
        <v>6.7473900000000002</v>
      </c>
      <c r="F57" s="5">
        <f t="shared" si="7"/>
        <v>1.6531105500000001E-2</v>
      </c>
      <c r="G57" s="1">
        <f>LOOKUP(RIGHT(D57,5),Ref!$C$4:$C$21,Ref!$E$4:$E$21)*$G$3</f>
        <v>1.5</v>
      </c>
      <c r="H57" s="36">
        <f t="shared" si="23"/>
        <v>6.7473900000000002</v>
      </c>
      <c r="I57" s="12">
        <f t="shared" si="23"/>
        <v>6.7473900000000002</v>
      </c>
      <c r="J57" s="12">
        <f t="shared" si="23"/>
        <v>6.7473900000000002</v>
      </c>
      <c r="K57" s="12">
        <f t="shared" si="23"/>
        <v>6.7473900000000002</v>
      </c>
      <c r="L57" s="12">
        <f t="shared" si="23"/>
        <v>6.7473900000000002</v>
      </c>
      <c r="M57" s="12">
        <f t="shared" si="22"/>
        <v>7.0673908624195825</v>
      </c>
      <c r="N57" s="12">
        <f t="shared" si="22"/>
        <v>7.2592347252935383</v>
      </c>
      <c r="O57" s="12">
        <f t="shared" si="22"/>
        <v>7.5516986040228158</v>
      </c>
      <c r="P57" s="12">
        <f t="shared" si="22"/>
        <v>7.9782861550757707</v>
      </c>
      <c r="Q57" s="12">
        <f t="shared" si="22"/>
        <v>8.5620426571376917</v>
      </c>
      <c r="R57" s="12">
        <f t="shared" si="22"/>
        <v>9.2948041332419198</v>
      </c>
      <c r="S57" s="12">
        <f t="shared" si="22"/>
        <v>10.121085000000001</v>
      </c>
      <c r="T57" s="12">
        <f t="shared" si="22"/>
        <v>10.947365866758082</v>
      </c>
      <c r="U57" s="12">
        <f t="shared" si="22"/>
        <v>11.680127342862308</v>
      </c>
      <c r="V57" s="12">
        <f t="shared" si="22"/>
        <v>12.26388384492423</v>
      </c>
      <c r="W57" s="12">
        <f t="shared" si="22"/>
        <v>12.690471395977182</v>
      </c>
      <c r="X57" s="12">
        <f t="shared" si="22"/>
        <v>12.982935274706463</v>
      </c>
      <c r="Y57" s="12">
        <f t="shared" si="22"/>
        <v>13.174779137580419</v>
      </c>
      <c r="Z57" s="12">
        <f t="shared" si="22"/>
        <v>13.296998947350607</v>
      </c>
      <c r="AA57" s="12">
        <f t="shared" si="22"/>
        <v>13.373420026763883</v>
      </c>
      <c r="AB57" s="12">
        <f t="shared" si="22"/>
        <v>13.420646813163764</v>
      </c>
      <c r="AC57" s="12">
        <f t="shared" si="21"/>
        <v>13.44962072460199</v>
      </c>
      <c r="AD57" s="300">
        <f t="shared" si="24"/>
        <v>2.0368760518554964E-3</v>
      </c>
      <c r="AE57" s="299">
        <f t="shared" si="24"/>
        <v>2.0368760518554964E-3</v>
      </c>
      <c r="AF57" s="299">
        <f t="shared" si="24"/>
        <v>2.0368760518554964E-3</v>
      </c>
      <c r="AG57" s="299">
        <f t="shared" si="24"/>
        <v>2.0368760518554964E-3</v>
      </c>
      <c r="AH57" s="299">
        <f t="shared" si="24"/>
        <v>2.0368760518554964E-3</v>
      </c>
      <c r="AI57" s="299">
        <f t="shared" si="24"/>
        <v>1.9446493580268774E-3</v>
      </c>
      <c r="AJ57" s="299">
        <f t="shared" si="24"/>
        <v>1.8932570200054408E-3</v>
      </c>
      <c r="AK57" s="299">
        <f t="shared" si="24"/>
        <v>1.8199345371394985E-3</v>
      </c>
      <c r="AL57" s="299">
        <f t="shared" si="24"/>
        <v>1.7226252401069382E-3</v>
      </c>
      <c r="AM57" s="299">
        <f t="shared" si="24"/>
        <v>1.6051773687523034E-3</v>
      </c>
      <c r="AN57" s="299">
        <f t="shared" si="24"/>
        <v>1.4786322451246375E-3</v>
      </c>
      <c r="AO57" s="299">
        <f t="shared" si="24"/>
        <v>1.3579173679036643E-3</v>
      </c>
      <c r="AP57" s="299">
        <f t="shared" si="24"/>
        <v>1.2554250283405614E-3</v>
      </c>
      <c r="AQ57" s="299">
        <f t="shared" si="24"/>
        <v>1.1766650054485864E-3</v>
      </c>
      <c r="AR57" s="299">
        <f t="shared" si="24"/>
        <v>1.1206561703711385E-3</v>
      </c>
      <c r="AS57" s="299">
        <f t="shared" si="10"/>
        <v>1.0829855467690437E-3</v>
      </c>
      <c r="AT57" s="299">
        <f t="shared" si="10"/>
        <v>1.058589356931073E-3</v>
      </c>
      <c r="AU57" s="299">
        <f t="shared" si="10"/>
        <v>1.0431747629321782E-3</v>
      </c>
      <c r="AV57" s="299">
        <f t="shared" si="10"/>
        <v>1.0335863872703124E-3</v>
      </c>
      <c r="AW57" s="299">
        <f t="shared" si="19"/>
        <v>1.0276800605996486E-3</v>
      </c>
      <c r="AX57" s="299">
        <f t="shared" si="19"/>
        <v>1.0240636904361962E-3</v>
      </c>
      <c r="AY57" s="299">
        <f t="shared" si="19"/>
        <v>1.021857596206377E-3</v>
      </c>
      <c r="AZ57" s="306">
        <f t="shared" si="25"/>
        <v>0.11276102600949667</v>
      </c>
      <c r="BA57" s="2">
        <f t="shared" si="25"/>
        <v>0.11276102600949667</v>
      </c>
      <c r="BB57" s="2">
        <f t="shared" si="25"/>
        <v>0.11276102600949667</v>
      </c>
      <c r="BC57" s="2">
        <f t="shared" si="25"/>
        <v>0.11276102600949667</v>
      </c>
      <c r="BD57" s="2">
        <f t="shared" si="25"/>
        <v>0.11276102600949667</v>
      </c>
      <c r="BE57" s="2">
        <f t="shared" si="25"/>
        <v>0.10765537580947331</v>
      </c>
      <c r="BF57" s="2">
        <f t="shared" si="25"/>
        <v>0.10481030688196295</v>
      </c>
      <c r="BG57" s="2">
        <f t="shared" si="25"/>
        <v>0.10075118978939576</v>
      </c>
      <c r="BH57" s="2">
        <f t="shared" si="25"/>
        <v>9.5364167754520959E-2</v>
      </c>
      <c r="BI57" s="2">
        <f t="shared" si="25"/>
        <v>8.8862278518543267E-2</v>
      </c>
      <c r="BJ57" s="2">
        <f t="shared" si="25"/>
        <v>8.1856767327150193E-2</v>
      </c>
      <c r="BK57" s="2">
        <f t="shared" si="25"/>
        <v>7.5174017339664445E-2</v>
      </c>
      <c r="BL57" s="2">
        <f t="shared" si="25"/>
        <v>6.9500063170130563E-2</v>
      </c>
      <c r="BM57" s="2">
        <f t="shared" si="25"/>
        <v>6.5139925015557862E-2</v>
      </c>
      <c r="BN57" s="2">
        <f t="shared" si="25"/>
        <v>6.2039287790638602E-2</v>
      </c>
      <c r="BO57" s="2">
        <f t="shared" si="11"/>
        <v>5.9953850061661318E-2</v>
      </c>
      <c r="BP57" s="2">
        <f t="shared" si="11"/>
        <v>5.8603282169056331E-2</v>
      </c>
      <c r="BQ57" s="2">
        <f t="shared" si="11"/>
        <v>5.7749933516225031E-2</v>
      </c>
      <c r="BR57" s="2">
        <f t="shared" si="11"/>
        <v>5.7219123074219218E-2</v>
      </c>
      <c r="BS57" s="2">
        <f t="shared" si="20"/>
        <v>5.6892150083042554E-2</v>
      </c>
      <c r="BT57" s="2">
        <f t="shared" si="20"/>
        <v>5.6691948598180705E-2</v>
      </c>
      <c r="BU57" s="2">
        <f t="shared" si="20"/>
        <v>5.6569819689746913E-2</v>
      </c>
    </row>
    <row r="58" spans="1:73" x14ac:dyDescent="0.25">
      <c r="A58" t="s">
        <v>22</v>
      </c>
      <c r="B58" s="1" t="s">
        <v>5</v>
      </c>
      <c r="C58" t="s">
        <v>14</v>
      </c>
      <c r="D58" t="s">
        <v>14</v>
      </c>
      <c r="E58" s="97">
        <v>5.4837600000000002</v>
      </c>
      <c r="F58" s="5">
        <f t="shared" si="7"/>
        <v>1.3435212E-2</v>
      </c>
      <c r="G58" s="1">
        <f>LOOKUP(RIGHT(D58,5),Ref!$C$4:$C$21,Ref!$E$4:$E$21)*$G$3</f>
        <v>2</v>
      </c>
      <c r="H58" s="36">
        <f t="shared" si="23"/>
        <v>5.4837600000000002</v>
      </c>
      <c r="I58" s="12">
        <f t="shared" si="23"/>
        <v>5.4837600000000002</v>
      </c>
      <c r="J58" s="12">
        <f t="shared" si="23"/>
        <v>5.4837600000000002</v>
      </c>
      <c r="K58" s="12">
        <f t="shared" si="23"/>
        <v>5.4837600000000002</v>
      </c>
      <c r="L58" s="12">
        <f t="shared" si="23"/>
        <v>5.4837600000000002</v>
      </c>
      <c r="M58" s="12">
        <f t="shared" si="22"/>
        <v>5.7438321062962139</v>
      </c>
      <c r="N58" s="12">
        <f t="shared" si="22"/>
        <v>5.899748053273294</v>
      </c>
      <c r="O58" s="12">
        <f t="shared" si="22"/>
        <v>6.1374402156680077</v>
      </c>
      <c r="P58" s="12">
        <f t="shared" si="22"/>
        <v>6.4841377904283446</v>
      </c>
      <c r="Q58" s="12">
        <f t="shared" si="22"/>
        <v>6.958570208851925</v>
      </c>
      <c r="R58" s="12">
        <f t="shared" si="22"/>
        <v>7.5541024179285188</v>
      </c>
      <c r="S58" s="12">
        <f t="shared" si="22"/>
        <v>8.2256400000000003</v>
      </c>
      <c r="T58" s="12">
        <f t="shared" si="22"/>
        <v>8.8971775820714818</v>
      </c>
      <c r="U58" s="12">
        <f t="shared" si="22"/>
        <v>9.4927097911480747</v>
      </c>
      <c r="V58" s="12">
        <f t="shared" si="22"/>
        <v>9.9671422095716551</v>
      </c>
      <c r="W58" s="12">
        <f t="shared" si="22"/>
        <v>10.313839784331991</v>
      </c>
      <c r="X58" s="12">
        <f t="shared" si="22"/>
        <v>10.551531946726707</v>
      </c>
      <c r="Y58" s="12">
        <f t="shared" si="22"/>
        <v>10.707447893703787</v>
      </c>
      <c r="Z58" s="12">
        <f t="shared" si="22"/>
        <v>10.806778761494943</v>
      </c>
      <c r="AA58" s="12">
        <f t="shared" si="22"/>
        <v>10.868887941258281</v>
      </c>
      <c r="AB58" s="12">
        <f t="shared" si="22"/>
        <v>10.90727024348006</v>
      </c>
      <c r="AC58" s="12">
        <f t="shared" si="21"/>
        <v>10.930818011815445</v>
      </c>
      <c r="AD58" s="300">
        <f t="shared" si="24"/>
        <v>2.5062360685969591E-3</v>
      </c>
      <c r="AE58" s="299">
        <f t="shared" si="24"/>
        <v>2.5062360685969591E-3</v>
      </c>
      <c r="AF58" s="299">
        <f t="shared" si="24"/>
        <v>2.5062360685969591E-3</v>
      </c>
      <c r="AG58" s="299">
        <f t="shared" si="24"/>
        <v>2.5062360685969591E-3</v>
      </c>
      <c r="AH58" s="299">
        <f t="shared" si="24"/>
        <v>2.5062360685969591E-3</v>
      </c>
      <c r="AI58" s="299">
        <f t="shared" si="24"/>
        <v>2.3927574569012813E-3</v>
      </c>
      <c r="AJ58" s="299">
        <f t="shared" si="24"/>
        <v>2.3295227151105286E-3</v>
      </c>
      <c r="AK58" s="299">
        <f t="shared" si="24"/>
        <v>2.2393044364723618E-3</v>
      </c>
      <c r="AL58" s="299">
        <f t="shared" si="24"/>
        <v>2.1195720306587365E-3</v>
      </c>
      <c r="AM58" s="299">
        <f t="shared" si="24"/>
        <v>1.9750604924623988E-3</v>
      </c>
      <c r="AN58" s="299">
        <f t="shared" si="24"/>
        <v>1.8193554102352268E-3</v>
      </c>
      <c r="AO58" s="299">
        <f t="shared" si="24"/>
        <v>1.6708240457313059E-3</v>
      </c>
      <c r="AP58" s="299">
        <f t="shared" si="24"/>
        <v>1.544714262107536E-3</v>
      </c>
      <c r="AQ58" s="299">
        <f t="shared" si="24"/>
        <v>1.4478054639724819E-3</v>
      </c>
      <c r="AR58" s="299">
        <f t="shared" si="24"/>
        <v>1.3788904396619319E-3</v>
      </c>
      <c r="AS58" s="299">
        <f t="shared" si="10"/>
        <v>1.3325393249183004E-3</v>
      </c>
      <c r="AT58" s="299">
        <f t="shared" si="10"/>
        <v>1.3025214890992956E-3</v>
      </c>
      <c r="AU58" s="299">
        <f t="shared" si="10"/>
        <v>1.2835548900135946E-3</v>
      </c>
      <c r="AV58" s="299">
        <f t="shared" si="10"/>
        <v>1.271757052388112E-3</v>
      </c>
      <c r="AW58" s="299">
        <f t="shared" si="19"/>
        <v>1.2644897231260052E-3</v>
      </c>
      <c r="AX58" s="299">
        <f t="shared" si="19"/>
        <v>1.2600400280486904E-3</v>
      </c>
      <c r="AY58" s="299">
        <f t="shared" si="19"/>
        <v>1.2573255806357217E-3</v>
      </c>
      <c r="AZ58" s="306">
        <f t="shared" si="25"/>
        <v>0.13874469693900129</v>
      </c>
      <c r="BA58" s="2">
        <f t="shared" si="25"/>
        <v>0.13874469693900129</v>
      </c>
      <c r="BB58" s="2">
        <f t="shared" si="25"/>
        <v>0.13874469693900129</v>
      </c>
      <c r="BC58" s="2">
        <f t="shared" si="25"/>
        <v>0.13874469693900129</v>
      </c>
      <c r="BD58" s="2">
        <f t="shared" si="25"/>
        <v>0.13874469693900129</v>
      </c>
      <c r="BE58" s="2">
        <f t="shared" si="25"/>
        <v>0.13246254507547414</v>
      </c>
      <c r="BF58" s="2">
        <f t="shared" si="25"/>
        <v>0.12896188318822999</v>
      </c>
      <c r="BG58" s="2">
        <f t="shared" si="25"/>
        <v>0.12396741842696818</v>
      </c>
      <c r="BH58" s="2">
        <f t="shared" si="25"/>
        <v>0.11733905784811464</v>
      </c>
      <c r="BI58" s="2">
        <f t="shared" si="25"/>
        <v>0.10933892975863889</v>
      </c>
      <c r="BJ58" s="2">
        <f t="shared" si="25"/>
        <v>0.10071912944686492</v>
      </c>
      <c r="BK58" s="2">
        <f t="shared" si="25"/>
        <v>9.2496464626000863E-2</v>
      </c>
      <c r="BL58" s="2">
        <f t="shared" si="25"/>
        <v>8.5515053764845153E-2</v>
      </c>
      <c r="BM58" s="2">
        <f t="shared" si="25"/>
        <v>8.0150203263951184E-2</v>
      </c>
      <c r="BN58" s="2">
        <f t="shared" si="25"/>
        <v>7.6335082141756203E-2</v>
      </c>
      <c r="BO58" s="2">
        <f t="shared" si="11"/>
        <v>7.3769094265167146E-2</v>
      </c>
      <c r="BP58" s="2">
        <f t="shared" si="11"/>
        <v>7.2107313243954696E-2</v>
      </c>
      <c r="BQ58" s="2">
        <f t="shared" si="11"/>
        <v>7.1057326343246546E-2</v>
      </c>
      <c r="BR58" s="2">
        <f t="shared" si="11"/>
        <v>7.0404200555778521E-2</v>
      </c>
      <c r="BS58" s="2">
        <f t="shared" si="20"/>
        <v>7.0001882749941735E-2</v>
      </c>
      <c r="BT58" s="2">
        <f t="shared" si="20"/>
        <v>6.9755548574678417E-2</v>
      </c>
      <c r="BU58" s="2">
        <f t="shared" si="20"/>
        <v>6.9605277341897046E-2</v>
      </c>
    </row>
    <row r="59" spans="1:73" x14ac:dyDescent="0.25">
      <c r="A59" t="s">
        <v>22</v>
      </c>
      <c r="B59" s="1" t="s">
        <v>5</v>
      </c>
      <c r="C59" t="s">
        <v>15</v>
      </c>
      <c r="D59" t="s">
        <v>15</v>
      </c>
      <c r="E59" s="97">
        <v>4.9809359999999998</v>
      </c>
      <c r="F59" s="5">
        <f t="shared" si="7"/>
        <v>1.22032932E-2</v>
      </c>
      <c r="G59" s="1">
        <f>LOOKUP(RIGHT(D59,5),Ref!$C$4:$C$21,Ref!$E$4:$E$21)*$G$3</f>
        <v>2.5</v>
      </c>
      <c r="H59" s="36">
        <f t="shared" si="23"/>
        <v>4.9809359999999998</v>
      </c>
      <c r="I59" s="12">
        <f t="shared" si="23"/>
        <v>4.9809359999999998</v>
      </c>
      <c r="J59" s="12">
        <f t="shared" si="23"/>
        <v>4.9809359999999998</v>
      </c>
      <c r="K59" s="12">
        <f t="shared" si="23"/>
        <v>4.9809359999999998</v>
      </c>
      <c r="L59" s="12">
        <f t="shared" si="23"/>
        <v>4.9809359999999998</v>
      </c>
      <c r="M59" s="12">
        <f t="shared" si="22"/>
        <v>5.2171612390415767</v>
      </c>
      <c r="N59" s="12">
        <f t="shared" si="22"/>
        <v>5.3587807397622917</v>
      </c>
      <c r="O59" s="12">
        <f t="shared" si="22"/>
        <v>5.5746781256051579</v>
      </c>
      <c r="P59" s="12">
        <f t="shared" si="22"/>
        <v>5.8895858588459369</v>
      </c>
      <c r="Q59" s="12">
        <f t="shared" si="22"/>
        <v>6.3205160075929783</v>
      </c>
      <c r="R59" s="12">
        <f t="shared" si="22"/>
        <v>6.8614419086807592</v>
      </c>
      <c r="S59" s="12">
        <f t="shared" si="22"/>
        <v>7.4714039999999997</v>
      </c>
      <c r="T59" s="12">
        <f t="shared" si="22"/>
        <v>8.0813660913192393</v>
      </c>
      <c r="U59" s="12">
        <f t="shared" si="22"/>
        <v>8.6222919924070212</v>
      </c>
      <c r="V59" s="12">
        <f t="shared" si="22"/>
        <v>9.0532221411540625</v>
      </c>
      <c r="W59" s="12">
        <f t="shared" si="22"/>
        <v>9.3681298743948407</v>
      </c>
      <c r="X59" s="12">
        <f t="shared" si="22"/>
        <v>9.5840272602377077</v>
      </c>
      <c r="Y59" s="12">
        <f t="shared" si="22"/>
        <v>9.7256467609584227</v>
      </c>
      <c r="Z59" s="12">
        <f t="shared" si="22"/>
        <v>9.8158696546102622</v>
      </c>
      <c r="AA59" s="12">
        <f t="shared" si="22"/>
        <v>9.8722838392962586</v>
      </c>
      <c r="AB59" s="12">
        <f t="shared" si="22"/>
        <v>9.907146741921343</v>
      </c>
      <c r="AC59" s="12">
        <f t="shared" si="21"/>
        <v>9.9285353378885972</v>
      </c>
      <c r="AD59" s="300">
        <f t="shared" si="24"/>
        <v>2.7592398504074859E-3</v>
      </c>
      <c r="AE59" s="299">
        <f t="shared" si="24"/>
        <v>2.7592398504074859E-3</v>
      </c>
      <c r="AF59" s="299">
        <f t="shared" si="24"/>
        <v>2.7592398504074859E-3</v>
      </c>
      <c r="AG59" s="299">
        <f t="shared" si="24"/>
        <v>2.7592398504074859E-3</v>
      </c>
      <c r="AH59" s="299">
        <f t="shared" si="24"/>
        <v>2.7592398504074859E-3</v>
      </c>
      <c r="AI59" s="299">
        <f t="shared" si="24"/>
        <v>2.6343056067889593E-3</v>
      </c>
      <c r="AJ59" s="299">
        <f t="shared" si="24"/>
        <v>2.5646873367203499E-3</v>
      </c>
      <c r="AK59" s="299">
        <f t="shared" si="24"/>
        <v>2.4653615498271171E-3</v>
      </c>
      <c r="AL59" s="299">
        <f t="shared" si="24"/>
        <v>2.3335421934441948E-3</v>
      </c>
      <c r="AM59" s="299">
        <f t="shared" si="24"/>
        <v>2.1744422586729892E-3</v>
      </c>
      <c r="AN59" s="299">
        <f t="shared" si="24"/>
        <v>2.0030187949476824E-3</v>
      </c>
      <c r="AO59" s="299">
        <f t="shared" si="24"/>
        <v>1.8394932336049904E-3</v>
      </c>
      <c r="AP59" s="299">
        <f t="shared" si="24"/>
        <v>1.7006527050286979E-3</v>
      </c>
      <c r="AQ59" s="299">
        <f t="shared" si="24"/>
        <v>1.5939609926956975E-3</v>
      </c>
      <c r="AR59" s="299">
        <f t="shared" si="24"/>
        <v>1.5180890172852082E-3</v>
      </c>
      <c r="AS59" s="299">
        <f t="shared" si="10"/>
        <v>1.467058771366261E-3</v>
      </c>
      <c r="AT59" s="299">
        <f t="shared" si="10"/>
        <v>1.4340106439960588E-3</v>
      </c>
      <c r="AU59" s="299">
        <f t="shared" si="10"/>
        <v>1.4131293724032894E-3</v>
      </c>
      <c r="AV59" s="299">
        <f t="shared" si="10"/>
        <v>1.400140546596831E-3</v>
      </c>
      <c r="AW59" s="299">
        <f t="shared" si="19"/>
        <v>1.3921395826185002E-3</v>
      </c>
      <c r="AX59" s="299">
        <f t="shared" si="19"/>
        <v>1.3872406921535004E-3</v>
      </c>
      <c r="AY59" s="299">
        <f t="shared" si="19"/>
        <v>1.3842522220857576E-3</v>
      </c>
      <c r="AZ59" s="306">
        <f t="shared" si="25"/>
        <v>0.15275093261311082</v>
      </c>
      <c r="BA59" s="2">
        <f t="shared" si="25"/>
        <v>0.15275093261311082</v>
      </c>
      <c r="BB59" s="2">
        <f t="shared" si="25"/>
        <v>0.15275093261311082</v>
      </c>
      <c r="BC59" s="2">
        <f t="shared" si="25"/>
        <v>0.15275093261311082</v>
      </c>
      <c r="BD59" s="2">
        <f t="shared" si="25"/>
        <v>0.15275093261311082</v>
      </c>
      <c r="BE59" s="2">
        <f t="shared" si="25"/>
        <v>0.14583459939719806</v>
      </c>
      <c r="BF59" s="2">
        <f t="shared" si="25"/>
        <v>0.14198054673906432</v>
      </c>
      <c r="BG59" s="2">
        <f t="shared" si="25"/>
        <v>0.13648189225339799</v>
      </c>
      <c r="BH59" s="2">
        <f t="shared" si="25"/>
        <v>0.1291844006558561</v>
      </c>
      <c r="BI59" s="2">
        <f t="shared" si="25"/>
        <v>0.12037666202762566</v>
      </c>
      <c r="BJ59" s="2">
        <f t="shared" si="25"/>
        <v>0.11088669545152559</v>
      </c>
      <c r="BK59" s="2">
        <f t="shared" si="25"/>
        <v>0.10183395507540723</v>
      </c>
      <c r="BL59" s="2">
        <f t="shared" si="25"/>
        <v>9.4147772875119717E-2</v>
      </c>
      <c r="BM59" s="2">
        <f t="shared" si="25"/>
        <v>8.8241342320143232E-2</v>
      </c>
      <c r="BN59" s="2">
        <f t="shared" si="25"/>
        <v>8.4041085861307402E-2</v>
      </c>
      <c r="BO59" s="2">
        <f t="shared" si="11"/>
        <v>8.1216062275755591E-2</v>
      </c>
      <c r="BP59" s="2">
        <f t="shared" si="11"/>
        <v>7.9386524957290969E-2</v>
      </c>
      <c r="BQ59" s="2">
        <f t="shared" si="11"/>
        <v>7.823054219288135E-2</v>
      </c>
      <c r="BR59" s="2">
        <f t="shared" si="11"/>
        <v>7.7511483552439947E-2</v>
      </c>
      <c r="BS59" s="2">
        <f t="shared" si="20"/>
        <v>7.7068551884388894E-2</v>
      </c>
      <c r="BT59" s="2">
        <f t="shared" si="20"/>
        <v>7.6797350347781734E-2</v>
      </c>
      <c r="BU59" s="2">
        <f t="shared" si="20"/>
        <v>7.6631909278979171E-2</v>
      </c>
    </row>
    <row r="60" spans="1:73" x14ac:dyDescent="0.25">
      <c r="A60" t="s">
        <v>22</v>
      </c>
      <c r="B60" s="1" t="s">
        <v>5</v>
      </c>
      <c r="C60" t="s">
        <v>16</v>
      </c>
      <c r="D60" t="s">
        <v>16</v>
      </c>
      <c r="E60" s="97">
        <v>6.1093700000000002</v>
      </c>
      <c r="F60" s="5">
        <f t="shared" si="7"/>
        <v>1.4967956500000001E-2</v>
      </c>
      <c r="G60" s="1">
        <f>LOOKUP(RIGHT(D60,5),Ref!$C$4:$C$21,Ref!$E$4:$E$21)*$G$3</f>
        <v>3</v>
      </c>
      <c r="H60" s="36">
        <f t="shared" si="23"/>
        <v>6.1093700000000002</v>
      </c>
      <c r="I60" s="12">
        <f t="shared" si="23"/>
        <v>6.1093700000000002</v>
      </c>
      <c r="J60" s="12">
        <f t="shared" si="23"/>
        <v>6.1093700000000002</v>
      </c>
      <c r="K60" s="12">
        <f t="shared" si="23"/>
        <v>6.1093700000000002</v>
      </c>
      <c r="L60" s="12">
        <f t="shared" si="23"/>
        <v>6.1093700000000002</v>
      </c>
      <c r="M60" s="12">
        <f t="shared" si="22"/>
        <v>6.3991122068148307</v>
      </c>
      <c r="N60" s="12">
        <f t="shared" si="22"/>
        <v>6.5728156892763847</v>
      </c>
      <c r="O60" s="12">
        <f t="shared" si="22"/>
        <v>6.8376247557142644</v>
      </c>
      <c r="P60" s="12">
        <f t="shared" si="22"/>
        <v>7.2238750223768395</v>
      </c>
      <c r="Q60" s="12">
        <f t="shared" si="22"/>
        <v>7.7524326514752078</v>
      </c>
      <c r="R60" s="12">
        <f t="shared" si="22"/>
        <v>8.4159056357353261</v>
      </c>
      <c r="S60" s="12">
        <f t="shared" si="22"/>
        <v>9.1640550000000012</v>
      </c>
      <c r="T60" s="12">
        <f t="shared" si="22"/>
        <v>9.9122043642646744</v>
      </c>
      <c r="U60" s="12">
        <f t="shared" si="22"/>
        <v>10.575677348524792</v>
      </c>
      <c r="V60" s="12">
        <f t="shared" si="22"/>
        <v>11.104234977623161</v>
      </c>
      <c r="W60" s="12">
        <f t="shared" si="22"/>
        <v>11.490485244285734</v>
      </c>
      <c r="X60" s="12">
        <f t="shared" si="22"/>
        <v>11.755294310723617</v>
      </c>
      <c r="Y60" s="12">
        <f t="shared" si="22"/>
        <v>11.92899779318517</v>
      </c>
      <c r="Z60" s="12">
        <f t="shared" si="22"/>
        <v>12.039660736814588</v>
      </c>
      <c r="AA60" s="12">
        <f t="shared" si="22"/>
        <v>12.108855588443896</v>
      </c>
      <c r="AB60" s="12">
        <f t="shared" si="22"/>
        <v>12.151616702300934</v>
      </c>
      <c r="AC60" s="12">
        <f t="shared" si="21"/>
        <v>12.177850897348703</v>
      </c>
      <c r="AD60" s="300">
        <f t="shared" si="24"/>
        <v>2.2495931828534301E-3</v>
      </c>
      <c r="AE60" s="299">
        <f t="shared" si="24"/>
        <v>2.2495931828534301E-3</v>
      </c>
      <c r="AF60" s="299">
        <f t="shared" si="24"/>
        <v>2.2495931828534301E-3</v>
      </c>
      <c r="AG60" s="299">
        <f t="shared" si="24"/>
        <v>2.2495931828534301E-3</v>
      </c>
      <c r="AH60" s="299">
        <f t="shared" si="24"/>
        <v>2.2495931828534301E-3</v>
      </c>
      <c r="AI60" s="299">
        <f t="shared" si="24"/>
        <v>2.1477349762507383E-3</v>
      </c>
      <c r="AJ60" s="299">
        <f t="shared" si="24"/>
        <v>2.090975580823311E-3</v>
      </c>
      <c r="AK60" s="299">
        <f t="shared" si="24"/>
        <v>2.009995809150482E-3</v>
      </c>
      <c r="AL60" s="299">
        <f t="shared" si="24"/>
        <v>1.902524207708021E-3</v>
      </c>
      <c r="AM60" s="299">
        <f t="shared" si="24"/>
        <v>1.772810899674697E-3</v>
      </c>
      <c r="AN60" s="299">
        <f t="shared" si="24"/>
        <v>1.6330502857793076E-3</v>
      </c>
      <c r="AO60" s="299">
        <f t="shared" si="24"/>
        <v>1.4997287885689531E-3</v>
      </c>
      <c r="AP60" s="299">
        <f t="shared" si="24"/>
        <v>1.3865328637772505E-3</v>
      </c>
      <c r="AQ60" s="299">
        <f t="shared" si="24"/>
        <v>1.2995476933159618E-3</v>
      </c>
      <c r="AR60" s="299">
        <f t="shared" si="24"/>
        <v>1.2376896860724618E-3</v>
      </c>
      <c r="AS60" s="299">
        <f t="shared" si="10"/>
        <v>1.1960850052319598E-3</v>
      </c>
      <c r="AT60" s="299">
        <f t="shared" si="10"/>
        <v>1.1691410474505806E-3</v>
      </c>
      <c r="AU60" s="299">
        <f t="shared" si="10"/>
        <v>1.1521166607458624E-3</v>
      </c>
      <c r="AV60" s="299">
        <f t="shared" si="10"/>
        <v>1.1415269419930095E-3</v>
      </c>
      <c r="AW60" s="299">
        <f t="shared" si="19"/>
        <v>1.1350037997517686E-3</v>
      </c>
      <c r="AX60" s="299">
        <f t="shared" si="19"/>
        <v>1.1310097611066747E-3</v>
      </c>
      <c r="AY60" s="299">
        <f t="shared" si="19"/>
        <v>1.1285732777793693E-3</v>
      </c>
      <c r="AZ60" s="306">
        <f t="shared" si="25"/>
        <v>0.12453700124337169</v>
      </c>
      <c r="BA60" s="2">
        <f t="shared" si="25"/>
        <v>0.12453700124337169</v>
      </c>
      <c r="BB60" s="2">
        <f t="shared" si="25"/>
        <v>0.12453700124337169</v>
      </c>
      <c r="BC60" s="2">
        <f t="shared" si="25"/>
        <v>0.12453700124337169</v>
      </c>
      <c r="BD60" s="2">
        <f t="shared" si="25"/>
        <v>0.12453700124337169</v>
      </c>
      <c r="BE60" s="2">
        <f t="shared" si="25"/>
        <v>0.11889815253996437</v>
      </c>
      <c r="BF60" s="2">
        <f t="shared" si="25"/>
        <v>0.11575596445333773</v>
      </c>
      <c r="BG60" s="2">
        <f t="shared" si="25"/>
        <v>0.11127294147728344</v>
      </c>
      <c r="BH60" s="2">
        <f t="shared" si="25"/>
        <v>0.10532333642669819</v>
      </c>
      <c r="BI60" s="2">
        <f t="shared" si="25"/>
        <v>9.8142435218890586E-2</v>
      </c>
      <c r="BJ60" s="2">
        <f t="shared" si="25"/>
        <v>9.0405317290578241E-2</v>
      </c>
      <c r="BK60" s="2">
        <f t="shared" si="25"/>
        <v>8.3024667495581128E-2</v>
      </c>
      <c r="BL60" s="2">
        <f t="shared" si="25"/>
        <v>7.675816511907238E-2</v>
      </c>
      <c r="BM60" s="2">
        <f t="shared" si="25"/>
        <v>7.1942684540423144E-2</v>
      </c>
      <c r="BN60" s="2">
        <f t="shared" si="25"/>
        <v>6.8518238385574456E-2</v>
      </c>
      <c r="BO60" s="2">
        <f t="shared" si="11"/>
        <v>6.6215012082678396E-2</v>
      </c>
      <c r="BP60" s="2">
        <f t="shared" si="11"/>
        <v>6.4723400297357833E-2</v>
      </c>
      <c r="BQ60" s="2">
        <f t="shared" si="11"/>
        <v>6.3780933861927111E-2</v>
      </c>
      <c r="BR60" s="2">
        <f t="shared" si="11"/>
        <v>6.3194689278887342E-2</v>
      </c>
      <c r="BS60" s="2">
        <f t="shared" si="20"/>
        <v>6.2833569508610618E-2</v>
      </c>
      <c r="BT60" s="2">
        <f t="shared" si="20"/>
        <v>6.2612460376745643E-2</v>
      </c>
      <c r="BU60" s="2">
        <f t="shared" si="20"/>
        <v>6.2477577176763131E-2</v>
      </c>
    </row>
    <row r="61" spans="1:73" x14ac:dyDescent="0.25">
      <c r="A61" t="s">
        <v>22</v>
      </c>
      <c r="B61" s="1" t="s">
        <v>5</v>
      </c>
      <c r="C61" t="s">
        <v>17</v>
      </c>
      <c r="D61" t="s">
        <v>17</v>
      </c>
      <c r="E61" s="97">
        <v>6.5386100000000003</v>
      </c>
      <c r="F61" s="5">
        <f t="shared" si="7"/>
        <v>1.6019594500000001E-2</v>
      </c>
      <c r="G61" s="1">
        <f>LOOKUP(RIGHT(D61,5),Ref!$C$4:$C$21,Ref!$E$4:$E$21)*$G$3</f>
        <v>3</v>
      </c>
      <c r="H61" s="36">
        <f t="shared" si="23"/>
        <v>6.5386100000000003</v>
      </c>
      <c r="I61" s="12">
        <f t="shared" si="23"/>
        <v>6.5386100000000003</v>
      </c>
      <c r="J61" s="12">
        <f t="shared" si="23"/>
        <v>6.5386100000000003</v>
      </c>
      <c r="K61" s="12">
        <f t="shared" si="23"/>
        <v>6.5386100000000003</v>
      </c>
      <c r="L61" s="12">
        <f t="shared" si="23"/>
        <v>6.5386100000000003</v>
      </c>
      <c r="M61" s="12">
        <f t="shared" si="22"/>
        <v>6.8487092886175702</v>
      </c>
      <c r="N61" s="12">
        <f t="shared" si="22"/>
        <v>7.0346170544687032</v>
      </c>
      <c r="O61" s="12">
        <f t="shared" si="22"/>
        <v>7.3180314179630388</v>
      </c>
      <c r="P61" s="12">
        <f t="shared" si="22"/>
        <v>7.7314193542154799</v>
      </c>
      <c r="Q61" s="12">
        <f t="shared" si="22"/>
        <v>8.2971130671840641</v>
      </c>
      <c r="R61" s="12">
        <f t="shared" si="22"/>
        <v>9.0072011924102426</v>
      </c>
      <c r="S61" s="12">
        <f t="shared" si="22"/>
        <v>9.8079150000000013</v>
      </c>
      <c r="T61" s="12">
        <f t="shared" si="22"/>
        <v>10.608628807589758</v>
      </c>
      <c r="U61" s="12">
        <f t="shared" si="22"/>
        <v>11.318716932815937</v>
      </c>
      <c r="V61" s="12">
        <f t="shared" si="22"/>
        <v>11.88441064578452</v>
      </c>
      <c r="W61" s="12">
        <f t="shared" si="22"/>
        <v>12.297798582036961</v>
      </c>
      <c r="X61" s="12">
        <f t="shared" si="22"/>
        <v>12.581212945531298</v>
      </c>
      <c r="Y61" s="12">
        <f t="shared" si="22"/>
        <v>12.767120711382431</v>
      </c>
      <c r="Z61" s="12">
        <f t="shared" si="22"/>
        <v>12.885558754886874</v>
      </c>
      <c r="AA61" s="12">
        <f t="shared" si="22"/>
        <v>12.95961518767977</v>
      </c>
      <c r="AB61" s="12">
        <f t="shared" si="22"/>
        <v>13.005380667046179</v>
      </c>
      <c r="AC61" s="12">
        <f t="shared" si="21"/>
        <v>13.033458058017963</v>
      </c>
      <c r="AD61" s="300">
        <f t="shared" si="24"/>
        <v>2.1019141841353527E-3</v>
      </c>
      <c r="AE61" s="299">
        <f t="shared" si="24"/>
        <v>2.1019141841353527E-3</v>
      </c>
      <c r="AF61" s="299">
        <f t="shared" si="24"/>
        <v>2.1019141841353527E-3</v>
      </c>
      <c r="AG61" s="299">
        <f t="shared" si="24"/>
        <v>2.1019141841353527E-3</v>
      </c>
      <c r="AH61" s="299">
        <f t="shared" si="24"/>
        <v>2.1019141841353527E-3</v>
      </c>
      <c r="AI61" s="299">
        <f t="shared" si="24"/>
        <v>2.0067426611859356E-3</v>
      </c>
      <c r="AJ61" s="299">
        <f t="shared" si="24"/>
        <v>1.9537093486558322E-3</v>
      </c>
      <c r="AK61" s="299">
        <f t="shared" si="24"/>
        <v>1.8780456544356795E-3</v>
      </c>
      <c r="AL61" s="299">
        <f t="shared" si="24"/>
        <v>1.7776292390653599E-3</v>
      </c>
      <c r="AM61" s="299">
        <f t="shared" si="24"/>
        <v>1.6564312179722608E-3</v>
      </c>
      <c r="AN61" s="299">
        <f t="shared" si="24"/>
        <v>1.525845466304234E-3</v>
      </c>
      <c r="AO61" s="299">
        <f t="shared" si="24"/>
        <v>1.4012761227569018E-3</v>
      </c>
      <c r="AP61" s="299">
        <f t="shared" si="24"/>
        <v>1.2955111685778507E-3</v>
      </c>
      <c r="AQ61" s="299">
        <f t="shared" si="24"/>
        <v>1.2142363118634902E-3</v>
      </c>
      <c r="AR61" s="299">
        <f t="shared" si="24"/>
        <v>1.1564390959853113E-3</v>
      </c>
      <c r="AS61" s="299">
        <f t="shared" si="10"/>
        <v>1.1175656367965023E-3</v>
      </c>
      <c r="AT61" s="299">
        <f t="shared" si="10"/>
        <v>1.0923904684731393E-3</v>
      </c>
      <c r="AU61" s="299">
        <f t="shared" si="10"/>
        <v>1.0764836813422043E-3</v>
      </c>
      <c r="AV61" s="299">
        <f t="shared" si="10"/>
        <v>1.0665891456446909E-3</v>
      </c>
      <c r="AW61" s="299">
        <f t="shared" si="19"/>
        <v>1.0604942279917996E-3</v>
      </c>
      <c r="AX61" s="299">
        <f t="shared" si="19"/>
        <v>1.0567623859218222E-3</v>
      </c>
      <c r="AY61" s="299">
        <f t="shared" si="19"/>
        <v>1.0544858503668127E-3</v>
      </c>
      <c r="AZ61" s="306">
        <f t="shared" si="25"/>
        <v>0.11636152321154156</v>
      </c>
      <c r="BA61" s="2">
        <f t="shared" si="25"/>
        <v>0.11636152321154156</v>
      </c>
      <c r="BB61" s="2">
        <f t="shared" si="25"/>
        <v>0.11636152321154156</v>
      </c>
      <c r="BC61" s="2">
        <f t="shared" si="25"/>
        <v>0.11636152321154156</v>
      </c>
      <c r="BD61" s="2">
        <f t="shared" si="25"/>
        <v>0.11636152321154156</v>
      </c>
      <c r="BE61" s="2">
        <f t="shared" si="25"/>
        <v>0.11109284789627796</v>
      </c>
      <c r="BF61" s="2">
        <f t="shared" si="25"/>
        <v>0.10815693496817948</v>
      </c>
      <c r="BG61" s="2">
        <f t="shared" si="25"/>
        <v>0.1039682089118438</v>
      </c>
      <c r="BH61" s="2">
        <f t="shared" si="25"/>
        <v>9.8409177465115238E-2</v>
      </c>
      <c r="BI61" s="2">
        <f t="shared" si="25"/>
        <v>9.1699680735390796E-2</v>
      </c>
      <c r="BJ61" s="2">
        <f t="shared" si="25"/>
        <v>8.4470481233096945E-2</v>
      </c>
      <c r="BK61" s="2">
        <f t="shared" si="25"/>
        <v>7.7574348807694371E-2</v>
      </c>
      <c r="BL61" s="2">
        <f t="shared" si="25"/>
        <v>7.1719223387464198E-2</v>
      </c>
      <c r="BM61" s="2">
        <f t="shared" si="25"/>
        <v>6.7219864566127191E-2</v>
      </c>
      <c r="BN61" s="2">
        <f t="shared" si="25"/>
        <v>6.4020222959570466E-2</v>
      </c>
      <c r="BO61" s="2">
        <f t="shared" si="11"/>
        <v>6.1868196507752091E-2</v>
      </c>
      <c r="BP61" s="2">
        <f t="shared" si="11"/>
        <v>6.0474504531493549E-2</v>
      </c>
      <c r="BQ61" s="2">
        <f t="shared" si="11"/>
        <v>5.9593908171314949E-2</v>
      </c>
      <c r="BR61" s="2">
        <f t="shared" si="11"/>
        <v>5.9046148774702274E-2</v>
      </c>
      <c r="BS61" s="2">
        <f t="shared" si="20"/>
        <v>5.870873542676814E-2</v>
      </c>
      <c r="BT61" s="2">
        <f t="shared" si="20"/>
        <v>5.8502141441663977E-2</v>
      </c>
      <c r="BU61" s="2">
        <f t="shared" si="20"/>
        <v>5.8376112916415167E-2</v>
      </c>
    </row>
    <row r="62" spans="1:73" x14ac:dyDescent="0.25">
      <c r="A62" t="s">
        <v>22</v>
      </c>
      <c r="B62" s="1" t="s">
        <v>5</v>
      </c>
      <c r="C62" t="s">
        <v>18</v>
      </c>
      <c r="D62" t="s">
        <v>18</v>
      </c>
      <c r="E62" s="97">
        <v>6.6389849999999999</v>
      </c>
      <c r="F62" s="5">
        <f t="shared" si="7"/>
        <v>1.6265513249999999E-2</v>
      </c>
      <c r="G62" s="1">
        <f>LOOKUP(RIGHT(D62,5),Ref!$C$4:$C$21,Ref!$E$4:$E$21)*$G$3</f>
        <v>3</v>
      </c>
      <c r="H62" s="36">
        <f t="shared" si="23"/>
        <v>6.6389849999999999</v>
      </c>
      <c r="I62" s="12">
        <f t="shared" si="23"/>
        <v>6.6389849999999999</v>
      </c>
      <c r="J62" s="12">
        <f t="shared" si="23"/>
        <v>6.6389849999999999</v>
      </c>
      <c r="K62" s="12">
        <f t="shared" si="23"/>
        <v>6.6389849999999999</v>
      </c>
      <c r="L62" s="12">
        <f t="shared" si="23"/>
        <v>6.6389849999999999</v>
      </c>
      <c r="M62" s="12">
        <f t="shared" si="22"/>
        <v>6.9538446606377677</v>
      </c>
      <c r="N62" s="12">
        <f t="shared" si="22"/>
        <v>7.1426063192883351</v>
      </c>
      <c r="O62" s="12">
        <f t="shared" si="22"/>
        <v>7.4303714112610084</v>
      </c>
      <c r="P62" s="12">
        <f t="shared" si="22"/>
        <v>7.8501053161675429</v>
      </c>
      <c r="Q62" s="12">
        <f t="shared" si="22"/>
        <v>8.4244830623540778</v>
      </c>
      <c r="R62" s="12">
        <f t="shared" si="22"/>
        <v>9.1454718370408568</v>
      </c>
      <c r="S62" s="12">
        <f t="shared" si="22"/>
        <v>9.9584775000000008</v>
      </c>
      <c r="T62" s="12">
        <f t="shared" si="22"/>
        <v>10.771483162959143</v>
      </c>
      <c r="U62" s="12">
        <f t="shared" si="22"/>
        <v>11.492471937645922</v>
      </c>
      <c r="V62" s="12">
        <f t="shared" si="22"/>
        <v>12.066849683832457</v>
      </c>
      <c r="W62" s="12">
        <f t="shared" si="22"/>
        <v>12.48658358873899</v>
      </c>
      <c r="X62" s="12">
        <f t="shared" si="22"/>
        <v>12.774348680711665</v>
      </c>
      <c r="Y62" s="12">
        <f t="shared" si="22"/>
        <v>12.963110339362231</v>
      </c>
      <c r="Z62" s="12">
        <f t="shared" si="22"/>
        <v>13.083366539725207</v>
      </c>
      <c r="AA62" s="12">
        <f t="shared" si="22"/>
        <v>13.158559821854823</v>
      </c>
      <c r="AB62" s="12">
        <f t="shared" si="22"/>
        <v>13.205027852679631</v>
      </c>
      <c r="AC62" s="12">
        <f t="shared" si="21"/>
        <v>13.233536263106437</v>
      </c>
      <c r="AD62" s="300">
        <f t="shared" si="24"/>
        <v>2.0701352847655569E-3</v>
      </c>
      <c r="AE62" s="299">
        <f t="shared" si="24"/>
        <v>2.0701352847655569E-3</v>
      </c>
      <c r="AF62" s="299">
        <f t="shared" si="24"/>
        <v>2.0701352847655569E-3</v>
      </c>
      <c r="AG62" s="299">
        <f t="shared" si="24"/>
        <v>2.0701352847655569E-3</v>
      </c>
      <c r="AH62" s="299">
        <f t="shared" si="24"/>
        <v>2.0701352847655569E-3</v>
      </c>
      <c r="AI62" s="299">
        <f t="shared" si="24"/>
        <v>1.9764026627348869E-3</v>
      </c>
      <c r="AJ62" s="299">
        <f t="shared" si="24"/>
        <v>1.9241711623410073E-3</v>
      </c>
      <c r="AK62" s="299">
        <f t="shared" si="24"/>
        <v>1.8496514296311379E-3</v>
      </c>
      <c r="AL62" s="299">
        <f t="shared" si="24"/>
        <v>1.7507532128548495E-3</v>
      </c>
      <c r="AM62" s="299">
        <f t="shared" si="24"/>
        <v>1.6313875880342558E-3</v>
      </c>
      <c r="AN62" s="299">
        <f t="shared" si="24"/>
        <v>1.5027761660000025E-3</v>
      </c>
      <c r="AO62" s="299">
        <f t="shared" si="24"/>
        <v>1.3800901898437044E-3</v>
      </c>
      <c r="AP62" s="299">
        <f t="shared" si="24"/>
        <v>1.2759242989666074E-3</v>
      </c>
      <c r="AQ62" s="299">
        <f t="shared" si="24"/>
        <v>1.1958782390853026E-3</v>
      </c>
      <c r="AR62" s="299">
        <f t="shared" si="24"/>
        <v>1.1389548609313798E-3</v>
      </c>
      <c r="AS62" s="299">
        <f t="shared" si="10"/>
        <v>1.1006691306598793E-3</v>
      </c>
      <c r="AT62" s="299">
        <f t="shared" si="10"/>
        <v>1.0758745864108978E-3</v>
      </c>
      <c r="AU62" s="299">
        <f t="shared" si="10"/>
        <v>1.06020829443973E-3</v>
      </c>
      <c r="AV62" s="299">
        <f t="shared" si="10"/>
        <v>1.0504633545043156E-3</v>
      </c>
      <c r="AW62" s="299">
        <f t="shared" si="19"/>
        <v>1.0444605860819782E-3</v>
      </c>
      <c r="AX62" s="299">
        <f t="shared" si="19"/>
        <v>1.0407851658366884E-3</v>
      </c>
      <c r="AY62" s="299">
        <f t="shared" si="19"/>
        <v>1.0385430492864415E-3</v>
      </c>
      <c r="AZ62" s="306">
        <f t="shared" si="25"/>
        <v>0.11460225008585165</v>
      </c>
      <c r="BA62" s="2">
        <f t="shared" si="25"/>
        <v>0.11460225008585165</v>
      </c>
      <c r="BB62" s="2">
        <f t="shared" si="25"/>
        <v>0.11460225008585165</v>
      </c>
      <c r="BC62" s="2">
        <f t="shared" si="25"/>
        <v>0.11460225008585165</v>
      </c>
      <c r="BD62" s="2">
        <f t="shared" si="25"/>
        <v>0.11460225008585165</v>
      </c>
      <c r="BE62" s="2">
        <f t="shared" si="25"/>
        <v>0.10941323202011785</v>
      </c>
      <c r="BF62" s="2">
        <f t="shared" si="25"/>
        <v>0.10652170724173771</v>
      </c>
      <c r="BG62" s="2">
        <f t="shared" si="25"/>
        <v>0.10239631065186487</v>
      </c>
      <c r="BH62" s="2">
        <f t="shared" si="25"/>
        <v>9.6921326357143012E-2</v>
      </c>
      <c r="BI62" s="2">
        <f t="shared" si="25"/>
        <v>9.0313270696233475E-2</v>
      </c>
      <c r="BJ62" s="2">
        <f t="shared" si="25"/>
        <v>8.3193369663516328E-2</v>
      </c>
      <c r="BK62" s="2">
        <f t="shared" si="25"/>
        <v>7.6401500057234423E-2</v>
      </c>
      <c r="BL62" s="2">
        <f t="shared" si="25"/>
        <v>7.0634898442082233E-2</v>
      </c>
      <c r="BM62" s="2">
        <f t="shared" si="25"/>
        <v>6.6203565552674828E-2</v>
      </c>
      <c r="BN62" s="2">
        <f t="shared" si="25"/>
        <v>6.3052299417106231E-2</v>
      </c>
      <c r="BO62" s="2">
        <f t="shared" si="11"/>
        <v>6.0932809513435104E-2</v>
      </c>
      <c r="BP62" s="2">
        <f t="shared" si="11"/>
        <v>5.9560188805166614E-2</v>
      </c>
      <c r="BQ62" s="2">
        <f t="shared" si="11"/>
        <v>5.8692906206000116E-2</v>
      </c>
      <c r="BR62" s="2">
        <f t="shared" si="11"/>
        <v>5.8153428399033293E-2</v>
      </c>
      <c r="BS62" s="2">
        <f t="shared" si="20"/>
        <v>5.7821116412948743E-2</v>
      </c>
      <c r="BT62" s="2">
        <f t="shared" si="20"/>
        <v>5.7617645928086679E-2</v>
      </c>
      <c r="BU62" s="2">
        <f t="shared" si="20"/>
        <v>5.7493522831637882E-2</v>
      </c>
    </row>
    <row r="63" spans="1:73" x14ac:dyDescent="0.25">
      <c r="A63" t="s">
        <v>22</v>
      </c>
      <c r="B63" s="1" t="s">
        <v>5</v>
      </c>
      <c r="C63" t="s">
        <v>6</v>
      </c>
      <c r="D63" t="s">
        <v>6</v>
      </c>
      <c r="E63" s="97">
        <v>6.8452099999999998</v>
      </c>
      <c r="F63" s="5">
        <f t="shared" si="7"/>
        <v>1.67707645E-2</v>
      </c>
      <c r="G63" s="1">
        <f>LOOKUP(RIGHT(D63,5),Ref!$C$4:$C$21,Ref!$E$4:$E$21)*$G$3</f>
        <v>3</v>
      </c>
      <c r="H63" s="36">
        <f t="shared" si="23"/>
        <v>6.8452099999999998</v>
      </c>
      <c r="I63" s="12">
        <f t="shared" si="23"/>
        <v>6.8452099999999998</v>
      </c>
      <c r="J63" s="12">
        <f t="shared" si="23"/>
        <v>6.8452099999999998</v>
      </c>
      <c r="K63" s="12">
        <f t="shared" si="23"/>
        <v>6.8452099999999998</v>
      </c>
      <c r="L63" s="12">
        <f t="shared" si="23"/>
        <v>6.8452099999999998</v>
      </c>
      <c r="M63" s="12">
        <f t="shared" si="22"/>
        <v>7.1698500613338112</v>
      </c>
      <c r="N63" s="12">
        <f t="shared" si="22"/>
        <v>7.3644751724632158</v>
      </c>
      <c r="O63" s="12">
        <f t="shared" si="22"/>
        <v>7.661179033855019</v>
      </c>
      <c r="P63" s="12">
        <f t="shared" si="22"/>
        <v>8.0939510198145079</v>
      </c>
      <c r="Q63" s="12">
        <f t="shared" si="22"/>
        <v>8.6861705069761044</v>
      </c>
      <c r="R63" s="12">
        <f t="shared" si="22"/>
        <v>9.4295551614637532</v>
      </c>
      <c r="S63" s="12">
        <f t="shared" si="22"/>
        <v>10.267814999999999</v>
      </c>
      <c r="T63" s="12">
        <f t="shared" si="22"/>
        <v>11.106074838536246</v>
      </c>
      <c r="U63" s="12">
        <f t="shared" si="22"/>
        <v>11.849459493023895</v>
      </c>
      <c r="V63" s="12">
        <f t="shared" si="22"/>
        <v>12.441678980185491</v>
      </c>
      <c r="W63" s="12">
        <f t="shared" si="22"/>
        <v>12.874450966144979</v>
      </c>
      <c r="X63" s="12">
        <f t="shared" si="22"/>
        <v>13.171154827536784</v>
      </c>
      <c r="Y63" s="12">
        <f t="shared" si="22"/>
        <v>13.365779938666188</v>
      </c>
      <c r="Z63" s="12">
        <f t="shared" si="22"/>
        <v>13.489771624938509</v>
      </c>
      <c r="AA63" s="12">
        <f t="shared" si="22"/>
        <v>13.56730061570539</v>
      </c>
      <c r="AB63" s="12">
        <f t="shared" si="22"/>
        <v>13.615212070435637</v>
      </c>
      <c r="AC63" s="12">
        <f t="shared" si="21"/>
        <v>13.644606029924576</v>
      </c>
      <c r="AD63" s="300">
        <f t="shared" si="24"/>
        <v>2.0077685130959109E-3</v>
      </c>
      <c r="AE63" s="299">
        <f t="shared" si="24"/>
        <v>2.0077685130959109E-3</v>
      </c>
      <c r="AF63" s="299">
        <f t="shared" si="24"/>
        <v>2.0077685130959109E-3</v>
      </c>
      <c r="AG63" s="299">
        <f t="shared" si="24"/>
        <v>2.0077685130959109E-3</v>
      </c>
      <c r="AH63" s="299">
        <f t="shared" si="24"/>
        <v>2.0077685130959109E-3</v>
      </c>
      <c r="AI63" s="299">
        <f t="shared" si="24"/>
        <v>1.9168597649826629E-3</v>
      </c>
      <c r="AJ63" s="299">
        <f t="shared" si="24"/>
        <v>1.8662018381049687E-3</v>
      </c>
      <c r="AK63" s="299">
        <f t="shared" si="24"/>
        <v>1.7939271543969697E-3</v>
      </c>
      <c r="AL63" s="299">
        <f t="shared" si="24"/>
        <v>1.6980084349267814E-3</v>
      </c>
      <c r="AM63" s="299">
        <f t="shared" si="24"/>
        <v>1.5822389270958239E-3</v>
      </c>
      <c r="AN63" s="299">
        <f t="shared" si="24"/>
        <v>1.4575021693171617E-3</v>
      </c>
      <c r="AO63" s="299">
        <f t="shared" si="24"/>
        <v>1.3385123420639408E-3</v>
      </c>
      <c r="AP63" s="299">
        <f t="shared" si="24"/>
        <v>1.2374846472167867E-3</v>
      </c>
      <c r="AQ63" s="299">
        <f t="shared" si="24"/>
        <v>1.1598501274780082E-3</v>
      </c>
      <c r="AR63" s="299">
        <f t="shared" si="24"/>
        <v>1.1046416746017312E-3</v>
      </c>
      <c r="AS63" s="299">
        <f t="shared" si="10"/>
        <v>1.0675093749372157E-3</v>
      </c>
      <c r="AT63" s="299">
        <f t="shared" si="10"/>
        <v>1.0434618135985827E-3</v>
      </c>
      <c r="AU63" s="299">
        <f t="shared" si="10"/>
        <v>1.0282674985370719E-3</v>
      </c>
      <c r="AV63" s="299">
        <f t="shared" si="10"/>
        <v>1.018816143493601E-3</v>
      </c>
      <c r="AW63" s="299">
        <f t="shared" si="19"/>
        <v>1.012994219912824E-3</v>
      </c>
      <c r="AX63" s="299">
        <f t="shared" si="19"/>
        <v>1.0094295287087301E-3</v>
      </c>
      <c r="AY63" s="299">
        <f t="shared" si="19"/>
        <v>1.0072549601936166E-3</v>
      </c>
      <c r="AZ63" s="306">
        <f t="shared" si="25"/>
        <v>0.11114963884033036</v>
      </c>
      <c r="BA63" s="2">
        <f t="shared" si="25"/>
        <v>0.11114963884033036</v>
      </c>
      <c r="BB63" s="2">
        <f t="shared" si="25"/>
        <v>0.11114963884033036</v>
      </c>
      <c r="BC63" s="2">
        <f t="shared" si="25"/>
        <v>0.11114963884033036</v>
      </c>
      <c r="BD63" s="2">
        <f t="shared" si="25"/>
        <v>0.11114963884033036</v>
      </c>
      <c r="BE63" s="2">
        <f t="shared" si="25"/>
        <v>0.10611694983544437</v>
      </c>
      <c r="BF63" s="2">
        <f t="shared" si="25"/>
        <v>0.10331253775301094</v>
      </c>
      <c r="BG63" s="2">
        <f t="shared" si="25"/>
        <v>9.9311426599486524E-2</v>
      </c>
      <c r="BH63" s="2">
        <f t="shared" si="25"/>
        <v>9.4001386643386711E-2</v>
      </c>
      <c r="BI63" s="2">
        <f t="shared" si="25"/>
        <v>8.7592411255934241E-2</v>
      </c>
      <c r="BJ63" s="2">
        <f t="shared" si="25"/>
        <v>8.068701081421023E-2</v>
      </c>
      <c r="BK63" s="2">
        <f t="shared" si="25"/>
        <v>7.4099759226886913E-2</v>
      </c>
      <c r="BL63" s="2">
        <f t="shared" si="25"/>
        <v>6.8506887478033143E-2</v>
      </c>
      <c r="BM63" s="2">
        <f t="shared" si="25"/>
        <v>6.420905693919178E-2</v>
      </c>
      <c r="BN63" s="2">
        <f t="shared" si="25"/>
        <v>6.1152728703089757E-2</v>
      </c>
      <c r="BO63" s="2">
        <f t="shared" si="11"/>
        <v>5.9097092473065542E-2</v>
      </c>
      <c r="BP63" s="2">
        <f t="shared" si="11"/>
        <v>5.7765824580205585E-2</v>
      </c>
      <c r="BQ63" s="2">
        <f t="shared" si="11"/>
        <v>5.6924670522605102E-2</v>
      </c>
      <c r="BR63" s="2">
        <f t="shared" si="11"/>
        <v>5.6401445512958115E-2</v>
      </c>
      <c r="BS63" s="2">
        <f t="shared" si="20"/>
        <v>5.6079145058927415E-2</v>
      </c>
      <c r="BT63" s="2">
        <f t="shared" si="20"/>
        <v>5.5881804510289464E-2</v>
      </c>
      <c r="BU63" s="2">
        <f t="shared" si="20"/>
        <v>5.5761420858732078E-2</v>
      </c>
    </row>
    <row r="64" spans="1:73" x14ac:dyDescent="0.25">
      <c r="A64" t="s">
        <v>22</v>
      </c>
      <c r="B64" s="1" t="s">
        <v>5</v>
      </c>
      <c r="C64" t="s">
        <v>7</v>
      </c>
      <c r="D64" t="s">
        <v>7</v>
      </c>
      <c r="E64" s="97">
        <v>6.4575069999999997</v>
      </c>
      <c r="F64" s="5">
        <f t="shared" si="7"/>
        <v>1.5820892150000002E-2</v>
      </c>
      <c r="G64" s="1">
        <f>LOOKUP(RIGHT(D64,5),Ref!$C$4:$C$21,Ref!$E$4:$E$21)*$G$3</f>
        <v>3.5</v>
      </c>
      <c r="H64" s="36">
        <f t="shared" si="23"/>
        <v>6.4575069999999997</v>
      </c>
      <c r="I64" s="12">
        <f t="shared" si="23"/>
        <v>6.4575069999999997</v>
      </c>
      <c r="J64" s="12">
        <f t="shared" si="23"/>
        <v>6.4575069999999997</v>
      </c>
      <c r="K64" s="12">
        <f t="shared" si="23"/>
        <v>6.4575069999999997</v>
      </c>
      <c r="L64" s="12">
        <f t="shared" si="23"/>
        <v>6.4575069999999997</v>
      </c>
      <c r="M64" s="12">
        <f t="shared" si="22"/>
        <v>6.7637599080252491</v>
      </c>
      <c r="N64" s="12">
        <f t="shared" si="22"/>
        <v>6.9473617284944398</v>
      </c>
      <c r="O64" s="12">
        <f t="shared" si="22"/>
        <v>7.2272607033782776</v>
      </c>
      <c r="P64" s="12">
        <f t="shared" si="22"/>
        <v>7.6355210969582128</v>
      </c>
      <c r="Q64" s="12">
        <f t="shared" si="22"/>
        <v>8.1941981110866937</v>
      </c>
      <c r="R64" s="12">
        <f t="shared" si="22"/>
        <v>8.8954785115487063</v>
      </c>
      <c r="S64" s="12">
        <f t="shared" si="22"/>
        <v>9.6862604999999995</v>
      </c>
      <c r="T64" s="12">
        <f t="shared" si="22"/>
        <v>10.477042488451293</v>
      </c>
      <c r="U64" s="12">
        <f t="shared" si="22"/>
        <v>11.178322888913305</v>
      </c>
      <c r="V64" s="12">
        <f t="shared" si="22"/>
        <v>11.736999903041786</v>
      </c>
      <c r="W64" s="12">
        <f t="shared" si="22"/>
        <v>12.14526029662172</v>
      </c>
      <c r="X64" s="12">
        <f t="shared" si="22"/>
        <v>12.42515927150556</v>
      </c>
      <c r="Y64" s="12">
        <f t="shared" si="22"/>
        <v>12.608761091974749</v>
      </c>
      <c r="Z64" s="12">
        <f t="shared" si="22"/>
        <v>12.725730064737501</v>
      </c>
      <c r="AA64" s="12">
        <f t="shared" si="22"/>
        <v>12.798867923266323</v>
      </c>
      <c r="AB64" s="12">
        <f t="shared" si="22"/>
        <v>12.844065741054346</v>
      </c>
      <c r="AC64" s="12">
        <f t="shared" si="21"/>
        <v>12.871794868306473</v>
      </c>
      <c r="AD64" s="300">
        <f t="shared" si="24"/>
        <v>2.1283131560723449E-3</v>
      </c>
      <c r="AE64" s="299">
        <f t="shared" si="24"/>
        <v>2.1283131560723449E-3</v>
      </c>
      <c r="AF64" s="299">
        <f t="shared" si="24"/>
        <v>2.1283131560723449E-3</v>
      </c>
      <c r="AG64" s="299">
        <f t="shared" si="24"/>
        <v>2.1283131560723449E-3</v>
      </c>
      <c r="AH64" s="299">
        <f t="shared" si="24"/>
        <v>2.1283131560723449E-3</v>
      </c>
      <c r="AI64" s="299">
        <f t="shared" si="24"/>
        <v>2.031946327252448E-3</v>
      </c>
      <c r="AJ64" s="299">
        <f t="shared" si="24"/>
        <v>1.978246943319537E-3</v>
      </c>
      <c r="AK64" s="299">
        <f t="shared" si="24"/>
        <v>1.9016329516250902E-3</v>
      </c>
      <c r="AL64" s="299">
        <f t="shared" si="24"/>
        <v>1.7999553572059857E-3</v>
      </c>
      <c r="AM64" s="299">
        <f t="shared" si="24"/>
        <v>1.6772351506774369E-3</v>
      </c>
      <c r="AN64" s="299">
        <f t="shared" si="24"/>
        <v>1.5450093084578194E-3</v>
      </c>
      <c r="AO64" s="299">
        <f t="shared" si="24"/>
        <v>1.4188754373815633E-3</v>
      </c>
      <c r="AP64" s="299">
        <f t="shared" si="24"/>
        <v>1.3117821292295653E-3</v>
      </c>
      <c r="AQ64" s="299">
        <f t="shared" si="24"/>
        <v>1.2294865016969764E-3</v>
      </c>
      <c r="AR64" s="299">
        <f t="shared" si="24"/>
        <v>1.1709633822155386E-3</v>
      </c>
      <c r="AS64" s="299">
        <f t="shared" si="10"/>
        <v>1.1316016921722235E-3</v>
      </c>
      <c r="AT64" s="299">
        <f t="shared" si="10"/>
        <v>1.1061103365529691E-3</v>
      </c>
      <c r="AU64" s="299">
        <f t="shared" si="10"/>
        <v>1.0900037682748081E-3</v>
      </c>
      <c r="AV64" s="299">
        <f t="shared" si="10"/>
        <v>1.0799849622468599E-3</v>
      </c>
      <c r="AW64" s="299">
        <f t="shared" si="19"/>
        <v>1.0738134955315514E-3</v>
      </c>
      <c r="AX64" s="299">
        <f t="shared" si="19"/>
        <v>1.0700347834252889E-3</v>
      </c>
      <c r="AY64" s="299">
        <f t="shared" si="19"/>
        <v>1.0677296557428349E-3</v>
      </c>
      <c r="AZ64" s="306">
        <f t="shared" si="25"/>
        <v>0.11782296469616181</v>
      </c>
      <c r="BA64" s="2">
        <f t="shared" si="25"/>
        <v>0.11782296469616181</v>
      </c>
      <c r="BB64" s="2">
        <f t="shared" si="25"/>
        <v>0.11782296469616181</v>
      </c>
      <c r="BC64" s="2">
        <f t="shared" si="25"/>
        <v>0.11782296469616181</v>
      </c>
      <c r="BD64" s="2">
        <f t="shared" si="25"/>
        <v>0.11782296469616181</v>
      </c>
      <c r="BE64" s="2">
        <f t="shared" si="25"/>
        <v>0.11248811750155008</v>
      </c>
      <c r="BF64" s="2">
        <f t="shared" si="25"/>
        <v>0.10951533100193124</v>
      </c>
      <c r="BG64" s="2">
        <f t="shared" si="25"/>
        <v>0.10527399667906998</v>
      </c>
      <c r="BH64" s="2">
        <f t="shared" si="25"/>
        <v>9.964514662782048E-2</v>
      </c>
      <c r="BI64" s="2">
        <f t="shared" si="25"/>
        <v>9.2851382035394406E-2</v>
      </c>
      <c r="BJ64" s="2">
        <f t="shared" si="25"/>
        <v>8.5531387468188572E-2</v>
      </c>
      <c r="BK64" s="2">
        <f t="shared" si="25"/>
        <v>7.8548643130774545E-2</v>
      </c>
      <c r="BL64" s="2">
        <f t="shared" si="25"/>
        <v>7.2619980316476207E-2</v>
      </c>
      <c r="BM64" s="2">
        <f t="shared" si="25"/>
        <v>6.806411183924771E-2</v>
      </c>
      <c r="BN64" s="2">
        <f t="shared" si="25"/>
        <v>6.482428436324994E-2</v>
      </c>
      <c r="BO64" s="2">
        <f t="shared" si="11"/>
        <v>6.2645229554927767E-2</v>
      </c>
      <c r="BP64" s="2">
        <f t="shared" si="11"/>
        <v>6.1234033517063018E-2</v>
      </c>
      <c r="BQ64" s="2">
        <f t="shared" si="11"/>
        <v>6.0342377314967166E-2</v>
      </c>
      <c r="BR64" s="2">
        <f t="shared" si="11"/>
        <v>5.9787738339231539E-2</v>
      </c>
      <c r="BS64" s="2">
        <f t="shared" si="20"/>
        <v>5.9446087251445567E-2</v>
      </c>
      <c r="BT64" s="2">
        <f t="shared" si="20"/>
        <v>5.9236898551078394E-2</v>
      </c>
      <c r="BU64" s="2">
        <f t="shared" si="20"/>
        <v>5.9109287171721446E-2</v>
      </c>
    </row>
    <row r="65" spans="1:73" x14ac:dyDescent="0.25">
      <c r="A65" t="s">
        <v>22</v>
      </c>
      <c r="B65" s="1" t="s">
        <v>5</v>
      </c>
      <c r="C65" t="s">
        <v>8</v>
      </c>
      <c r="D65" t="s">
        <v>8</v>
      </c>
      <c r="E65" s="97">
        <v>6.3655270000000002</v>
      </c>
      <c r="F65" s="5">
        <f t="shared" si="7"/>
        <v>1.5595541149999999E-2</v>
      </c>
      <c r="G65" s="1">
        <f>LOOKUP(RIGHT(D65,5),Ref!$C$4:$C$21,Ref!$E$4:$E$21)*$G$3</f>
        <v>4</v>
      </c>
      <c r="H65" s="36">
        <f t="shared" si="23"/>
        <v>6.3655270000000002</v>
      </c>
      <c r="I65" s="12">
        <f t="shared" si="23"/>
        <v>6.3655270000000002</v>
      </c>
      <c r="J65" s="12">
        <f t="shared" si="23"/>
        <v>6.3655270000000002</v>
      </c>
      <c r="K65" s="12">
        <f t="shared" si="23"/>
        <v>6.3655270000000002</v>
      </c>
      <c r="L65" s="12">
        <f t="shared" si="23"/>
        <v>6.3655270000000002</v>
      </c>
      <c r="M65" s="12">
        <f t="shared" si="22"/>
        <v>6.667417676210377</v>
      </c>
      <c r="N65" s="12">
        <f t="shared" si="22"/>
        <v>6.8484042930960856</v>
      </c>
      <c r="O65" s="12">
        <f t="shared" si="22"/>
        <v>7.1243164186106842</v>
      </c>
      <c r="P65" s="12">
        <f t="shared" si="22"/>
        <v>7.5267615972785045</v>
      </c>
      <c r="Q65" s="12">
        <f t="shared" si="22"/>
        <v>8.077480879149082</v>
      </c>
      <c r="R65" s="12">
        <f t="shared" si="22"/>
        <v>8.7687723208326531</v>
      </c>
      <c r="S65" s="12">
        <f t="shared" si="22"/>
        <v>9.5482905000000002</v>
      </c>
      <c r="T65" s="12">
        <f t="shared" si="22"/>
        <v>10.327808679167347</v>
      </c>
      <c r="U65" s="12">
        <f t="shared" si="22"/>
        <v>11.019100120850919</v>
      </c>
      <c r="V65" s="12">
        <f t="shared" si="22"/>
        <v>11.569819402721496</v>
      </c>
      <c r="W65" s="12">
        <f t="shared" si="22"/>
        <v>11.972264581389314</v>
      </c>
      <c r="X65" s="12">
        <f t="shared" si="22"/>
        <v>12.248176706903914</v>
      </c>
      <c r="Y65" s="12">
        <f t="shared" si="22"/>
        <v>12.429163323789624</v>
      </c>
      <c r="Z65" s="12">
        <f t="shared" si="22"/>
        <v>12.544466203722012</v>
      </c>
      <c r="AA65" s="12">
        <f t="shared" si="22"/>
        <v>12.616562294858637</v>
      </c>
      <c r="AB65" s="12">
        <f t="shared" si="22"/>
        <v>12.661116320037509</v>
      </c>
      <c r="AC65" s="12">
        <f t="shared" si="21"/>
        <v>12.688450476734491</v>
      </c>
      <c r="AD65" s="300">
        <f t="shared" si="24"/>
        <v>2.1590666575649212E-3</v>
      </c>
      <c r="AE65" s="299">
        <f t="shared" si="24"/>
        <v>2.1590666575649212E-3</v>
      </c>
      <c r="AF65" s="299">
        <f t="shared" si="24"/>
        <v>2.1590666575649212E-3</v>
      </c>
      <c r="AG65" s="299">
        <f t="shared" si="24"/>
        <v>2.1590666575649212E-3</v>
      </c>
      <c r="AH65" s="299">
        <f t="shared" si="24"/>
        <v>2.1590666575649212E-3</v>
      </c>
      <c r="AI65" s="299">
        <f t="shared" si="24"/>
        <v>2.061307356304823E-3</v>
      </c>
      <c r="AJ65" s="299">
        <f t="shared" si="24"/>
        <v>2.0068320320084281E-3</v>
      </c>
      <c r="AK65" s="299">
        <f t="shared" si="24"/>
        <v>1.9291109905825049E-3</v>
      </c>
      <c r="AL65" s="299">
        <f t="shared" si="24"/>
        <v>1.8259641847163876E-3</v>
      </c>
      <c r="AM65" s="299">
        <f t="shared" si="24"/>
        <v>1.7014707071614972E-3</v>
      </c>
      <c r="AN65" s="299">
        <f t="shared" si="24"/>
        <v>1.5673342402650289E-3</v>
      </c>
      <c r="AO65" s="299">
        <f t="shared" si="24"/>
        <v>1.4393777717099474E-3</v>
      </c>
      <c r="AP65" s="299">
        <f t="shared" si="24"/>
        <v>1.3307369966343433E-3</v>
      </c>
      <c r="AQ65" s="299">
        <f t="shared" si="24"/>
        <v>1.2472522213971815E-3</v>
      </c>
      <c r="AR65" s="299">
        <f t="shared" si="24"/>
        <v>1.1878834599869761E-3</v>
      </c>
      <c r="AS65" s="299">
        <f t="shared" si="10"/>
        <v>1.1479530050558231E-3</v>
      </c>
      <c r="AT65" s="299">
        <f t="shared" si="10"/>
        <v>1.1220933068170403E-3</v>
      </c>
      <c r="AU65" s="299">
        <f t="shared" si="10"/>
        <v>1.1057540033466121E-3</v>
      </c>
      <c r="AV65" s="299">
        <f t="shared" si="10"/>
        <v>1.0955904285071499E-3</v>
      </c>
      <c r="AW65" s="299">
        <f t="shared" si="19"/>
        <v>1.0893297859060941E-3</v>
      </c>
      <c r="AX65" s="299">
        <f t="shared" si="19"/>
        <v>1.0854964725170886E-3</v>
      </c>
      <c r="AY65" s="299">
        <f t="shared" si="19"/>
        <v>1.0831580364150438E-3</v>
      </c>
      <c r="AZ65" s="306">
        <f t="shared" si="25"/>
        <v>0.11952547201295631</v>
      </c>
      <c r="BA65" s="2">
        <f t="shared" si="25"/>
        <v>0.11952547201295631</v>
      </c>
      <c r="BB65" s="2">
        <f t="shared" si="25"/>
        <v>0.11952547201295631</v>
      </c>
      <c r="BC65" s="2">
        <f t="shared" si="25"/>
        <v>0.11952547201295631</v>
      </c>
      <c r="BD65" s="2">
        <f t="shared" si="25"/>
        <v>0.11952547201295631</v>
      </c>
      <c r="BE65" s="2">
        <f t="shared" si="25"/>
        <v>0.11411353783953505</v>
      </c>
      <c r="BF65" s="2">
        <f t="shared" si="25"/>
        <v>0.11109779544604682</v>
      </c>
      <c r="BG65" s="2">
        <f t="shared" si="25"/>
        <v>0.10679517508496485</v>
      </c>
      <c r="BH65" s="2">
        <f t="shared" si="25"/>
        <v>0.10108498979977261</v>
      </c>
      <c r="BI65" s="2">
        <f t="shared" si="25"/>
        <v>9.4193057299612984E-2</v>
      </c>
      <c r="BJ65" s="2">
        <f t="shared" si="25"/>
        <v>8.6767290955727619E-2</v>
      </c>
      <c r="BK65" s="2">
        <f t="shared" si="25"/>
        <v>7.9683648008637545E-2</v>
      </c>
      <c r="BL65" s="2">
        <f t="shared" si="25"/>
        <v>7.3669317753817909E-2</v>
      </c>
      <c r="BM65" s="2">
        <f t="shared" si="25"/>
        <v>6.904761831199914E-2</v>
      </c>
      <c r="BN65" s="2">
        <f t="shared" si="25"/>
        <v>6.5760976278268407E-2</v>
      </c>
      <c r="BO65" s="2">
        <f t="shared" si="11"/>
        <v>6.3550434766446354E-2</v>
      </c>
      <c r="BP65" s="2">
        <f t="shared" si="11"/>
        <v>6.2118847359326108E-2</v>
      </c>
      <c r="BQ65" s="2">
        <f t="shared" si="11"/>
        <v>6.121430698637232E-2</v>
      </c>
      <c r="BR65" s="2">
        <f t="shared" si="11"/>
        <v>6.0651653639950946E-2</v>
      </c>
      <c r="BS65" s="2">
        <f t="shared" si="20"/>
        <v>6.0305065794052946E-2</v>
      </c>
      <c r="BT65" s="2">
        <f t="shared" si="20"/>
        <v>6.0092854378259418E-2</v>
      </c>
      <c r="BU65" s="2">
        <f t="shared" si="20"/>
        <v>5.9963399051861904E-2</v>
      </c>
    </row>
    <row r="66" spans="1:73" x14ac:dyDescent="0.25">
      <c r="A66" t="s">
        <v>22</v>
      </c>
      <c r="B66" s="1" t="s">
        <v>5</v>
      </c>
      <c r="C66" t="s">
        <v>9</v>
      </c>
      <c r="D66" t="s">
        <v>9</v>
      </c>
      <c r="E66" s="97">
        <v>6.2068614999999996</v>
      </c>
      <c r="F66" s="5">
        <f t="shared" si="7"/>
        <v>1.5206810674999998E-2</v>
      </c>
      <c r="G66" s="1">
        <f>LOOKUP(RIGHT(D66,5),Ref!$C$4:$C$21,Ref!$E$4:$E$21)*$G$3</f>
        <v>4.5</v>
      </c>
      <c r="H66" s="36">
        <f t="shared" si="23"/>
        <v>6.2068614999999996</v>
      </c>
      <c r="I66" s="12">
        <f t="shared" si="23"/>
        <v>6.2068614999999996</v>
      </c>
      <c r="J66" s="12">
        <f t="shared" si="23"/>
        <v>6.2068614999999996</v>
      </c>
      <c r="K66" s="12">
        <f t="shared" si="23"/>
        <v>6.2068614999999996</v>
      </c>
      <c r="L66" s="12">
        <f t="shared" si="23"/>
        <v>6.2068614999999996</v>
      </c>
      <c r="M66" s="12">
        <f t="shared" si="22"/>
        <v>6.5012273263297216</v>
      </c>
      <c r="N66" s="12">
        <f t="shared" si="22"/>
        <v>6.6777027170339247</v>
      </c>
      <c r="O66" s="12">
        <f t="shared" si="22"/>
        <v>6.946737527386583</v>
      </c>
      <c r="P66" s="12">
        <f t="shared" si="22"/>
        <v>7.3391514603310064</v>
      </c>
      <c r="Q66" s="12">
        <f t="shared" si="22"/>
        <v>7.8761436540567002</v>
      </c>
      <c r="R66" s="12">
        <f t="shared" si="22"/>
        <v>8.5502041418474608</v>
      </c>
      <c r="S66" s="12">
        <f t="shared" si="22"/>
        <v>9.3102922499999998</v>
      </c>
      <c r="T66" s="12">
        <f t="shared" si="22"/>
        <v>10.070380358152539</v>
      </c>
      <c r="U66" s="12">
        <f t="shared" si="22"/>
        <v>10.744440845943299</v>
      </c>
      <c r="V66" s="12">
        <f t="shared" si="22"/>
        <v>11.281433039668993</v>
      </c>
      <c r="W66" s="12">
        <f t="shared" si="22"/>
        <v>11.673846972613415</v>
      </c>
      <c r="X66" s="12">
        <f t="shared" si="22"/>
        <v>11.942881782966074</v>
      </c>
      <c r="Y66" s="12">
        <f t="shared" si="22"/>
        <v>12.119357173670277</v>
      </c>
      <c r="Z66" s="12">
        <f t="shared" si="22"/>
        <v>12.23178604347029</v>
      </c>
      <c r="AA66" s="12">
        <f t="shared" si="22"/>
        <v>12.302085085855376</v>
      </c>
      <c r="AB66" s="12">
        <f t="shared" si="22"/>
        <v>12.345528568783463</v>
      </c>
      <c r="AC66" s="12">
        <f t="shared" si="21"/>
        <v>12.372181401272817</v>
      </c>
      <c r="AD66" s="300">
        <f t="shared" si="24"/>
        <v>2.2142587044240089E-3</v>
      </c>
      <c r="AE66" s="299">
        <f t="shared" si="24"/>
        <v>2.2142587044240089E-3</v>
      </c>
      <c r="AF66" s="299">
        <f t="shared" si="24"/>
        <v>2.2142587044240089E-3</v>
      </c>
      <c r="AG66" s="299">
        <f t="shared" si="24"/>
        <v>2.2142587044240089E-3</v>
      </c>
      <c r="AH66" s="299">
        <f t="shared" si="24"/>
        <v>2.2142587044240089E-3</v>
      </c>
      <c r="AI66" s="299">
        <f t="shared" si="24"/>
        <v>2.1140003900291591E-3</v>
      </c>
      <c r="AJ66" s="299">
        <f t="shared" si="24"/>
        <v>2.0581325174106936E-3</v>
      </c>
      <c r="AK66" s="299">
        <f t="shared" si="24"/>
        <v>1.9784246992702644E-3</v>
      </c>
      <c r="AL66" s="299">
        <f t="shared" si="24"/>
        <v>1.8726411599236028E-3</v>
      </c>
      <c r="AM66" s="299">
        <f t="shared" si="24"/>
        <v>1.7449652656411946E-3</v>
      </c>
      <c r="AN66" s="299">
        <f t="shared" si="24"/>
        <v>1.6073998790582854E-3</v>
      </c>
      <c r="AO66" s="299">
        <f t="shared" si="24"/>
        <v>1.4761724696160058E-3</v>
      </c>
      <c r="AP66" s="299">
        <f t="shared" si="24"/>
        <v>1.3647545191679919E-3</v>
      </c>
      <c r="AQ66" s="299">
        <f t="shared" si="24"/>
        <v>1.2791356293536979E-3</v>
      </c>
      <c r="AR66" s="299">
        <f t="shared" si="24"/>
        <v>1.2182492290830906E-3</v>
      </c>
      <c r="AS66" s="299">
        <f t="shared" si="10"/>
        <v>1.177298035152545E-3</v>
      </c>
      <c r="AT66" s="299">
        <f t="shared" si="10"/>
        <v>1.1507772875330236E-3</v>
      </c>
      <c r="AU66" s="299">
        <f t="shared" si="10"/>
        <v>1.1340203037655907E-3</v>
      </c>
      <c r="AV66" s="299">
        <f t="shared" si="10"/>
        <v>1.1235969182821033E-3</v>
      </c>
      <c r="AW66" s="299">
        <f t="shared" si="19"/>
        <v>1.1171762353790983E-3</v>
      </c>
      <c r="AX66" s="299">
        <f t="shared" si="19"/>
        <v>1.1132449313090498E-3</v>
      </c>
      <c r="AY66" s="299">
        <f t="shared" si="19"/>
        <v>1.1108467179535013E-3</v>
      </c>
      <c r="AZ66" s="306">
        <f t="shared" si="25"/>
        <v>0.12258089201542806</v>
      </c>
      <c r="BA66" s="2">
        <f t="shared" si="25"/>
        <v>0.12258089201542806</v>
      </c>
      <c r="BB66" s="2">
        <f t="shared" si="25"/>
        <v>0.12258089201542806</v>
      </c>
      <c r="BC66" s="2">
        <f t="shared" si="25"/>
        <v>0.12258089201542806</v>
      </c>
      <c r="BD66" s="2">
        <f t="shared" si="25"/>
        <v>0.12258089201542806</v>
      </c>
      <c r="BE66" s="2">
        <f t="shared" si="25"/>
        <v>0.11703061300515279</v>
      </c>
      <c r="BF66" s="2">
        <f t="shared" si="25"/>
        <v>0.11393777943205081</v>
      </c>
      <c r="BG66" s="2">
        <f t="shared" si="25"/>
        <v>0.10952517153364404</v>
      </c>
      <c r="BH66" s="2">
        <f t="shared" si="25"/>
        <v>0.10366901724247869</v>
      </c>
      <c r="BI66" s="2">
        <f t="shared" si="25"/>
        <v>9.6600906827586472E-2</v>
      </c>
      <c r="BJ66" s="2">
        <f t="shared" si="25"/>
        <v>8.8985316217469967E-2</v>
      </c>
      <c r="BK66" s="2">
        <f t="shared" si="25"/>
        <v>8.172059467695203E-2</v>
      </c>
      <c r="BL66" s="2">
        <f t="shared" si="25"/>
        <v>7.5552520582827132E-2</v>
      </c>
      <c r="BM66" s="2">
        <f t="shared" si="25"/>
        <v>7.0812677010873362E-2</v>
      </c>
      <c r="BN66" s="2">
        <f t="shared" si="25"/>
        <v>6.7442018811870869E-2</v>
      </c>
      <c r="BO66" s="2">
        <f t="shared" si="11"/>
        <v>6.5174969405641311E-2</v>
      </c>
      <c r="BP66" s="2">
        <f t="shared" si="11"/>
        <v>6.3706786445076796E-2</v>
      </c>
      <c r="BQ66" s="2">
        <f t="shared" si="11"/>
        <v>6.2779123379511803E-2</v>
      </c>
      <c r="BR66" s="2">
        <f t="shared" si="11"/>
        <v>6.2202086970968511E-2</v>
      </c>
      <c r="BS66" s="2">
        <f t="shared" si="20"/>
        <v>6.1846639327914843E-2</v>
      </c>
      <c r="BT66" s="2">
        <f t="shared" si="20"/>
        <v>6.1629003168812216E-2</v>
      </c>
      <c r="BU66" s="2">
        <f t="shared" si="20"/>
        <v>6.1496238586345356E-2</v>
      </c>
    </row>
    <row r="67" spans="1:73" x14ac:dyDescent="0.25">
      <c r="A67" t="s">
        <v>22</v>
      </c>
      <c r="B67" s="1" t="s">
        <v>5</v>
      </c>
      <c r="C67" t="s">
        <v>10</v>
      </c>
      <c r="D67" t="s">
        <v>10</v>
      </c>
      <c r="E67" s="97">
        <v>6.464296</v>
      </c>
      <c r="F67" s="5">
        <f t="shared" si="7"/>
        <v>1.5837525200000001E-2</v>
      </c>
      <c r="G67" s="1">
        <f>LOOKUP(RIGHT(D67,5),Ref!$C$4:$C$21,Ref!$E$4:$E$21)*$G$3</f>
        <v>4.5</v>
      </c>
      <c r="H67" s="36">
        <f t="shared" si="23"/>
        <v>6.464296</v>
      </c>
      <c r="I67" s="12">
        <f t="shared" si="23"/>
        <v>6.464296</v>
      </c>
      <c r="J67" s="12">
        <f t="shared" si="23"/>
        <v>6.464296</v>
      </c>
      <c r="K67" s="12">
        <f t="shared" si="23"/>
        <v>6.464296</v>
      </c>
      <c r="L67" s="12">
        <f t="shared" si="23"/>
        <v>6.464296</v>
      </c>
      <c r="M67" s="12">
        <f t="shared" si="22"/>
        <v>6.7708708822782517</v>
      </c>
      <c r="N67" s="12">
        <f t="shared" si="22"/>
        <v>6.9546657296786041</v>
      </c>
      <c r="O67" s="12">
        <f t="shared" si="22"/>
        <v>7.2348589720158865</v>
      </c>
      <c r="P67" s="12">
        <f t="shared" si="22"/>
        <v>7.6435485838393342</v>
      </c>
      <c r="Q67" s="12">
        <f t="shared" si="22"/>
        <v>8.202812954396375</v>
      </c>
      <c r="R67" s="12">
        <f t="shared" si="22"/>
        <v>8.9048306351491764</v>
      </c>
      <c r="S67" s="12">
        <f t="shared" si="22"/>
        <v>9.6964439999999996</v>
      </c>
      <c r="T67" s="12">
        <f t="shared" si="22"/>
        <v>10.488057364850823</v>
      </c>
      <c r="U67" s="12">
        <f t="shared" si="22"/>
        <v>11.190075045603626</v>
      </c>
      <c r="V67" s="12">
        <f t="shared" si="22"/>
        <v>11.749339416160666</v>
      </c>
      <c r="W67" s="12">
        <f t="shared" si="22"/>
        <v>12.158029027984112</v>
      </c>
      <c r="X67" s="12">
        <f t="shared" si="22"/>
        <v>12.438222270321397</v>
      </c>
      <c r="Y67" s="12">
        <f t="shared" si="22"/>
        <v>12.622017117721748</v>
      </c>
      <c r="Z67" s="12">
        <f t="shared" si="22"/>
        <v>12.73910906400293</v>
      </c>
      <c r="AA67" s="12">
        <f t="shared" si="22"/>
        <v>12.812323814886891</v>
      </c>
      <c r="AB67" s="12">
        <f t="shared" si="22"/>
        <v>12.857569150700828</v>
      </c>
      <c r="AC67" s="12">
        <f t="shared" si="21"/>
        <v>12.885327430541549</v>
      </c>
      <c r="AD67" s="300">
        <f t="shared" si="24"/>
        <v>2.1260779369523392E-3</v>
      </c>
      <c r="AE67" s="299">
        <f t="shared" si="24"/>
        <v>2.1260779369523392E-3</v>
      </c>
      <c r="AF67" s="299">
        <f t="shared" si="24"/>
        <v>2.1260779369523392E-3</v>
      </c>
      <c r="AG67" s="299">
        <f t="shared" si="24"/>
        <v>2.1260779369523392E-3</v>
      </c>
      <c r="AH67" s="299">
        <f t="shared" si="24"/>
        <v>2.1260779369523392E-3</v>
      </c>
      <c r="AI67" s="299">
        <f t="shared" si="24"/>
        <v>2.0298123155030297E-3</v>
      </c>
      <c r="AJ67" s="299">
        <f t="shared" si="24"/>
        <v>1.9761693282941426E-3</v>
      </c>
      <c r="AK67" s="299">
        <f t="shared" si="24"/>
        <v>1.8996357989407788E-3</v>
      </c>
      <c r="AL67" s="299">
        <f t="shared" si="24"/>
        <v>1.7980649894195986E-3</v>
      </c>
      <c r="AM67" s="299">
        <f t="shared" si="24"/>
        <v>1.6754736673793408E-3</v>
      </c>
      <c r="AN67" s="299">
        <f t="shared" si="24"/>
        <v>1.543386692755333E-3</v>
      </c>
      <c r="AO67" s="299">
        <f t="shared" si="24"/>
        <v>1.4173852913015597E-3</v>
      </c>
      <c r="AP67" s="299">
        <f t="shared" si="24"/>
        <v>1.31040445579454E-3</v>
      </c>
      <c r="AQ67" s="299">
        <f t="shared" si="24"/>
        <v>1.2281952576295603E-3</v>
      </c>
      <c r="AR67" s="299">
        <f t="shared" si="24"/>
        <v>1.1697336009057315E-3</v>
      </c>
      <c r="AS67" s="299">
        <f t="shared" si="10"/>
        <v>1.1304132497048369E-3</v>
      </c>
      <c r="AT67" s="299">
        <f t="shared" si="10"/>
        <v>1.1049486658815057E-3</v>
      </c>
      <c r="AU67" s="299">
        <f t="shared" si="10"/>
        <v>1.0888590132105567E-3</v>
      </c>
      <c r="AV67" s="299">
        <f t="shared" si="10"/>
        <v>1.0788507292370016E-3</v>
      </c>
      <c r="AW67" s="299">
        <f t="shared" si="19"/>
        <v>1.0726857439834843E-3</v>
      </c>
      <c r="AX67" s="299">
        <f t="shared" si="19"/>
        <v>1.068911000395447E-3</v>
      </c>
      <c r="AY67" s="299">
        <f t="shared" si="19"/>
        <v>1.066608293628099E-3</v>
      </c>
      <c r="AZ67" s="306">
        <f t="shared" si="25"/>
        <v>0.11769922343998755</v>
      </c>
      <c r="BA67" s="2">
        <f t="shared" si="25"/>
        <v>0.11769922343998755</v>
      </c>
      <c r="BB67" s="2">
        <f t="shared" si="25"/>
        <v>0.11769922343998755</v>
      </c>
      <c r="BC67" s="2">
        <f t="shared" si="25"/>
        <v>0.11769922343998755</v>
      </c>
      <c r="BD67" s="2">
        <f t="shared" si="25"/>
        <v>0.11769922343998755</v>
      </c>
      <c r="BE67" s="2">
        <f t="shared" si="25"/>
        <v>0.11236997906393552</v>
      </c>
      <c r="BF67" s="2">
        <f t="shared" si="25"/>
        <v>0.10940031467499137</v>
      </c>
      <c r="BG67" s="2">
        <f t="shared" si="25"/>
        <v>0.10516343473025849</v>
      </c>
      <c r="BH67" s="2">
        <f t="shared" si="25"/>
        <v>9.9540496268298528E-2</v>
      </c>
      <c r="BI67" s="2">
        <f t="shared" si="25"/>
        <v>9.2753866693795206E-2</v>
      </c>
      <c r="BJ67" s="2">
        <f t="shared" si="25"/>
        <v>8.5441559807214892E-2</v>
      </c>
      <c r="BK67" s="2">
        <f t="shared" si="25"/>
        <v>7.8466148959991711E-2</v>
      </c>
      <c r="BL67" s="2">
        <f t="shared" si="25"/>
        <v>7.254371260745289E-2</v>
      </c>
      <c r="BM67" s="2">
        <f t="shared" si="25"/>
        <v>6.799262884167509E-2</v>
      </c>
      <c r="BN67" s="2">
        <f t="shared" si="25"/>
        <v>6.4756203930896261E-2</v>
      </c>
      <c r="BO67" s="2">
        <f t="shared" si="11"/>
        <v>6.2579437632118484E-2</v>
      </c>
      <c r="BP67" s="2">
        <f t="shared" si="11"/>
        <v>6.1169723675195103E-2</v>
      </c>
      <c r="BQ67" s="2">
        <f t="shared" si="11"/>
        <v>6.0279003917525067E-2</v>
      </c>
      <c r="BR67" s="2">
        <f t="shared" si="11"/>
        <v>5.9724947440487883E-2</v>
      </c>
      <c r="BS67" s="2">
        <f t="shared" si="20"/>
        <v>5.9383655165051306E-2</v>
      </c>
      <c r="BT67" s="2">
        <f t="shared" si="20"/>
        <v>5.9174686161010966E-2</v>
      </c>
      <c r="BU67" s="2">
        <f t="shared" si="20"/>
        <v>5.904720880300058E-2</v>
      </c>
    </row>
    <row r="68" spans="1:73" x14ac:dyDescent="0.25">
      <c r="A68" t="s">
        <v>22</v>
      </c>
      <c r="B68" s="1" t="s">
        <v>5</v>
      </c>
      <c r="C68" t="s">
        <v>11</v>
      </c>
      <c r="D68" t="s">
        <v>11</v>
      </c>
      <c r="E68" s="97">
        <v>6.6269400000000003</v>
      </c>
      <c r="F68" s="5">
        <f t="shared" si="7"/>
        <v>1.6236002999999999E-2</v>
      </c>
      <c r="G68" s="1">
        <f>LOOKUP(RIGHT(D68,5),Ref!$C$4:$C$21,Ref!$E$4:$E$21)*$G$3</f>
        <v>4.5</v>
      </c>
      <c r="H68" s="36">
        <f t="shared" si="23"/>
        <v>6.6269400000000003</v>
      </c>
      <c r="I68" s="12">
        <f t="shared" si="23"/>
        <v>6.6269400000000003</v>
      </c>
      <c r="J68" s="12">
        <f t="shared" si="23"/>
        <v>6.6269400000000003</v>
      </c>
      <c r="K68" s="12">
        <f t="shared" si="23"/>
        <v>6.6269400000000003</v>
      </c>
      <c r="L68" s="12">
        <f t="shared" si="23"/>
        <v>6.6269400000000003</v>
      </c>
      <c r="M68" s="12">
        <f t="shared" si="22"/>
        <v>6.9412284159953446</v>
      </c>
      <c r="N68" s="12">
        <f t="shared" si="22"/>
        <v>7.1296476075099795</v>
      </c>
      <c r="O68" s="12">
        <f t="shared" si="22"/>
        <v>7.4168906120652522</v>
      </c>
      <c r="P68" s="12">
        <f t="shared" si="22"/>
        <v>7.8358630007332959</v>
      </c>
      <c r="Q68" s="12">
        <f t="shared" si="22"/>
        <v>8.4091986629336759</v>
      </c>
      <c r="R68" s="12">
        <f t="shared" si="22"/>
        <v>9.1288793596851825</v>
      </c>
      <c r="S68" s="12">
        <f t="shared" si="22"/>
        <v>9.94041</v>
      </c>
      <c r="T68" s="12">
        <f t="shared" si="22"/>
        <v>10.751940640314817</v>
      </c>
      <c r="U68" s="12">
        <f t="shared" si="22"/>
        <v>11.471621337066324</v>
      </c>
      <c r="V68" s="12">
        <f t="shared" si="22"/>
        <v>12.044956999266706</v>
      </c>
      <c r="W68" s="12">
        <f t="shared" si="22"/>
        <v>12.463929387934748</v>
      </c>
      <c r="X68" s="12">
        <f t="shared" si="22"/>
        <v>12.751172392490021</v>
      </c>
      <c r="Y68" s="12">
        <f t="shared" si="22"/>
        <v>12.939591584004656</v>
      </c>
      <c r="Z68" s="12">
        <f t="shared" si="22"/>
        <v>13.059629605544608</v>
      </c>
      <c r="AA68" s="12">
        <f t="shared" si="22"/>
        <v>13.134686465753818</v>
      </c>
      <c r="AB68" s="12">
        <f t="shared" ref="AB68:AC83" si="26">AB$3*$E68</f>
        <v>13.181070190403618</v>
      </c>
      <c r="AC68" s="12">
        <f t="shared" si="26"/>
        <v>13.20952687849582</v>
      </c>
      <c r="AD68" s="300">
        <f t="shared" si="24"/>
        <v>2.0738979232540599E-3</v>
      </c>
      <c r="AE68" s="299">
        <f t="shared" si="24"/>
        <v>2.0738979232540599E-3</v>
      </c>
      <c r="AF68" s="299">
        <f t="shared" si="24"/>
        <v>2.0738979232540599E-3</v>
      </c>
      <c r="AG68" s="299">
        <f t="shared" si="24"/>
        <v>2.0738979232540599E-3</v>
      </c>
      <c r="AH68" s="299">
        <f t="shared" si="24"/>
        <v>2.0738979232540599E-3</v>
      </c>
      <c r="AI68" s="299">
        <f t="shared" si="24"/>
        <v>1.9799949345937901E-3</v>
      </c>
      <c r="AJ68" s="299">
        <f t="shared" si="24"/>
        <v>1.9276684992190229E-3</v>
      </c>
      <c r="AK68" s="299">
        <f t="shared" si="24"/>
        <v>1.8530133208614654E-3</v>
      </c>
      <c r="AL68" s="299">
        <f t="shared" si="24"/>
        <v>1.7539353485688948E-3</v>
      </c>
      <c r="AM68" s="299">
        <f t="shared" si="24"/>
        <v>1.6343527670607556E-3</v>
      </c>
      <c r="AN68" s="299">
        <f t="shared" si="24"/>
        <v>1.5055075833539354E-3</v>
      </c>
      <c r="AO68" s="299">
        <f t="shared" si="24"/>
        <v>1.3825986155027066E-3</v>
      </c>
      <c r="AP68" s="299">
        <f t="shared" si="24"/>
        <v>1.2782433946851521E-3</v>
      </c>
      <c r="AQ68" s="299">
        <f t="shared" si="24"/>
        <v>1.1980518446090861E-3</v>
      </c>
      <c r="AR68" s="299">
        <f t="shared" si="24"/>
        <v>1.1410250036065688E-3</v>
      </c>
      <c r="AS68" s="299">
        <f t="shared" si="10"/>
        <v>1.102669685920497E-3</v>
      </c>
      <c r="AT68" s="299">
        <f t="shared" si="10"/>
        <v>1.0778300755798535E-3</v>
      </c>
      <c r="AU68" s="299">
        <f t="shared" si="10"/>
        <v>1.0621353088546071E-3</v>
      </c>
      <c r="AV68" s="299">
        <f t="shared" si="10"/>
        <v>1.0523726567018613E-3</v>
      </c>
      <c r="AW68" s="299">
        <f t="shared" si="19"/>
        <v>1.0463589777619023E-3</v>
      </c>
      <c r="AX68" s="299">
        <f t="shared" si="19"/>
        <v>1.0426768771427365E-3</v>
      </c>
      <c r="AY68" s="299">
        <f t="shared" si="19"/>
        <v>1.0404306853641267E-3</v>
      </c>
      <c r="AZ68" s="306">
        <f t="shared" si="25"/>
        <v>0.11481054895415044</v>
      </c>
      <c r="BA68" s="2">
        <f t="shared" si="25"/>
        <v>0.11481054895415044</v>
      </c>
      <c r="BB68" s="2">
        <f t="shared" si="25"/>
        <v>0.11481054895415044</v>
      </c>
      <c r="BC68" s="2">
        <f t="shared" si="25"/>
        <v>0.11481054895415044</v>
      </c>
      <c r="BD68" s="2">
        <f t="shared" si="25"/>
        <v>0.11481054895415044</v>
      </c>
      <c r="BE68" s="2">
        <f t="shared" si="25"/>
        <v>0.10961209942795348</v>
      </c>
      <c r="BF68" s="2">
        <f t="shared" si="25"/>
        <v>0.10671531906917642</v>
      </c>
      <c r="BG68" s="2">
        <f t="shared" si="25"/>
        <v>0.10258242423698888</v>
      </c>
      <c r="BH68" s="2">
        <f t="shared" si="25"/>
        <v>9.709748871502942E-2</v>
      </c>
      <c r="BI68" s="2">
        <f t="shared" si="25"/>
        <v>9.0477422377935157E-2</v>
      </c>
      <c r="BJ68" s="2">
        <f t="shared" si="25"/>
        <v>8.3344580348628475E-2</v>
      </c>
      <c r="BK68" s="2">
        <f t="shared" si="25"/>
        <v>7.654036596943363E-2</v>
      </c>
      <c r="BL68" s="2">
        <f t="shared" si="25"/>
        <v>7.0763283088953161E-2</v>
      </c>
      <c r="BM68" s="2">
        <f t="shared" si="25"/>
        <v>6.6323895893236534E-2</v>
      </c>
      <c r="BN68" s="2">
        <f t="shared" si="25"/>
        <v>6.316690207632436E-2</v>
      </c>
      <c r="BO68" s="2">
        <f t="shared" si="11"/>
        <v>6.1043559828148873E-2</v>
      </c>
      <c r="BP68" s="2">
        <f t="shared" si="11"/>
        <v>5.9668444270608911E-2</v>
      </c>
      <c r="BQ68" s="2">
        <f t="shared" si="11"/>
        <v>5.8799585315098921E-2</v>
      </c>
      <c r="BR68" s="2">
        <f t="shared" si="11"/>
        <v>5.8259126963539132E-2</v>
      </c>
      <c r="BS68" s="2">
        <f t="shared" si="20"/>
        <v>5.792621097351424E-2</v>
      </c>
      <c r="BT68" s="2">
        <f t="shared" si="20"/>
        <v>5.7722370664571962E-2</v>
      </c>
      <c r="BU68" s="2">
        <f t="shared" si="20"/>
        <v>5.7598021964345748E-2</v>
      </c>
    </row>
    <row r="69" spans="1:73" x14ac:dyDescent="0.25">
      <c r="A69" t="s">
        <v>23</v>
      </c>
      <c r="B69" s="1" t="s">
        <v>5</v>
      </c>
      <c r="C69" t="s">
        <v>13</v>
      </c>
      <c r="D69" t="s">
        <v>13</v>
      </c>
      <c r="E69" s="97">
        <v>5.4502895000000002</v>
      </c>
      <c r="F69" s="5">
        <f t="shared" si="7"/>
        <v>1.3353209275000002E-2</v>
      </c>
      <c r="G69" s="1">
        <f>LOOKUP(RIGHT(D69,5),Ref!$C$4:$C$21,Ref!$E$4:$E$21)*$G$3</f>
        <v>1.5</v>
      </c>
      <c r="H69" s="36">
        <f t="shared" si="23"/>
        <v>5.4502895000000002</v>
      </c>
      <c r="I69" s="12">
        <f t="shared" si="23"/>
        <v>5.4502895000000002</v>
      </c>
      <c r="J69" s="12">
        <f t="shared" si="23"/>
        <v>5.4502895000000002</v>
      </c>
      <c r="K69" s="12">
        <f t="shared" si="23"/>
        <v>5.4502895000000002</v>
      </c>
      <c r="L69" s="12">
        <f t="shared" si="23"/>
        <v>5.4502895000000002</v>
      </c>
      <c r="M69" s="12">
        <f t="shared" ref="M69:AB84" si="27">M$3*$E69</f>
        <v>5.708774238608024</v>
      </c>
      <c r="N69" s="12">
        <f t="shared" si="27"/>
        <v>5.8637385420588934</v>
      </c>
      <c r="O69" s="12">
        <f t="shared" si="27"/>
        <v>6.0999799342664662</v>
      </c>
      <c r="P69" s="12">
        <f t="shared" si="27"/>
        <v>6.4445614169337846</v>
      </c>
      <c r="Q69" s="12">
        <f t="shared" si="27"/>
        <v>6.9160981050079604</v>
      </c>
      <c r="R69" s="12">
        <f t="shared" si="27"/>
        <v>7.5079954429735105</v>
      </c>
      <c r="S69" s="12">
        <f t="shared" si="27"/>
        <v>8.1754342500000003</v>
      </c>
      <c r="T69" s="12">
        <f t="shared" si="27"/>
        <v>8.8428730570264911</v>
      </c>
      <c r="U69" s="12">
        <f t="shared" si="27"/>
        <v>9.4347703949920394</v>
      </c>
      <c r="V69" s="12">
        <f t="shared" si="27"/>
        <v>9.906307083066217</v>
      </c>
      <c r="W69" s="12">
        <f t="shared" si="27"/>
        <v>10.250888565733533</v>
      </c>
      <c r="X69" s="12">
        <f t="shared" si="27"/>
        <v>10.487129957941107</v>
      </c>
      <c r="Y69" s="12">
        <f t="shared" si="27"/>
        <v>10.642094261391977</v>
      </c>
      <c r="Z69" s="12">
        <f t="shared" si="27"/>
        <v>10.740818856514306</v>
      </c>
      <c r="AA69" s="12">
        <f t="shared" si="27"/>
        <v>10.802548948698817</v>
      </c>
      <c r="AB69" s="12">
        <f t="shared" si="27"/>
        <v>10.840696981943376</v>
      </c>
      <c r="AC69" s="12">
        <f t="shared" si="26"/>
        <v>10.864101024882306</v>
      </c>
      <c r="AD69" s="300">
        <f t="shared" si="24"/>
        <v>2.5216269894524426E-3</v>
      </c>
      <c r="AE69" s="299">
        <f t="shared" si="24"/>
        <v>2.5216269894524426E-3</v>
      </c>
      <c r="AF69" s="299">
        <f t="shared" si="24"/>
        <v>2.5216269894524426E-3</v>
      </c>
      <c r="AG69" s="299">
        <f t="shared" si="24"/>
        <v>2.5216269894524426E-3</v>
      </c>
      <c r="AH69" s="299">
        <f t="shared" si="24"/>
        <v>2.5216269894524426E-3</v>
      </c>
      <c r="AI69" s="299">
        <f t="shared" si="24"/>
        <v>2.4074514999353654E-3</v>
      </c>
      <c r="AJ69" s="299">
        <f t="shared" si="24"/>
        <v>2.3438284304374128E-3</v>
      </c>
      <c r="AK69" s="299">
        <f t="shared" si="24"/>
        <v>2.2530561168447438E-3</v>
      </c>
      <c r="AL69" s="299">
        <f t="shared" si="24"/>
        <v>2.1325884283477331E-3</v>
      </c>
      <c r="AM69" s="299">
        <f t="shared" si="24"/>
        <v>1.9871894375786099E-3</v>
      </c>
      <c r="AN69" s="299">
        <f t="shared" si="24"/>
        <v>1.8305281626657681E-3</v>
      </c>
      <c r="AO69" s="299">
        <f t="shared" si="24"/>
        <v>1.6810846596349617E-3</v>
      </c>
      <c r="AP69" s="299">
        <f t="shared" si="24"/>
        <v>1.5542004295321964E-3</v>
      </c>
      <c r="AQ69" s="299">
        <f t="shared" si="24"/>
        <v>1.4566965096282935E-3</v>
      </c>
      <c r="AR69" s="299">
        <f t="shared" si="24"/>
        <v>1.387358274711924E-3</v>
      </c>
      <c r="AS69" s="299">
        <f t="shared" si="10"/>
        <v>1.3407225154579365E-3</v>
      </c>
      <c r="AT69" s="299">
        <f t="shared" si="10"/>
        <v>1.3105203386101149E-3</v>
      </c>
      <c r="AU69" s="299">
        <f t="shared" si="10"/>
        <v>1.2914372646922608E-3</v>
      </c>
      <c r="AV69" s="299">
        <f t="shared" si="10"/>
        <v>1.2795669759567512E-3</v>
      </c>
      <c r="AW69" s="299">
        <f t="shared" si="19"/>
        <v>1.2722550176627245E-3</v>
      </c>
      <c r="AX69" s="299">
        <f t="shared" si="19"/>
        <v>1.2677779967857278E-3</v>
      </c>
      <c r="AY69" s="299">
        <f t="shared" si="19"/>
        <v>1.2650468798156402E-3</v>
      </c>
      <c r="AZ69" s="306">
        <f t="shared" si="25"/>
        <v>0.13959673505163675</v>
      </c>
      <c r="BA69" s="2">
        <f t="shared" si="25"/>
        <v>0.13959673505163675</v>
      </c>
      <c r="BB69" s="2">
        <f t="shared" si="25"/>
        <v>0.13959673505163675</v>
      </c>
      <c r="BC69" s="2">
        <f t="shared" si="25"/>
        <v>0.13959673505163675</v>
      </c>
      <c r="BD69" s="2">
        <f t="shared" si="25"/>
        <v>0.13959673505163675</v>
      </c>
      <c r="BE69" s="2">
        <f t="shared" si="25"/>
        <v>0.13327600417979302</v>
      </c>
      <c r="BF69" s="2">
        <f t="shared" si="25"/>
        <v>0.1297538445530807</v>
      </c>
      <c r="BG69" s="2">
        <f t="shared" si="25"/>
        <v>0.12472870853430282</v>
      </c>
      <c r="BH69" s="2">
        <f t="shared" si="25"/>
        <v>0.11805964286212266</v>
      </c>
      <c r="BI69" s="2">
        <f t="shared" si="25"/>
        <v>0.11001038558653327</v>
      </c>
      <c r="BJ69" s="2">
        <f t="shared" si="25"/>
        <v>0.10133765065058287</v>
      </c>
      <c r="BK69" s="2">
        <f t="shared" si="25"/>
        <v>9.3064490034424505E-2</v>
      </c>
      <c r="BL69" s="2">
        <f t="shared" si="25"/>
        <v>8.6040205980527681E-2</v>
      </c>
      <c r="BM69" s="2">
        <f t="shared" si="25"/>
        <v>8.064240966479394E-2</v>
      </c>
      <c r="BN69" s="2">
        <f t="shared" si="25"/>
        <v>7.6803859693265281E-2</v>
      </c>
      <c r="BO69" s="2">
        <f t="shared" si="11"/>
        <v>7.4222113956983929E-2</v>
      </c>
      <c r="BP69" s="2">
        <f t="shared" si="11"/>
        <v>7.2550127855532998E-2</v>
      </c>
      <c r="BQ69" s="2">
        <f t="shared" si="11"/>
        <v>7.1493692932832587E-2</v>
      </c>
      <c r="BR69" s="2">
        <f t="shared" si="11"/>
        <v>7.0836556267287465E-2</v>
      </c>
      <c r="BS69" s="2">
        <f t="shared" si="20"/>
        <v>7.0431767807713791E-2</v>
      </c>
      <c r="BT69" s="2">
        <f t="shared" si="20"/>
        <v>7.018392088197857E-2</v>
      </c>
      <c r="BU69" s="2">
        <f t="shared" si="20"/>
        <v>7.0032726826052341E-2</v>
      </c>
    </row>
    <row r="70" spans="1:73" x14ac:dyDescent="0.25">
      <c r="A70" t="s">
        <v>23</v>
      </c>
      <c r="B70" s="1" t="s">
        <v>5</v>
      </c>
      <c r="C70" t="s">
        <v>14</v>
      </c>
      <c r="D70" t="s">
        <v>14</v>
      </c>
      <c r="E70" s="97">
        <v>6.00352</v>
      </c>
      <c r="F70" s="5">
        <f t="shared" si="7"/>
        <v>1.4708624E-2</v>
      </c>
      <c r="G70" s="1">
        <f>LOOKUP(RIGHT(D70,5),Ref!$C$4:$C$21,Ref!$E$4:$E$21)*$G$3</f>
        <v>2</v>
      </c>
      <c r="H70" s="36">
        <f t="shared" ref="H70:L85" si="28">$E70</f>
        <v>6.00352</v>
      </c>
      <c r="I70" s="12">
        <f t="shared" si="28"/>
        <v>6.00352</v>
      </c>
      <c r="J70" s="12">
        <f t="shared" si="28"/>
        <v>6.00352</v>
      </c>
      <c r="K70" s="12">
        <f t="shared" si="28"/>
        <v>6.00352</v>
      </c>
      <c r="L70" s="12">
        <f t="shared" si="28"/>
        <v>6.00352</v>
      </c>
      <c r="M70" s="12">
        <f t="shared" si="27"/>
        <v>6.2882421781389857</v>
      </c>
      <c r="N70" s="12">
        <f t="shared" si="27"/>
        <v>6.458936100921135</v>
      </c>
      <c r="O70" s="12">
        <f t="shared" si="27"/>
        <v>6.7191571264182235</v>
      </c>
      <c r="P70" s="12">
        <f t="shared" si="27"/>
        <v>7.0987152806819367</v>
      </c>
      <c r="Q70" s="12">
        <f t="shared" si="27"/>
        <v>7.6181152020231933</v>
      </c>
      <c r="R70" s="12">
        <f t="shared" si="27"/>
        <v>8.2700929559430421</v>
      </c>
      <c r="S70" s="12">
        <f t="shared" si="27"/>
        <v>9.0052799999999991</v>
      </c>
      <c r="T70" s="12">
        <f t="shared" si="27"/>
        <v>9.7404670440569578</v>
      </c>
      <c r="U70" s="12">
        <f t="shared" si="27"/>
        <v>10.392444797976806</v>
      </c>
      <c r="V70" s="12">
        <f t="shared" si="27"/>
        <v>10.911844719318063</v>
      </c>
      <c r="W70" s="12">
        <f t="shared" si="27"/>
        <v>11.291402873581776</v>
      </c>
      <c r="X70" s="12">
        <f t="shared" si="27"/>
        <v>11.551623899078864</v>
      </c>
      <c r="Y70" s="12">
        <f t="shared" si="27"/>
        <v>11.722317821861015</v>
      </c>
      <c r="Z70" s="12">
        <f t="shared" si="27"/>
        <v>11.831063436439617</v>
      </c>
      <c r="AA70" s="12">
        <f t="shared" si="27"/>
        <v>11.899059428768384</v>
      </c>
      <c r="AB70" s="12">
        <f t="shared" si="27"/>
        <v>11.941079670178382</v>
      </c>
      <c r="AC70" s="12">
        <f t="shared" si="26"/>
        <v>11.966859335619038</v>
      </c>
      <c r="AD70" s="300">
        <f t="shared" si="24"/>
        <v>2.2892564867826306E-3</v>
      </c>
      <c r="AE70" s="299">
        <f t="shared" si="24"/>
        <v>2.2892564867826306E-3</v>
      </c>
      <c r="AF70" s="299">
        <f t="shared" si="24"/>
        <v>2.2892564867826306E-3</v>
      </c>
      <c r="AG70" s="299">
        <f t="shared" si="24"/>
        <v>2.2892564867826306E-3</v>
      </c>
      <c r="AH70" s="299">
        <f t="shared" si="24"/>
        <v>2.2892564867826306E-3</v>
      </c>
      <c r="AI70" s="299">
        <f t="shared" si="24"/>
        <v>2.1856023852434856E-3</v>
      </c>
      <c r="AJ70" s="299">
        <f t="shared" si="24"/>
        <v>2.1278422465844226E-3</v>
      </c>
      <c r="AK70" s="299">
        <f t="shared" si="24"/>
        <v>2.0454346944042295E-3</v>
      </c>
      <c r="AL70" s="299">
        <f t="shared" si="24"/>
        <v>1.9360682264480092E-3</v>
      </c>
      <c r="AM70" s="299">
        <f t="shared" si="24"/>
        <v>1.8040679011889031E-3</v>
      </c>
      <c r="AN70" s="299">
        <f t="shared" si="24"/>
        <v>1.6618431227732279E-3</v>
      </c>
      <c r="AO70" s="299">
        <f t="shared" si="24"/>
        <v>1.5261709911884207E-3</v>
      </c>
      <c r="AP70" s="299">
        <f t="shared" si="24"/>
        <v>1.4109792724892765E-3</v>
      </c>
      <c r="AQ70" s="299">
        <f t="shared" si="24"/>
        <v>1.3224604383950977E-3</v>
      </c>
      <c r="AR70" s="299">
        <f t="shared" si="24"/>
        <v>1.259511792648399E-3</v>
      </c>
      <c r="AS70" s="299">
        <f t="shared" si="10"/>
        <v>1.2171735662434668E-3</v>
      </c>
      <c r="AT70" s="299">
        <f t="shared" si="10"/>
        <v>1.1897545508406991E-3</v>
      </c>
      <c r="AU70" s="299">
        <f t="shared" si="10"/>
        <v>1.1724300016758417E-3</v>
      </c>
      <c r="AV70" s="299">
        <f t="shared" si="10"/>
        <v>1.1616535721716316E-3</v>
      </c>
      <c r="AW70" s="299">
        <f t="shared" si="19"/>
        <v>1.1550154183028393E-3</v>
      </c>
      <c r="AX70" s="299">
        <f t="shared" si="19"/>
        <v>1.1509509594724906E-3</v>
      </c>
      <c r="AY70" s="299">
        <f t="shared" si="19"/>
        <v>1.1484715177207615E-3</v>
      </c>
      <c r="AZ70" s="306">
        <f t="shared" si="25"/>
        <v>0.1267327533324146</v>
      </c>
      <c r="BA70" s="2">
        <f t="shared" si="25"/>
        <v>0.1267327533324146</v>
      </c>
      <c r="BB70" s="2">
        <f t="shared" si="25"/>
        <v>0.1267327533324146</v>
      </c>
      <c r="BC70" s="2">
        <f t="shared" si="25"/>
        <v>0.1267327533324146</v>
      </c>
      <c r="BD70" s="2">
        <f t="shared" si="25"/>
        <v>0.1267327533324146</v>
      </c>
      <c r="BE70" s="2">
        <f t="shared" si="25"/>
        <v>0.12099448426641071</v>
      </c>
      <c r="BF70" s="2">
        <f t="shared" si="25"/>
        <v>0.11779689524683654</v>
      </c>
      <c r="BG70" s="2">
        <f t="shared" si="25"/>
        <v>0.11323483064486685</v>
      </c>
      <c r="BH70" s="2">
        <f t="shared" si="25"/>
        <v>0.10718032618616696</v>
      </c>
      <c r="BI70" s="2">
        <f t="shared" si="25"/>
        <v>9.9872816190040778E-2</v>
      </c>
      <c r="BJ70" s="2">
        <f t="shared" si="25"/>
        <v>9.1999282636776425E-2</v>
      </c>
      <c r="BK70" s="2">
        <f t="shared" si="25"/>
        <v>8.4488502221609751E-2</v>
      </c>
      <c r="BL70" s="2">
        <f t="shared" si="25"/>
        <v>7.811151311788872E-2</v>
      </c>
      <c r="BM70" s="2">
        <f t="shared" si="25"/>
        <v>7.3211129245963194E-2</v>
      </c>
      <c r="BN70" s="2">
        <f t="shared" si="25"/>
        <v>6.9726305575008835E-2</v>
      </c>
      <c r="BO70" s="2">
        <f t="shared" si="11"/>
        <v>6.7382470345322895E-2</v>
      </c>
      <c r="BP70" s="2">
        <f t="shared" si="11"/>
        <v>6.5864559470888595E-2</v>
      </c>
      <c r="BQ70" s="2">
        <f t="shared" si="11"/>
        <v>6.4905476105358462E-2</v>
      </c>
      <c r="BR70" s="2">
        <f t="shared" si="11"/>
        <v>6.4308895254743231E-2</v>
      </c>
      <c r="BS70" s="2">
        <f t="shared" si="20"/>
        <v>6.3941408465170518E-2</v>
      </c>
      <c r="BT70" s="2">
        <f t="shared" si="20"/>
        <v>6.371640088679284E-2</v>
      </c>
      <c r="BU70" s="2">
        <f t="shared" si="20"/>
        <v>6.357913951754994E-2</v>
      </c>
    </row>
    <row r="71" spans="1:73" x14ac:dyDescent="0.25">
      <c r="A71" t="s">
        <v>23</v>
      </c>
      <c r="B71" s="1" t="s">
        <v>5</v>
      </c>
      <c r="C71" t="s">
        <v>15</v>
      </c>
      <c r="D71" t="s">
        <v>15</v>
      </c>
      <c r="E71" s="97">
        <v>6.1874799999999999</v>
      </c>
      <c r="F71" s="5">
        <f t="shared" ref="F71:F134" si="29">E71/$B$2*$F$3/1000</f>
        <v>1.5159325999999999E-2</v>
      </c>
      <c r="G71" s="1">
        <f>LOOKUP(RIGHT(D71,5),Ref!$C$4:$C$21,Ref!$E$4:$E$21)*$G$3</f>
        <v>2.5</v>
      </c>
      <c r="H71" s="36">
        <f t="shared" si="28"/>
        <v>6.1874799999999999</v>
      </c>
      <c r="I71" s="12">
        <f t="shared" si="28"/>
        <v>6.1874799999999999</v>
      </c>
      <c r="J71" s="12">
        <f t="shared" si="28"/>
        <v>6.1874799999999999</v>
      </c>
      <c r="K71" s="12">
        <f t="shared" si="28"/>
        <v>6.1874799999999999</v>
      </c>
      <c r="L71" s="12">
        <f t="shared" si="28"/>
        <v>6.1874799999999999</v>
      </c>
      <c r="M71" s="12">
        <f t="shared" si="27"/>
        <v>6.4809266417687308</v>
      </c>
      <c r="N71" s="12">
        <f t="shared" si="27"/>
        <v>6.6568509717178435</v>
      </c>
      <c r="O71" s="12">
        <f t="shared" si="27"/>
        <v>6.9250456959534121</v>
      </c>
      <c r="P71" s="12">
        <f t="shared" si="27"/>
        <v>7.3162342800413533</v>
      </c>
      <c r="Q71" s="12">
        <f t="shared" si="27"/>
        <v>7.8515496658984176</v>
      </c>
      <c r="R71" s="12">
        <f t="shared" si="27"/>
        <v>8.5235053373751484</v>
      </c>
      <c r="S71" s="12">
        <f t="shared" si="27"/>
        <v>9.2812199999999994</v>
      </c>
      <c r="T71" s="12">
        <f t="shared" si="27"/>
        <v>10.03893466262485</v>
      </c>
      <c r="U71" s="12">
        <f t="shared" si="27"/>
        <v>10.710890334101581</v>
      </c>
      <c r="V71" s="12">
        <f t="shared" si="27"/>
        <v>11.246205719958645</v>
      </c>
      <c r="W71" s="12">
        <f t="shared" si="27"/>
        <v>11.637394304046586</v>
      </c>
      <c r="X71" s="12">
        <f t="shared" si="27"/>
        <v>11.905589028282156</v>
      </c>
      <c r="Y71" s="12">
        <f t="shared" si="27"/>
        <v>12.08151335823127</v>
      </c>
      <c r="Z71" s="12">
        <f t="shared" si="27"/>
        <v>12.193591158470598</v>
      </c>
      <c r="AA71" s="12">
        <f t="shared" si="27"/>
        <v>12.263670685583758</v>
      </c>
      <c r="AB71" s="12">
        <f t="shared" si="27"/>
        <v>12.306978512212059</v>
      </c>
      <c r="AC71" s="12">
        <f t="shared" si="26"/>
        <v>12.333548118763007</v>
      </c>
      <c r="AD71" s="300">
        <f t="shared" si="24"/>
        <v>2.2211945902902734E-3</v>
      </c>
      <c r="AE71" s="299">
        <f t="shared" si="24"/>
        <v>2.2211945902902734E-3</v>
      </c>
      <c r="AF71" s="299">
        <f t="shared" si="24"/>
        <v>2.2211945902902734E-3</v>
      </c>
      <c r="AG71" s="299">
        <f t="shared" si="24"/>
        <v>2.2211945902902734E-3</v>
      </c>
      <c r="AH71" s="299">
        <f t="shared" si="24"/>
        <v>2.2211945902902734E-3</v>
      </c>
      <c r="AI71" s="299">
        <f t="shared" si="24"/>
        <v>2.1206222293820702E-3</v>
      </c>
      <c r="AJ71" s="299">
        <f t="shared" si="24"/>
        <v>2.0645793577053198E-3</v>
      </c>
      <c r="AK71" s="299">
        <f t="shared" si="24"/>
        <v>1.9846218648867844E-3</v>
      </c>
      <c r="AL71" s="299">
        <f t="shared" si="24"/>
        <v>1.878506971957106E-3</v>
      </c>
      <c r="AM71" s="299">
        <f t="shared" si="24"/>
        <v>1.7504311490535087E-3</v>
      </c>
      <c r="AN71" s="299">
        <f t="shared" si="24"/>
        <v>1.6124348562632168E-3</v>
      </c>
      <c r="AO71" s="299">
        <f t="shared" si="24"/>
        <v>1.4807963935268488E-3</v>
      </c>
      <c r="AP71" s="299">
        <f t="shared" si="24"/>
        <v>1.3690294404143241E-3</v>
      </c>
      <c r="AQ71" s="299">
        <f t="shared" si="24"/>
        <v>1.2831423602361119E-3</v>
      </c>
      <c r="AR71" s="299">
        <f t="shared" si="24"/>
        <v>1.2220652410028826E-3</v>
      </c>
      <c r="AS71" s="299">
        <f t="shared" si="10"/>
        <v>1.1809857726269787E-3</v>
      </c>
      <c r="AT71" s="299">
        <f t="shared" si="10"/>
        <v>1.1543819521134863E-3</v>
      </c>
      <c r="AU71" s="299">
        <f t="shared" si="10"/>
        <v>1.1375724792097833E-3</v>
      </c>
      <c r="AV71" s="299">
        <f t="shared" si="10"/>
        <v>1.1271164437871043E-3</v>
      </c>
      <c r="AW71" s="299">
        <f t="shared" si="19"/>
        <v>1.1206756489054448E-3</v>
      </c>
      <c r="AX71" s="299">
        <f t="shared" si="19"/>
        <v>1.1167320305216803E-3</v>
      </c>
      <c r="AY71" s="299">
        <f t="shared" si="19"/>
        <v>1.1143263050655428E-3</v>
      </c>
      <c r="AZ71" s="306">
        <f t="shared" si="25"/>
        <v>0.12296486118520267</v>
      </c>
      <c r="BA71" s="2">
        <f t="shared" si="25"/>
        <v>0.12296486118520267</v>
      </c>
      <c r="BB71" s="2">
        <f t="shared" si="25"/>
        <v>0.12296486118520267</v>
      </c>
      <c r="BC71" s="2">
        <f t="shared" si="25"/>
        <v>0.12296486118520267</v>
      </c>
      <c r="BD71" s="2">
        <f t="shared" si="25"/>
        <v>0.12296486118520267</v>
      </c>
      <c r="BE71" s="2">
        <f t="shared" si="25"/>
        <v>0.11739719662658822</v>
      </c>
      <c r="BF71" s="2">
        <f t="shared" si="25"/>
        <v>0.11429467514275408</v>
      </c>
      <c r="BG71" s="2">
        <f t="shared" si="25"/>
        <v>0.10986824530714784</v>
      </c>
      <c r="BH71" s="2">
        <f t="shared" si="25"/>
        <v>0.10399374735193927</v>
      </c>
      <c r="BI71" s="2">
        <f t="shared" si="25"/>
        <v>9.690349697344211E-2</v>
      </c>
      <c r="BJ71" s="2">
        <f t="shared" si="25"/>
        <v>8.9264051487122395E-2</v>
      </c>
      <c r="BK71" s="2">
        <f t="shared" si="25"/>
        <v>8.1976574123468454E-2</v>
      </c>
      <c r="BL71" s="2">
        <f t="shared" si="25"/>
        <v>7.578917931589392E-2</v>
      </c>
      <c r="BM71" s="2">
        <f t="shared" si="25"/>
        <v>7.1034488782303132E-2</v>
      </c>
      <c r="BN71" s="2">
        <f t="shared" si="25"/>
        <v>6.7653272422000074E-2</v>
      </c>
      <c r="BO71" s="2">
        <f t="shared" si="11"/>
        <v>6.5379121769695084E-2</v>
      </c>
      <c r="BP71" s="2">
        <f t="shared" si="11"/>
        <v>6.3906339911348253E-2</v>
      </c>
      <c r="BQ71" s="2">
        <f t="shared" si="11"/>
        <v>6.2975771058337418E-2</v>
      </c>
      <c r="BR71" s="2">
        <f t="shared" si="11"/>
        <v>6.2396927156088751E-2</v>
      </c>
      <c r="BS71" s="2">
        <f t="shared" si="20"/>
        <v>6.2040366118164499E-2</v>
      </c>
      <c r="BT71" s="2">
        <f t="shared" si="20"/>
        <v>6.1822048241267608E-2</v>
      </c>
      <c r="BU71" s="2">
        <f t="shared" si="20"/>
        <v>6.1688867790506217E-2</v>
      </c>
    </row>
    <row r="72" spans="1:73" x14ac:dyDescent="0.25">
      <c r="A72" t="s">
        <v>23</v>
      </c>
      <c r="B72" s="1" t="s">
        <v>5</v>
      </c>
      <c r="C72" t="s">
        <v>16</v>
      </c>
      <c r="D72" t="s">
        <v>16</v>
      </c>
      <c r="E72" s="97">
        <v>6.2152200000000004</v>
      </c>
      <c r="F72" s="5">
        <f t="shared" si="29"/>
        <v>1.5227289000000001E-2</v>
      </c>
      <c r="G72" s="1">
        <f>LOOKUP(RIGHT(D72,5),Ref!$C$4:$C$21,Ref!$E$4:$E$21)*$G$3</f>
        <v>3</v>
      </c>
      <c r="H72" s="36">
        <f t="shared" si="28"/>
        <v>6.2152200000000004</v>
      </c>
      <c r="I72" s="12">
        <f t="shared" si="28"/>
        <v>6.2152200000000004</v>
      </c>
      <c r="J72" s="12">
        <f t="shared" si="28"/>
        <v>6.2152200000000004</v>
      </c>
      <c r="K72" s="12">
        <f t="shared" si="28"/>
        <v>6.2152200000000004</v>
      </c>
      <c r="L72" s="12">
        <f t="shared" si="28"/>
        <v>6.2152200000000004</v>
      </c>
      <c r="M72" s="12">
        <f t="shared" si="27"/>
        <v>6.5099822354906767</v>
      </c>
      <c r="N72" s="12">
        <f t="shared" si="27"/>
        <v>6.6866952776316335</v>
      </c>
      <c r="O72" s="12">
        <f t="shared" si="27"/>
        <v>6.9560923850103062</v>
      </c>
      <c r="P72" s="12">
        <f t="shared" si="27"/>
        <v>7.3490347640717424</v>
      </c>
      <c r="Q72" s="12">
        <f t="shared" si="27"/>
        <v>7.8867501009272223</v>
      </c>
      <c r="R72" s="12">
        <f t="shared" si="27"/>
        <v>8.5617183155276102</v>
      </c>
      <c r="S72" s="12">
        <f t="shared" si="27"/>
        <v>9.3228299999999997</v>
      </c>
      <c r="T72" s="12">
        <f t="shared" si="27"/>
        <v>10.083941684472391</v>
      </c>
      <c r="U72" s="12">
        <f t="shared" si="27"/>
        <v>10.75890989907278</v>
      </c>
      <c r="V72" s="12">
        <f t="shared" si="27"/>
        <v>11.296625235928259</v>
      </c>
      <c r="W72" s="12">
        <f t="shared" si="27"/>
        <v>11.689567614989693</v>
      </c>
      <c r="X72" s="12">
        <f t="shared" si="27"/>
        <v>11.958964722368368</v>
      </c>
      <c r="Y72" s="12">
        <f t="shared" si="27"/>
        <v>12.135677764509325</v>
      </c>
      <c r="Z72" s="12">
        <f t="shared" si="27"/>
        <v>12.248258037189556</v>
      </c>
      <c r="AA72" s="12">
        <f t="shared" si="27"/>
        <v>12.318651748119411</v>
      </c>
      <c r="AB72" s="12">
        <f t="shared" si="27"/>
        <v>12.362153734423487</v>
      </c>
      <c r="AC72" s="12">
        <f t="shared" si="26"/>
        <v>12.388842459078369</v>
      </c>
      <c r="AD72" s="300">
        <f t="shared" si="24"/>
        <v>2.2112808723632081E-3</v>
      </c>
      <c r="AE72" s="299">
        <f t="shared" si="24"/>
        <v>2.2112808723632081E-3</v>
      </c>
      <c r="AF72" s="299">
        <f t="shared" si="24"/>
        <v>2.2112808723632081E-3</v>
      </c>
      <c r="AG72" s="299">
        <f t="shared" si="24"/>
        <v>2.2112808723632081E-3</v>
      </c>
      <c r="AH72" s="299">
        <f t="shared" si="24"/>
        <v>2.2112808723632081E-3</v>
      </c>
      <c r="AI72" s="299">
        <f t="shared" si="24"/>
        <v>2.1111573897395382E-3</v>
      </c>
      <c r="AJ72" s="299">
        <f t="shared" si="24"/>
        <v>2.0553646506824394E-3</v>
      </c>
      <c r="AK72" s="299">
        <f t="shared" si="24"/>
        <v>1.9757640271059881E-3</v>
      </c>
      <c r="AL72" s="299">
        <f t="shared" si="24"/>
        <v>1.8701227500949528E-3</v>
      </c>
      <c r="AM72" s="299">
        <f t="shared" si="24"/>
        <v>1.7426185599456821E-3</v>
      </c>
      <c r="AN72" s="299">
        <f t="shared" si="24"/>
        <v>1.6052381773181848E-3</v>
      </c>
      <c r="AO72" s="299">
        <f t="shared" si="24"/>
        <v>1.4741872482421389E-3</v>
      </c>
      <c r="AP72" s="299">
        <f t="shared" si="24"/>
        <v>1.3629191375325123E-3</v>
      </c>
      <c r="AQ72" s="299">
        <f t="shared" si="24"/>
        <v>1.2774153917502094E-3</v>
      </c>
      <c r="AR72" s="299">
        <f t="shared" si="24"/>
        <v>1.216610874176701E-3</v>
      </c>
      <c r="AS72" s="299">
        <f t="shared" si="10"/>
        <v>1.1757147532048711E-3</v>
      </c>
      <c r="AT72" s="299">
        <f t="shared" si="10"/>
        <v>1.1492296718480044E-3</v>
      </c>
      <c r="AU72" s="299">
        <f t="shared" si="10"/>
        <v>1.1324952236060749E-3</v>
      </c>
      <c r="AV72" s="299">
        <f t="shared" si="10"/>
        <v>1.1220858559477915E-3</v>
      </c>
      <c r="AW72" s="299">
        <f t="shared" si="19"/>
        <v>1.1156738078602947E-3</v>
      </c>
      <c r="AX72" s="299">
        <f t="shared" si="19"/>
        <v>1.1117477907800989E-3</v>
      </c>
      <c r="AY72" s="299">
        <f t="shared" si="19"/>
        <v>1.1093528026468805E-3</v>
      </c>
      <c r="AZ72" s="306">
        <f t="shared" si="25"/>
        <v>0.12241603986443243</v>
      </c>
      <c r="BA72" s="2">
        <f t="shared" si="25"/>
        <v>0.12241603986443243</v>
      </c>
      <c r="BB72" s="2">
        <f t="shared" si="25"/>
        <v>0.12241603986443243</v>
      </c>
      <c r="BC72" s="2">
        <f t="shared" si="25"/>
        <v>0.12241603986443243</v>
      </c>
      <c r="BD72" s="2">
        <f t="shared" si="25"/>
        <v>0.12241603986443243</v>
      </c>
      <c r="BE72" s="2">
        <f t="shared" si="25"/>
        <v>0.1168732251123986</v>
      </c>
      <c r="BF72" s="2">
        <f t="shared" si="25"/>
        <v>0.11378455091731073</v>
      </c>
      <c r="BG72" s="2">
        <f t="shared" si="25"/>
        <v>0.10937787728721927</v>
      </c>
      <c r="BH72" s="2">
        <f t="shared" si="25"/>
        <v>0.1035295986087664</v>
      </c>
      <c r="BI72" s="2">
        <f t="shared" si="25"/>
        <v>9.647099369824938E-2</v>
      </c>
      <c r="BJ72" s="2">
        <f t="shared" si="25"/>
        <v>8.8865644867846996E-2</v>
      </c>
      <c r="BK72" s="2">
        <f t="shared" si="25"/>
        <v>8.161069324295496E-2</v>
      </c>
      <c r="BL72" s="2">
        <f t="shared" si="25"/>
        <v>7.5450914244951456E-2</v>
      </c>
      <c r="BM72" s="2">
        <f t="shared" si="25"/>
        <v>7.0717445022175376E-2</v>
      </c>
      <c r="BN72" s="2">
        <f t="shared" si="25"/>
        <v>6.7351319831908923E-2</v>
      </c>
      <c r="BO72" s="2">
        <f t="shared" si="11"/>
        <v>6.5087319252987497E-2</v>
      </c>
      <c r="BP72" s="2">
        <f t="shared" si="11"/>
        <v>6.3621110769155234E-2</v>
      </c>
      <c r="BQ72" s="2">
        <f t="shared" si="11"/>
        <v>6.2694695265500117E-2</v>
      </c>
      <c r="BR72" s="2">
        <f t="shared" si="11"/>
        <v>6.2118434880785556E-2</v>
      </c>
      <c r="BS72" s="2">
        <f t="shared" si="20"/>
        <v>6.1763465259286145E-2</v>
      </c>
      <c r="BT72" s="2">
        <f t="shared" si="20"/>
        <v>6.1546121786819855E-2</v>
      </c>
      <c r="BU72" s="2">
        <f t="shared" si="20"/>
        <v>6.1413535751976819E-2</v>
      </c>
    </row>
    <row r="73" spans="1:73" x14ac:dyDescent="0.25">
      <c r="A73" t="s">
        <v>23</v>
      </c>
      <c r="B73" s="1" t="s">
        <v>5</v>
      </c>
      <c r="C73" t="s">
        <v>17</v>
      </c>
      <c r="D73" t="s">
        <v>17</v>
      </c>
      <c r="E73" s="97">
        <v>6.1198090000000001</v>
      </c>
      <c r="F73" s="5">
        <f t="shared" si="29"/>
        <v>1.4993532050000001E-2</v>
      </c>
      <c r="G73" s="1">
        <f>LOOKUP(RIGHT(D73,5),Ref!$C$4:$C$21,Ref!$E$4:$E$21)*$G$3</f>
        <v>3</v>
      </c>
      <c r="H73" s="36">
        <f t="shared" si="28"/>
        <v>6.1198090000000001</v>
      </c>
      <c r="I73" s="12">
        <f t="shared" si="28"/>
        <v>6.1198090000000001</v>
      </c>
      <c r="J73" s="12">
        <f t="shared" si="28"/>
        <v>6.1198090000000001</v>
      </c>
      <c r="K73" s="12">
        <f t="shared" si="28"/>
        <v>6.1198090000000001</v>
      </c>
      <c r="L73" s="12">
        <f t="shared" si="28"/>
        <v>6.1198090000000001</v>
      </c>
      <c r="M73" s="12">
        <f t="shared" si="27"/>
        <v>6.4100462855049321</v>
      </c>
      <c r="N73" s="12">
        <f t="shared" si="27"/>
        <v>6.5840465728176261</v>
      </c>
      <c r="O73" s="12">
        <f t="shared" si="27"/>
        <v>6.8493081150172532</v>
      </c>
      <c r="P73" s="12">
        <f t="shared" si="27"/>
        <v>7.2362183624198542</v>
      </c>
      <c r="Q73" s="12">
        <f t="shared" si="27"/>
        <v>7.765679130972889</v>
      </c>
      <c r="R73" s="12">
        <f t="shared" si="27"/>
        <v>8.4302857827769095</v>
      </c>
      <c r="S73" s="12">
        <f t="shared" si="27"/>
        <v>9.1797135000000001</v>
      </c>
      <c r="T73" s="12">
        <f t="shared" si="27"/>
        <v>9.9291412172230906</v>
      </c>
      <c r="U73" s="12">
        <f t="shared" si="27"/>
        <v>10.59374786902711</v>
      </c>
      <c r="V73" s="12">
        <f t="shared" si="27"/>
        <v>11.123208637580147</v>
      </c>
      <c r="W73" s="12">
        <f t="shared" si="27"/>
        <v>11.510118884982745</v>
      </c>
      <c r="X73" s="12">
        <f t="shared" si="27"/>
        <v>11.775380427182375</v>
      </c>
      <c r="Y73" s="12">
        <f t="shared" si="27"/>
        <v>11.949380714495069</v>
      </c>
      <c r="Z73" s="12">
        <f t="shared" si="27"/>
        <v>12.060232746437773</v>
      </c>
      <c r="AA73" s="12">
        <f t="shared" si="27"/>
        <v>12.129545830398103</v>
      </c>
      <c r="AB73" s="12">
        <f t="shared" si="27"/>
        <v>12.172380009606814</v>
      </c>
      <c r="AC73" s="12">
        <f t="shared" si="26"/>
        <v>12.198659030677904</v>
      </c>
      <c r="AD73" s="300">
        <f t="shared" ref="AD73:AS89" si="30">Algae_electricity_factor/H73</f>
        <v>2.2457558893634196E-3</v>
      </c>
      <c r="AE73" s="299">
        <f t="shared" si="30"/>
        <v>2.2457558893634196E-3</v>
      </c>
      <c r="AF73" s="299">
        <f t="shared" si="30"/>
        <v>2.2457558893634196E-3</v>
      </c>
      <c r="AG73" s="299">
        <f t="shared" si="30"/>
        <v>2.2457558893634196E-3</v>
      </c>
      <c r="AH73" s="299">
        <f t="shared" si="30"/>
        <v>2.2457558893634196E-3</v>
      </c>
      <c r="AI73" s="299">
        <f t="shared" si="30"/>
        <v>2.1440714296568687E-3</v>
      </c>
      <c r="AJ73" s="299">
        <f t="shared" si="30"/>
        <v>2.0874088528276802E-3</v>
      </c>
      <c r="AK73" s="299">
        <f t="shared" si="30"/>
        <v>2.0065672141973191E-3</v>
      </c>
      <c r="AL73" s="299">
        <f t="shared" si="30"/>
        <v>1.8992789348238079E-3</v>
      </c>
      <c r="AM73" s="299">
        <f t="shared" si="30"/>
        <v>1.7697868881439934E-3</v>
      </c>
      <c r="AN73" s="299">
        <f t="shared" si="30"/>
        <v>1.630264674017037E-3</v>
      </c>
      <c r="AO73" s="299">
        <f t="shared" si="30"/>
        <v>1.4971705929089465E-3</v>
      </c>
      <c r="AP73" s="299">
        <f t="shared" si="30"/>
        <v>1.3841677545777687E-3</v>
      </c>
      <c r="AQ73" s="299">
        <f t="shared" si="30"/>
        <v>1.2973309610011909E-3</v>
      </c>
      <c r="AR73" s="299">
        <f t="shared" si="30"/>
        <v>1.2355784694261726E-3</v>
      </c>
      <c r="AS73" s="299">
        <f t="shared" si="10"/>
        <v>1.19404475669322E-3</v>
      </c>
      <c r="AT73" s="299">
        <f t="shared" si="10"/>
        <v>1.1671467591657114E-3</v>
      </c>
      <c r="AU73" s="299">
        <f t="shared" si="10"/>
        <v>1.1501514121863851E-3</v>
      </c>
      <c r="AV73" s="299">
        <f t="shared" si="10"/>
        <v>1.1395797570812804E-3</v>
      </c>
      <c r="AW73" s="299">
        <f t="shared" si="19"/>
        <v>1.1330677418346655E-3</v>
      </c>
      <c r="AX73" s="299">
        <f t="shared" si="19"/>
        <v>1.1290805161096181E-3</v>
      </c>
      <c r="AY73" s="299">
        <f t="shared" si="19"/>
        <v>1.1266481888678136E-3</v>
      </c>
      <c r="AZ73" s="306">
        <f t="shared" ref="AZ73:BO89" si="31">Algae_yield_cost_factor/H73</f>
        <v>0.12432456949003111</v>
      </c>
      <c r="BA73" s="2">
        <f t="shared" si="31"/>
        <v>0.12432456949003111</v>
      </c>
      <c r="BB73" s="2">
        <f t="shared" si="31"/>
        <v>0.12432456949003111</v>
      </c>
      <c r="BC73" s="2">
        <f t="shared" si="31"/>
        <v>0.12432456949003111</v>
      </c>
      <c r="BD73" s="2">
        <f t="shared" si="31"/>
        <v>0.12432456949003111</v>
      </c>
      <c r="BE73" s="2">
        <f t="shared" si="31"/>
        <v>0.11869533937792537</v>
      </c>
      <c r="BF73" s="2">
        <f t="shared" si="31"/>
        <v>0.11555851114835251</v>
      </c>
      <c r="BG73" s="2">
        <f t="shared" si="31"/>
        <v>0.11108313518821765</v>
      </c>
      <c r="BH73" s="2">
        <f t="shared" si="31"/>
        <v>0.10514367880846888</v>
      </c>
      <c r="BI73" s="2">
        <f t="shared" si="31"/>
        <v>9.7975026582240332E-2</v>
      </c>
      <c r="BJ73" s="2">
        <f t="shared" si="31"/>
        <v>9.0251106414520457E-2</v>
      </c>
      <c r="BK73" s="2">
        <f t="shared" si="31"/>
        <v>8.2883046326687401E-2</v>
      </c>
      <c r="BL73" s="2">
        <f t="shared" si="31"/>
        <v>7.6627233175660753E-2</v>
      </c>
      <c r="BM73" s="2">
        <f t="shared" si="31"/>
        <v>7.1819966709863819E-2</v>
      </c>
      <c r="BN73" s="2">
        <f t="shared" si="31"/>
        <v>6.8401361880032041E-2</v>
      </c>
      <c r="BO73" s="2">
        <f t="shared" si="11"/>
        <v>6.6102064356510629E-2</v>
      </c>
      <c r="BP73" s="2">
        <f t="shared" si="11"/>
        <v>6.4612996921091653E-2</v>
      </c>
      <c r="BQ73" s="2">
        <f t="shared" si="11"/>
        <v>6.3672138118696459E-2</v>
      </c>
      <c r="BR73" s="2">
        <f t="shared" si="11"/>
        <v>6.3086893535362953E-2</v>
      </c>
      <c r="BS73" s="2">
        <f t="shared" si="20"/>
        <v>6.2726389753147607E-2</v>
      </c>
      <c r="BT73" s="2">
        <f t="shared" si="20"/>
        <v>6.2505657783090696E-2</v>
      </c>
      <c r="BU73" s="2">
        <f t="shared" si="20"/>
        <v>6.2371004663119615E-2</v>
      </c>
    </row>
    <row r="74" spans="1:73" x14ac:dyDescent="0.25">
      <c r="A74" t="s">
        <v>23</v>
      </c>
      <c r="B74" s="1" t="s">
        <v>5</v>
      </c>
      <c r="C74" t="s">
        <v>18</v>
      </c>
      <c r="D74" t="s">
        <v>18</v>
      </c>
      <c r="E74" s="97">
        <v>5.9341699999999999</v>
      </c>
      <c r="F74" s="5">
        <f t="shared" si="29"/>
        <v>1.45387165E-2</v>
      </c>
      <c r="G74" s="1">
        <f>LOOKUP(RIGHT(D74,5),Ref!$C$4:$C$21,Ref!$E$4:$E$21)*$G$3</f>
        <v>3</v>
      </c>
      <c r="H74" s="36">
        <f t="shared" si="28"/>
        <v>5.9341699999999999</v>
      </c>
      <c r="I74" s="12">
        <f t="shared" si="28"/>
        <v>5.9341699999999999</v>
      </c>
      <c r="J74" s="12">
        <f t="shared" si="28"/>
        <v>5.9341699999999999</v>
      </c>
      <c r="K74" s="12">
        <f t="shared" si="28"/>
        <v>5.9341699999999999</v>
      </c>
      <c r="L74" s="12">
        <f t="shared" si="28"/>
        <v>5.9341699999999999</v>
      </c>
      <c r="M74" s="12">
        <f t="shared" si="27"/>
        <v>6.215603193834121</v>
      </c>
      <c r="N74" s="12">
        <f t="shared" si="27"/>
        <v>6.3843253361366621</v>
      </c>
      <c r="O74" s="12">
        <f t="shared" si="27"/>
        <v>6.6415404037759895</v>
      </c>
      <c r="P74" s="12">
        <f t="shared" si="27"/>
        <v>7.0167140706059659</v>
      </c>
      <c r="Q74" s="12">
        <f t="shared" si="27"/>
        <v>7.5301141144511847</v>
      </c>
      <c r="R74" s="12">
        <f t="shared" si="27"/>
        <v>8.174560510561891</v>
      </c>
      <c r="S74" s="12">
        <f t="shared" si="27"/>
        <v>8.901254999999999</v>
      </c>
      <c r="T74" s="12">
        <f t="shared" si="27"/>
        <v>9.6279494894381088</v>
      </c>
      <c r="U74" s="12">
        <f t="shared" si="27"/>
        <v>10.272395885548816</v>
      </c>
      <c r="V74" s="12">
        <f t="shared" si="27"/>
        <v>10.785795929394034</v>
      </c>
      <c r="W74" s="12">
        <f t="shared" si="27"/>
        <v>11.160969596224009</v>
      </c>
      <c r="X74" s="12">
        <f t="shared" si="27"/>
        <v>11.418184663863338</v>
      </c>
      <c r="Y74" s="12">
        <f t="shared" si="27"/>
        <v>11.586906806165878</v>
      </c>
      <c r="Z74" s="12">
        <f t="shared" si="27"/>
        <v>11.694396239642224</v>
      </c>
      <c r="AA74" s="12">
        <f t="shared" si="27"/>
        <v>11.761606772429255</v>
      </c>
      <c r="AB74" s="12">
        <f t="shared" si="27"/>
        <v>11.803141614649814</v>
      </c>
      <c r="AC74" s="12">
        <f t="shared" si="26"/>
        <v>11.828623484830636</v>
      </c>
      <c r="AD74" s="300">
        <f t="shared" si="30"/>
        <v>2.3160100070488813E-3</v>
      </c>
      <c r="AE74" s="299">
        <f t="shared" si="30"/>
        <v>2.3160100070488813E-3</v>
      </c>
      <c r="AF74" s="299">
        <f t="shared" si="30"/>
        <v>2.3160100070488813E-3</v>
      </c>
      <c r="AG74" s="299">
        <f t="shared" si="30"/>
        <v>2.3160100070488813E-3</v>
      </c>
      <c r="AH74" s="299">
        <f t="shared" si="30"/>
        <v>2.3160100070488813E-3</v>
      </c>
      <c r="AI74" s="299">
        <f t="shared" si="30"/>
        <v>2.2111445462224661E-3</v>
      </c>
      <c r="AJ74" s="299">
        <f t="shared" si="30"/>
        <v>2.1527093905659113E-3</v>
      </c>
      <c r="AK74" s="299">
        <f t="shared" si="30"/>
        <v>2.0693387780514679E-3</v>
      </c>
      <c r="AL74" s="299">
        <f t="shared" si="30"/>
        <v>1.9586941929275962E-3</v>
      </c>
      <c r="AM74" s="299">
        <f t="shared" si="30"/>
        <v>1.8251512386981842E-3</v>
      </c>
      <c r="AN74" s="299">
        <f t="shared" si="30"/>
        <v>1.6812643426850813E-3</v>
      </c>
      <c r="AO74" s="299">
        <f t="shared" si="30"/>
        <v>1.5440066713659211E-3</v>
      </c>
      <c r="AP74" s="299">
        <f t="shared" si="30"/>
        <v>1.4274687583899386E-3</v>
      </c>
      <c r="AQ74" s="299">
        <f t="shared" si="30"/>
        <v>1.3379154441335076E-3</v>
      </c>
      <c r="AR74" s="299">
        <f t="shared" si="30"/>
        <v>1.2742311456194406E-3</v>
      </c>
      <c r="AS74" s="299">
        <f t="shared" si="10"/>
        <v>1.2313981312321654E-3</v>
      </c>
      <c r="AT74" s="299">
        <f t="shared" si="10"/>
        <v>1.2036586820167192E-3</v>
      </c>
      <c r="AU74" s="299">
        <f t="shared" si="10"/>
        <v>1.1861316685671207E-3</v>
      </c>
      <c r="AV74" s="299">
        <f t="shared" si="10"/>
        <v>1.1752292997342228E-3</v>
      </c>
      <c r="AW74" s="299">
        <f t="shared" si="19"/>
        <v>1.1685135687197134E-3</v>
      </c>
      <c r="AX74" s="299">
        <f t="shared" si="19"/>
        <v>1.1644016103704959E-3</v>
      </c>
      <c r="AY74" s="299">
        <f t="shared" si="19"/>
        <v>1.1618931924880726E-3</v>
      </c>
      <c r="AZ74" s="306">
        <f t="shared" si="31"/>
        <v>0.12821382253730812</v>
      </c>
      <c r="BA74" s="2">
        <f t="shared" si="31"/>
        <v>0.12821382253730812</v>
      </c>
      <c r="BB74" s="2">
        <f t="shared" si="31"/>
        <v>0.12821382253730812</v>
      </c>
      <c r="BC74" s="2">
        <f t="shared" si="31"/>
        <v>0.12821382253730812</v>
      </c>
      <c r="BD74" s="2">
        <f t="shared" si="31"/>
        <v>0.12821382253730812</v>
      </c>
      <c r="BE74" s="2">
        <f t="shared" si="31"/>
        <v>0.12240849287820911</v>
      </c>
      <c r="BF74" s="2">
        <f t="shared" si="31"/>
        <v>0.11917353506089108</v>
      </c>
      <c r="BG74" s="2">
        <f t="shared" si="31"/>
        <v>0.1145581556431769</v>
      </c>
      <c r="BH74" s="2">
        <f t="shared" si="31"/>
        <v>0.10843289488928984</v>
      </c>
      <c r="BI74" s="2">
        <f t="shared" si="31"/>
        <v>0.10103998528071045</v>
      </c>
      <c r="BJ74" s="2">
        <f t="shared" si="31"/>
        <v>9.3074437249950709E-2</v>
      </c>
      <c r="BK74" s="2">
        <f t="shared" si="31"/>
        <v>8.547588169153876E-2</v>
      </c>
      <c r="BL74" s="2">
        <f t="shared" si="31"/>
        <v>7.9024367558311825E-2</v>
      </c>
      <c r="BM74" s="2">
        <f t="shared" si="31"/>
        <v>7.4066715084118745E-2</v>
      </c>
      <c r="BN74" s="2">
        <f t="shared" si="31"/>
        <v>7.0541165832067002E-2</v>
      </c>
      <c r="BO74" s="2">
        <f t="shared" si="11"/>
        <v>6.8169939244671615E-2</v>
      </c>
      <c r="BP74" s="2">
        <f t="shared" si="11"/>
        <v>6.6634289222362864E-2</v>
      </c>
      <c r="BQ74" s="2">
        <f t="shared" si="11"/>
        <v>6.5663997476992017E-2</v>
      </c>
      <c r="BR74" s="2">
        <f t="shared" si="11"/>
        <v>6.5060444651864724E-2</v>
      </c>
      <c r="BS74" s="2">
        <f t="shared" si="20"/>
        <v>6.4688663207966818E-2</v>
      </c>
      <c r="BT74" s="2">
        <f t="shared" si="20"/>
        <v>6.4461026066303884E-2</v>
      </c>
      <c r="BU74" s="2">
        <f t="shared" si="20"/>
        <v>6.432216058461443E-2</v>
      </c>
    </row>
    <row r="75" spans="1:73" x14ac:dyDescent="0.25">
      <c r="A75" t="s">
        <v>23</v>
      </c>
      <c r="B75" s="1" t="s">
        <v>5</v>
      </c>
      <c r="C75" t="s">
        <v>9</v>
      </c>
      <c r="D75" t="s">
        <v>9</v>
      </c>
      <c r="E75" s="97">
        <v>5.7826950000000004</v>
      </c>
      <c r="F75" s="5">
        <f t="shared" si="29"/>
        <v>1.4167602750000001E-2</v>
      </c>
      <c r="G75" s="1">
        <f>LOOKUP(RIGHT(D75,5),Ref!$C$4:$C$21,Ref!$E$4:$E$21)*$G$3</f>
        <v>4.5</v>
      </c>
      <c r="H75" s="36">
        <f t="shared" si="28"/>
        <v>5.7826950000000004</v>
      </c>
      <c r="I75" s="12">
        <f t="shared" si="28"/>
        <v>5.7826950000000004</v>
      </c>
      <c r="J75" s="12">
        <f t="shared" si="28"/>
        <v>5.7826950000000004</v>
      </c>
      <c r="K75" s="12">
        <f t="shared" si="28"/>
        <v>5.7826950000000004</v>
      </c>
      <c r="L75" s="12">
        <f t="shared" si="28"/>
        <v>5.7826950000000004</v>
      </c>
      <c r="M75" s="12">
        <f t="shared" si="27"/>
        <v>6.0569443596945494</v>
      </c>
      <c r="N75" s="12">
        <f t="shared" si="27"/>
        <v>6.2213597183179452</v>
      </c>
      <c r="O75" s="12">
        <f t="shared" si="27"/>
        <v>6.4720091411626894</v>
      </c>
      <c r="P75" s="12">
        <f t="shared" si="27"/>
        <v>6.837606164387398</v>
      </c>
      <c r="Q75" s="12">
        <f t="shared" si="27"/>
        <v>7.3379012126491645</v>
      </c>
      <c r="R75" s="12">
        <f t="shared" si="27"/>
        <v>7.9658975377556924</v>
      </c>
      <c r="S75" s="12">
        <f t="shared" si="27"/>
        <v>8.6740425000000005</v>
      </c>
      <c r="T75" s="12">
        <f t="shared" si="27"/>
        <v>9.3821874622443087</v>
      </c>
      <c r="U75" s="12">
        <f t="shared" si="27"/>
        <v>10.010183787350837</v>
      </c>
      <c r="V75" s="12">
        <f t="shared" si="27"/>
        <v>10.510478835612602</v>
      </c>
      <c r="W75" s="12">
        <f t="shared" si="27"/>
        <v>10.876075858837311</v>
      </c>
      <c r="X75" s="12">
        <f t="shared" si="27"/>
        <v>11.126725281682056</v>
      </c>
      <c r="Y75" s="12">
        <f t="shared" si="27"/>
        <v>11.291140640305452</v>
      </c>
      <c r="Z75" s="12">
        <f t="shared" si="27"/>
        <v>11.395886309795287</v>
      </c>
      <c r="AA75" s="12">
        <f t="shared" si="27"/>
        <v>11.461381233583264</v>
      </c>
      <c r="AB75" s="12">
        <f t="shared" si="27"/>
        <v>11.501855861784783</v>
      </c>
      <c r="AC75" s="12">
        <f t="shared" si="26"/>
        <v>11.526687284424394</v>
      </c>
      <c r="AD75" s="300">
        <f t="shared" si="30"/>
        <v>2.3766768096068112E-3</v>
      </c>
      <c r="AE75" s="299">
        <f t="shared" si="30"/>
        <v>2.3766768096068112E-3</v>
      </c>
      <c r="AF75" s="299">
        <f t="shared" si="30"/>
        <v>2.3766768096068112E-3</v>
      </c>
      <c r="AG75" s="299">
        <f t="shared" si="30"/>
        <v>2.3766768096068112E-3</v>
      </c>
      <c r="AH75" s="299">
        <f t="shared" si="30"/>
        <v>2.3766768096068112E-3</v>
      </c>
      <c r="AI75" s="299">
        <f t="shared" si="30"/>
        <v>2.2690644469156632E-3</v>
      </c>
      <c r="AJ75" s="299">
        <f t="shared" si="30"/>
        <v>2.2090986095954415E-3</v>
      </c>
      <c r="AK75" s="299">
        <f t="shared" si="30"/>
        <v>2.1235441427482652E-3</v>
      </c>
      <c r="AL75" s="299">
        <f t="shared" si="30"/>
        <v>2.0100012742925492E-3</v>
      </c>
      <c r="AM75" s="299">
        <f t="shared" si="30"/>
        <v>1.8729602246263383E-3</v>
      </c>
      <c r="AN75" s="299">
        <f t="shared" si="30"/>
        <v>1.725304278443101E-3</v>
      </c>
      <c r="AO75" s="299">
        <f t="shared" si="30"/>
        <v>1.5844512064045408E-3</v>
      </c>
      <c r="AP75" s="299">
        <f t="shared" si="30"/>
        <v>1.4648606371207233E-3</v>
      </c>
      <c r="AQ75" s="299">
        <f t="shared" si="30"/>
        <v>1.3729615155414104E-3</v>
      </c>
      <c r="AR75" s="299">
        <f t="shared" si="30"/>
        <v>1.3076090365133413E-3</v>
      </c>
      <c r="AS75" s="299">
        <f t="shared" si="10"/>
        <v>1.2636540312802209E-3</v>
      </c>
      <c r="AT75" s="299">
        <f t="shared" si="10"/>
        <v>1.2351879601229451E-3</v>
      </c>
      <c r="AU75" s="299">
        <f t="shared" si="10"/>
        <v>1.2172018347260142E-3</v>
      </c>
      <c r="AV75" s="299">
        <f t="shared" si="10"/>
        <v>1.2060138834235304E-3</v>
      </c>
      <c r="AW75" s="299">
        <f t="shared" si="19"/>
        <v>1.1991222369655431E-3</v>
      </c>
      <c r="AX75" s="299">
        <f t="shared" si="19"/>
        <v>1.1949025677841017E-3</v>
      </c>
      <c r="AY75" s="299">
        <f t="shared" si="19"/>
        <v>1.1923284430645131E-3</v>
      </c>
      <c r="AZ75" s="306">
        <f t="shared" si="31"/>
        <v>0.13157232385353501</v>
      </c>
      <c r="BA75" s="2">
        <f t="shared" si="31"/>
        <v>0.13157232385353501</v>
      </c>
      <c r="BB75" s="2">
        <f t="shared" si="31"/>
        <v>0.13157232385353501</v>
      </c>
      <c r="BC75" s="2">
        <f t="shared" si="31"/>
        <v>0.13157232385353501</v>
      </c>
      <c r="BD75" s="2">
        <f t="shared" si="31"/>
        <v>0.13157232385353501</v>
      </c>
      <c r="BE75" s="2">
        <f t="shared" si="31"/>
        <v>0.12561492629009174</v>
      </c>
      <c r="BF75" s="2">
        <f t="shared" si="31"/>
        <v>0.12229523026068087</v>
      </c>
      <c r="BG75" s="2">
        <f t="shared" si="31"/>
        <v>0.11755895313051631</v>
      </c>
      <c r="BH75" s="2">
        <f t="shared" si="31"/>
        <v>0.11127324402638858</v>
      </c>
      <c r="BI75" s="2">
        <f t="shared" si="31"/>
        <v>0.10368668059671721</v>
      </c>
      <c r="BJ75" s="2">
        <f t="shared" si="31"/>
        <v>9.5512478748324095E-2</v>
      </c>
      <c r="BK75" s="2">
        <f t="shared" si="31"/>
        <v>8.771488256902335E-2</v>
      </c>
      <c r="BL75" s="2">
        <f t="shared" si="31"/>
        <v>8.1094374030362529E-2</v>
      </c>
      <c r="BM75" s="2">
        <f t="shared" si="31"/>
        <v>7.6006858160550556E-2</v>
      </c>
      <c r="BN75" s="2">
        <f t="shared" si="31"/>
        <v>7.238895878922838E-2</v>
      </c>
      <c r="BO75" s="2">
        <f t="shared" si="11"/>
        <v>6.995561902669134E-2</v>
      </c>
      <c r="BP75" s="2">
        <f t="shared" si="11"/>
        <v>6.8379743367870699E-2</v>
      </c>
      <c r="BQ75" s="2">
        <f t="shared" si="11"/>
        <v>6.7384035282518212E-2</v>
      </c>
      <c r="BR75" s="2">
        <f t="shared" si="11"/>
        <v>6.6764672672474684E-2</v>
      </c>
      <c r="BS75" s="2">
        <f t="shared" si="20"/>
        <v>6.6383152586954777E-2</v>
      </c>
      <c r="BT75" s="2">
        <f t="shared" si="20"/>
        <v>6.6149552596475952E-2</v>
      </c>
      <c r="BU75" s="2">
        <f t="shared" si="20"/>
        <v>6.6007049598223899E-2</v>
      </c>
    </row>
    <row r="76" spans="1:73" x14ac:dyDescent="0.25">
      <c r="A76" t="s">
        <v>23</v>
      </c>
      <c r="B76" s="1" t="s">
        <v>5</v>
      </c>
      <c r="C76" t="s">
        <v>11</v>
      </c>
      <c r="D76" t="s">
        <v>11</v>
      </c>
      <c r="E76" s="97">
        <v>6.3316549999999996</v>
      </c>
      <c r="F76" s="5">
        <f t="shared" si="29"/>
        <v>1.5512554749999997E-2</v>
      </c>
      <c r="G76" s="1">
        <f>LOOKUP(RIGHT(D76,5),Ref!$C$4:$C$21,Ref!$E$4:$E$21)*$G$3</f>
        <v>4.5</v>
      </c>
      <c r="H76" s="36">
        <f t="shared" si="28"/>
        <v>6.3316549999999996</v>
      </c>
      <c r="I76" s="12">
        <f t="shared" si="28"/>
        <v>6.3316549999999996</v>
      </c>
      <c r="J76" s="12">
        <f t="shared" si="28"/>
        <v>6.3316549999999996</v>
      </c>
      <c r="K76" s="12">
        <f t="shared" si="28"/>
        <v>6.3316549999999996</v>
      </c>
      <c r="L76" s="12">
        <f t="shared" si="28"/>
        <v>6.3316549999999996</v>
      </c>
      <c r="M76" s="12">
        <f t="shared" si="27"/>
        <v>6.631939267034106</v>
      </c>
      <c r="N76" s="12">
        <f t="shared" si="27"/>
        <v>6.8119628248224053</v>
      </c>
      <c r="O76" s="12">
        <f t="shared" si="27"/>
        <v>7.0864067772359505</v>
      </c>
      <c r="P76" s="12">
        <f t="shared" si="27"/>
        <v>7.4867104799361348</v>
      </c>
      <c r="Q76" s="12">
        <f t="shared" si="27"/>
        <v>8.0344992953244372</v>
      </c>
      <c r="R76" s="12">
        <f t="shared" si="27"/>
        <v>8.7221122632991221</v>
      </c>
      <c r="S76" s="12">
        <f t="shared" si="27"/>
        <v>9.4974825000000003</v>
      </c>
      <c r="T76" s="12">
        <f t="shared" si="27"/>
        <v>10.272852736700877</v>
      </c>
      <c r="U76" s="12">
        <f t="shared" si="27"/>
        <v>10.960465704675562</v>
      </c>
      <c r="V76" s="12">
        <f t="shared" si="27"/>
        <v>11.508254520063865</v>
      </c>
      <c r="W76" s="12">
        <f t="shared" si="27"/>
        <v>11.908558222764047</v>
      </c>
      <c r="X76" s="12">
        <f t="shared" si="27"/>
        <v>12.183002175177593</v>
      </c>
      <c r="Y76" s="12">
        <f t="shared" si="27"/>
        <v>12.363025732965893</v>
      </c>
      <c r="Z76" s="12">
        <f t="shared" si="27"/>
        <v>12.47771506760202</v>
      </c>
      <c r="AA76" s="12">
        <f t="shared" si="27"/>
        <v>12.549427523762473</v>
      </c>
      <c r="AB76" s="12">
        <f t="shared" si="27"/>
        <v>12.593744469758292</v>
      </c>
      <c r="AC76" s="12">
        <f t="shared" si="26"/>
        <v>12.620933176980998</v>
      </c>
      <c r="AD76" s="300">
        <f t="shared" si="30"/>
        <v>2.1706168613939421E-3</v>
      </c>
      <c r="AE76" s="299">
        <f t="shared" si="30"/>
        <v>2.1706168613939421E-3</v>
      </c>
      <c r="AF76" s="299">
        <f t="shared" si="30"/>
        <v>2.1706168613939421E-3</v>
      </c>
      <c r="AG76" s="299">
        <f t="shared" si="30"/>
        <v>2.1706168613939421E-3</v>
      </c>
      <c r="AH76" s="299">
        <f t="shared" si="30"/>
        <v>2.1706168613939421E-3</v>
      </c>
      <c r="AI76" s="299">
        <f t="shared" si="30"/>
        <v>2.0723345842211826E-3</v>
      </c>
      <c r="AJ76" s="299">
        <f t="shared" si="30"/>
        <v>2.017567837194938E-3</v>
      </c>
      <c r="AK76" s="299">
        <f t="shared" si="30"/>
        <v>1.9394310170957958E-3</v>
      </c>
      <c r="AL76" s="299">
        <f t="shared" si="30"/>
        <v>1.835732414170569E-3</v>
      </c>
      <c r="AM76" s="299">
        <f t="shared" si="30"/>
        <v>1.7105729428002006E-3</v>
      </c>
      <c r="AN76" s="299">
        <f t="shared" si="30"/>
        <v>1.5757188956807546E-3</v>
      </c>
      <c r="AO76" s="299">
        <f t="shared" si="30"/>
        <v>1.4470779075959612E-3</v>
      </c>
      <c r="AP76" s="299">
        <f t="shared" si="30"/>
        <v>1.3378559447687567E-3</v>
      </c>
      <c r="AQ76" s="299">
        <f t="shared" si="30"/>
        <v>1.2539245570255704E-3</v>
      </c>
      <c r="AR76" s="299">
        <f t="shared" si="30"/>
        <v>1.1942381948164447E-3</v>
      </c>
      <c r="AS76" s="299">
        <f t="shared" si="10"/>
        <v>1.1540941267984405E-3</v>
      </c>
      <c r="AT76" s="299">
        <f t="shared" si="10"/>
        <v>1.1280960887892902E-3</v>
      </c>
      <c r="AU76" s="299">
        <f t="shared" si="10"/>
        <v>1.1116693761206115E-3</v>
      </c>
      <c r="AV76" s="299">
        <f t="shared" si="10"/>
        <v>1.1014514299348011E-3</v>
      </c>
      <c r="AW76" s="299">
        <f t="shared" si="19"/>
        <v>1.0951572952236756E-3</v>
      </c>
      <c r="AX76" s="299">
        <f t="shared" si="19"/>
        <v>1.0913034750333502E-3</v>
      </c>
      <c r="AY76" s="299">
        <f t="shared" si="19"/>
        <v>1.088952529167642E-3</v>
      </c>
      <c r="AZ76" s="306">
        <f t="shared" si="31"/>
        <v>0.12016488884599963</v>
      </c>
      <c r="BA76" s="2">
        <f t="shared" si="31"/>
        <v>0.12016488884599963</v>
      </c>
      <c r="BB76" s="2">
        <f t="shared" si="31"/>
        <v>0.12016488884599963</v>
      </c>
      <c r="BC76" s="2">
        <f t="shared" si="31"/>
        <v>0.12016488884599963</v>
      </c>
      <c r="BD76" s="2">
        <f t="shared" si="31"/>
        <v>0.12016488884599963</v>
      </c>
      <c r="BE76" s="2">
        <f t="shared" si="31"/>
        <v>0.11472400283702794</v>
      </c>
      <c r="BF76" s="2">
        <f t="shared" si="31"/>
        <v>0.11169212734305456</v>
      </c>
      <c r="BG76" s="2">
        <f t="shared" si="31"/>
        <v>0.10736648956285065</v>
      </c>
      <c r="BH76" s="2">
        <f t="shared" si="31"/>
        <v>0.10162575690955637</v>
      </c>
      <c r="BI76" s="2">
        <f t="shared" si="31"/>
        <v>9.4696955133094521E-2</v>
      </c>
      <c r="BJ76" s="2">
        <f t="shared" si="31"/>
        <v>8.7231463700334272E-2</v>
      </c>
      <c r="BK76" s="2">
        <f t="shared" si="31"/>
        <v>8.0109925897333081E-2</v>
      </c>
      <c r="BL76" s="2">
        <f t="shared" si="31"/>
        <v>7.4063421211911784E-2</v>
      </c>
      <c r="BM76" s="2">
        <f t="shared" si="31"/>
        <v>6.9416997396529817E-2</v>
      </c>
      <c r="BN76" s="2">
        <f t="shared" si="31"/>
        <v>6.6112773049965143E-2</v>
      </c>
      <c r="BO76" s="2">
        <f t="shared" si="11"/>
        <v>6.3890405962983288E-2</v>
      </c>
      <c r="BP76" s="2">
        <f t="shared" si="11"/>
        <v>6.2451160095530957E-2</v>
      </c>
      <c r="BQ76" s="2">
        <f t="shared" si="11"/>
        <v>6.154178076791008E-2</v>
      </c>
      <c r="BR76" s="2">
        <f t="shared" si="11"/>
        <v>6.0976117435292368E-2</v>
      </c>
      <c r="BS76" s="2">
        <f t="shared" si="20"/>
        <v>6.0627675473287866E-2</v>
      </c>
      <c r="BT76" s="2">
        <f t="shared" si="20"/>
        <v>6.0414328805324762E-2</v>
      </c>
      <c r="BU76" s="2">
        <f t="shared" si="20"/>
        <v>6.0284180941065392E-2</v>
      </c>
    </row>
    <row r="77" spans="1:73" x14ac:dyDescent="0.25">
      <c r="A77" t="s">
        <v>25</v>
      </c>
      <c r="B77" s="1" t="s">
        <v>5</v>
      </c>
      <c r="C77" t="s">
        <v>14</v>
      </c>
      <c r="D77" t="s">
        <v>14</v>
      </c>
      <c r="E77" s="97">
        <v>6.4521050000000004</v>
      </c>
      <c r="F77" s="5">
        <f t="shared" si="29"/>
        <v>1.5807657249999999E-2</v>
      </c>
      <c r="G77" s="1">
        <f>LOOKUP(RIGHT(D77,5),Ref!$C$4:$C$21,Ref!$E$4:$E$21)*$G$3</f>
        <v>2</v>
      </c>
      <c r="H77" s="36">
        <f t="shared" si="28"/>
        <v>6.4521050000000004</v>
      </c>
      <c r="I77" s="12">
        <f t="shared" si="28"/>
        <v>6.4521050000000004</v>
      </c>
      <c r="J77" s="12">
        <f t="shared" si="28"/>
        <v>6.4521050000000004</v>
      </c>
      <c r="K77" s="12">
        <f t="shared" si="28"/>
        <v>6.4521050000000004</v>
      </c>
      <c r="L77" s="12">
        <f t="shared" si="28"/>
        <v>6.4521050000000004</v>
      </c>
      <c r="M77" s="12">
        <f t="shared" si="27"/>
        <v>6.7581017134583448</v>
      </c>
      <c r="N77" s="12">
        <f t="shared" si="27"/>
        <v>6.941549942605965</v>
      </c>
      <c r="O77" s="12">
        <f t="shared" si="27"/>
        <v>7.2212147691935158</v>
      </c>
      <c r="P77" s="12">
        <f t="shared" si="27"/>
        <v>7.6291336342786114</v>
      </c>
      <c r="Q77" s="12">
        <f t="shared" si="27"/>
        <v>8.187343289528453</v>
      </c>
      <c r="R77" s="12">
        <f t="shared" si="27"/>
        <v>8.8880370368558594</v>
      </c>
      <c r="S77" s="12">
        <f t="shared" si="27"/>
        <v>9.6781575000000011</v>
      </c>
      <c r="T77" s="12">
        <f t="shared" si="27"/>
        <v>10.468277963144143</v>
      </c>
      <c r="U77" s="12">
        <f t="shared" si="27"/>
        <v>11.168971710471547</v>
      </c>
      <c r="V77" s="12">
        <f t="shared" si="27"/>
        <v>11.727181365721391</v>
      </c>
      <c r="W77" s="12">
        <f t="shared" si="27"/>
        <v>12.135100230806485</v>
      </c>
      <c r="X77" s="12">
        <f t="shared" si="27"/>
        <v>12.414765057394035</v>
      </c>
      <c r="Y77" s="12">
        <f t="shared" si="27"/>
        <v>12.598213286541657</v>
      </c>
      <c r="Z77" s="12">
        <f t="shared" si="27"/>
        <v>12.715084409408021</v>
      </c>
      <c r="AA77" s="12">
        <f t="shared" si="27"/>
        <v>12.78816108477254</v>
      </c>
      <c r="AB77" s="12">
        <f t="shared" si="27"/>
        <v>12.833321092518439</v>
      </c>
      <c r="AC77" s="12">
        <f t="shared" si="26"/>
        <v>12.861027023087169</v>
      </c>
      <c r="AD77" s="300">
        <f t="shared" si="30"/>
        <v>2.130095078044957E-3</v>
      </c>
      <c r="AE77" s="299">
        <f t="shared" si="30"/>
        <v>2.130095078044957E-3</v>
      </c>
      <c r="AF77" s="299">
        <f t="shared" si="30"/>
        <v>2.130095078044957E-3</v>
      </c>
      <c r="AG77" s="299">
        <f t="shared" si="30"/>
        <v>2.130095078044957E-3</v>
      </c>
      <c r="AH77" s="299">
        <f t="shared" si="30"/>
        <v>2.130095078044957E-3</v>
      </c>
      <c r="AI77" s="299">
        <f t="shared" si="30"/>
        <v>2.0336475664696979E-3</v>
      </c>
      <c r="AJ77" s="299">
        <f t="shared" si="30"/>
        <v>1.97990322293492E-3</v>
      </c>
      <c r="AK77" s="299">
        <f t="shared" si="30"/>
        <v>1.9032250864717294E-3</v>
      </c>
      <c r="AL77" s="299">
        <f t="shared" si="30"/>
        <v>1.80146236287927E-3</v>
      </c>
      <c r="AM77" s="299">
        <f t="shared" si="30"/>
        <v>1.6786394093316218E-3</v>
      </c>
      <c r="AN77" s="299">
        <f t="shared" si="30"/>
        <v>1.5463028615361231E-3</v>
      </c>
      <c r="AO77" s="299">
        <f t="shared" si="30"/>
        <v>1.4200633853633047E-3</v>
      </c>
      <c r="AP77" s="299">
        <f t="shared" si="30"/>
        <v>1.3128804137525381E-3</v>
      </c>
      <c r="AQ77" s="299">
        <f t="shared" si="30"/>
        <v>1.230515884523537E-3</v>
      </c>
      <c r="AR77" s="299">
        <f t="shared" si="30"/>
        <v>1.1719437667862681E-3</v>
      </c>
      <c r="AS77" s="299">
        <f t="shared" si="10"/>
        <v>1.1325491213199379E-3</v>
      </c>
      <c r="AT77" s="299">
        <f t="shared" si="10"/>
        <v>1.1070364231616121E-3</v>
      </c>
      <c r="AU77" s="299">
        <f t="shared" si="10"/>
        <v>1.0909163697213466E-3</v>
      </c>
      <c r="AV77" s="299">
        <f t="shared" si="10"/>
        <v>1.0808891754867339E-3</v>
      </c>
      <c r="AW77" s="299">
        <f t="shared" si="19"/>
        <v>1.0747125417347458E-3</v>
      </c>
      <c r="AX77" s="299">
        <f t="shared" si="19"/>
        <v>1.0709306659163614E-3</v>
      </c>
      <c r="AY77" s="299">
        <f t="shared" si="19"/>
        <v>1.0686236082746554E-3</v>
      </c>
      <c r="AZ77" s="306">
        <f t="shared" si="31"/>
        <v>0.11792161151844517</v>
      </c>
      <c r="BA77" s="2">
        <f t="shared" si="31"/>
        <v>0.11792161151844517</v>
      </c>
      <c r="BB77" s="2">
        <f t="shared" si="31"/>
        <v>0.11792161151844517</v>
      </c>
      <c r="BC77" s="2">
        <f t="shared" si="31"/>
        <v>0.11792161151844517</v>
      </c>
      <c r="BD77" s="2">
        <f t="shared" si="31"/>
        <v>0.11792161151844517</v>
      </c>
      <c r="BE77" s="2">
        <f t="shared" si="31"/>
        <v>0.11258229774361732</v>
      </c>
      <c r="BF77" s="2">
        <f t="shared" si="31"/>
        <v>0.10960702228997948</v>
      </c>
      <c r="BG77" s="2">
        <f t="shared" si="31"/>
        <v>0.10536213692633195</v>
      </c>
      <c r="BH77" s="2">
        <f t="shared" si="31"/>
        <v>9.9728574142109755E-2</v>
      </c>
      <c r="BI77" s="2">
        <f t="shared" si="31"/>
        <v>9.292912149650906E-2</v>
      </c>
      <c r="BJ77" s="2">
        <f t="shared" si="31"/>
        <v>8.5602998292113958E-2</v>
      </c>
      <c r="BK77" s="2">
        <f t="shared" si="31"/>
        <v>7.8614407678963452E-2</v>
      </c>
      <c r="BL77" s="2">
        <f t="shared" si="31"/>
        <v>7.2680781114614096E-2</v>
      </c>
      <c r="BM77" s="2">
        <f t="shared" si="31"/>
        <v>6.8121098254093029E-2</v>
      </c>
      <c r="BN77" s="2">
        <f t="shared" si="31"/>
        <v>6.4878558245049789E-2</v>
      </c>
      <c r="BO77" s="2">
        <f t="shared" si="11"/>
        <v>6.2697679031502571E-2</v>
      </c>
      <c r="BP77" s="2">
        <f t="shared" si="11"/>
        <v>6.1285301475203682E-2</v>
      </c>
      <c r="BQ77" s="2">
        <f t="shared" si="11"/>
        <v>6.0392898737395256E-2</v>
      </c>
      <c r="BR77" s="2">
        <f t="shared" si="11"/>
        <v>5.9837795392318635E-2</v>
      </c>
      <c r="BS77" s="2">
        <f t="shared" si="20"/>
        <v>5.9495858258478508E-2</v>
      </c>
      <c r="BT77" s="2">
        <f t="shared" si="20"/>
        <v>5.9286494415679611E-2</v>
      </c>
      <c r="BU77" s="2">
        <f t="shared" si="20"/>
        <v>5.9158776194187995E-2</v>
      </c>
    </row>
    <row r="78" spans="1:73" x14ac:dyDescent="0.25">
      <c r="A78" t="s">
        <v>25</v>
      </c>
      <c r="B78" s="1" t="s">
        <v>5</v>
      </c>
      <c r="C78" t="s">
        <v>16</v>
      </c>
      <c r="D78" t="s">
        <v>16</v>
      </c>
      <c r="E78" s="97">
        <v>6.7804407500000003</v>
      </c>
      <c r="F78" s="5">
        <f t="shared" si="29"/>
        <v>1.6612079837500002E-2</v>
      </c>
      <c r="G78" s="1">
        <f>LOOKUP(RIGHT(D78,5),Ref!$C$4:$C$21,Ref!$E$4:$E$21)*$G$3</f>
        <v>3</v>
      </c>
      <c r="H78" s="36">
        <f t="shared" si="28"/>
        <v>6.7804407500000003</v>
      </c>
      <c r="I78" s="12">
        <f t="shared" si="28"/>
        <v>6.7804407500000003</v>
      </c>
      <c r="J78" s="12">
        <f t="shared" si="28"/>
        <v>6.7804407500000003</v>
      </c>
      <c r="K78" s="12">
        <f t="shared" si="28"/>
        <v>6.7804407500000003</v>
      </c>
      <c r="L78" s="12">
        <f t="shared" si="28"/>
        <v>6.7804407500000003</v>
      </c>
      <c r="M78" s="12">
        <f t="shared" si="27"/>
        <v>7.1020090730975056</v>
      </c>
      <c r="N78" s="12">
        <f t="shared" si="27"/>
        <v>7.2947926450368756</v>
      </c>
      <c r="O78" s="12">
        <f t="shared" si="27"/>
        <v>7.5886890999978389</v>
      </c>
      <c r="P78" s="12">
        <f t="shared" si="27"/>
        <v>8.0173662054567139</v>
      </c>
      <c r="Q78" s="12">
        <f t="shared" si="27"/>
        <v>8.603982122820037</v>
      </c>
      <c r="R78" s="12">
        <f t="shared" si="27"/>
        <v>9.3403328855011996</v>
      </c>
      <c r="S78" s="12">
        <f t="shared" si="27"/>
        <v>10.170661125000001</v>
      </c>
      <c r="T78" s="12">
        <f t="shared" si="27"/>
        <v>11.000989364498801</v>
      </c>
      <c r="U78" s="12">
        <f t="shared" si="27"/>
        <v>11.737340127179964</v>
      </c>
      <c r="V78" s="12">
        <f t="shared" si="27"/>
        <v>12.323956044543287</v>
      </c>
      <c r="W78" s="12">
        <f t="shared" si="27"/>
        <v>12.752633150002161</v>
      </c>
      <c r="X78" s="12">
        <f t="shared" si="27"/>
        <v>13.046529604963126</v>
      </c>
      <c r="Y78" s="12">
        <f t="shared" si="27"/>
        <v>13.239313176902495</v>
      </c>
      <c r="Z78" s="12">
        <f t="shared" si="27"/>
        <v>13.362131656140102</v>
      </c>
      <c r="AA78" s="12">
        <f t="shared" si="27"/>
        <v>13.43892706903498</v>
      </c>
      <c r="AB78" s="12">
        <f t="shared" si="27"/>
        <v>13.486385186469615</v>
      </c>
      <c r="AC78" s="12">
        <f t="shared" si="26"/>
        <v>13.515501020859306</v>
      </c>
      <c r="AD78" s="300">
        <f t="shared" si="30"/>
        <v>2.0269474522772372E-3</v>
      </c>
      <c r="AE78" s="299">
        <f t="shared" si="30"/>
        <v>2.0269474522772372E-3</v>
      </c>
      <c r="AF78" s="299">
        <f t="shared" si="30"/>
        <v>2.0269474522772372E-3</v>
      </c>
      <c r="AG78" s="299">
        <f t="shared" si="30"/>
        <v>2.0269474522772372E-3</v>
      </c>
      <c r="AH78" s="299">
        <f t="shared" si="30"/>
        <v>2.0269474522772372E-3</v>
      </c>
      <c r="AI78" s="299">
        <f t="shared" si="30"/>
        <v>1.9351703105520053E-3</v>
      </c>
      <c r="AJ78" s="299">
        <f t="shared" si="30"/>
        <v>1.8840284806285656E-3</v>
      </c>
      <c r="AK78" s="299">
        <f t="shared" si="30"/>
        <v>1.8110634027072177E-3</v>
      </c>
      <c r="AL78" s="299">
        <f t="shared" si="30"/>
        <v>1.7142284325462401E-3</v>
      </c>
      <c r="AM78" s="299">
        <f t="shared" si="30"/>
        <v>1.5973530520336163E-3</v>
      </c>
      <c r="AN78" s="299">
        <f t="shared" si="30"/>
        <v>1.4714247631220033E-3</v>
      </c>
      <c r="AO78" s="299">
        <f t="shared" si="30"/>
        <v>1.351298301518158E-3</v>
      </c>
      <c r="AP78" s="299">
        <f t="shared" si="30"/>
        <v>1.249305553178799E-3</v>
      </c>
      <c r="AQ78" s="299">
        <f t="shared" si="30"/>
        <v>1.1709294401125378E-3</v>
      </c>
      <c r="AR78" s="299">
        <f t="shared" si="30"/>
        <v>1.1151936159018152E-3</v>
      </c>
      <c r="AS78" s="299">
        <f t="shared" si="10"/>
        <v>1.0777066149297121E-3</v>
      </c>
      <c r="AT78" s="299">
        <f t="shared" si="10"/>
        <v>1.0534293424897419E-3</v>
      </c>
      <c r="AU78" s="299">
        <f t="shared" si="10"/>
        <v>1.038089885773421E-3</v>
      </c>
      <c r="AV78" s="299">
        <f t="shared" si="10"/>
        <v>1.0285482479297282E-3</v>
      </c>
      <c r="AW78" s="299">
        <f t="shared" si="19"/>
        <v>1.0226707112055305E-3</v>
      </c>
      <c r="AX78" s="299">
        <f t="shared" si="19"/>
        <v>1.0190719687672644E-3</v>
      </c>
      <c r="AY78" s="299">
        <f t="shared" si="19"/>
        <v>1.0168766279783426E-3</v>
      </c>
      <c r="AZ78" s="306">
        <f t="shared" si="31"/>
        <v>0.11221138084367417</v>
      </c>
      <c r="BA78" s="2">
        <f t="shared" si="31"/>
        <v>0.11221138084367417</v>
      </c>
      <c r="BB78" s="2">
        <f t="shared" si="31"/>
        <v>0.11221138084367417</v>
      </c>
      <c r="BC78" s="2">
        <f t="shared" si="31"/>
        <v>0.11221138084367417</v>
      </c>
      <c r="BD78" s="2">
        <f t="shared" si="31"/>
        <v>0.11221138084367417</v>
      </c>
      <c r="BE78" s="2">
        <f t="shared" si="31"/>
        <v>0.10713061775270023</v>
      </c>
      <c r="BF78" s="2">
        <f t="shared" si="31"/>
        <v>0.10429941690033763</v>
      </c>
      <c r="BG78" s="2">
        <f t="shared" si="31"/>
        <v>0.10026008566966256</v>
      </c>
      <c r="BH78" s="2">
        <f t="shared" si="31"/>
        <v>9.4899322269747302E-2</v>
      </c>
      <c r="BI78" s="2">
        <f t="shared" si="31"/>
        <v>8.8429126005301881E-2</v>
      </c>
      <c r="BJ78" s="2">
        <f t="shared" si="31"/>
        <v>8.1457762652898336E-2</v>
      </c>
      <c r="BK78" s="2">
        <f t="shared" si="31"/>
        <v>7.480758722911611E-2</v>
      </c>
      <c r="BL78" s="2">
        <f t="shared" si="31"/>
        <v>6.9161290323716373E-2</v>
      </c>
      <c r="BM78" s="2">
        <f t="shared" si="31"/>
        <v>6.4822405335630273E-2</v>
      </c>
      <c r="BN78" s="2">
        <f t="shared" si="31"/>
        <v>6.1736881934360534E-2</v>
      </c>
      <c r="BO78" s="2">
        <f t="shared" si="11"/>
        <v>5.9661609515215201E-2</v>
      </c>
      <c r="BP78" s="2">
        <f t="shared" si="11"/>
        <v>5.8317624864529495E-2</v>
      </c>
      <c r="BQ78" s="2">
        <f t="shared" si="11"/>
        <v>5.7468435795717504E-2</v>
      </c>
      <c r="BR78" s="2">
        <f t="shared" si="11"/>
        <v>5.6940212749408067E-2</v>
      </c>
      <c r="BS78" s="2">
        <f t="shared" si="20"/>
        <v>5.6614833563558599E-2</v>
      </c>
      <c r="BT78" s="2">
        <f t="shared" si="20"/>
        <v>5.6415607945822475E-2</v>
      </c>
      <c r="BU78" s="2">
        <f t="shared" si="20"/>
        <v>5.629407434559492E-2</v>
      </c>
    </row>
    <row r="79" spans="1:73" x14ac:dyDescent="0.25">
      <c r="A79" t="s">
        <v>25</v>
      </c>
      <c r="B79" s="1" t="s">
        <v>5</v>
      </c>
      <c r="C79" t="s">
        <v>17</v>
      </c>
      <c r="D79" t="s">
        <v>17</v>
      </c>
      <c r="E79" s="97">
        <v>6.9547100000000004</v>
      </c>
      <c r="F79" s="5">
        <f t="shared" si="29"/>
        <v>1.7039039500000002E-2</v>
      </c>
      <c r="G79" s="1">
        <f>LOOKUP(RIGHT(D79,5),Ref!$C$4:$C$21,Ref!$E$4:$E$21)*$G$3</f>
        <v>3</v>
      </c>
      <c r="H79" s="36">
        <f t="shared" si="28"/>
        <v>6.9547100000000004</v>
      </c>
      <c r="I79" s="12">
        <f t="shared" si="28"/>
        <v>6.9547100000000004</v>
      </c>
      <c r="J79" s="12">
        <f t="shared" si="28"/>
        <v>6.9547100000000004</v>
      </c>
      <c r="K79" s="12">
        <f t="shared" si="28"/>
        <v>6.9547100000000004</v>
      </c>
      <c r="L79" s="12">
        <f t="shared" si="28"/>
        <v>6.9547100000000004</v>
      </c>
      <c r="M79" s="12">
        <f t="shared" si="27"/>
        <v>7.2845431944467558</v>
      </c>
      <c r="N79" s="12">
        <f t="shared" si="27"/>
        <v>7.4822816431755426</v>
      </c>
      <c r="O79" s="12">
        <f t="shared" si="27"/>
        <v>7.7837317538164417</v>
      </c>
      <c r="P79" s="12">
        <f t="shared" si="27"/>
        <v>8.2234266146713058</v>
      </c>
      <c r="Q79" s="12">
        <f t="shared" si="27"/>
        <v>8.8251195926161206</v>
      </c>
      <c r="R79" s="12">
        <f t="shared" si="27"/>
        <v>9.5803958646971505</v>
      </c>
      <c r="S79" s="12">
        <f t="shared" si="27"/>
        <v>10.432065000000001</v>
      </c>
      <c r="T79" s="12">
        <f t="shared" si="27"/>
        <v>11.283734135302851</v>
      </c>
      <c r="U79" s="12">
        <f t="shared" si="27"/>
        <v>12.039010407383881</v>
      </c>
      <c r="V79" s="12">
        <f t="shared" si="27"/>
        <v>12.640703385328695</v>
      </c>
      <c r="W79" s="12">
        <f t="shared" si="27"/>
        <v>13.080398246183558</v>
      </c>
      <c r="X79" s="12">
        <f t="shared" si="27"/>
        <v>13.38184835682446</v>
      </c>
      <c r="Y79" s="12">
        <f t="shared" si="27"/>
        <v>13.579586805553246</v>
      </c>
      <c r="Z79" s="12">
        <f t="shared" si="27"/>
        <v>13.705561935671236</v>
      </c>
      <c r="AA79" s="12">
        <f t="shared" si="27"/>
        <v>13.784331125714543</v>
      </c>
      <c r="AB79" s="12">
        <f t="shared" si="27"/>
        <v>13.833009000217588</v>
      </c>
      <c r="AC79" s="12">
        <f t="shared" si="26"/>
        <v>13.862873162748368</v>
      </c>
      <c r="AD79" s="300">
        <f t="shared" si="30"/>
        <v>1.9761567489556373E-3</v>
      </c>
      <c r="AE79" s="299">
        <f t="shared" si="30"/>
        <v>1.9761567489556373E-3</v>
      </c>
      <c r="AF79" s="299">
        <f t="shared" si="30"/>
        <v>1.9761567489556373E-3</v>
      </c>
      <c r="AG79" s="299">
        <f t="shared" si="30"/>
        <v>1.9761567489556373E-3</v>
      </c>
      <c r="AH79" s="299">
        <f t="shared" si="30"/>
        <v>1.9761567489556373E-3</v>
      </c>
      <c r="AI79" s="299">
        <f t="shared" si="30"/>
        <v>1.8866793341285218E-3</v>
      </c>
      <c r="AJ79" s="299">
        <f t="shared" si="30"/>
        <v>1.8368190024047749E-3</v>
      </c>
      <c r="AK79" s="299">
        <f t="shared" si="30"/>
        <v>1.7656822637535827E-3</v>
      </c>
      <c r="AL79" s="299">
        <f t="shared" si="30"/>
        <v>1.67127375819339E-3</v>
      </c>
      <c r="AM79" s="299">
        <f t="shared" si="30"/>
        <v>1.5573270094864635E-3</v>
      </c>
      <c r="AN79" s="299">
        <f t="shared" si="30"/>
        <v>1.4345541977209011E-3</v>
      </c>
      <c r="AO79" s="299">
        <f t="shared" si="30"/>
        <v>1.3174378326370913E-3</v>
      </c>
      <c r="AP79" s="299">
        <f t="shared" si="30"/>
        <v>1.2180007911149165E-3</v>
      </c>
      <c r="AQ79" s="299">
        <f t="shared" si="30"/>
        <v>1.1415886055800655E-3</v>
      </c>
      <c r="AR79" s="299">
        <f t="shared" si="30"/>
        <v>1.0872493946405409E-3</v>
      </c>
      <c r="AS79" s="299">
        <f t="shared" si="10"/>
        <v>1.0507017328420564E-3</v>
      </c>
      <c r="AT79" s="299">
        <f t="shared" si="10"/>
        <v>1.027032793756052E-3</v>
      </c>
      <c r="AU79" s="299">
        <f t="shared" si="10"/>
        <v>1.012077709014603E-3</v>
      </c>
      <c r="AV79" s="299">
        <f t="shared" si="10"/>
        <v>1.0027751629620549E-3</v>
      </c>
      <c r="AW79" s="299">
        <f t="shared" si="19"/>
        <v>9.9704490397003781E-4</v>
      </c>
      <c r="AX79" s="299">
        <f t="shared" si="19"/>
        <v>9.9353633785050511E-4</v>
      </c>
      <c r="AY79" s="299">
        <f t="shared" si="19"/>
        <v>9.9139600731977984E-4</v>
      </c>
      <c r="AZ79" s="306">
        <f t="shared" si="31"/>
        <v>0.10939961828548102</v>
      </c>
      <c r="BA79" s="2">
        <f t="shared" si="31"/>
        <v>0.10939961828548102</v>
      </c>
      <c r="BB79" s="2">
        <f t="shared" si="31"/>
        <v>0.10939961828548102</v>
      </c>
      <c r="BC79" s="2">
        <f t="shared" si="31"/>
        <v>0.10939961828548102</v>
      </c>
      <c r="BD79" s="2">
        <f t="shared" si="31"/>
        <v>0.10939961828548102</v>
      </c>
      <c r="BE79" s="2">
        <f t="shared" si="31"/>
        <v>0.10444616758758914</v>
      </c>
      <c r="BF79" s="2">
        <f t="shared" si="31"/>
        <v>0.10168591020363006</v>
      </c>
      <c r="BG79" s="2">
        <f t="shared" si="31"/>
        <v>9.7747795446980687E-2</v>
      </c>
      <c r="BH79" s="2">
        <f t="shared" si="31"/>
        <v>9.2521360612473708E-2</v>
      </c>
      <c r="BI79" s="2">
        <f t="shared" si="31"/>
        <v>8.6213292783341583E-2</v>
      </c>
      <c r="BJ79" s="2">
        <f t="shared" si="31"/>
        <v>7.9416615976157165E-2</v>
      </c>
      <c r="BK79" s="2">
        <f t="shared" si="31"/>
        <v>7.2933078856987341E-2</v>
      </c>
      <c r="BL79" s="2">
        <f t="shared" si="31"/>
        <v>6.7428265338670801E-2</v>
      </c>
      <c r="BM79" s="2">
        <f t="shared" si="31"/>
        <v>6.3198102961981875E-2</v>
      </c>
      <c r="BN79" s="2">
        <f t="shared" si="31"/>
        <v>6.0189895775046985E-2</v>
      </c>
      <c r="BO79" s="2">
        <f t="shared" si="11"/>
        <v>5.81666249732272E-2</v>
      </c>
      <c r="BP79" s="2">
        <f t="shared" si="11"/>
        <v>5.6856317527929849E-2</v>
      </c>
      <c r="BQ79" s="2">
        <f t="shared" si="11"/>
        <v>5.6028407210083758E-2</v>
      </c>
      <c r="BR79" s="2">
        <f t="shared" si="11"/>
        <v>5.5513420234597273E-2</v>
      </c>
      <c r="BS79" s="2">
        <f t="shared" si="20"/>
        <v>5.5196194312749268E-2</v>
      </c>
      <c r="BT79" s="2">
        <f t="shared" si="20"/>
        <v>5.5001960836882996E-2</v>
      </c>
      <c r="BU79" s="2">
        <f t="shared" si="20"/>
        <v>5.4883472592876105E-2</v>
      </c>
    </row>
    <row r="80" spans="1:73" x14ac:dyDescent="0.25">
      <c r="A80" t="s">
        <v>25</v>
      </c>
      <c r="B80" s="1" t="s">
        <v>5</v>
      </c>
      <c r="C80" t="s">
        <v>18</v>
      </c>
      <c r="D80" t="s">
        <v>18</v>
      </c>
      <c r="E80" s="97">
        <v>6.8963830000000002</v>
      </c>
      <c r="F80" s="5">
        <f t="shared" si="29"/>
        <v>1.6896138350000003E-2</v>
      </c>
      <c r="G80" s="1">
        <f>LOOKUP(RIGHT(D80,5),Ref!$C$4:$C$21,Ref!$E$4:$E$21)*$G$3</f>
        <v>3</v>
      </c>
      <c r="H80" s="36">
        <f t="shared" si="28"/>
        <v>6.8963830000000002</v>
      </c>
      <c r="I80" s="12">
        <f t="shared" si="28"/>
        <v>6.8963830000000002</v>
      </c>
      <c r="J80" s="12">
        <f t="shared" si="28"/>
        <v>6.8963830000000002</v>
      </c>
      <c r="K80" s="12">
        <f t="shared" si="28"/>
        <v>6.8963830000000002</v>
      </c>
      <c r="L80" s="12">
        <f t="shared" si="28"/>
        <v>6.8963830000000002</v>
      </c>
      <c r="M80" s="12">
        <f t="shared" si="27"/>
        <v>7.2234499855419276</v>
      </c>
      <c r="N80" s="12">
        <f t="shared" si="27"/>
        <v>7.419530063109443</v>
      </c>
      <c r="O80" s="12">
        <f t="shared" si="27"/>
        <v>7.7184520049836571</v>
      </c>
      <c r="P80" s="12">
        <f t="shared" si="27"/>
        <v>8.154459281144252</v>
      </c>
      <c r="Q80" s="12">
        <f t="shared" si="27"/>
        <v>8.7511060463318717</v>
      </c>
      <c r="R80" s="12">
        <f t="shared" si="27"/>
        <v>9.5000480501081608</v>
      </c>
      <c r="S80" s="12">
        <f t="shared" si="27"/>
        <v>10.3445745</v>
      </c>
      <c r="T80" s="12">
        <f t="shared" si="27"/>
        <v>11.18910094989184</v>
      </c>
      <c r="U80" s="12">
        <f t="shared" si="27"/>
        <v>11.938042953668129</v>
      </c>
      <c r="V80" s="12">
        <f t="shared" si="27"/>
        <v>12.534689718855748</v>
      </c>
      <c r="W80" s="12">
        <f t="shared" si="27"/>
        <v>12.970696995016342</v>
      </c>
      <c r="X80" s="12">
        <f t="shared" si="27"/>
        <v>13.269618936890557</v>
      </c>
      <c r="Y80" s="12">
        <f t="shared" si="27"/>
        <v>13.465699014458073</v>
      </c>
      <c r="Z80" s="12">
        <f t="shared" si="27"/>
        <v>13.59061763015427</v>
      </c>
      <c r="AA80" s="12">
        <f t="shared" si="27"/>
        <v>13.668726207383001</v>
      </c>
      <c r="AB80" s="12">
        <f t="shared" si="27"/>
        <v>13.716995835620404</v>
      </c>
      <c r="AC80" s="12">
        <f t="shared" si="26"/>
        <v>13.746609536664229</v>
      </c>
      <c r="AD80" s="300">
        <f t="shared" si="30"/>
        <v>1.9928703355845028E-3</v>
      </c>
      <c r="AE80" s="299">
        <f t="shared" si="30"/>
        <v>1.9928703355845028E-3</v>
      </c>
      <c r="AF80" s="299">
        <f t="shared" si="30"/>
        <v>1.9928703355845028E-3</v>
      </c>
      <c r="AG80" s="299">
        <f t="shared" si="30"/>
        <v>1.9928703355845028E-3</v>
      </c>
      <c r="AH80" s="299">
        <f t="shared" si="30"/>
        <v>1.9928703355845028E-3</v>
      </c>
      <c r="AI80" s="299">
        <f t="shared" si="30"/>
        <v>1.9026361546127834E-3</v>
      </c>
      <c r="AJ80" s="299">
        <f t="shared" si="30"/>
        <v>1.8523541230547249E-3</v>
      </c>
      <c r="AK80" s="299">
        <f t="shared" si="30"/>
        <v>1.7806157367637036E-3</v>
      </c>
      <c r="AL80" s="299">
        <f t="shared" si="30"/>
        <v>1.6854087597578545E-3</v>
      </c>
      <c r="AM80" s="299">
        <f t="shared" si="30"/>
        <v>1.5704982925318393E-3</v>
      </c>
      <c r="AN80" s="299">
        <f t="shared" si="30"/>
        <v>1.4466871147428338E-3</v>
      </c>
      <c r="AO80" s="299">
        <f t="shared" si="30"/>
        <v>1.3285802237230017E-3</v>
      </c>
      <c r="AP80" s="299">
        <f t="shared" si="30"/>
        <v>1.2283021812992145E-3</v>
      </c>
      <c r="AQ80" s="299">
        <f t="shared" si="30"/>
        <v>1.1512437303893557E-3</v>
      </c>
      <c r="AR80" s="299">
        <f t="shared" si="30"/>
        <v>1.0964449389485062E-3</v>
      </c>
      <c r="AS80" s="299">
        <f t="shared" si="10"/>
        <v>1.0595881708446266E-3</v>
      </c>
      <c r="AT80" s="299">
        <f t="shared" si="10"/>
        <v>1.0357190488206867E-3</v>
      </c>
      <c r="AU80" s="299">
        <f t="shared" si="10"/>
        <v>1.0206374796267767E-3</v>
      </c>
      <c r="AV80" s="299">
        <f t="shared" si="10"/>
        <v>1.0112562561568625E-3</v>
      </c>
      <c r="AW80" s="299">
        <f t="shared" si="19"/>
        <v>1.005477532800812E-3</v>
      </c>
      <c r="AX80" s="299">
        <f t="shared" si="19"/>
        <v>1.0019392925555738E-3</v>
      </c>
      <c r="AY80" s="299">
        <f t="shared" si="19"/>
        <v>9.9978085991844507E-4</v>
      </c>
      <c r="AZ80" s="306">
        <f t="shared" si="31"/>
        <v>0.11032487889466373</v>
      </c>
      <c r="BA80" s="2">
        <f t="shared" si="31"/>
        <v>0.11032487889466373</v>
      </c>
      <c r="BB80" s="2">
        <f t="shared" si="31"/>
        <v>0.11032487889466373</v>
      </c>
      <c r="BC80" s="2">
        <f t="shared" si="31"/>
        <v>0.11032487889466373</v>
      </c>
      <c r="BD80" s="2">
        <f t="shared" si="31"/>
        <v>0.11032487889466373</v>
      </c>
      <c r="BE80" s="2">
        <f t="shared" si="31"/>
        <v>0.10532953378359092</v>
      </c>
      <c r="BF80" s="2">
        <f t="shared" si="31"/>
        <v>0.10254593118628824</v>
      </c>
      <c r="BG80" s="2">
        <f t="shared" si="31"/>
        <v>9.8574509343966402E-2</v>
      </c>
      <c r="BH80" s="2">
        <f t="shared" si="31"/>
        <v>9.3303871299662028E-2</v>
      </c>
      <c r="BI80" s="2">
        <f t="shared" si="31"/>
        <v>8.6942452217812383E-2</v>
      </c>
      <c r="BJ80" s="2">
        <f t="shared" si="31"/>
        <v>8.0088291687909444E-2</v>
      </c>
      <c r="BK80" s="2">
        <f t="shared" si="31"/>
        <v>7.3549919263109151E-2</v>
      </c>
      <c r="BL80" s="2">
        <f t="shared" si="31"/>
        <v>6.7998548113338136E-2</v>
      </c>
      <c r="BM80" s="2">
        <f t="shared" si="31"/>
        <v>6.3732608622625059E-2</v>
      </c>
      <c r="BN80" s="2">
        <f t="shared" si="31"/>
        <v>6.069895915665894E-2</v>
      </c>
      <c r="BO80" s="2">
        <f t="shared" si="11"/>
        <v>5.8658576295364244E-2</v>
      </c>
      <c r="BP80" s="2">
        <f t="shared" si="11"/>
        <v>5.7337186765101217E-2</v>
      </c>
      <c r="BQ80" s="2">
        <f t="shared" si="11"/>
        <v>5.6502274294806663E-2</v>
      </c>
      <c r="BR80" s="2">
        <f t="shared" si="11"/>
        <v>5.5982931754189988E-2</v>
      </c>
      <c r="BS80" s="2">
        <f t="shared" si="20"/>
        <v>5.5663022855433127E-2</v>
      </c>
      <c r="BT80" s="2">
        <f t="shared" si="20"/>
        <v>5.5467146626264598E-2</v>
      </c>
      <c r="BU80" s="2">
        <f t="shared" si="20"/>
        <v>5.5347656253488441E-2</v>
      </c>
    </row>
    <row r="81" spans="1:73" x14ac:dyDescent="0.25">
      <c r="A81" t="s">
        <v>25</v>
      </c>
      <c r="B81" s="1" t="s">
        <v>5</v>
      </c>
      <c r="C81" t="s">
        <v>11</v>
      </c>
      <c r="D81" t="s">
        <v>11</v>
      </c>
      <c r="E81" s="97">
        <v>6.9640174999999997</v>
      </c>
      <c r="F81" s="5">
        <f t="shared" si="29"/>
        <v>1.7061842875E-2</v>
      </c>
      <c r="G81" s="1">
        <f>LOOKUP(RIGHT(D81,5),Ref!$C$4:$C$21,Ref!$E$4:$E$21)*$G$3</f>
        <v>4.5</v>
      </c>
      <c r="H81" s="36">
        <f t="shared" si="28"/>
        <v>6.9640174999999997</v>
      </c>
      <c r="I81" s="12">
        <f t="shared" si="28"/>
        <v>6.9640174999999997</v>
      </c>
      <c r="J81" s="12">
        <f t="shared" si="28"/>
        <v>6.9640174999999997</v>
      </c>
      <c r="K81" s="12">
        <f t="shared" si="28"/>
        <v>6.9640174999999997</v>
      </c>
      <c r="L81" s="12">
        <f t="shared" si="28"/>
        <v>6.9640174999999997</v>
      </c>
      <c r="M81" s="12">
        <f t="shared" si="27"/>
        <v>7.2942921107613552</v>
      </c>
      <c r="N81" s="12">
        <f t="shared" si="27"/>
        <v>7.4922951931860897</v>
      </c>
      <c r="O81" s="12">
        <f t="shared" si="27"/>
        <v>7.7941487350131622</v>
      </c>
      <c r="P81" s="12">
        <f t="shared" si="27"/>
        <v>8.2344320402341324</v>
      </c>
      <c r="Q81" s="12">
        <f t="shared" si="27"/>
        <v>8.8369302648955195</v>
      </c>
      <c r="R81" s="12">
        <f t="shared" si="27"/>
        <v>9.5932173244719898</v>
      </c>
      <c r="S81" s="12">
        <f t="shared" si="27"/>
        <v>10.446026249999999</v>
      </c>
      <c r="T81" s="12">
        <f t="shared" si="27"/>
        <v>11.29883517552801</v>
      </c>
      <c r="U81" s="12">
        <f t="shared" si="27"/>
        <v>12.055122235104479</v>
      </c>
      <c r="V81" s="12">
        <f t="shared" si="27"/>
        <v>12.657620459765868</v>
      </c>
      <c r="W81" s="12">
        <f t="shared" si="27"/>
        <v>13.097903764986835</v>
      </c>
      <c r="X81" s="12">
        <f t="shared" si="27"/>
        <v>13.39975730681391</v>
      </c>
      <c r="Y81" s="12">
        <f t="shared" si="27"/>
        <v>13.597760389238644</v>
      </c>
      <c r="Z81" s="12">
        <f t="shared" si="27"/>
        <v>13.723904112083517</v>
      </c>
      <c r="AA81" s="12">
        <f t="shared" si="27"/>
        <v>13.802778719065319</v>
      </c>
      <c r="AB81" s="12">
        <f t="shared" si="27"/>
        <v>13.851521739249053</v>
      </c>
      <c r="AC81" s="12">
        <f t="shared" si="26"/>
        <v>13.88142586903839</v>
      </c>
      <c r="AD81" s="300">
        <f t="shared" si="30"/>
        <v>1.9735155897481964E-3</v>
      </c>
      <c r="AE81" s="299">
        <f t="shared" si="30"/>
        <v>1.9735155897481964E-3</v>
      </c>
      <c r="AF81" s="299">
        <f t="shared" si="30"/>
        <v>1.9735155897481964E-3</v>
      </c>
      <c r="AG81" s="299">
        <f t="shared" si="30"/>
        <v>1.9735155897481964E-3</v>
      </c>
      <c r="AH81" s="299">
        <f t="shared" si="30"/>
        <v>1.9735155897481964E-3</v>
      </c>
      <c r="AI81" s="299">
        <f t="shared" si="30"/>
        <v>1.8841577626502193E-3</v>
      </c>
      <c r="AJ81" s="299">
        <f t="shared" si="30"/>
        <v>1.8343640699085711E-3</v>
      </c>
      <c r="AK81" s="299">
        <f t="shared" si="30"/>
        <v>1.7633224064341712E-3</v>
      </c>
      <c r="AL81" s="299">
        <f t="shared" si="30"/>
        <v>1.6690400790700414E-3</v>
      </c>
      <c r="AM81" s="299">
        <f t="shared" si="30"/>
        <v>1.5552456216753627E-3</v>
      </c>
      <c r="AN81" s="299">
        <f t="shared" si="30"/>
        <v>1.4326368973701642E-3</v>
      </c>
      <c r="AO81" s="299">
        <f t="shared" si="30"/>
        <v>1.3156770598321309E-3</v>
      </c>
      <c r="AP81" s="299">
        <f t="shared" si="30"/>
        <v>1.2163729172097603E-3</v>
      </c>
      <c r="AQ81" s="299">
        <f t="shared" si="30"/>
        <v>1.1400628575551019E-3</v>
      </c>
      <c r="AR81" s="299">
        <f t="shared" si="30"/>
        <v>1.0857962716780242E-3</v>
      </c>
      <c r="AS81" s="299">
        <f t="shared" si="10"/>
        <v>1.049297456305068E-3</v>
      </c>
      <c r="AT81" s="299">
        <f t="shared" si="10"/>
        <v>1.0256601510641168E-3</v>
      </c>
      <c r="AU81" s="299">
        <f t="shared" si="10"/>
        <v>1.0107250539880105E-3</v>
      </c>
      <c r="AV81" s="299">
        <f t="shared" si="10"/>
        <v>1.0014349409093002E-3</v>
      </c>
      <c r="AW81" s="299">
        <f t="shared" si="19"/>
        <v>9.9571234048298441E-4</v>
      </c>
      <c r="AX81" s="299">
        <f t="shared" si="19"/>
        <v>9.9220846360772172E-4</v>
      </c>
      <c r="AY81" s="299">
        <f t="shared" si="19"/>
        <v>9.9007099365659929E-4</v>
      </c>
      <c r="AZ81" s="306">
        <f t="shared" si="31"/>
        <v>0.10925340427220606</v>
      </c>
      <c r="BA81" s="2">
        <f t="shared" si="31"/>
        <v>0.10925340427220606</v>
      </c>
      <c r="BB81" s="2">
        <f t="shared" si="31"/>
        <v>0.10925340427220606</v>
      </c>
      <c r="BC81" s="2">
        <f t="shared" si="31"/>
        <v>0.10925340427220606</v>
      </c>
      <c r="BD81" s="2">
        <f t="shared" si="31"/>
        <v>0.10925340427220606</v>
      </c>
      <c r="BE81" s="2">
        <f t="shared" si="31"/>
        <v>0.10430657392562298</v>
      </c>
      <c r="BF81" s="2">
        <f t="shared" si="31"/>
        <v>0.10155000566157223</v>
      </c>
      <c r="BG81" s="2">
        <f t="shared" si="31"/>
        <v>9.761715424653529E-2</v>
      </c>
      <c r="BH81" s="2">
        <f t="shared" si="31"/>
        <v>9.2397704610187592E-2</v>
      </c>
      <c r="BI81" s="2">
        <f t="shared" si="31"/>
        <v>8.6098067595785574E-2</v>
      </c>
      <c r="BJ81" s="2">
        <f t="shared" si="31"/>
        <v>7.9310474635587852E-2</v>
      </c>
      <c r="BK81" s="2">
        <f t="shared" si="31"/>
        <v>7.2835602848137379E-2</v>
      </c>
      <c r="BL81" s="2">
        <f t="shared" si="31"/>
        <v>6.7338146584713099E-2</v>
      </c>
      <c r="BM81" s="2">
        <f t="shared" si="31"/>
        <v>6.3113637875080716E-2</v>
      </c>
      <c r="BN81" s="2">
        <f t="shared" si="31"/>
        <v>6.0109451196192001E-2</v>
      </c>
      <c r="BO81" s="2">
        <f t="shared" si="11"/>
        <v>5.808888452212433E-2</v>
      </c>
      <c r="BP81" s="2">
        <f t="shared" si="11"/>
        <v>5.6780328319776488E-2</v>
      </c>
      <c r="BQ81" s="2">
        <f t="shared" si="11"/>
        <v>5.595352451484243E-2</v>
      </c>
      <c r="BR81" s="2">
        <f t="shared" si="11"/>
        <v>5.5439225826149352E-2</v>
      </c>
      <c r="BS81" s="2">
        <f t="shared" si="20"/>
        <v>5.5122423880873433E-2</v>
      </c>
      <c r="BT81" s="2">
        <f t="shared" si="20"/>
        <v>5.4928450000574891E-2</v>
      </c>
      <c r="BU81" s="2">
        <f t="shared" si="20"/>
        <v>5.4810120117647812E-2</v>
      </c>
    </row>
    <row r="82" spans="1:73" x14ac:dyDescent="0.25">
      <c r="A82" t="s">
        <v>26</v>
      </c>
      <c r="B82" s="1" t="s">
        <v>5</v>
      </c>
      <c r="C82" t="s">
        <v>6</v>
      </c>
      <c r="D82" t="s">
        <v>6</v>
      </c>
      <c r="E82" s="97">
        <v>5.2820427499999996</v>
      </c>
      <c r="F82" s="5">
        <f t="shared" si="29"/>
        <v>1.2941004737499999E-2</v>
      </c>
      <c r="G82" s="1">
        <f>LOOKUP(RIGHT(D82,5),Ref!$C$4:$C$21,Ref!$E$4:$E$21)*$G$3</f>
        <v>3</v>
      </c>
      <c r="H82" s="36">
        <f t="shared" si="28"/>
        <v>5.2820427499999996</v>
      </c>
      <c r="I82" s="12">
        <f t="shared" si="28"/>
        <v>5.2820427499999996</v>
      </c>
      <c r="J82" s="12">
        <f t="shared" si="28"/>
        <v>5.2820427499999996</v>
      </c>
      <c r="K82" s="12">
        <f t="shared" si="28"/>
        <v>5.2820427499999996</v>
      </c>
      <c r="L82" s="12">
        <f t="shared" si="28"/>
        <v>5.2820427499999996</v>
      </c>
      <c r="M82" s="12">
        <f t="shared" si="27"/>
        <v>5.5325482395799854</v>
      </c>
      <c r="N82" s="12">
        <f t="shared" si="27"/>
        <v>5.682728899809403</v>
      </c>
      <c r="O82" s="12">
        <f t="shared" si="27"/>
        <v>5.9116776800457407</v>
      </c>
      <c r="P82" s="12">
        <f t="shared" si="27"/>
        <v>6.2456221654363162</v>
      </c>
      <c r="Q82" s="12">
        <f t="shared" si="27"/>
        <v>6.7026028349220779</v>
      </c>
      <c r="R82" s="12">
        <f t="shared" si="27"/>
        <v>7.2762287024553949</v>
      </c>
      <c r="S82" s="12">
        <f t="shared" si="27"/>
        <v>7.9230641249999998</v>
      </c>
      <c r="T82" s="12">
        <f t="shared" si="27"/>
        <v>8.5698995475446029</v>
      </c>
      <c r="U82" s="12">
        <f t="shared" si="27"/>
        <v>9.1435254150779208</v>
      </c>
      <c r="V82" s="12">
        <f t="shared" si="27"/>
        <v>9.6005060845636816</v>
      </c>
      <c r="W82" s="12">
        <f t="shared" si="27"/>
        <v>9.9344505699542562</v>
      </c>
      <c r="X82" s="12">
        <f t="shared" si="27"/>
        <v>10.163399350190595</v>
      </c>
      <c r="Y82" s="12">
        <f t="shared" si="27"/>
        <v>10.313580010420013</v>
      </c>
      <c r="Z82" s="12">
        <f t="shared" si="27"/>
        <v>10.40925704407347</v>
      </c>
      <c r="AA82" s="12">
        <f t="shared" si="27"/>
        <v>10.469081570069756</v>
      </c>
      <c r="AB82" s="12">
        <f t="shared" si="27"/>
        <v>10.506051999333408</v>
      </c>
      <c r="AC82" s="12">
        <f t="shared" si="26"/>
        <v>10.528733575298551</v>
      </c>
      <c r="AD82" s="300">
        <f t="shared" si="30"/>
        <v>2.6019473438622324E-3</v>
      </c>
      <c r="AE82" s="299">
        <f t="shared" si="30"/>
        <v>2.6019473438622324E-3</v>
      </c>
      <c r="AF82" s="299">
        <f t="shared" si="30"/>
        <v>2.6019473438622324E-3</v>
      </c>
      <c r="AG82" s="299">
        <f t="shared" si="30"/>
        <v>2.6019473438622324E-3</v>
      </c>
      <c r="AH82" s="299">
        <f t="shared" si="30"/>
        <v>2.6019473438622324E-3</v>
      </c>
      <c r="AI82" s="299">
        <f t="shared" si="30"/>
        <v>2.4841350691182824E-3</v>
      </c>
      <c r="AJ82" s="299">
        <f t="shared" si="30"/>
        <v>2.4184854399776517E-3</v>
      </c>
      <c r="AK82" s="299">
        <f t="shared" si="30"/>
        <v>2.3248217929606272E-3</v>
      </c>
      <c r="AL82" s="299">
        <f t="shared" si="30"/>
        <v>2.2005168963930015E-3</v>
      </c>
      <c r="AM82" s="299">
        <f t="shared" si="30"/>
        <v>2.0504865709664324E-3</v>
      </c>
      <c r="AN82" s="299">
        <f t="shared" si="30"/>
        <v>1.8888352284599608E-3</v>
      </c>
      <c r="AO82" s="299">
        <f t="shared" si="30"/>
        <v>1.7346315625748213E-3</v>
      </c>
      <c r="AP82" s="299">
        <f t="shared" si="30"/>
        <v>1.603705740922832E-3</v>
      </c>
      <c r="AQ82" s="299">
        <f t="shared" si="30"/>
        <v>1.5030960684886045E-3</v>
      </c>
      <c r="AR82" s="299">
        <f t="shared" si="30"/>
        <v>1.4315492311001302E-3</v>
      </c>
      <c r="AS82" s="299">
        <f t="shared" si="10"/>
        <v>1.383428002057344E-3</v>
      </c>
      <c r="AT82" s="299">
        <f t="shared" si="10"/>
        <v>1.3522638076079855E-3</v>
      </c>
      <c r="AU82" s="299">
        <f t="shared" si="10"/>
        <v>1.3325728883320663E-3</v>
      </c>
      <c r="AV82" s="299">
        <f t="shared" si="10"/>
        <v>1.3203245001384802E-3</v>
      </c>
      <c r="AW82" s="299">
        <f t="shared" si="19"/>
        <v>1.3127796370238508E-3</v>
      </c>
      <c r="AX82" s="299">
        <f t="shared" si="19"/>
        <v>1.3081600114297233E-3</v>
      </c>
      <c r="AY82" s="299">
        <f t="shared" si="19"/>
        <v>1.3053419013064492E-3</v>
      </c>
      <c r="AZ82" s="306">
        <f t="shared" si="31"/>
        <v>0.14404325282793629</v>
      </c>
      <c r="BA82" s="2">
        <f t="shared" si="31"/>
        <v>0.14404325282793629</v>
      </c>
      <c r="BB82" s="2">
        <f t="shared" si="31"/>
        <v>0.14404325282793629</v>
      </c>
      <c r="BC82" s="2">
        <f t="shared" si="31"/>
        <v>0.14404325282793629</v>
      </c>
      <c r="BD82" s="2">
        <f t="shared" si="31"/>
        <v>0.14404325282793629</v>
      </c>
      <c r="BE82" s="2">
        <f t="shared" si="31"/>
        <v>0.13752119029765184</v>
      </c>
      <c r="BF82" s="2">
        <f t="shared" si="31"/>
        <v>0.13388684075915291</v>
      </c>
      <c r="BG82" s="2">
        <f t="shared" si="31"/>
        <v>0.12870164113553817</v>
      </c>
      <c r="BH82" s="2">
        <f t="shared" si="31"/>
        <v>0.12182014843881701</v>
      </c>
      <c r="BI82" s="2">
        <f t="shared" si="31"/>
        <v>0.11351450145935181</v>
      </c>
      <c r="BJ82" s="2">
        <f t="shared" si="31"/>
        <v>0.10456551744030093</v>
      </c>
      <c r="BK82" s="2">
        <f t="shared" si="31"/>
        <v>9.6028835218624181E-2</v>
      </c>
      <c r="BL82" s="2">
        <f t="shared" si="31"/>
        <v>8.8780809514180353E-2</v>
      </c>
      <c r="BM82" s="2">
        <f t="shared" si="31"/>
        <v>8.3211079397402632E-2</v>
      </c>
      <c r="BN82" s="2">
        <f t="shared" si="31"/>
        <v>7.9250261661679491E-2</v>
      </c>
      <c r="BO82" s="2">
        <f t="shared" si="11"/>
        <v>7.6586280633104117E-2</v>
      </c>
      <c r="BP82" s="2">
        <f t="shared" si="11"/>
        <v>7.4861037441370404E-2</v>
      </c>
      <c r="BQ82" s="2">
        <f t="shared" si="11"/>
        <v>7.3770952328631137E-2</v>
      </c>
      <c r="BR82" s="2">
        <f t="shared" si="11"/>
        <v>7.3092884157318891E-2</v>
      </c>
      <c r="BS82" s="2">
        <f t="shared" si="20"/>
        <v>7.2675202136298592E-2</v>
      </c>
      <c r="BT82" s="2">
        <f t="shared" si="20"/>
        <v>7.2419460643683473E-2</v>
      </c>
      <c r="BU82" s="2">
        <f t="shared" si="20"/>
        <v>7.2263450665256621E-2</v>
      </c>
    </row>
    <row r="83" spans="1:73" x14ac:dyDescent="0.25">
      <c r="A83" t="s">
        <v>26</v>
      </c>
      <c r="B83" s="1" t="s">
        <v>5</v>
      </c>
      <c r="C83" t="s">
        <v>7</v>
      </c>
      <c r="D83" t="s">
        <v>7</v>
      </c>
      <c r="E83" s="97">
        <v>5.3152394999999997</v>
      </c>
      <c r="F83" s="5">
        <f t="shared" si="29"/>
        <v>1.3022336774999999E-2</v>
      </c>
      <c r="G83" s="1">
        <f>LOOKUP(RIGHT(D83,5),Ref!$C$4:$C$21,Ref!$E$4:$E$21)*$G$3</f>
        <v>3.5</v>
      </c>
      <c r="H83" s="36">
        <f t="shared" si="28"/>
        <v>5.3152394999999997</v>
      </c>
      <c r="I83" s="12">
        <f t="shared" si="28"/>
        <v>5.3152394999999997</v>
      </c>
      <c r="J83" s="12">
        <f t="shared" si="28"/>
        <v>5.3152394999999997</v>
      </c>
      <c r="K83" s="12">
        <f t="shared" si="28"/>
        <v>5.3152394999999997</v>
      </c>
      <c r="L83" s="12">
        <f t="shared" si="28"/>
        <v>5.3152394999999997</v>
      </c>
      <c r="M83" s="12">
        <f t="shared" si="27"/>
        <v>5.5673193744353933</v>
      </c>
      <c r="N83" s="12">
        <f t="shared" si="27"/>
        <v>5.7184438948470238</v>
      </c>
      <c r="O83" s="12">
        <f t="shared" si="27"/>
        <v>5.9488315796473792</v>
      </c>
      <c r="P83" s="12">
        <f t="shared" si="27"/>
        <v>6.2848748499437352</v>
      </c>
      <c r="Q83" s="12">
        <f t="shared" si="27"/>
        <v>6.7447275660519423</v>
      </c>
      <c r="R83" s="12">
        <f t="shared" si="27"/>
        <v>7.32195857565232</v>
      </c>
      <c r="S83" s="12">
        <f t="shared" si="27"/>
        <v>7.9728592499999991</v>
      </c>
      <c r="T83" s="12">
        <f t="shared" si="27"/>
        <v>8.623759924347679</v>
      </c>
      <c r="U83" s="12">
        <f t="shared" si="27"/>
        <v>9.2009909339480576</v>
      </c>
      <c r="V83" s="12">
        <f t="shared" si="27"/>
        <v>9.6608436500562647</v>
      </c>
      <c r="W83" s="12">
        <f t="shared" si="27"/>
        <v>9.9968869203526189</v>
      </c>
      <c r="X83" s="12">
        <f t="shared" si="27"/>
        <v>10.227274605152976</v>
      </c>
      <c r="Y83" s="12">
        <f t="shared" si="27"/>
        <v>10.378399125564606</v>
      </c>
      <c r="Z83" s="12">
        <f t="shared" si="27"/>
        <v>10.474677473277277</v>
      </c>
      <c r="AA83" s="12">
        <f t="shared" si="27"/>
        <v>10.534877986354196</v>
      </c>
      <c r="AB83" s="12">
        <f t="shared" si="27"/>
        <v>10.572080768545637</v>
      </c>
      <c r="AC83" s="12">
        <f t="shared" si="26"/>
        <v>10.59490489439963</v>
      </c>
      <c r="AD83" s="300">
        <f t="shared" si="30"/>
        <v>2.5856966752917268E-3</v>
      </c>
      <c r="AE83" s="299">
        <f t="shared" si="30"/>
        <v>2.5856966752917268E-3</v>
      </c>
      <c r="AF83" s="299">
        <f t="shared" si="30"/>
        <v>2.5856966752917268E-3</v>
      </c>
      <c r="AG83" s="299">
        <f t="shared" si="30"/>
        <v>2.5856966752917268E-3</v>
      </c>
      <c r="AH83" s="299">
        <f t="shared" si="30"/>
        <v>2.5856966752917268E-3</v>
      </c>
      <c r="AI83" s="299">
        <f t="shared" si="30"/>
        <v>2.468620206456731E-3</v>
      </c>
      <c r="AJ83" s="299">
        <f t="shared" si="30"/>
        <v>2.4033805972834364E-3</v>
      </c>
      <c r="AK83" s="299">
        <f t="shared" si="30"/>
        <v>2.3103019340049834E-3</v>
      </c>
      <c r="AL83" s="299">
        <f t="shared" si="30"/>
        <v>2.1867733935310258E-3</v>
      </c>
      <c r="AM83" s="299">
        <f t="shared" si="30"/>
        <v>2.0376800944050789E-3</v>
      </c>
      <c r="AN83" s="299">
        <f t="shared" si="30"/>
        <v>1.877038358183395E-3</v>
      </c>
      <c r="AO83" s="299">
        <f t="shared" si="30"/>
        <v>1.7237977835278179E-3</v>
      </c>
      <c r="AP83" s="299">
        <f t="shared" si="30"/>
        <v>1.5936896694824048E-3</v>
      </c>
      <c r="AQ83" s="299">
        <f t="shared" si="30"/>
        <v>1.4937083627395787E-3</v>
      </c>
      <c r="AR83" s="299">
        <f t="shared" si="30"/>
        <v>1.4226083768004276E-3</v>
      </c>
      <c r="AS83" s="299">
        <f t="shared" si="10"/>
        <v>1.374787692711491E-3</v>
      </c>
      <c r="AT83" s="299">
        <f t="shared" si="10"/>
        <v>1.343818136711084E-3</v>
      </c>
      <c r="AU83" s="299">
        <f t="shared" si="10"/>
        <v>1.3242501986337493E-3</v>
      </c>
      <c r="AV83" s="299">
        <f t="shared" si="10"/>
        <v>1.312078308720394E-3</v>
      </c>
      <c r="AW83" s="299">
        <f t="shared" si="19"/>
        <v>1.3045805676469447E-3</v>
      </c>
      <c r="AX83" s="299">
        <f t="shared" si="19"/>
        <v>1.299989794290979E-3</v>
      </c>
      <c r="AY83" s="299">
        <f t="shared" si="19"/>
        <v>1.2971892848980646E-3</v>
      </c>
      <c r="AZ83" s="306">
        <f t="shared" si="31"/>
        <v>0.14314361926423405</v>
      </c>
      <c r="BA83" s="2">
        <f t="shared" si="31"/>
        <v>0.14314361926423405</v>
      </c>
      <c r="BB83" s="2">
        <f t="shared" si="31"/>
        <v>0.14314361926423405</v>
      </c>
      <c r="BC83" s="2">
        <f t="shared" si="31"/>
        <v>0.14314361926423405</v>
      </c>
      <c r="BD83" s="2">
        <f t="shared" si="31"/>
        <v>0.14314361926423405</v>
      </c>
      <c r="BE83" s="2">
        <f t="shared" si="31"/>
        <v>0.13666229079293268</v>
      </c>
      <c r="BF83" s="2">
        <f t="shared" si="31"/>
        <v>0.13305063987282004</v>
      </c>
      <c r="BG83" s="2">
        <f t="shared" si="31"/>
        <v>0.12789782482484016</v>
      </c>
      <c r="BH83" s="2">
        <f t="shared" si="31"/>
        <v>0.12105931103672321</v>
      </c>
      <c r="BI83" s="2">
        <f t="shared" si="31"/>
        <v>0.11280553763442525</v>
      </c>
      <c r="BJ83" s="2">
        <f t="shared" si="31"/>
        <v>0.10391244520506368</v>
      </c>
      <c r="BK83" s="2">
        <f t="shared" si="31"/>
        <v>9.5429079509489381E-2</v>
      </c>
      <c r="BL83" s="2">
        <f t="shared" si="31"/>
        <v>8.8226321924629605E-2</v>
      </c>
      <c r="BM83" s="2">
        <f t="shared" si="31"/>
        <v>8.2691377999189866E-2</v>
      </c>
      <c r="BN83" s="2">
        <f t="shared" si="31"/>
        <v>7.8755297864880225E-2</v>
      </c>
      <c r="BO83" s="2">
        <f t="shared" si="11"/>
        <v>7.6107954941174893E-2</v>
      </c>
      <c r="BP83" s="2">
        <f t="shared" si="11"/>
        <v>7.4393486892673236E-2</v>
      </c>
      <c r="BQ83" s="2">
        <f t="shared" si="11"/>
        <v>7.3310209992991232E-2</v>
      </c>
      <c r="BR83" s="2">
        <f t="shared" si="11"/>
        <v>7.2636376750239762E-2</v>
      </c>
      <c r="BS83" s="2">
        <f t="shared" si="20"/>
        <v>7.2221303395420003E-2</v>
      </c>
      <c r="BT83" s="2">
        <f t="shared" si="20"/>
        <v>7.1967159156587121E-2</v>
      </c>
      <c r="BU83" s="2">
        <f t="shared" si="20"/>
        <v>7.1812123550858142E-2</v>
      </c>
    </row>
    <row r="84" spans="1:73" x14ac:dyDescent="0.25">
      <c r="A84" t="s">
        <v>26</v>
      </c>
      <c r="B84" s="1" t="s">
        <v>5</v>
      </c>
      <c r="C84" t="s">
        <v>8</v>
      </c>
      <c r="D84" t="s">
        <v>8</v>
      </c>
      <c r="E84" s="97">
        <v>4.6656124999999999</v>
      </c>
      <c r="F84" s="5">
        <f t="shared" si="29"/>
        <v>1.1430750625E-2</v>
      </c>
      <c r="G84" s="1">
        <f>LOOKUP(RIGHT(D84,5),Ref!$C$4:$C$21,Ref!$E$4:$E$21)*$G$3</f>
        <v>4</v>
      </c>
      <c r="H84" s="36">
        <f t="shared" si="28"/>
        <v>4.6656124999999999</v>
      </c>
      <c r="I84" s="12">
        <f t="shared" si="28"/>
        <v>4.6656124999999999</v>
      </c>
      <c r="J84" s="12">
        <f t="shared" si="28"/>
        <v>4.6656124999999999</v>
      </c>
      <c r="K84" s="12">
        <f t="shared" si="28"/>
        <v>4.6656124999999999</v>
      </c>
      <c r="L84" s="12">
        <f t="shared" si="28"/>
        <v>4.6656124999999999</v>
      </c>
      <c r="M84" s="12">
        <f t="shared" si="27"/>
        <v>4.8868832467206698</v>
      </c>
      <c r="N84" s="12">
        <f t="shared" si="27"/>
        <v>5.019537372934364</v>
      </c>
      <c r="O84" s="12">
        <f t="shared" si="27"/>
        <v>5.2217671430229169</v>
      </c>
      <c r="P84" s="12">
        <f t="shared" si="27"/>
        <v>5.5167393041899837</v>
      </c>
      <c r="Q84" s="12">
        <f t="shared" si="27"/>
        <v>5.9203889573116166</v>
      </c>
      <c r="R84" s="12">
        <f t="shared" si="27"/>
        <v>6.4270709636029872</v>
      </c>
      <c r="S84" s="12">
        <f t="shared" si="27"/>
        <v>6.9984187499999999</v>
      </c>
      <c r="T84" s="12">
        <f t="shared" si="27"/>
        <v>7.5697665363970126</v>
      </c>
      <c r="U84" s="12">
        <f t="shared" si="27"/>
        <v>8.0764485426883823</v>
      </c>
      <c r="V84" s="12">
        <f t="shared" si="27"/>
        <v>8.480098195810017</v>
      </c>
      <c r="W84" s="12">
        <f t="shared" si="27"/>
        <v>8.775070356977082</v>
      </c>
      <c r="X84" s="12">
        <f t="shared" si="27"/>
        <v>8.9773001270656358</v>
      </c>
      <c r="Y84" s="12">
        <f t="shared" si="27"/>
        <v>9.1099542532793301</v>
      </c>
      <c r="Z84" s="12">
        <f t="shared" si="27"/>
        <v>9.1944654898035871</v>
      </c>
      <c r="AA84" s="12">
        <f t="shared" si="27"/>
        <v>9.2473083139732406</v>
      </c>
      <c r="AB84" s="12">
        <f t="shared" ref="AB84:AC99" si="32">AB$3*$E84</f>
        <v>9.2799641831259212</v>
      </c>
      <c r="AC84" s="12">
        <f t="shared" si="32"/>
        <v>9.2999987510670206</v>
      </c>
      <c r="AD84" s="300">
        <f t="shared" si="30"/>
        <v>2.9457219397301553E-3</v>
      </c>
      <c r="AE84" s="299">
        <f t="shared" si="30"/>
        <v>2.9457219397301553E-3</v>
      </c>
      <c r="AF84" s="299">
        <f t="shared" si="30"/>
        <v>2.9457219397301553E-3</v>
      </c>
      <c r="AG84" s="299">
        <f t="shared" si="30"/>
        <v>2.9457219397301553E-3</v>
      </c>
      <c r="AH84" s="299">
        <f t="shared" si="30"/>
        <v>2.9457219397301553E-3</v>
      </c>
      <c r="AI84" s="299">
        <f t="shared" si="30"/>
        <v>2.8123440666915594E-3</v>
      </c>
      <c r="AJ84" s="299">
        <f t="shared" si="30"/>
        <v>2.7380206745019034E-3</v>
      </c>
      <c r="AK84" s="299">
        <f t="shared" si="30"/>
        <v>2.6319819951934886E-3</v>
      </c>
      <c r="AL84" s="299">
        <f t="shared" si="30"/>
        <v>2.491253681878886E-3</v>
      </c>
      <c r="AM84" s="299">
        <f t="shared" si="30"/>
        <v>2.3214010435169239E-3</v>
      </c>
      <c r="AN84" s="299">
        <f t="shared" si="30"/>
        <v>2.1383919955700412E-3</v>
      </c>
      <c r="AO84" s="299">
        <f t="shared" si="30"/>
        <v>1.9638146264867704E-3</v>
      </c>
      <c r="AP84" s="299">
        <f t="shared" si="30"/>
        <v>1.8155906179466942E-3</v>
      </c>
      <c r="AQ84" s="299">
        <f t="shared" si="30"/>
        <v>1.7016881901601854E-3</v>
      </c>
      <c r="AR84" s="299">
        <f t="shared" si="30"/>
        <v>1.620688438527742E-3</v>
      </c>
      <c r="AS84" s="299">
        <f t="shared" si="10"/>
        <v>1.5662093344472946E-3</v>
      </c>
      <c r="AT84" s="299">
        <f t="shared" si="10"/>
        <v>1.5309276629945489E-3</v>
      </c>
      <c r="AU84" s="299">
        <f t="shared" si="10"/>
        <v>1.5086351392579109E-3</v>
      </c>
      <c r="AV84" s="299">
        <f t="shared" si="10"/>
        <v>1.4947684690067666E-3</v>
      </c>
      <c r="AW84" s="299">
        <f t="shared" si="19"/>
        <v>1.4862267631719228E-3</v>
      </c>
      <c r="AX84" s="299">
        <f t="shared" si="19"/>
        <v>1.4809967832116978E-3</v>
      </c>
      <c r="AY84" s="299">
        <f t="shared" si="19"/>
        <v>1.477806338624767E-3</v>
      </c>
      <c r="AZ84" s="306">
        <f t="shared" si="31"/>
        <v>0.1630745415068692</v>
      </c>
      <c r="BA84" s="2">
        <f t="shared" si="31"/>
        <v>0.1630745415068692</v>
      </c>
      <c r="BB84" s="2">
        <f t="shared" si="31"/>
        <v>0.1630745415068692</v>
      </c>
      <c r="BC84" s="2">
        <f t="shared" si="31"/>
        <v>0.1630745415068692</v>
      </c>
      <c r="BD84" s="2">
        <f t="shared" si="31"/>
        <v>0.1630745415068692</v>
      </c>
      <c r="BE84" s="2">
        <f t="shared" si="31"/>
        <v>0.15569077075798346</v>
      </c>
      <c r="BF84" s="2">
        <f t="shared" si="31"/>
        <v>0.15157624353764657</v>
      </c>
      <c r="BG84" s="2">
        <f t="shared" si="31"/>
        <v>0.14570596475233877</v>
      </c>
      <c r="BH84" s="2">
        <f t="shared" si="31"/>
        <v>0.13791527518952273</v>
      </c>
      <c r="BI84" s="2">
        <f t="shared" si="31"/>
        <v>0.12851226917221129</v>
      </c>
      <c r="BJ84" s="2">
        <f t="shared" si="31"/>
        <v>0.1183809271120437</v>
      </c>
      <c r="BK84" s="2">
        <f t="shared" si="31"/>
        <v>0.10871636100457947</v>
      </c>
      <c r="BL84" s="2">
        <f t="shared" si="31"/>
        <v>0.10051071134465352</v>
      </c>
      <c r="BM84" s="2">
        <f t="shared" si="31"/>
        <v>9.4205097112270889E-2</v>
      </c>
      <c r="BN84" s="2">
        <f t="shared" si="31"/>
        <v>8.9720968049892047E-2</v>
      </c>
      <c r="BO84" s="2">
        <f t="shared" si="11"/>
        <v>8.670501640836073E-2</v>
      </c>
      <c r="BP84" s="2">
        <f t="shared" si="11"/>
        <v>8.4751830563440295E-2</v>
      </c>
      <c r="BQ84" s="2">
        <f t="shared" si="11"/>
        <v>8.3517721179811155E-2</v>
      </c>
      <c r="BR84" s="2">
        <f t="shared" si="11"/>
        <v>8.2750065257188865E-2</v>
      </c>
      <c r="BS84" s="2">
        <f t="shared" si="20"/>
        <v>8.2277198234705626E-2</v>
      </c>
      <c r="BT84" s="2">
        <f t="shared" si="20"/>
        <v>8.1987667653899365E-2</v>
      </c>
      <c r="BU84" s="2">
        <f t="shared" si="20"/>
        <v>8.1811045318573153E-2</v>
      </c>
    </row>
    <row r="85" spans="1:73" x14ac:dyDescent="0.25">
      <c r="A85" t="s">
        <v>27</v>
      </c>
      <c r="B85" s="1" t="s">
        <v>5</v>
      </c>
      <c r="C85" t="s">
        <v>17</v>
      </c>
      <c r="D85" t="s">
        <v>17</v>
      </c>
      <c r="E85" s="97">
        <v>6.1931010000000004</v>
      </c>
      <c r="F85" s="5">
        <f t="shared" si="29"/>
        <v>1.5173097450000003E-2</v>
      </c>
      <c r="G85" s="1">
        <f>LOOKUP(RIGHT(D85,5),Ref!$C$4:$C$21,Ref!$E$4:$E$21)*$G$3</f>
        <v>3</v>
      </c>
      <c r="H85" s="36">
        <f t="shared" si="28"/>
        <v>6.1931010000000004</v>
      </c>
      <c r="I85" s="12">
        <f t="shared" si="28"/>
        <v>6.1931010000000004</v>
      </c>
      <c r="J85" s="12">
        <f t="shared" si="28"/>
        <v>6.1931010000000004</v>
      </c>
      <c r="K85" s="12">
        <f t="shared" si="28"/>
        <v>6.1931010000000004</v>
      </c>
      <c r="L85" s="12">
        <f t="shared" si="28"/>
        <v>6.1931010000000004</v>
      </c>
      <c r="M85" s="12">
        <f t="shared" ref="M85:AB100" si="33">M$3*$E85</f>
        <v>6.4868142226018621</v>
      </c>
      <c r="N85" s="12">
        <f t="shared" si="33"/>
        <v>6.6628983705477429</v>
      </c>
      <c r="O85" s="12">
        <f t="shared" si="33"/>
        <v>6.9313367355780988</v>
      </c>
      <c r="P85" s="12">
        <f t="shared" si="33"/>
        <v>7.3228806939106699</v>
      </c>
      <c r="Q85" s="12">
        <f t="shared" si="33"/>
        <v>7.8586823856279393</v>
      </c>
      <c r="R85" s="12">
        <f t="shared" si="33"/>
        <v>8.5312484934744646</v>
      </c>
      <c r="S85" s="12">
        <f t="shared" si="33"/>
        <v>9.2896515000000015</v>
      </c>
      <c r="T85" s="12">
        <f t="shared" si="33"/>
        <v>10.048054506525537</v>
      </c>
      <c r="U85" s="12">
        <f t="shared" si="33"/>
        <v>10.720620614372063</v>
      </c>
      <c r="V85" s="12">
        <f t="shared" si="33"/>
        <v>11.256422306089332</v>
      </c>
      <c r="W85" s="12">
        <f t="shared" si="33"/>
        <v>11.647966264421902</v>
      </c>
      <c r="X85" s="12">
        <f t="shared" si="33"/>
        <v>11.916404629452257</v>
      </c>
      <c r="Y85" s="12">
        <f t="shared" si="33"/>
        <v>12.092488777398138</v>
      </c>
      <c r="Z85" s="12">
        <f t="shared" si="33"/>
        <v>12.204668394421546</v>
      </c>
      <c r="AA85" s="12">
        <f t="shared" si="33"/>
        <v>12.274811585097561</v>
      </c>
      <c r="AB85" s="12">
        <f t="shared" si="33"/>
        <v>12.318158754607532</v>
      </c>
      <c r="AC85" s="12">
        <f t="shared" si="32"/>
        <v>12.344752498247962</v>
      </c>
      <c r="AD85" s="300">
        <f t="shared" si="30"/>
        <v>2.2191785833186408E-3</v>
      </c>
      <c r="AE85" s="299">
        <f t="shared" si="30"/>
        <v>2.2191785833186408E-3</v>
      </c>
      <c r="AF85" s="299">
        <f t="shared" si="30"/>
        <v>2.2191785833186408E-3</v>
      </c>
      <c r="AG85" s="299">
        <f t="shared" si="30"/>
        <v>2.2191785833186408E-3</v>
      </c>
      <c r="AH85" s="299">
        <f t="shared" si="30"/>
        <v>2.2191785833186408E-3</v>
      </c>
      <c r="AI85" s="299">
        <f t="shared" si="30"/>
        <v>2.1186975041836021E-3</v>
      </c>
      <c r="AJ85" s="299">
        <f t="shared" si="30"/>
        <v>2.0627054982979469E-3</v>
      </c>
      <c r="AK85" s="299">
        <f t="shared" si="30"/>
        <v>1.9828205767271805E-3</v>
      </c>
      <c r="AL85" s="299">
        <f t="shared" si="30"/>
        <v>1.8768019960993939E-3</v>
      </c>
      <c r="AM85" s="299">
        <f t="shared" si="30"/>
        <v>1.7488424177396109E-3</v>
      </c>
      <c r="AN85" s="299">
        <f t="shared" si="30"/>
        <v>1.6109713735383174E-3</v>
      </c>
      <c r="AO85" s="299">
        <f t="shared" si="30"/>
        <v>1.4794523888790939E-3</v>
      </c>
      <c r="AP85" s="299">
        <f t="shared" si="30"/>
        <v>1.3677868780074508E-3</v>
      </c>
      <c r="AQ85" s="299">
        <f t="shared" si="30"/>
        <v>1.2819777509060059E-3</v>
      </c>
      <c r="AR85" s="299">
        <f t="shared" si="30"/>
        <v>1.2209560666620026E-3</v>
      </c>
      <c r="AS85" s="299">
        <f t="shared" si="30"/>
        <v>1.1799138829503956E-3</v>
      </c>
      <c r="AT85" s="299">
        <f t="shared" ref="AT85:AY140" si="34">Algae_electricity_factor/X85</f>
        <v>1.1533342086723845E-3</v>
      </c>
      <c r="AU85" s="299">
        <f t="shared" si="34"/>
        <v>1.1365399924304399E-3</v>
      </c>
      <c r="AV85" s="299">
        <f t="shared" si="34"/>
        <v>1.1260934471444648E-3</v>
      </c>
      <c r="AW85" s="299">
        <f t="shared" si="19"/>
        <v>1.1196584980754328E-3</v>
      </c>
      <c r="AX85" s="299">
        <f t="shared" si="19"/>
        <v>1.1157184590098379E-3</v>
      </c>
      <c r="AY85" s="299">
        <f t="shared" si="19"/>
        <v>1.1133149170451031E-3</v>
      </c>
      <c r="AZ85" s="306">
        <f t="shared" si="31"/>
        <v>0.12285325546704595</v>
      </c>
      <c r="BA85" s="2">
        <f t="shared" si="31"/>
        <v>0.12285325546704595</v>
      </c>
      <c r="BB85" s="2">
        <f t="shared" si="31"/>
        <v>0.12285325546704595</v>
      </c>
      <c r="BC85" s="2">
        <f t="shared" si="31"/>
        <v>0.12285325546704595</v>
      </c>
      <c r="BD85" s="2">
        <f t="shared" si="31"/>
        <v>0.12285325546704595</v>
      </c>
      <c r="BE85" s="2">
        <f t="shared" si="31"/>
        <v>0.11729064424802406</v>
      </c>
      <c r="BF85" s="2">
        <f t="shared" si="31"/>
        <v>0.11419093868359131</v>
      </c>
      <c r="BG85" s="2">
        <f t="shared" si="31"/>
        <v>0.1097685263768621</v>
      </c>
      <c r="BH85" s="2">
        <f t="shared" si="31"/>
        <v>0.10389936025024896</v>
      </c>
      <c r="BI85" s="2">
        <f t="shared" si="31"/>
        <v>9.6815545145030504E-2</v>
      </c>
      <c r="BJ85" s="2">
        <f t="shared" si="31"/>
        <v>8.9183033394020214E-2</v>
      </c>
      <c r="BK85" s="2">
        <f t="shared" si="31"/>
        <v>8.1902170311363959E-2</v>
      </c>
      <c r="BL85" s="2">
        <f t="shared" si="31"/>
        <v>7.5720391324718792E-2</v>
      </c>
      <c r="BM85" s="2">
        <f t="shared" si="31"/>
        <v>7.0970016256916346E-2</v>
      </c>
      <c r="BN85" s="2">
        <f t="shared" si="31"/>
        <v>6.7591868765853644E-2</v>
      </c>
      <c r="BO85" s="2">
        <f t="shared" si="31"/>
        <v>6.5319782184652384E-2</v>
      </c>
      <c r="BP85" s="2">
        <f t="shared" ref="BP85:BU140" si="35">Algae_yield_cost_factor/X85</f>
        <v>6.3848337056778018E-2</v>
      </c>
      <c r="BQ85" s="2">
        <f t="shared" si="35"/>
        <v>6.2918612809324703E-2</v>
      </c>
      <c r="BR85" s="2">
        <f t="shared" si="35"/>
        <v>6.2340294279030165E-2</v>
      </c>
      <c r="BS85" s="2">
        <f t="shared" si="20"/>
        <v>6.1984056864052513E-2</v>
      </c>
      <c r="BT85" s="2">
        <f t="shared" si="20"/>
        <v>6.1765937137449961E-2</v>
      </c>
      <c r="BU85" s="2">
        <f t="shared" si="20"/>
        <v>6.1632877564309282E-2</v>
      </c>
    </row>
    <row r="86" spans="1:73" x14ac:dyDescent="0.25">
      <c r="A86" t="s">
        <v>27</v>
      </c>
      <c r="B86" s="1" t="s">
        <v>5</v>
      </c>
      <c r="C86" t="s">
        <v>18</v>
      </c>
      <c r="D86" t="s">
        <v>18</v>
      </c>
      <c r="E86" s="97">
        <v>5.5684399999999998</v>
      </c>
      <c r="F86" s="5">
        <f t="shared" si="29"/>
        <v>1.3642678E-2</v>
      </c>
      <c r="G86" s="1">
        <f>LOOKUP(RIGHT(D86,5),Ref!$C$4:$C$21,Ref!$E$4:$E$21)*$G$3</f>
        <v>3</v>
      </c>
      <c r="H86" s="36">
        <f t="shared" ref="H86:L101" si="36">$E86</f>
        <v>5.5684399999999998</v>
      </c>
      <c r="I86" s="12">
        <f t="shared" si="36"/>
        <v>5.5684399999999998</v>
      </c>
      <c r="J86" s="12">
        <f t="shared" si="36"/>
        <v>5.5684399999999998</v>
      </c>
      <c r="K86" s="12">
        <f t="shared" si="36"/>
        <v>5.5684399999999998</v>
      </c>
      <c r="L86" s="12">
        <f t="shared" si="36"/>
        <v>5.5684399999999998</v>
      </c>
      <c r="M86" s="12">
        <f t="shared" si="33"/>
        <v>5.8325281292368896</v>
      </c>
      <c r="N86" s="12">
        <f t="shared" si="33"/>
        <v>5.9908517239574923</v>
      </c>
      <c r="O86" s="12">
        <f t="shared" si="33"/>
        <v>6.2322143191048402</v>
      </c>
      <c r="P86" s="12">
        <f t="shared" si="33"/>
        <v>6.5842655837842665</v>
      </c>
      <c r="Q86" s="12">
        <f t="shared" si="33"/>
        <v>7.0660241684135361</v>
      </c>
      <c r="R86" s="12">
        <f t="shared" si="33"/>
        <v>7.6707525617623453</v>
      </c>
      <c r="S86" s="12">
        <f t="shared" si="33"/>
        <v>8.3526600000000002</v>
      </c>
      <c r="T86" s="12">
        <f t="shared" si="33"/>
        <v>9.0345674382376551</v>
      </c>
      <c r="U86" s="12">
        <f t="shared" si="33"/>
        <v>9.6392958315864643</v>
      </c>
      <c r="V86" s="12">
        <f t="shared" si="33"/>
        <v>10.121054416215733</v>
      </c>
      <c r="W86" s="12">
        <f t="shared" si="33"/>
        <v>10.473105680895157</v>
      </c>
      <c r="X86" s="12">
        <f t="shared" si="33"/>
        <v>10.714468276042506</v>
      </c>
      <c r="Y86" s="12">
        <f t="shared" si="33"/>
        <v>10.872791870763109</v>
      </c>
      <c r="Z86" s="12">
        <f t="shared" si="33"/>
        <v>10.973656601794918</v>
      </c>
      <c r="AA86" s="12">
        <f t="shared" si="33"/>
        <v>11.036724868998691</v>
      </c>
      <c r="AB86" s="12">
        <f t="shared" si="33"/>
        <v>11.0756998691781</v>
      </c>
      <c r="AC86" s="12">
        <f t="shared" si="32"/>
        <v>11.099611261199176</v>
      </c>
      <c r="AD86" s="300">
        <f t="shared" si="30"/>
        <v>2.4681234068301464E-3</v>
      </c>
      <c r="AE86" s="299">
        <f t="shared" si="30"/>
        <v>2.4681234068301464E-3</v>
      </c>
      <c r="AF86" s="299">
        <f t="shared" si="30"/>
        <v>2.4681234068301464E-3</v>
      </c>
      <c r="AG86" s="299">
        <f t="shared" si="30"/>
        <v>2.4681234068301464E-3</v>
      </c>
      <c r="AH86" s="299">
        <f t="shared" si="30"/>
        <v>2.4681234068301464E-3</v>
      </c>
      <c r="AI86" s="299">
        <f t="shared" si="30"/>
        <v>2.3563704793186195E-3</v>
      </c>
      <c r="AJ86" s="299">
        <f t="shared" si="30"/>
        <v>2.2940973565692569E-3</v>
      </c>
      <c r="AK86" s="299">
        <f t="shared" si="30"/>
        <v>2.2052510391689021E-3</v>
      </c>
      <c r="AL86" s="299">
        <f t="shared" si="30"/>
        <v>2.0873394198097049E-3</v>
      </c>
      <c r="AM86" s="299">
        <f t="shared" si="30"/>
        <v>1.9450254875953775E-3</v>
      </c>
      <c r="AN86" s="299">
        <f t="shared" si="30"/>
        <v>1.791688233047591E-3</v>
      </c>
      <c r="AO86" s="299">
        <f t="shared" si="30"/>
        <v>1.6454156045534309E-3</v>
      </c>
      <c r="AP86" s="299">
        <f t="shared" si="30"/>
        <v>1.5212235890078407E-3</v>
      </c>
      <c r="AQ86" s="299">
        <f t="shared" si="30"/>
        <v>1.425788495721196E-3</v>
      </c>
      <c r="AR86" s="299">
        <f t="shared" si="30"/>
        <v>1.3579214712559561E-3</v>
      </c>
      <c r="AS86" s="299">
        <f t="shared" si="30"/>
        <v>1.3122752240149807E-3</v>
      </c>
      <c r="AT86" s="299">
        <f t="shared" si="34"/>
        <v>1.2827138733762335E-3</v>
      </c>
      <c r="AU86" s="299">
        <f t="shared" si="34"/>
        <v>1.2640357018592191E-3</v>
      </c>
      <c r="AV86" s="299">
        <f t="shared" si="34"/>
        <v>1.2524172755033426E-3</v>
      </c>
      <c r="AW86" s="299">
        <f t="shared" si="19"/>
        <v>1.245260461473853E-3</v>
      </c>
      <c r="AX86" s="299">
        <f t="shared" si="19"/>
        <v>1.2408784334952494E-3</v>
      </c>
      <c r="AY86" s="299">
        <f t="shared" si="19"/>
        <v>1.2382052650413663E-3</v>
      </c>
      <c r="AZ86" s="306">
        <f t="shared" si="31"/>
        <v>0.13663478807102489</v>
      </c>
      <c r="BA86" s="2">
        <f t="shared" si="31"/>
        <v>0.13663478807102489</v>
      </c>
      <c r="BB86" s="2">
        <f t="shared" si="31"/>
        <v>0.13663478807102489</v>
      </c>
      <c r="BC86" s="2">
        <f t="shared" si="31"/>
        <v>0.13663478807102489</v>
      </c>
      <c r="BD86" s="2">
        <f t="shared" si="31"/>
        <v>0.13663478807102489</v>
      </c>
      <c r="BE86" s="2">
        <f t="shared" si="31"/>
        <v>0.13044816971774539</v>
      </c>
      <c r="BF86" s="2">
        <f t="shared" si="31"/>
        <v>0.12700074285657889</v>
      </c>
      <c r="BG86" s="2">
        <f t="shared" si="31"/>
        <v>0.12208222957831477</v>
      </c>
      <c r="BH86" s="2">
        <f t="shared" si="31"/>
        <v>0.11555466735121096</v>
      </c>
      <c r="BI86" s="2">
        <f t="shared" si="31"/>
        <v>0.10767619826257149</v>
      </c>
      <c r="BJ86" s="2">
        <f t="shared" si="31"/>
        <v>9.9187480388679777E-2</v>
      </c>
      <c r="BK86" s="2">
        <f t="shared" si="31"/>
        <v>9.1089858714016578E-2</v>
      </c>
      <c r="BL86" s="2">
        <f t="shared" si="31"/>
        <v>8.4214615086722178E-2</v>
      </c>
      <c r="BM86" s="2">
        <f t="shared" si="31"/>
        <v>7.8931348573518773E-2</v>
      </c>
      <c r="BN86" s="2">
        <f t="shared" si="31"/>
        <v>7.5174244500376589E-2</v>
      </c>
      <c r="BO86" s="2">
        <f t="shared" si="31"/>
        <v>7.2647277939163035E-2</v>
      </c>
      <c r="BP86" s="2">
        <f t="shared" si="35"/>
        <v>7.101076784066436E-2</v>
      </c>
      <c r="BQ86" s="2">
        <f t="shared" si="35"/>
        <v>6.9976748228954916E-2</v>
      </c>
      <c r="BR86" s="2">
        <f t="shared" si="35"/>
        <v>6.9333554611301557E-2</v>
      </c>
      <c r="BS86" s="2">
        <f t="shared" si="20"/>
        <v>6.8937354905291334E-2</v>
      </c>
      <c r="BT86" s="2">
        <f t="shared" si="20"/>
        <v>6.8694766766253842E-2</v>
      </c>
      <c r="BU86" s="2">
        <f t="shared" si="20"/>
        <v>6.854678072788814E-2</v>
      </c>
    </row>
    <row r="87" spans="1:73" x14ac:dyDescent="0.25">
      <c r="A87" t="s">
        <v>27</v>
      </c>
      <c r="B87" s="1" t="s">
        <v>5</v>
      </c>
      <c r="C87" t="s">
        <v>6</v>
      </c>
      <c r="D87" t="s">
        <v>6</v>
      </c>
      <c r="E87" s="97">
        <v>4.6683500000000002</v>
      </c>
      <c r="F87" s="5">
        <f t="shared" si="29"/>
        <v>1.1437457500000001E-2</v>
      </c>
      <c r="G87" s="1">
        <f>LOOKUP(RIGHT(D87,5),Ref!$C$4:$C$21,Ref!$E$4:$E$21)*$G$3</f>
        <v>3</v>
      </c>
      <c r="H87" s="36">
        <f t="shared" si="36"/>
        <v>4.6683500000000002</v>
      </c>
      <c r="I87" s="12">
        <f t="shared" si="36"/>
        <v>4.6683500000000002</v>
      </c>
      <c r="J87" s="12">
        <f t="shared" si="36"/>
        <v>4.6683500000000002</v>
      </c>
      <c r="K87" s="12">
        <f t="shared" si="36"/>
        <v>4.6683500000000002</v>
      </c>
      <c r="L87" s="12">
        <f t="shared" si="36"/>
        <v>4.6683500000000002</v>
      </c>
      <c r="M87" s="12">
        <f t="shared" si="33"/>
        <v>4.8897505750484935</v>
      </c>
      <c r="N87" s="12">
        <f t="shared" si="33"/>
        <v>5.0224825347021724</v>
      </c>
      <c r="O87" s="12">
        <f t="shared" si="33"/>
        <v>5.2248309610219525</v>
      </c>
      <c r="P87" s="12">
        <f t="shared" si="33"/>
        <v>5.5199761940614041</v>
      </c>
      <c r="Q87" s="12">
        <f t="shared" si="33"/>
        <v>5.9238626844526179</v>
      </c>
      <c r="R87" s="12">
        <f t="shared" si="33"/>
        <v>6.4308419811838231</v>
      </c>
      <c r="S87" s="12">
        <f t="shared" si="33"/>
        <v>7.0025250000000003</v>
      </c>
      <c r="T87" s="12">
        <f t="shared" si="33"/>
        <v>7.5742080188161776</v>
      </c>
      <c r="U87" s="12">
        <f t="shared" si="33"/>
        <v>8.0811873155473837</v>
      </c>
      <c r="V87" s="12">
        <f t="shared" si="33"/>
        <v>8.4850738059385975</v>
      </c>
      <c r="W87" s="12">
        <f t="shared" si="33"/>
        <v>8.7802190389780463</v>
      </c>
      <c r="X87" s="12">
        <f t="shared" si="33"/>
        <v>8.9825674652978282</v>
      </c>
      <c r="Y87" s="12">
        <f t="shared" si="33"/>
        <v>9.1152994249515071</v>
      </c>
      <c r="Z87" s="12">
        <f t="shared" si="33"/>
        <v>9.1998602475719071</v>
      </c>
      <c r="AA87" s="12">
        <f t="shared" si="33"/>
        <v>9.2527340767234705</v>
      </c>
      <c r="AB87" s="12">
        <f t="shared" si="33"/>
        <v>9.2854091063704711</v>
      </c>
      <c r="AC87" s="12">
        <f t="shared" si="32"/>
        <v>9.3054554293876155</v>
      </c>
      <c r="AD87" s="300">
        <f t="shared" si="30"/>
        <v>2.9439945812823071E-3</v>
      </c>
      <c r="AE87" s="299">
        <f t="shared" si="30"/>
        <v>2.9439945812823071E-3</v>
      </c>
      <c r="AF87" s="299">
        <f t="shared" si="30"/>
        <v>2.9439945812823071E-3</v>
      </c>
      <c r="AG87" s="299">
        <f t="shared" si="30"/>
        <v>2.9439945812823071E-3</v>
      </c>
      <c r="AH87" s="299">
        <f t="shared" si="30"/>
        <v>2.9439945812823071E-3</v>
      </c>
      <c r="AI87" s="299">
        <f t="shared" si="30"/>
        <v>2.8106949204444766E-3</v>
      </c>
      <c r="AJ87" s="299">
        <f t="shared" si="30"/>
        <v>2.7364151111665814E-3</v>
      </c>
      <c r="AK87" s="299">
        <f t="shared" si="30"/>
        <v>2.6304386124754312E-3</v>
      </c>
      <c r="AL87" s="299">
        <f t="shared" si="30"/>
        <v>2.4897928216275882E-3</v>
      </c>
      <c r="AM87" s="299">
        <f t="shared" si="30"/>
        <v>2.3200397841090753E-3</v>
      </c>
      <c r="AN87" s="299">
        <f t="shared" si="30"/>
        <v>2.1371380518666184E-3</v>
      </c>
      <c r="AO87" s="299">
        <f t="shared" si="30"/>
        <v>1.9626630541882046E-3</v>
      </c>
      <c r="AP87" s="299">
        <f t="shared" si="30"/>
        <v>1.8145259635577499E-3</v>
      </c>
      <c r="AQ87" s="299">
        <f t="shared" si="30"/>
        <v>1.7006903276561816E-3</v>
      </c>
      <c r="AR87" s="299">
        <f t="shared" si="30"/>
        <v>1.6197380739234452E-3</v>
      </c>
      <c r="AS87" s="299">
        <f t="shared" si="30"/>
        <v>1.5652909161510981E-3</v>
      </c>
      <c r="AT87" s="299">
        <f t="shared" si="34"/>
        <v>1.530029933716014E-3</v>
      </c>
      <c r="AU87" s="299">
        <f t="shared" si="34"/>
        <v>1.5077504822176891E-3</v>
      </c>
      <c r="AV87" s="299">
        <f t="shared" si="34"/>
        <v>1.4938919433212659E-3</v>
      </c>
      <c r="AW87" s="299">
        <f t="shared" si="19"/>
        <v>1.4853552463053245E-3</v>
      </c>
      <c r="AX87" s="299">
        <f t="shared" si="19"/>
        <v>1.4801283331824491E-3</v>
      </c>
      <c r="AY87" s="299">
        <f t="shared" si="19"/>
        <v>1.4769397594582552E-3</v>
      </c>
      <c r="AZ87" s="306">
        <f t="shared" si="31"/>
        <v>0.16297891530973851</v>
      </c>
      <c r="BA87" s="2">
        <f t="shared" si="31"/>
        <v>0.16297891530973851</v>
      </c>
      <c r="BB87" s="2">
        <f t="shared" si="31"/>
        <v>0.16297891530973851</v>
      </c>
      <c r="BC87" s="2">
        <f t="shared" si="31"/>
        <v>0.16297891530973851</v>
      </c>
      <c r="BD87" s="2">
        <f t="shared" si="31"/>
        <v>0.16297891530973851</v>
      </c>
      <c r="BE87" s="2">
        <f t="shared" si="31"/>
        <v>0.15559947437169067</v>
      </c>
      <c r="BF87" s="2">
        <f t="shared" si="31"/>
        <v>0.15148735989210063</v>
      </c>
      <c r="BG87" s="2">
        <f t="shared" si="31"/>
        <v>0.14562052341256998</v>
      </c>
      <c r="BH87" s="2">
        <f t="shared" si="31"/>
        <v>0.13783440227600269</v>
      </c>
      <c r="BI87" s="2">
        <f t="shared" si="31"/>
        <v>0.12843691014024944</v>
      </c>
      <c r="BJ87" s="2">
        <f t="shared" si="31"/>
        <v>0.11831150905470668</v>
      </c>
      <c r="BK87" s="2">
        <f t="shared" si="31"/>
        <v>0.10865261020649233</v>
      </c>
      <c r="BL87" s="2">
        <f t="shared" si="31"/>
        <v>0.10045177230359918</v>
      </c>
      <c r="BM87" s="2">
        <f t="shared" si="31"/>
        <v>9.4149855655793771E-2</v>
      </c>
      <c r="BN87" s="2">
        <f t="shared" si="31"/>
        <v>8.9668356067063734E-2</v>
      </c>
      <c r="BO87" s="2">
        <f t="shared" si="31"/>
        <v>8.6654172966369902E-2</v>
      </c>
      <c r="BP87" s="2">
        <f t="shared" si="35"/>
        <v>8.4702132461077051E-2</v>
      </c>
      <c r="BQ87" s="2">
        <f t="shared" si="35"/>
        <v>8.3468746753787015E-2</v>
      </c>
      <c r="BR87" s="2">
        <f t="shared" si="35"/>
        <v>8.2701540981236624E-2</v>
      </c>
      <c r="BS87" s="2">
        <f t="shared" si="20"/>
        <v>8.2228951245904972E-2</v>
      </c>
      <c r="BT87" s="2">
        <f t="shared" si="20"/>
        <v>8.1939590444563615E-2</v>
      </c>
      <c r="BU87" s="2">
        <f t="shared" si="20"/>
        <v>8.1763071679801513E-2</v>
      </c>
    </row>
    <row r="88" spans="1:73" x14ac:dyDescent="0.25">
      <c r="A88" t="s">
        <v>27</v>
      </c>
      <c r="B88" s="1" t="s">
        <v>5</v>
      </c>
      <c r="C88" t="s">
        <v>7</v>
      </c>
      <c r="D88" t="s">
        <v>7</v>
      </c>
      <c r="E88" s="97">
        <v>3.8755700000000002</v>
      </c>
      <c r="F88" s="5">
        <f t="shared" si="29"/>
        <v>9.4951465000000009E-3</v>
      </c>
      <c r="G88" s="1">
        <f>LOOKUP(RIGHT(D88,5),Ref!$C$4:$C$21,Ref!$E$4:$E$21)*$G$3</f>
        <v>3.5</v>
      </c>
      <c r="H88" s="36">
        <f t="shared" si="36"/>
        <v>3.8755700000000002</v>
      </c>
      <c r="I88" s="12">
        <f t="shared" si="36"/>
        <v>3.8755700000000002</v>
      </c>
      <c r="J88" s="12">
        <f t="shared" si="36"/>
        <v>3.8755700000000002</v>
      </c>
      <c r="K88" s="12">
        <f t="shared" si="36"/>
        <v>3.8755700000000002</v>
      </c>
      <c r="L88" s="12">
        <f t="shared" si="36"/>
        <v>3.8755700000000002</v>
      </c>
      <c r="M88" s="12">
        <f t="shared" si="33"/>
        <v>4.0593722913107824</v>
      </c>
      <c r="N88" s="12">
        <f t="shared" si="33"/>
        <v>4.1695636867449304</v>
      </c>
      <c r="O88" s="12">
        <f t="shared" si="33"/>
        <v>4.3375492685012587</v>
      </c>
      <c r="P88" s="12">
        <f t="shared" si="33"/>
        <v>4.582572887298201</v>
      </c>
      <c r="Q88" s="12">
        <f t="shared" si="33"/>
        <v>4.9178713044189122</v>
      </c>
      <c r="R88" s="12">
        <f t="shared" si="33"/>
        <v>5.3387552897740287</v>
      </c>
      <c r="S88" s="12">
        <f t="shared" si="33"/>
        <v>5.8133550000000005</v>
      </c>
      <c r="T88" s="12">
        <f t="shared" si="33"/>
        <v>6.2879547102259714</v>
      </c>
      <c r="U88" s="12">
        <f t="shared" si="33"/>
        <v>6.7088386955810879</v>
      </c>
      <c r="V88" s="12">
        <f t="shared" si="33"/>
        <v>7.0441371127018</v>
      </c>
      <c r="W88" s="12">
        <f t="shared" si="33"/>
        <v>7.2891607314987414</v>
      </c>
      <c r="X88" s="12">
        <f t="shared" si="33"/>
        <v>7.4571463132550697</v>
      </c>
      <c r="Y88" s="12">
        <f t="shared" si="33"/>
        <v>7.5673377086892177</v>
      </c>
      <c r="Z88" s="12">
        <f t="shared" si="33"/>
        <v>7.6375383978669662</v>
      </c>
      <c r="AA88" s="12">
        <f t="shared" si="33"/>
        <v>7.6814331842572177</v>
      </c>
      <c r="AB88" s="12">
        <f t="shared" si="33"/>
        <v>7.708559334749153</v>
      </c>
      <c r="AC88" s="12">
        <f t="shared" si="32"/>
        <v>7.7252013877433701</v>
      </c>
      <c r="AD88" s="300">
        <f t="shared" si="30"/>
        <v>3.5462130998870512E-3</v>
      </c>
      <c r="AE88" s="299">
        <f t="shared" si="30"/>
        <v>3.5462130998870512E-3</v>
      </c>
      <c r="AF88" s="299">
        <f t="shared" si="30"/>
        <v>3.5462130998870512E-3</v>
      </c>
      <c r="AG88" s="299">
        <f t="shared" si="30"/>
        <v>3.5462130998870512E-3</v>
      </c>
      <c r="AH88" s="299">
        <f t="shared" si="30"/>
        <v>3.5462130998870512E-3</v>
      </c>
      <c r="AI88" s="299">
        <f t="shared" si="30"/>
        <v>3.3856458874067484E-3</v>
      </c>
      <c r="AJ88" s="299">
        <f t="shared" si="30"/>
        <v>3.2961715268243156E-3</v>
      </c>
      <c r="AK88" s="299">
        <f t="shared" si="30"/>
        <v>3.168516656014387E-3</v>
      </c>
      <c r="AL88" s="299">
        <f t="shared" si="30"/>
        <v>2.9991006016779858E-3</v>
      </c>
      <c r="AM88" s="299">
        <f t="shared" si="30"/>
        <v>2.7946231718548767E-3</v>
      </c>
      <c r="AN88" s="299">
        <f t="shared" si="30"/>
        <v>2.5743073727042807E-3</v>
      </c>
      <c r="AO88" s="299">
        <f t="shared" si="30"/>
        <v>2.3641420665913675E-3</v>
      </c>
      <c r="AP88" s="299">
        <f t="shared" si="30"/>
        <v>2.185702304944775E-3</v>
      </c>
      <c r="AQ88" s="299">
        <f t="shared" si="30"/>
        <v>2.0485806451989606E-3</v>
      </c>
      <c r="AR88" s="299">
        <f t="shared" si="30"/>
        <v>1.9510689362856341E-3</v>
      </c>
      <c r="AS88" s="299">
        <f t="shared" si="30"/>
        <v>1.8854841606303016E-3</v>
      </c>
      <c r="AT88" s="299">
        <f t="shared" si="34"/>
        <v>1.8430102516696005E-3</v>
      </c>
      <c r="AU88" s="299">
        <f t="shared" si="34"/>
        <v>1.8161733535095354E-3</v>
      </c>
      <c r="AV88" s="299">
        <f t="shared" si="34"/>
        <v>1.7994799354943487E-3</v>
      </c>
      <c r="AW88" s="299">
        <f t="shared" si="19"/>
        <v>1.789196986272848E-3</v>
      </c>
      <c r="AX88" s="299">
        <f t="shared" si="19"/>
        <v>1.7829008647017822E-3</v>
      </c>
      <c r="AY88" s="299">
        <f t="shared" si="19"/>
        <v>1.7790600417659714E-3</v>
      </c>
      <c r="AZ88" s="306">
        <f t="shared" si="31"/>
        <v>0.19631760471007303</v>
      </c>
      <c r="BA88" s="2">
        <f t="shared" si="31"/>
        <v>0.19631760471007303</v>
      </c>
      <c r="BB88" s="2">
        <f t="shared" si="31"/>
        <v>0.19631760471007303</v>
      </c>
      <c r="BC88" s="2">
        <f t="shared" si="31"/>
        <v>0.19631760471007303</v>
      </c>
      <c r="BD88" s="2">
        <f t="shared" si="31"/>
        <v>0.19631760471007303</v>
      </c>
      <c r="BE88" s="2">
        <f t="shared" si="31"/>
        <v>0.18742863789922051</v>
      </c>
      <c r="BF88" s="2">
        <f t="shared" si="31"/>
        <v>0.18247535628366615</v>
      </c>
      <c r="BG88" s="2">
        <f t="shared" si="31"/>
        <v>0.17540840972374927</v>
      </c>
      <c r="BH88" s="2">
        <f t="shared" si="31"/>
        <v>0.16602957290545056</v>
      </c>
      <c r="BI88" s="2">
        <f t="shared" si="31"/>
        <v>0.15470974578016489</v>
      </c>
      <c r="BJ88" s="2">
        <f t="shared" si="31"/>
        <v>0.14251310988978139</v>
      </c>
      <c r="BK88" s="2">
        <f t="shared" si="31"/>
        <v>0.13087840314004867</v>
      </c>
      <c r="BL88" s="2">
        <f t="shared" si="31"/>
        <v>0.12100001579987131</v>
      </c>
      <c r="BM88" s="2">
        <f t="shared" si="31"/>
        <v>0.1134089898132984</v>
      </c>
      <c r="BN88" s="2">
        <f t="shared" si="31"/>
        <v>0.1080107622996558</v>
      </c>
      <c r="BO88" s="2">
        <f t="shared" si="31"/>
        <v>0.10438000303634121</v>
      </c>
      <c r="BP88" s="2">
        <f t="shared" si="35"/>
        <v>0.10202865644915948</v>
      </c>
      <c r="BQ88" s="2">
        <f t="shared" si="35"/>
        <v>0.10054297146175702</v>
      </c>
      <c r="BR88" s="2">
        <f t="shared" si="35"/>
        <v>9.961882738274784E-2</v>
      </c>
      <c r="BS88" s="2">
        <f t="shared" si="20"/>
        <v>9.9049565495867811E-2</v>
      </c>
      <c r="BT88" s="2">
        <f t="shared" si="20"/>
        <v>9.8701013541718632E-2</v>
      </c>
      <c r="BU88" s="2">
        <f t="shared" si="20"/>
        <v>9.8488386399007477E-2</v>
      </c>
    </row>
    <row r="89" spans="1:73" x14ac:dyDescent="0.25">
      <c r="A89" t="s">
        <v>27</v>
      </c>
      <c r="B89" s="1" t="s">
        <v>5</v>
      </c>
      <c r="C89" t="s">
        <v>8</v>
      </c>
      <c r="D89" t="s">
        <v>8</v>
      </c>
      <c r="E89" s="97">
        <v>3.9175450000000001</v>
      </c>
      <c r="F89" s="5">
        <f t="shared" si="29"/>
        <v>9.5979852500000015E-3</v>
      </c>
      <c r="G89" s="1">
        <f>LOOKUP(RIGHT(D89,5),Ref!$C$4:$C$21,Ref!$E$4:$E$21)*$G$3</f>
        <v>4</v>
      </c>
      <c r="H89" s="36">
        <f t="shared" si="36"/>
        <v>3.9175450000000001</v>
      </c>
      <c r="I89" s="12">
        <f t="shared" si="36"/>
        <v>3.9175450000000001</v>
      </c>
      <c r="J89" s="12">
        <f t="shared" si="36"/>
        <v>3.9175450000000001</v>
      </c>
      <c r="K89" s="12">
        <f t="shared" si="36"/>
        <v>3.9175450000000001</v>
      </c>
      <c r="L89" s="12">
        <f t="shared" si="36"/>
        <v>3.9175450000000001</v>
      </c>
      <c r="M89" s="12">
        <f t="shared" si="33"/>
        <v>4.1033379923374111</v>
      </c>
      <c r="N89" s="12">
        <f t="shared" si="33"/>
        <v>4.2147228338513223</v>
      </c>
      <c r="O89" s="12">
        <f t="shared" si="33"/>
        <v>4.3845278111531369</v>
      </c>
      <c r="P89" s="12">
        <f t="shared" si="33"/>
        <v>4.6322051986599719</v>
      </c>
      <c r="Q89" s="12">
        <f t="shared" si="33"/>
        <v>4.971135120580918</v>
      </c>
      <c r="R89" s="12">
        <f t="shared" si="33"/>
        <v>5.3965775593468308</v>
      </c>
      <c r="S89" s="12">
        <f t="shared" si="33"/>
        <v>5.8763174999999999</v>
      </c>
      <c r="T89" s="12">
        <f t="shared" si="33"/>
        <v>6.3560574406531689</v>
      </c>
      <c r="U89" s="12">
        <f t="shared" si="33"/>
        <v>6.7814998794190826</v>
      </c>
      <c r="V89" s="12">
        <f t="shared" si="33"/>
        <v>7.1204298013400278</v>
      </c>
      <c r="W89" s="12">
        <f t="shared" si="33"/>
        <v>7.3681071888468628</v>
      </c>
      <c r="X89" s="12">
        <f t="shared" si="33"/>
        <v>7.5379121661486783</v>
      </c>
      <c r="Y89" s="12">
        <f t="shared" si="33"/>
        <v>7.6492970076625895</v>
      </c>
      <c r="Z89" s="12">
        <f t="shared" si="33"/>
        <v>7.7202580169811785</v>
      </c>
      <c r="AA89" s="12">
        <f t="shared" si="33"/>
        <v>7.764628213094058</v>
      </c>
      <c r="AB89" s="12">
        <f t="shared" si="33"/>
        <v>7.7920481578322329</v>
      </c>
      <c r="AC89" s="12">
        <f t="shared" si="32"/>
        <v>7.808870455325823</v>
      </c>
      <c r="AD89" s="300">
        <f t="shared" si="30"/>
        <v>3.5082167795211692E-3</v>
      </c>
      <c r="AE89" s="299">
        <f t="shared" si="30"/>
        <v>3.5082167795211692E-3</v>
      </c>
      <c r="AF89" s="299">
        <f t="shared" si="30"/>
        <v>3.5082167795211692E-3</v>
      </c>
      <c r="AG89" s="299">
        <f t="shared" si="30"/>
        <v>3.5082167795211692E-3</v>
      </c>
      <c r="AH89" s="299">
        <f t="shared" si="30"/>
        <v>3.5082167795211692E-3</v>
      </c>
      <c r="AI89" s="299">
        <f t="shared" si="30"/>
        <v>3.3493699834608081E-3</v>
      </c>
      <c r="AJ89" s="299">
        <f t="shared" si="30"/>
        <v>3.2608543065145421E-3</v>
      </c>
      <c r="AK89" s="299">
        <f t="shared" si="30"/>
        <v>3.1345672089407215E-3</v>
      </c>
      <c r="AL89" s="299">
        <f t="shared" si="30"/>
        <v>2.9669663829886201E-3</v>
      </c>
      <c r="AM89" s="299">
        <f t="shared" si="30"/>
        <v>2.7646798508110574E-3</v>
      </c>
      <c r="AN89" s="299">
        <f t="shared" si="30"/>
        <v>2.5467246513904826E-3</v>
      </c>
      <c r="AO89" s="299">
        <f t="shared" ref="AO89:AS139" si="37">Algae_electricity_factor/S89</f>
        <v>2.3388111863474463E-3</v>
      </c>
      <c r="AP89" s="299">
        <f t="shared" si="37"/>
        <v>2.1622833386661343E-3</v>
      </c>
      <c r="AQ89" s="299">
        <f t="shared" si="37"/>
        <v>2.0266308851879778E-3</v>
      </c>
      <c r="AR89" s="299">
        <f t="shared" si="37"/>
        <v>1.9301639770316654E-3</v>
      </c>
      <c r="AS89" s="299">
        <f t="shared" si="37"/>
        <v>1.865281917224685E-3</v>
      </c>
      <c r="AT89" s="299">
        <f t="shared" si="34"/>
        <v>1.8232630999932746E-3</v>
      </c>
      <c r="AU89" s="299">
        <f t="shared" si="34"/>
        <v>1.7967137489578167E-3</v>
      </c>
      <c r="AV89" s="299">
        <f t="shared" si="34"/>
        <v>1.7801991945475628E-3</v>
      </c>
      <c r="AW89" s="299">
        <f t="shared" si="19"/>
        <v>1.7700264232036803E-3</v>
      </c>
      <c r="AX89" s="299">
        <f t="shared" si="19"/>
        <v>1.7637977621730667E-3</v>
      </c>
      <c r="AY89" s="299">
        <f t="shared" si="19"/>
        <v>1.7599980921896099E-3</v>
      </c>
      <c r="AZ89" s="306">
        <f t="shared" si="31"/>
        <v>0.19421413647736471</v>
      </c>
      <c r="BA89" s="2">
        <f t="shared" si="31"/>
        <v>0.19421413647736471</v>
      </c>
      <c r="BB89" s="2">
        <f t="shared" si="31"/>
        <v>0.19421413647736471</v>
      </c>
      <c r="BC89" s="2">
        <f t="shared" si="31"/>
        <v>0.19421413647736471</v>
      </c>
      <c r="BD89" s="2">
        <f t="shared" si="31"/>
        <v>0.19421413647736471</v>
      </c>
      <c r="BE89" s="2">
        <f t="shared" si="31"/>
        <v>0.18542041155445108</v>
      </c>
      <c r="BF89" s="2">
        <f t="shared" si="31"/>
        <v>0.18052020246156408</v>
      </c>
      <c r="BG89" s="2">
        <f t="shared" si="31"/>
        <v>0.17352897553775923</v>
      </c>
      <c r="BH89" s="2">
        <f t="shared" si="31"/>
        <v>0.16425062937762736</v>
      </c>
      <c r="BI89" s="2">
        <f t="shared" si="31"/>
        <v>0.15305208988109481</v>
      </c>
      <c r="BJ89" s="2">
        <f t="shared" si="31"/>
        <v>0.14098613629085052</v>
      </c>
      <c r="BK89" s="2">
        <f t="shared" ref="BK89:BO139" si="38">Algae_yield_cost_factor/S89</f>
        <v>0.12947609098490981</v>
      </c>
      <c r="BL89" s="2">
        <f t="shared" si="38"/>
        <v>0.11970354679614587</v>
      </c>
      <c r="BM89" s="2">
        <f t="shared" si="38"/>
        <v>0.11219385575678771</v>
      </c>
      <c r="BN89" s="2">
        <f t="shared" si="38"/>
        <v>0.10685346819134867</v>
      </c>
      <c r="BO89" s="2">
        <f t="shared" si="38"/>
        <v>0.1032616111282839</v>
      </c>
      <c r="BP89" s="2">
        <f t="shared" si="35"/>
        <v>0.10093545832266611</v>
      </c>
      <c r="BQ89" s="2">
        <f t="shared" si="35"/>
        <v>9.9465691883064936E-2</v>
      </c>
      <c r="BR89" s="2">
        <f t="shared" si="35"/>
        <v>9.8551449655270323E-2</v>
      </c>
      <c r="BS89" s="2">
        <f t="shared" si="20"/>
        <v>9.7988287192315712E-2</v>
      </c>
      <c r="BT89" s="2">
        <f t="shared" si="20"/>
        <v>9.7643469839370972E-2</v>
      </c>
      <c r="BU89" s="2">
        <f t="shared" si="20"/>
        <v>9.7433120915369542E-2</v>
      </c>
    </row>
    <row r="90" spans="1:73" x14ac:dyDescent="0.25">
      <c r="A90" t="s">
        <v>27</v>
      </c>
      <c r="B90" s="1" t="s">
        <v>5</v>
      </c>
      <c r="C90" t="s">
        <v>9</v>
      </c>
      <c r="D90" t="s">
        <v>9</v>
      </c>
      <c r="E90" s="97">
        <v>5.0391899999999996</v>
      </c>
      <c r="F90" s="5">
        <f t="shared" si="29"/>
        <v>1.23460155E-2</v>
      </c>
      <c r="G90" s="1">
        <f>LOOKUP(RIGHT(D90,5),Ref!$C$4:$C$21,Ref!$E$4:$E$21)*$G$3</f>
        <v>4.5</v>
      </c>
      <c r="H90" s="36">
        <f t="shared" si="36"/>
        <v>5.0391899999999996</v>
      </c>
      <c r="I90" s="12">
        <f t="shared" si="36"/>
        <v>5.0391899999999996</v>
      </c>
      <c r="J90" s="12">
        <f t="shared" si="36"/>
        <v>5.0391899999999996</v>
      </c>
      <c r="K90" s="12">
        <f t="shared" si="36"/>
        <v>5.0391899999999996</v>
      </c>
      <c r="L90" s="12">
        <f t="shared" si="36"/>
        <v>5.0391899999999996</v>
      </c>
      <c r="M90" s="12">
        <f t="shared" si="33"/>
        <v>5.2781779858576625</v>
      </c>
      <c r="N90" s="12">
        <f t="shared" si="33"/>
        <v>5.4214537821812492</v>
      </c>
      <c r="O90" s="12">
        <f t="shared" si="33"/>
        <v>5.6398761726246338</v>
      </c>
      <c r="P90" s="12">
        <f t="shared" si="33"/>
        <v>5.9584668753097523</v>
      </c>
      <c r="Q90" s="12">
        <f t="shared" si="33"/>
        <v>6.3944369211534653</v>
      </c>
      <c r="R90" s="12">
        <f t="shared" si="33"/>
        <v>6.9416891628009267</v>
      </c>
      <c r="S90" s="12">
        <f t="shared" si="33"/>
        <v>7.5587849999999994</v>
      </c>
      <c r="T90" s="12">
        <f t="shared" si="33"/>
        <v>8.1758808371990721</v>
      </c>
      <c r="U90" s="12">
        <f t="shared" si="33"/>
        <v>8.7231330788465336</v>
      </c>
      <c r="V90" s="12">
        <f t="shared" si="33"/>
        <v>9.1591031246902457</v>
      </c>
      <c r="W90" s="12">
        <f t="shared" si="33"/>
        <v>9.4776938273753633</v>
      </c>
      <c r="X90" s="12">
        <f t="shared" si="33"/>
        <v>9.6961162178187497</v>
      </c>
      <c r="Y90" s="12">
        <f t="shared" si="33"/>
        <v>9.8393920141423372</v>
      </c>
      <c r="Z90" s="12">
        <f t="shared" si="33"/>
        <v>9.9306700999200732</v>
      </c>
      <c r="AA90" s="12">
        <f t="shared" si="33"/>
        <v>9.9877440706211278</v>
      </c>
      <c r="AB90" s="12">
        <f t="shared" si="33"/>
        <v>10.023014708565341</v>
      </c>
      <c r="AC90" s="12">
        <f t="shared" si="32"/>
        <v>10.044653452550852</v>
      </c>
      <c r="AD90" s="300">
        <f t="shared" ref="AD90:AN113" si="39">Algae_electricity_factor/H90</f>
        <v>2.7273425101115973E-3</v>
      </c>
      <c r="AE90" s="299">
        <f t="shared" si="39"/>
        <v>2.7273425101115973E-3</v>
      </c>
      <c r="AF90" s="299">
        <f t="shared" si="39"/>
        <v>2.7273425101115973E-3</v>
      </c>
      <c r="AG90" s="299">
        <f t="shared" si="39"/>
        <v>2.7273425101115973E-3</v>
      </c>
      <c r="AH90" s="299">
        <f t="shared" si="39"/>
        <v>2.7273425101115973E-3</v>
      </c>
      <c r="AI90" s="299">
        <f t="shared" si="39"/>
        <v>2.6038525302393783E-3</v>
      </c>
      <c r="AJ90" s="299">
        <f t="shared" si="39"/>
        <v>2.5350390606852517E-3</v>
      </c>
      <c r="AK90" s="299">
        <f t="shared" si="39"/>
        <v>2.4368614988817018E-3</v>
      </c>
      <c r="AL90" s="299">
        <f t="shared" si="39"/>
        <v>2.3065659994652224E-3</v>
      </c>
      <c r="AM90" s="299">
        <f t="shared" si="39"/>
        <v>2.1493052903632536E-3</v>
      </c>
      <c r="AN90" s="299">
        <f t="shared" si="39"/>
        <v>1.9798635146584132E-3</v>
      </c>
      <c r="AO90" s="299">
        <f t="shared" si="37"/>
        <v>1.8182283400743982E-3</v>
      </c>
      <c r="AP90" s="299">
        <f t="shared" si="37"/>
        <v>1.6809928345577012E-3</v>
      </c>
      <c r="AQ90" s="299">
        <f t="shared" si="37"/>
        <v>1.5755344988209886E-3</v>
      </c>
      <c r="AR90" s="299">
        <f t="shared" si="37"/>
        <v>1.5005396179545755E-3</v>
      </c>
      <c r="AS90" s="299">
        <f t="shared" si="37"/>
        <v>1.4500992914365165E-3</v>
      </c>
      <c r="AT90" s="299">
        <f t="shared" si="34"/>
        <v>1.4174332067382167E-3</v>
      </c>
      <c r="AU90" s="299">
        <f t="shared" si="34"/>
        <v>1.3967933266380013E-3</v>
      </c>
      <c r="AV90" s="299">
        <f t="shared" si="34"/>
        <v>1.3839546541416048E-3</v>
      </c>
      <c r="AW90" s="299">
        <f t="shared" si="19"/>
        <v>1.3760461828368174E-3</v>
      </c>
      <c r="AX90" s="299">
        <f t="shared" si="19"/>
        <v>1.3712039244823645E-3</v>
      </c>
      <c r="AY90" s="299">
        <f t="shared" si="19"/>
        <v>1.3682500017000642E-3</v>
      </c>
      <c r="AZ90" s="306">
        <f t="shared" ref="AZ90:BJ113" si="40">Algae_yield_cost_factor/H90</f>
        <v>0.15098510262288539</v>
      </c>
      <c r="BA90" s="2">
        <f t="shared" si="40"/>
        <v>0.15098510262288539</v>
      </c>
      <c r="BB90" s="2">
        <f t="shared" si="40"/>
        <v>0.15098510262288539</v>
      </c>
      <c r="BC90" s="2">
        <f t="shared" si="40"/>
        <v>0.15098510262288539</v>
      </c>
      <c r="BD90" s="2">
        <f t="shared" si="40"/>
        <v>0.15098510262288539</v>
      </c>
      <c r="BE90" s="2">
        <f t="shared" si="40"/>
        <v>0.14414872354149816</v>
      </c>
      <c r="BF90" s="2">
        <f t="shared" si="40"/>
        <v>0.14033922446906907</v>
      </c>
      <c r="BG90" s="2">
        <f t="shared" si="40"/>
        <v>0.13490413548071639</v>
      </c>
      <c r="BH90" s="2">
        <f t="shared" si="40"/>
        <v>0.12769100428147723</v>
      </c>
      <c r="BI90" s="2">
        <f t="shared" si="40"/>
        <v>0.11898508479601556</v>
      </c>
      <c r="BJ90" s="2">
        <f t="shared" si="40"/>
        <v>0.10960482404821807</v>
      </c>
      <c r="BK90" s="2">
        <f t="shared" si="38"/>
        <v>0.10065673508192359</v>
      </c>
      <c r="BL90" s="2">
        <f t="shared" si="38"/>
        <v>9.3059406617632456E-2</v>
      </c>
      <c r="BM90" s="2">
        <f t="shared" si="38"/>
        <v>8.7221255529306291E-2</v>
      </c>
      <c r="BN90" s="2">
        <f t="shared" si="38"/>
        <v>8.3069554838312729E-2</v>
      </c>
      <c r="BO90" s="2">
        <f t="shared" si="38"/>
        <v>8.0277189065614318E-2</v>
      </c>
      <c r="BP90" s="2">
        <f t="shared" si="35"/>
        <v>7.8468801548397471E-2</v>
      </c>
      <c r="BQ90" s="2">
        <f t="shared" si="35"/>
        <v>7.7326182165792845E-2</v>
      </c>
      <c r="BR90" s="2">
        <f t="shared" si="35"/>
        <v>7.6615435980734212E-2</v>
      </c>
      <c r="BS90" s="2">
        <f t="shared" si="20"/>
        <v>7.6177624687463752E-2</v>
      </c>
      <c r="BT90" s="2">
        <f t="shared" si="20"/>
        <v>7.5909558292479251E-2</v>
      </c>
      <c r="BU90" s="2">
        <f t="shared" si="20"/>
        <v>7.5746029754067912E-2</v>
      </c>
    </row>
    <row r="91" spans="1:73" x14ac:dyDescent="0.25">
      <c r="A91" t="s">
        <v>27</v>
      </c>
      <c r="B91" s="1" t="s">
        <v>5</v>
      </c>
      <c r="C91" t="s">
        <v>10</v>
      </c>
      <c r="D91" t="s">
        <v>10</v>
      </c>
      <c r="E91" s="97">
        <v>6.2174100000000001</v>
      </c>
      <c r="F91" s="5">
        <f t="shared" si="29"/>
        <v>1.52326545E-2</v>
      </c>
      <c r="G91" s="1">
        <f>LOOKUP(RIGHT(D91,5),Ref!$C$4:$C$21,Ref!$E$4:$E$21)*$G$3</f>
        <v>4.5</v>
      </c>
      <c r="H91" s="36">
        <f t="shared" si="36"/>
        <v>6.2174100000000001</v>
      </c>
      <c r="I91" s="12">
        <f t="shared" si="36"/>
        <v>6.2174100000000001</v>
      </c>
      <c r="J91" s="12">
        <f t="shared" si="36"/>
        <v>6.2174100000000001</v>
      </c>
      <c r="K91" s="12">
        <f t="shared" si="36"/>
        <v>6.2174100000000001</v>
      </c>
      <c r="L91" s="12">
        <f t="shared" si="36"/>
        <v>6.2174100000000001</v>
      </c>
      <c r="M91" s="12">
        <f t="shared" si="33"/>
        <v>6.5122760981529355</v>
      </c>
      <c r="N91" s="12">
        <f t="shared" si="33"/>
        <v>6.6890514070458797</v>
      </c>
      <c r="O91" s="12">
        <f t="shared" si="33"/>
        <v>6.9585434394095342</v>
      </c>
      <c r="P91" s="12">
        <f t="shared" si="33"/>
        <v>7.3516242759688781</v>
      </c>
      <c r="Q91" s="12">
        <f t="shared" si="33"/>
        <v>7.8895290826400224</v>
      </c>
      <c r="R91" s="12">
        <f t="shared" si="33"/>
        <v>8.5647351295922789</v>
      </c>
      <c r="S91" s="12">
        <f t="shared" si="33"/>
        <v>9.3261149999999997</v>
      </c>
      <c r="T91" s="12">
        <f t="shared" si="33"/>
        <v>10.087494870407722</v>
      </c>
      <c r="U91" s="12">
        <f t="shared" si="33"/>
        <v>10.762700917359979</v>
      </c>
      <c r="V91" s="12">
        <f t="shared" si="33"/>
        <v>11.300605724031122</v>
      </c>
      <c r="W91" s="12">
        <f t="shared" si="33"/>
        <v>11.693686560590464</v>
      </c>
      <c r="X91" s="12">
        <f t="shared" si="33"/>
        <v>11.963178592954121</v>
      </c>
      <c r="Y91" s="12">
        <f t="shared" si="33"/>
        <v>12.139953901847065</v>
      </c>
      <c r="Z91" s="12">
        <f t="shared" si="33"/>
        <v>12.25257384340421</v>
      </c>
      <c r="AA91" s="12">
        <f t="shared" si="33"/>
        <v>12.322992358319592</v>
      </c>
      <c r="AB91" s="12">
        <f t="shared" si="33"/>
        <v>12.366509673019124</v>
      </c>
      <c r="AC91" s="12">
        <f t="shared" si="32"/>
        <v>12.393207801734842</v>
      </c>
      <c r="AD91" s="300">
        <f t="shared" si="39"/>
        <v>2.2105019780791777E-3</v>
      </c>
      <c r="AE91" s="299">
        <f t="shared" si="39"/>
        <v>2.2105019780791777E-3</v>
      </c>
      <c r="AF91" s="299">
        <f t="shared" si="39"/>
        <v>2.2105019780791777E-3</v>
      </c>
      <c r="AG91" s="299">
        <f t="shared" si="39"/>
        <v>2.2105019780791777E-3</v>
      </c>
      <c r="AH91" s="299">
        <f t="shared" si="39"/>
        <v>2.2105019780791777E-3</v>
      </c>
      <c r="AI91" s="299">
        <f t="shared" si="39"/>
        <v>2.1104137626209258E-3</v>
      </c>
      <c r="AJ91" s="299">
        <f t="shared" si="39"/>
        <v>2.0546406758142877E-3</v>
      </c>
      <c r="AK91" s="299">
        <f t="shared" si="39"/>
        <v>1.975068090499047E-3</v>
      </c>
      <c r="AL91" s="299">
        <f t="shared" si="39"/>
        <v>1.8694640242231336E-3</v>
      </c>
      <c r="AM91" s="299">
        <f t="shared" si="39"/>
        <v>1.742004745729428E-3</v>
      </c>
      <c r="AN91" s="299">
        <f t="shared" si="39"/>
        <v>1.6046727535149728E-3</v>
      </c>
      <c r="AO91" s="299">
        <f t="shared" si="37"/>
        <v>1.4736679853861185E-3</v>
      </c>
      <c r="AP91" s="299">
        <f t="shared" si="37"/>
        <v>1.3624390673889644E-3</v>
      </c>
      <c r="AQ91" s="299">
        <f t="shared" si="37"/>
        <v>1.2769654391641754E-3</v>
      </c>
      <c r="AR91" s="299">
        <f t="shared" si="37"/>
        <v>1.2161823391734687E-3</v>
      </c>
      <c r="AS91" s="299">
        <f t="shared" si="37"/>
        <v>1.1753006233164579E-3</v>
      </c>
      <c r="AT91" s="299">
        <f t="shared" si="34"/>
        <v>1.1488248709773288E-3</v>
      </c>
      <c r="AU91" s="299">
        <f t="shared" si="34"/>
        <v>1.1320963172222758E-3</v>
      </c>
      <c r="AV91" s="299">
        <f t="shared" si="34"/>
        <v>1.1216906161253372E-3</v>
      </c>
      <c r="AW91" s="299">
        <f t="shared" si="19"/>
        <v>1.1152808265965188E-3</v>
      </c>
      <c r="AX91" s="299">
        <f t="shared" si="19"/>
        <v>1.1113561924036353E-3</v>
      </c>
      <c r="AY91" s="299">
        <f t="shared" si="19"/>
        <v>1.108962047873141E-3</v>
      </c>
      <c r="AZ91" s="306">
        <f t="shared" si="40"/>
        <v>0.12237292044214838</v>
      </c>
      <c r="BA91" s="2">
        <f t="shared" si="40"/>
        <v>0.12237292044214838</v>
      </c>
      <c r="BB91" s="2">
        <f t="shared" si="40"/>
        <v>0.12237292044214838</v>
      </c>
      <c r="BC91" s="2">
        <f t="shared" si="40"/>
        <v>0.12237292044214838</v>
      </c>
      <c r="BD91" s="2">
        <f t="shared" si="40"/>
        <v>0.12237292044214838</v>
      </c>
      <c r="BE91" s="2">
        <f t="shared" si="40"/>
        <v>0.1168320580729085</v>
      </c>
      <c r="BF91" s="2">
        <f t="shared" si="40"/>
        <v>0.11374447182223595</v>
      </c>
      <c r="BG91" s="2">
        <f t="shared" si="40"/>
        <v>0.10933935038433545</v>
      </c>
      <c r="BH91" s="2">
        <f t="shared" si="40"/>
        <v>0.10349313168428287</v>
      </c>
      <c r="BI91" s="2">
        <f t="shared" si="40"/>
        <v>9.643701307348776E-2</v>
      </c>
      <c r="BJ91" s="2">
        <f t="shared" si="40"/>
        <v>8.8834343126083043E-2</v>
      </c>
      <c r="BK91" s="2">
        <f t="shared" si="38"/>
        <v>8.1581946961432256E-2</v>
      </c>
      <c r="BL91" s="2">
        <f t="shared" si="38"/>
        <v>7.5424337663674623E-2</v>
      </c>
      <c r="BM91" s="2">
        <f t="shared" si="38"/>
        <v>7.0692535742491625E-2</v>
      </c>
      <c r="BN91" s="2">
        <f t="shared" si="38"/>
        <v>6.7327596225064304E-2</v>
      </c>
      <c r="BO91" s="2">
        <f t="shared" si="38"/>
        <v>6.5064393110242522E-2</v>
      </c>
      <c r="BP91" s="2">
        <f t="shared" si="35"/>
        <v>6.3598701078852612E-2</v>
      </c>
      <c r="BQ91" s="2">
        <f t="shared" si="35"/>
        <v>6.2672611892740163E-2</v>
      </c>
      <c r="BR91" s="2">
        <f t="shared" si="35"/>
        <v>6.2096554488083627E-2</v>
      </c>
      <c r="BS91" s="2">
        <f t="shared" si="20"/>
        <v>6.1741709899913386E-2</v>
      </c>
      <c r="BT91" s="2">
        <f t="shared" si="20"/>
        <v>6.1524442983795273E-2</v>
      </c>
      <c r="BU91" s="2">
        <f t="shared" si="20"/>
        <v>6.1391903650620021E-2</v>
      </c>
    </row>
    <row r="92" spans="1:73" x14ac:dyDescent="0.25">
      <c r="A92" t="s">
        <v>27</v>
      </c>
      <c r="B92" s="1" t="s">
        <v>5</v>
      </c>
      <c r="C92" t="s">
        <v>11</v>
      </c>
      <c r="D92" t="s">
        <v>11</v>
      </c>
      <c r="E92" s="97">
        <v>5.0896877500000004</v>
      </c>
      <c r="F92" s="5">
        <f t="shared" si="29"/>
        <v>1.2469734987500002E-2</v>
      </c>
      <c r="G92" s="1">
        <f>LOOKUP(RIGHT(D92,5),Ref!$C$4:$C$21,Ref!$E$4:$E$21)*$G$3</f>
        <v>4.5</v>
      </c>
      <c r="H92" s="36">
        <f t="shared" si="36"/>
        <v>5.0896877500000004</v>
      </c>
      <c r="I92" s="12">
        <f t="shared" si="36"/>
        <v>5.0896877500000004</v>
      </c>
      <c r="J92" s="12">
        <f t="shared" si="36"/>
        <v>5.0896877500000004</v>
      </c>
      <c r="K92" s="12">
        <f t="shared" si="36"/>
        <v>5.0896877500000004</v>
      </c>
      <c r="L92" s="12">
        <f t="shared" si="36"/>
        <v>5.0896877500000004</v>
      </c>
      <c r="M92" s="12">
        <f t="shared" si="33"/>
        <v>5.3310706357449158</v>
      </c>
      <c r="N92" s="12">
        <f t="shared" si="33"/>
        <v>5.4757821995914178</v>
      </c>
      <c r="O92" s="12">
        <f t="shared" si="33"/>
        <v>5.6963934019801776</v>
      </c>
      <c r="P92" s="12">
        <f t="shared" si="33"/>
        <v>6.0181767038045457</v>
      </c>
      <c r="Q92" s="12">
        <f t="shared" si="33"/>
        <v>6.4585156078144532</v>
      </c>
      <c r="R92" s="12">
        <f t="shared" si="33"/>
        <v>7.0112518671087294</v>
      </c>
      <c r="S92" s="12">
        <f t="shared" si="33"/>
        <v>7.634531625000001</v>
      </c>
      <c r="T92" s="12">
        <f t="shared" si="33"/>
        <v>8.2578113828912727</v>
      </c>
      <c r="U92" s="12">
        <f t="shared" si="33"/>
        <v>8.8105476421855471</v>
      </c>
      <c r="V92" s="12">
        <f t="shared" si="33"/>
        <v>9.2508865461954546</v>
      </c>
      <c r="W92" s="12">
        <f t="shared" si="33"/>
        <v>9.5726698480198227</v>
      </c>
      <c r="X92" s="12">
        <f t="shared" si="33"/>
        <v>9.7932810504085825</v>
      </c>
      <c r="Y92" s="12">
        <f t="shared" si="33"/>
        <v>9.9379926142550854</v>
      </c>
      <c r="Z92" s="12">
        <f t="shared" si="33"/>
        <v>10.030185398219649</v>
      </c>
      <c r="AA92" s="12">
        <f t="shared" si="33"/>
        <v>10.087831307487015</v>
      </c>
      <c r="AB92" s="12">
        <f t="shared" si="33"/>
        <v>10.123455392683118</v>
      </c>
      <c r="AC92" s="12">
        <f t="shared" si="32"/>
        <v>10.145310978638094</v>
      </c>
      <c r="AD92" s="300">
        <f t="shared" si="39"/>
        <v>2.7002829600949996E-3</v>
      </c>
      <c r="AE92" s="299">
        <f t="shared" si="39"/>
        <v>2.7002829600949996E-3</v>
      </c>
      <c r="AF92" s="299">
        <f t="shared" si="39"/>
        <v>2.7002829600949996E-3</v>
      </c>
      <c r="AG92" s="299">
        <f t="shared" si="39"/>
        <v>2.7002829600949996E-3</v>
      </c>
      <c r="AH92" s="299">
        <f t="shared" si="39"/>
        <v>2.7002829600949996E-3</v>
      </c>
      <c r="AI92" s="299">
        <f t="shared" si="39"/>
        <v>2.5780181960783294E-3</v>
      </c>
      <c r="AJ92" s="299">
        <f t="shared" si="39"/>
        <v>2.5098874649460592E-3</v>
      </c>
      <c r="AK92" s="299">
        <f t="shared" si="39"/>
        <v>2.4126839797882845E-3</v>
      </c>
      <c r="AL92" s="299">
        <f t="shared" si="39"/>
        <v>2.2836812177417275E-3</v>
      </c>
      <c r="AM92" s="299">
        <f t="shared" si="39"/>
        <v>2.127980783525591E-3</v>
      </c>
      <c r="AN92" s="299">
        <f t="shared" si="39"/>
        <v>1.9602201381472817E-3</v>
      </c>
      <c r="AO92" s="299">
        <f t="shared" si="37"/>
        <v>1.8001886400633329E-3</v>
      </c>
      <c r="AP92" s="299">
        <f t="shared" si="37"/>
        <v>1.6643147277502083E-3</v>
      </c>
      <c r="AQ92" s="299">
        <f t="shared" si="37"/>
        <v>1.5599027054486274E-3</v>
      </c>
      <c r="AR92" s="299">
        <f t="shared" si="37"/>
        <v>1.4856518923779785E-3</v>
      </c>
      <c r="AS92" s="299">
        <f t="shared" si="37"/>
        <v>1.4357120136523065E-3</v>
      </c>
      <c r="AT92" s="299">
        <f t="shared" si="34"/>
        <v>1.4033700281639388E-3</v>
      </c>
      <c r="AU92" s="299">
        <f t="shared" si="34"/>
        <v>1.3829349283089026E-3</v>
      </c>
      <c r="AV92" s="299">
        <f t="shared" si="34"/>
        <v>1.3702236357434369E-3</v>
      </c>
      <c r="AW92" s="299">
        <f t="shared" si="19"/>
        <v>1.3623936289784107E-3</v>
      </c>
      <c r="AX92" s="299">
        <f t="shared" si="19"/>
        <v>1.3575994134831328E-3</v>
      </c>
      <c r="AY92" s="299">
        <f t="shared" si="19"/>
        <v>1.3546747982854045E-3</v>
      </c>
      <c r="AZ92" s="306">
        <f t="shared" si="40"/>
        <v>0.14948709167595159</v>
      </c>
      <c r="BA92" s="2">
        <f t="shared" si="40"/>
        <v>0.14948709167595159</v>
      </c>
      <c r="BB92" s="2">
        <f t="shared" si="40"/>
        <v>0.14948709167595159</v>
      </c>
      <c r="BC92" s="2">
        <f t="shared" si="40"/>
        <v>0.14948709167595159</v>
      </c>
      <c r="BD92" s="2">
        <f t="shared" si="40"/>
        <v>0.14948709167595159</v>
      </c>
      <c r="BE92" s="2">
        <f t="shared" si="40"/>
        <v>0.14271854028433906</v>
      </c>
      <c r="BF92" s="2">
        <f t="shared" si="40"/>
        <v>0.13894683746606812</v>
      </c>
      <c r="BG92" s="2">
        <f t="shared" si="40"/>
        <v>0.13356567315412837</v>
      </c>
      <c r="BH92" s="2">
        <f t="shared" si="40"/>
        <v>0.12642410762137168</v>
      </c>
      <c r="BI92" s="2">
        <f t="shared" si="40"/>
        <v>0.11780456462250234</v>
      </c>
      <c r="BJ92" s="2">
        <f t="shared" si="40"/>
        <v>0.10851737089284896</v>
      </c>
      <c r="BK92" s="2">
        <f t="shared" si="38"/>
        <v>9.965806111730105E-2</v>
      </c>
      <c r="BL92" s="2">
        <f t="shared" si="38"/>
        <v>9.2136110163832191E-2</v>
      </c>
      <c r="BM92" s="2">
        <f t="shared" si="38"/>
        <v>8.6355882765249192E-2</v>
      </c>
      <c r="BN92" s="2">
        <f t="shared" si="38"/>
        <v>8.2245373509539366E-2</v>
      </c>
      <c r="BO92" s="2">
        <f t="shared" si="38"/>
        <v>7.9480712420433433E-2</v>
      </c>
      <c r="BP92" s="2">
        <f t="shared" si="35"/>
        <v>7.7690266966705182E-2</v>
      </c>
      <c r="BQ92" s="2">
        <f t="shared" si="35"/>
        <v>7.6558984175019704E-2</v>
      </c>
      <c r="BR92" s="2">
        <f t="shared" si="35"/>
        <v>7.5855289715907631E-2</v>
      </c>
      <c r="BS92" s="2">
        <f t="shared" si="20"/>
        <v>7.5421822202908315E-2</v>
      </c>
      <c r="BT92" s="2">
        <f t="shared" si="20"/>
        <v>7.5156415450413142E-2</v>
      </c>
      <c r="BU92" s="2">
        <f t="shared" si="20"/>
        <v>7.4994509373664683E-2</v>
      </c>
    </row>
    <row r="93" spans="1:73" x14ac:dyDescent="0.25">
      <c r="A93" t="s">
        <v>47</v>
      </c>
      <c r="B93" s="1" t="s">
        <v>5</v>
      </c>
      <c r="C93" t="s">
        <v>14</v>
      </c>
      <c r="D93" t="s">
        <v>14</v>
      </c>
      <c r="E93" s="97">
        <v>4.2128664999999996</v>
      </c>
      <c r="F93" s="5">
        <f t="shared" si="29"/>
        <v>1.0321522925E-2</v>
      </c>
      <c r="G93" s="1">
        <f>LOOKUP(RIGHT(D93,5),Ref!$C$4:$C$21,Ref!$E$4:$E$21)*$G$3</f>
        <v>2</v>
      </c>
      <c r="H93" s="36">
        <f t="shared" si="36"/>
        <v>4.2128664999999996</v>
      </c>
      <c r="I93" s="12">
        <f t="shared" si="36"/>
        <v>4.2128664999999996</v>
      </c>
      <c r="J93" s="12">
        <f t="shared" si="36"/>
        <v>4.2128664999999996</v>
      </c>
      <c r="K93" s="12">
        <f t="shared" si="36"/>
        <v>4.2128664999999996</v>
      </c>
      <c r="L93" s="12">
        <f t="shared" si="36"/>
        <v>4.2128664999999996</v>
      </c>
      <c r="M93" s="12">
        <f t="shared" si="33"/>
        <v>4.4126653723430191</v>
      </c>
      <c r="N93" s="12">
        <f t="shared" si="33"/>
        <v>4.5324468853624653</v>
      </c>
      <c r="O93" s="12">
        <f t="shared" si="33"/>
        <v>4.7150524968890908</v>
      </c>
      <c r="P93" s="12">
        <f t="shared" si="33"/>
        <v>4.9814008779887509</v>
      </c>
      <c r="Q93" s="12">
        <f t="shared" si="33"/>
        <v>5.3458808045520367</v>
      </c>
      <c r="R93" s="12">
        <f t="shared" si="33"/>
        <v>5.8033949359673018</v>
      </c>
      <c r="S93" s="12">
        <f t="shared" si="33"/>
        <v>6.319299749999999</v>
      </c>
      <c r="T93" s="12">
        <f t="shared" si="33"/>
        <v>6.835204564032697</v>
      </c>
      <c r="U93" s="12">
        <f t="shared" si="33"/>
        <v>7.2927186954479621</v>
      </c>
      <c r="V93" s="12">
        <f t="shared" si="33"/>
        <v>7.657198622011248</v>
      </c>
      <c r="W93" s="12">
        <f t="shared" si="33"/>
        <v>7.9235470031109072</v>
      </c>
      <c r="X93" s="12">
        <f t="shared" si="33"/>
        <v>8.1061526146375336</v>
      </c>
      <c r="Y93" s="12">
        <f t="shared" si="33"/>
        <v>8.2259341276569806</v>
      </c>
      <c r="Z93" s="12">
        <f t="shared" si="33"/>
        <v>8.3022444850273409</v>
      </c>
      <c r="AA93" s="12">
        <f t="shared" si="33"/>
        <v>8.3499594985887367</v>
      </c>
      <c r="AB93" s="12">
        <f t="shared" si="33"/>
        <v>8.3794464774541524</v>
      </c>
      <c r="AC93" s="12">
        <f t="shared" si="32"/>
        <v>8.3975369125515869</v>
      </c>
      <c r="AD93" s="300">
        <f t="shared" si="39"/>
        <v>3.2622911510557621E-3</v>
      </c>
      <c r="AE93" s="299">
        <f t="shared" si="39"/>
        <v>3.2622911510557621E-3</v>
      </c>
      <c r="AF93" s="299">
        <f t="shared" si="39"/>
        <v>3.2622911510557621E-3</v>
      </c>
      <c r="AG93" s="299">
        <f t="shared" si="39"/>
        <v>3.2622911510557621E-3</v>
      </c>
      <c r="AH93" s="299">
        <f t="shared" si="39"/>
        <v>3.2622911510557621E-3</v>
      </c>
      <c r="AI93" s="299">
        <f t="shared" si="39"/>
        <v>3.1145794987467498E-3</v>
      </c>
      <c r="AJ93" s="299">
        <f t="shared" si="39"/>
        <v>3.0322687614749992E-3</v>
      </c>
      <c r="AK93" s="299">
        <f t="shared" si="39"/>
        <v>2.9148343762019713E-3</v>
      </c>
      <c r="AL93" s="299">
        <f t="shared" si="39"/>
        <v>2.7589823505789119E-3</v>
      </c>
      <c r="AM93" s="299">
        <f t="shared" si="39"/>
        <v>2.5708760831005691E-3</v>
      </c>
      <c r="AN93" s="299">
        <f t="shared" si="39"/>
        <v>2.3681995203103465E-3</v>
      </c>
      <c r="AO93" s="299">
        <f t="shared" si="37"/>
        <v>2.1748607673705085E-3</v>
      </c>
      <c r="AP93" s="299">
        <f t="shared" si="37"/>
        <v>2.0107075033056047E-3</v>
      </c>
      <c r="AQ93" s="299">
        <f t="shared" si="37"/>
        <v>1.8845642725953309E-3</v>
      </c>
      <c r="AR93" s="299">
        <f t="shared" si="37"/>
        <v>1.7948596845878018E-3</v>
      </c>
      <c r="AS93" s="299">
        <f t="shared" si="37"/>
        <v>1.7345258503714701E-3</v>
      </c>
      <c r="AT93" s="299">
        <f t="shared" si="34"/>
        <v>1.6954525478229975E-3</v>
      </c>
      <c r="AU93" s="299">
        <f t="shared" si="34"/>
        <v>1.6707643035118605E-3</v>
      </c>
      <c r="AV93" s="299">
        <f t="shared" si="34"/>
        <v>1.6554074176344856E-3</v>
      </c>
      <c r="AW93" s="299">
        <f t="shared" si="19"/>
        <v>1.645947756495361E-3</v>
      </c>
      <c r="AX93" s="299">
        <f t="shared" si="19"/>
        <v>1.6401557239500199E-3</v>
      </c>
      <c r="AY93" s="299">
        <f t="shared" si="19"/>
        <v>1.6366224104340703E-3</v>
      </c>
      <c r="AZ93" s="306">
        <f t="shared" si="40"/>
        <v>0.18059974587047034</v>
      </c>
      <c r="BA93" s="2">
        <f t="shared" si="40"/>
        <v>0.18059974587047034</v>
      </c>
      <c r="BB93" s="2">
        <f t="shared" si="40"/>
        <v>0.18059974587047034</v>
      </c>
      <c r="BC93" s="2">
        <f t="shared" si="40"/>
        <v>0.18059974587047034</v>
      </c>
      <c r="BD93" s="2">
        <f t="shared" si="40"/>
        <v>0.18059974587047034</v>
      </c>
      <c r="BE93" s="2">
        <f t="shared" si="40"/>
        <v>0.17242246014277504</v>
      </c>
      <c r="BF93" s="2">
        <f t="shared" si="40"/>
        <v>0.16786575519359279</v>
      </c>
      <c r="BG93" s="2">
        <f t="shared" si="40"/>
        <v>0.16136461254423115</v>
      </c>
      <c r="BH93" s="2">
        <f t="shared" si="40"/>
        <v>0.15273667747724196</v>
      </c>
      <c r="BI93" s="2">
        <f t="shared" si="40"/>
        <v>0.14232315442543306</v>
      </c>
      <c r="BJ93" s="2">
        <f t="shared" si="40"/>
        <v>0.13110302291694742</v>
      </c>
      <c r="BK93" s="2">
        <f t="shared" si="38"/>
        <v>0.12039983058031357</v>
      </c>
      <c r="BL93" s="2">
        <f t="shared" si="38"/>
        <v>0.11131234071469089</v>
      </c>
      <c r="BM93" s="2">
        <f t="shared" si="38"/>
        <v>0.10432907822992372</v>
      </c>
      <c r="BN93" s="2">
        <f t="shared" si="38"/>
        <v>9.9363051272969863E-2</v>
      </c>
      <c r="BO93" s="2">
        <f t="shared" si="38"/>
        <v>9.6022983013478586E-2</v>
      </c>
      <c r="BP93" s="2">
        <f t="shared" si="35"/>
        <v>9.3859893275675621E-2</v>
      </c>
      <c r="BQ93" s="2">
        <f t="shared" si="35"/>
        <v>9.249315730940956E-2</v>
      </c>
      <c r="BR93" s="2">
        <f t="shared" si="35"/>
        <v>9.1643003365940043E-2</v>
      </c>
      <c r="BS93" s="2">
        <f t="shared" si="20"/>
        <v>9.1119318532600205E-2</v>
      </c>
      <c r="BT93" s="2">
        <f t="shared" si="20"/>
        <v>9.0798672839948413E-2</v>
      </c>
      <c r="BU93" s="2">
        <f t="shared" si="20"/>
        <v>9.0603069353467861E-2</v>
      </c>
    </row>
    <row r="94" spans="1:73" x14ac:dyDescent="0.25">
      <c r="A94" t="s">
        <v>47</v>
      </c>
      <c r="B94" s="1" t="s">
        <v>5</v>
      </c>
      <c r="C94" t="s">
        <v>16</v>
      </c>
      <c r="D94" t="s">
        <v>16</v>
      </c>
      <c r="E94" s="97">
        <v>3.73827525</v>
      </c>
      <c r="F94" s="5">
        <f t="shared" si="29"/>
        <v>9.1587743624999985E-3</v>
      </c>
      <c r="G94" s="1">
        <f>LOOKUP(RIGHT(D94,5),Ref!$C$4:$C$21,Ref!$E$4:$E$21)*$G$3</f>
        <v>3</v>
      </c>
      <c r="H94" s="36">
        <f t="shared" si="36"/>
        <v>3.73827525</v>
      </c>
      <c r="I94" s="12">
        <f t="shared" si="36"/>
        <v>3.73827525</v>
      </c>
      <c r="J94" s="12">
        <f t="shared" si="36"/>
        <v>3.73827525</v>
      </c>
      <c r="K94" s="12">
        <f t="shared" si="36"/>
        <v>3.73827525</v>
      </c>
      <c r="L94" s="12">
        <f t="shared" si="36"/>
        <v>3.73827525</v>
      </c>
      <c r="M94" s="12">
        <f t="shared" si="33"/>
        <v>3.9155662179093365</v>
      </c>
      <c r="N94" s="12">
        <f t="shared" si="33"/>
        <v>4.0218540068834585</v>
      </c>
      <c r="O94" s="12">
        <f t="shared" si="33"/>
        <v>4.183888583122962</v>
      </c>
      <c r="P94" s="12">
        <f t="shared" si="33"/>
        <v>4.4202320706135874</v>
      </c>
      <c r="Q94" s="12">
        <f t="shared" si="33"/>
        <v>4.743652309207274</v>
      </c>
      <c r="R94" s="12">
        <f t="shared" si="33"/>
        <v>5.1496261880365548</v>
      </c>
      <c r="S94" s="12">
        <f t="shared" si="33"/>
        <v>5.6074128749999996</v>
      </c>
      <c r="T94" s="12">
        <f t="shared" si="33"/>
        <v>6.0651995619634453</v>
      </c>
      <c r="U94" s="12">
        <f t="shared" si="33"/>
        <v>6.4711734407927262</v>
      </c>
      <c r="V94" s="12">
        <f t="shared" si="33"/>
        <v>6.7945936793864128</v>
      </c>
      <c r="W94" s="12">
        <f t="shared" si="33"/>
        <v>7.0309371668770373</v>
      </c>
      <c r="X94" s="12">
        <f t="shared" si="33"/>
        <v>7.1929717431165416</v>
      </c>
      <c r="Y94" s="12">
        <f t="shared" si="33"/>
        <v>7.2992595320906632</v>
      </c>
      <c r="Z94" s="12">
        <f t="shared" si="33"/>
        <v>7.3669733132599164</v>
      </c>
      <c r="AA94" s="12">
        <f t="shared" si="33"/>
        <v>7.4093130964574101</v>
      </c>
      <c r="AB94" s="12">
        <f t="shared" si="33"/>
        <v>7.435478284290884</v>
      </c>
      <c r="AC94" s="12">
        <f t="shared" si="32"/>
        <v>7.4515307810378069</v>
      </c>
      <c r="AD94" s="300">
        <f t="shared" si="39"/>
        <v>3.676454028774168E-3</v>
      </c>
      <c r="AE94" s="299">
        <f t="shared" si="39"/>
        <v>3.676454028774168E-3</v>
      </c>
      <c r="AF94" s="299">
        <f t="shared" si="39"/>
        <v>3.676454028774168E-3</v>
      </c>
      <c r="AG94" s="299">
        <f t="shared" si="39"/>
        <v>3.676454028774168E-3</v>
      </c>
      <c r="AH94" s="299">
        <f t="shared" si="39"/>
        <v>3.676454028774168E-3</v>
      </c>
      <c r="AI94" s="299">
        <f t="shared" si="39"/>
        <v>3.5099897022983989E-3</v>
      </c>
      <c r="AJ94" s="299">
        <f t="shared" si="39"/>
        <v>3.4172292380595876E-3</v>
      </c>
      <c r="AK94" s="299">
        <f t="shared" si="39"/>
        <v>3.2848860170341071E-3</v>
      </c>
      <c r="AL94" s="299">
        <f t="shared" si="39"/>
        <v>3.1092478593825199E-3</v>
      </c>
      <c r="AM94" s="299">
        <f t="shared" si="39"/>
        <v>2.8972606354081614E-3</v>
      </c>
      <c r="AN94" s="299">
        <f t="shared" si="39"/>
        <v>2.6688533500660574E-3</v>
      </c>
      <c r="AO94" s="299">
        <f t="shared" si="37"/>
        <v>2.4509693525161121E-3</v>
      </c>
      <c r="AP94" s="299">
        <f t="shared" si="37"/>
        <v>2.2659760759924838E-3</v>
      </c>
      <c r="AQ94" s="299">
        <f t="shared" si="37"/>
        <v>2.1238183815153089E-3</v>
      </c>
      <c r="AR94" s="299">
        <f t="shared" si="37"/>
        <v>2.0227253831564475E-3</v>
      </c>
      <c r="AS94" s="299">
        <f t="shared" si="37"/>
        <v>1.9547318909740471E-3</v>
      </c>
      <c r="AT94" s="299">
        <f t="shared" si="34"/>
        <v>1.9106980528154403E-3</v>
      </c>
      <c r="AU94" s="299">
        <f t="shared" si="34"/>
        <v>1.8828755222507893E-3</v>
      </c>
      <c r="AV94" s="299">
        <f t="shared" si="34"/>
        <v>1.8655690090246385E-3</v>
      </c>
      <c r="AW94" s="299">
        <f t="shared" si="19"/>
        <v>1.8549084003617608E-3</v>
      </c>
      <c r="AX94" s="299">
        <f t="shared" si="19"/>
        <v>1.8483810426244793E-3</v>
      </c>
      <c r="AY94" s="299">
        <f t="shared" si="19"/>
        <v>1.8443991586940918E-3</v>
      </c>
      <c r="AZ94" s="306">
        <f t="shared" si="40"/>
        <v>0.20352771489638644</v>
      </c>
      <c r="BA94" s="2">
        <f t="shared" si="40"/>
        <v>0.20352771489638644</v>
      </c>
      <c r="BB94" s="2">
        <f t="shared" si="40"/>
        <v>0.20352771489638644</v>
      </c>
      <c r="BC94" s="2">
        <f t="shared" si="40"/>
        <v>0.20352771489638644</v>
      </c>
      <c r="BD94" s="2">
        <f t="shared" si="40"/>
        <v>0.20352771489638644</v>
      </c>
      <c r="BE94" s="2">
        <f t="shared" si="40"/>
        <v>0.1943122851061013</v>
      </c>
      <c r="BF94" s="2">
        <f t="shared" si="40"/>
        <v>0.18917708548943477</v>
      </c>
      <c r="BG94" s="2">
        <f t="shared" si="40"/>
        <v>0.18185059285644392</v>
      </c>
      <c r="BH94" s="2">
        <f t="shared" si="40"/>
        <v>0.17212730171893501</v>
      </c>
      <c r="BI94" s="2">
        <f t="shared" si="40"/>
        <v>0.16039173398300022</v>
      </c>
      <c r="BJ94" s="2">
        <f t="shared" si="40"/>
        <v>0.14774715513405279</v>
      </c>
      <c r="BK94" s="2">
        <f t="shared" si="38"/>
        <v>0.13568514326425765</v>
      </c>
      <c r="BL94" s="2">
        <f t="shared" si="38"/>
        <v>0.12544395473113096</v>
      </c>
      <c r="BM94" s="2">
        <f t="shared" si="38"/>
        <v>0.11757413493046691</v>
      </c>
      <c r="BN94" s="2">
        <f t="shared" si="38"/>
        <v>0.1119776479930623</v>
      </c>
      <c r="BO94" s="2">
        <f t="shared" si="38"/>
        <v>0.10821354269393431</v>
      </c>
      <c r="BP94" s="2">
        <f t="shared" si="35"/>
        <v>0.10577583875737054</v>
      </c>
      <c r="BQ94" s="2">
        <f t="shared" si="35"/>
        <v>0.10423558936919952</v>
      </c>
      <c r="BR94" s="2">
        <f t="shared" si="35"/>
        <v>0.10327750446940899</v>
      </c>
      <c r="BS94" s="2">
        <f t="shared" si="20"/>
        <v>0.10268733543599297</v>
      </c>
      <c r="BT94" s="2">
        <f t="shared" si="20"/>
        <v>0.10232598229674997</v>
      </c>
      <c r="BU94" s="2">
        <f t="shared" si="20"/>
        <v>0.1021055460473119</v>
      </c>
    </row>
    <row r="95" spans="1:73" x14ac:dyDescent="0.25">
      <c r="A95" t="s">
        <v>47</v>
      </c>
      <c r="B95" s="1" t="s">
        <v>5</v>
      </c>
      <c r="C95" t="s">
        <v>17</v>
      </c>
      <c r="D95" t="s">
        <v>17</v>
      </c>
      <c r="E95" s="97">
        <v>6.4594779999999998</v>
      </c>
      <c r="F95" s="5">
        <f t="shared" si="29"/>
        <v>1.5825721099999999E-2</v>
      </c>
      <c r="G95" s="1">
        <f>LOOKUP(RIGHT(D95,5),Ref!$C$4:$C$21,Ref!$E$4:$E$21)*$G$3</f>
        <v>3</v>
      </c>
      <c r="H95" s="36">
        <f t="shared" si="36"/>
        <v>6.4594779999999998</v>
      </c>
      <c r="I95" s="12">
        <f t="shared" si="36"/>
        <v>6.4594779999999998</v>
      </c>
      <c r="J95" s="12">
        <f t="shared" si="36"/>
        <v>6.4594779999999998</v>
      </c>
      <c r="K95" s="12">
        <f t="shared" si="36"/>
        <v>6.4594779999999998</v>
      </c>
      <c r="L95" s="12">
        <f t="shared" si="36"/>
        <v>6.4594779999999998</v>
      </c>
      <c r="M95" s="12">
        <f t="shared" si="33"/>
        <v>6.7658243844212826</v>
      </c>
      <c r="N95" s="12">
        <f t="shared" si="33"/>
        <v>6.9494822449672613</v>
      </c>
      <c r="O95" s="12">
        <f t="shared" si="33"/>
        <v>7.2294666523375835</v>
      </c>
      <c r="P95" s="12">
        <f t="shared" si="33"/>
        <v>7.6378516576656352</v>
      </c>
      <c r="Q95" s="12">
        <f t="shared" si="33"/>
        <v>8.1966991946282146</v>
      </c>
      <c r="R95" s="12">
        <f t="shared" si="33"/>
        <v>8.8981936442069074</v>
      </c>
      <c r="S95" s="12">
        <f t="shared" si="33"/>
        <v>9.6892169999999993</v>
      </c>
      <c r="T95" s="12">
        <f t="shared" si="33"/>
        <v>10.480240355793093</v>
      </c>
      <c r="U95" s="12">
        <f t="shared" si="33"/>
        <v>11.181734805371786</v>
      </c>
      <c r="V95" s="12">
        <f t="shared" si="33"/>
        <v>11.740582342334365</v>
      </c>
      <c r="W95" s="12">
        <f t="shared" si="33"/>
        <v>12.148967347662413</v>
      </c>
      <c r="X95" s="12">
        <f t="shared" si="33"/>
        <v>12.428951755032738</v>
      </c>
      <c r="Y95" s="12">
        <f t="shared" si="33"/>
        <v>12.612609615578718</v>
      </c>
      <c r="Z95" s="12">
        <f t="shared" si="33"/>
        <v>12.729614290330691</v>
      </c>
      <c r="AA95" s="12">
        <f t="shared" si="33"/>
        <v>12.802774472446488</v>
      </c>
      <c r="AB95" s="12">
        <f t="shared" si="33"/>
        <v>12.847986085790421</v>
      </c>
      <c r="AC95" s="12">
        <f t="shared" si="32"/>
        <v>12.875723676697303</v>
      </c>
      <c r="AD95" s="300">
        <f t="shared" si="39"/>
        <v>2.1276637374613334E-3</v>
      </c>
      <c r="AE95" s="299">
        <f t="shared" si="39"/>
        <v>2.1276637374613334E-3</v>
      </c>
      <c r="AF95" s="299">
        <f t="shared" si="39"/>
        <v>2.1276637374613334E-3</v>
      </c>
      <c r="AG95" s="299">
        <f t="shared" si="39"/>
        <v>2.1276637374613334E-3</v>
      </c>
      <c r="AH95" s="299">
        <f t="shared" si="39"/>
        <v>2.1276637374613334E-3</v>
      </c>
      <c r="AI95" s="299">
        <f t="shared" si="39"/>
        <v>2.0313263133424977E-3</v>
      </c>
      <c r="AJ95" s="299">
        <f t="shared" si="39"/>
        <v>1.9776433148645314E-3</v>
      </c>
      <c r="AK95" s="299">
        <f t="shared" si="39"/>
        <v>1.9010527006283915E-3</v>
      </c>
      <c r="AL95" s="299">
        <f t="shared" si="39"/>
        <v>1.7994061314002699E-3</v>
      </c>
      <c r="AM95" s="299">
        <f t="shared" si="39"/>
        <v>1.6767233708583887E-3</v>
      </c>
      <c r="AN95" s="299">
        <f t="shared" si="39"/>
        <v>1.5445378751087206E-3</v>
      </c>
      <c r="AO95" s="299">
        <f t="shared" si="37"/>
        <v>1.418442491640889E-3</v>
      </c>
      <c r="AP95" s="299">
        <f t="shared" si="37"/>
        <v>1.3113818611929357E-3</v>
      </c>
      <c r="AQ95" s="299">
        <f t="shared" si="37"/>
        <v>1.2291113447733294E-3</v>
      </c>
      <c r="AR95" s="299">
        <f t="shared" si="37"/>
        <v>1.1706060826278091E-3</v>
      </c>
      <c r="AS95" s="299">
        <f t="shared" si="37"/>
        <v>1.131256403135668E-3</v>
      </c>
      <c r="AT95" s="299">
        <f t="shared" si="34"/>
        <v>1.1057728257706202E-3</v>
      </c>
      <c r="AU95" s="299">
        <f t="shared" si="34"/>
        <v>1.0896711721382053E-3</v>
      </c>
      <c r="AV95" s="299">
        <f t="shared" si="34"/>
        <v>1.079655423178751E-3</v>
      </c>
      <c r="AW95" s="299">
        <f t="shared" si="19"/>
        <v>1.073485839581691E-3</v>
      </c>
      <c r="AX95" s="299">
        <f t="shared" si="19"/>
        <v>1.0697082804852478E-3</v>
      </c>
      <c r="AY95" s="299">
        <f t="shared" si="19"/>
        <v>1.0674038561733542E-3</v>
      </c>
      <c r="AZ95" s="306">
        <f t="shared" si="40"/>
        <v>0.11778701301966162</v>
      </c>
      <c r="BA95" s="2">
        <f t="shared" si="40"/>
        <v>0.11778701301966162</v>
      </c>
      <c r="BB95" s="2">
        <f t="shared" si="40"/>
        <v>0.11778701301966162</v>
      </c>
      <c r="BC95" s="2">
        <f t="shared" si="40"/>
        <v>0.11778701301966162</v>
      </c>
      <c r="BD95" s="2">
        <f t="shared" si="40"/>
        <v>0.11778701301966162</v>
      </c>
      <c r="BE95" s="2">
        <f t="shared" si="40"/>
        <v>0.11245379366306102</v>
      </c>
      <c r="BF95" s="2">
        <f t="shared" si="40"/>
        <v>0.10948191425875095</v>
      </c>
      <c r="BG95" s="2">
        <f t="shared" si="40"/>
        <v>0.10524187410702089</v>
      </c>
      <c r="BH95" s="2">
        <f t="shared" si="40"/>
        <v>9.9614741603760729E-2</v>
      </c>
      <c r="BI95" s="2">
        <f t="shared" si="40"/>
        <v>9.282305001321059E-2</v>
      </c>
      <c r="BJ95" s="2">
        <f t="shared" si="40"/>
        <v>8.5505289018019723E-2</v>
      </c>
      <c r="BK95" s="2">
        <f t="shared" si="38"/>
        <v>7.8524675346441086E-2</v>
      </c>
      <c r="BL95" s="2">
        <f t="shared" si="38"/>
        <v>7.2597821562904508E-2</v>
      </c>
      <c r="BM95" s="2">
        <f t="shared" si="38"/>
        <v>6.8043343231562206E-2</v>
      </c>
      <c r="BN95" s="2">
        <f t="shared" si="38"/>
        <v>6.4804504333891538E-2</v>
      </c>
      <c r="BO95" s="2">
        <f t="shared" si="38"/>
        <v>6.2626114427133742E-2</v>
      </c>
      <c r="BP95" s="2">
        <f t="shared" si="35"/>
        <v>6.1215348991771328E-2</v>
      </c>
      <c r="BQ95" s="2">
        <f t="shared" si="35"/>
        <v>6.0323964863421106E-2</v>
      </c>
      <c r="BR95" s="2">
        <f t="shared" si="35"/>
        <v>5.9769495126348604E-2</v>
      </c>
      <c r="BS95" s="2">
        <f t="shared" si="20"/>
        <v>5.9427948287589259E-2</v>
      </c>
      <c r="BT95" s="2">
        <f t="shared" si="20"/>
        <v>5.9218823417601013E-2</v>
      </c>
      <c r="BU95" s="2">
        <f t="shared" si="20"/>
        <v>5.9091250976689047E-2</v>
      </c>
    </row>
    <row r="96" spans="1:73" x14ac:dyDescent="0.25">
      <c r="A96" t="s">
        <v>47</v>
      </c>
      <c r="B96" s="1" t="s">
        <v>5</v>
      </c>
      <c r="C96" t="s">
        <v>18</v>
      </c>
      <c r="D96" t="s">
        <v>18</v>
      </c>
      <c r="E96" s="97">
        <v>6.6400800000000002</v>
      </c>
      <c r="F96" s="5">
        <f t="shared" si="29"/>
        <v>1.6268195999999999E-2</v>
      </c>
      <c r="G96" s="1">
        <f>LOOKUP(RIGHT(D96,5),Ref!$C$4:$C$21,Ref!$E$4:$E$21)*$G$3</f>
        <v>3</v>
      </c>
      <c r="H96" s="36">
        <f t="shared" si="36"/>
        <v>6.6400800000000002</v>
      </c>
      <c r="I96" s="12">
        <f t="shared" si="36"/>
        <v>6.6400800000000002</v>
      </c>
      <c r="J96" s="12">
        <f t="shared" si="36"/>
        <v>6.6400800000000002</v>
      </c>
      <c r="K96" s="12">
        <f t="shared" si="36"/>
        <v>6.6400800000000002</v>
      </c>
      <c r="L96" s="12">
        <f t="shared" si="36"/>
        <v>6.6400800000000002</v>
      </c>
      <c r="M96" s="12">
        <f t="shared" si="33"/>
        <v>6.9549915919688976</v>
      </c>
      <c r="N96" s="12">
        <f t="shared" si="33"/>
        <v>7.1437843839954587</v>
      </c>
      <c r="O96" s="12">
        <f t="shared" si="33"/>
        <v>7.4315969384606229</v>
      </c>
      <c r="P96" s="12">
        <f t="shared" si="33"/>
        <v>7.8514000721161112</v>
      </c>
      <c r="Q96" s="12">
        <f t="shared" si="33"/>
        <v>8.4258725532104783</v>
      </c>
      <c r="R96" s="12">
        <f t="shared" si="33"/>
        <v>9.1469802440731911</v>
      </c>
      <c r="S96" s="12">
        <f t="shared" si="33"/>
        <v>9.9601199999999999</v>
      </c>
      <c r="T96" s="12">
        <f t="shared" si="33"/>
        <v>10.77325975592681</v>
      </c>
      <c r="U96" s="12">
        <f t="shared" si="33"/>
        <v>11.494367446789523</v>
      </c>
      <c r="V96" s="12">
        <f t="shared" si="33"/>
        <v>12.068839927883889</v>
      </c>
      <c r="W96" s="12">
        <f t="shared" si="33"/>
        <v>12.488643061539376</v>
      </c>
      <c r="X96" s="12">
        <f t="shared" si="33"/>
        <v>12.776455616004542</v>
      </c>
      <c r="Y96" s="12">
        <f t="shared" si="33"/>
        <v>12.965248408031103</v>
      </c>
      <c r="Z96" s="12">
        <f t="shared" si="33"/>
        <v>13.085524442832535</v>
      </c>
      <c r="AA96" s="12">
        <f t="shared" si="33"/>
        <v>13.160730126954915</v>
      </c>
      <c r="AB96" s="12">
        <f t="shared" si="33"/>
        <v>13.207205821977452</v>
      </c>
      <c r="AC96" s="12">
        <f t="shared" si="32"/>
        <v>13.235718934434676</v>
      </c>
      <c r="AD96" s="300">
        <f t="shared" si="39"/>
        <v>2.0697939036170136E-3</v>
      </c>
      <c r="AE96" s="299">
        <f t="shared" si="39"/>
        <v>2.0697939036170136E-3</v>
      </c>
      <c r="AF96" s="299">
        <f t="shared" si="39"/>
        <v>2.0697939036170136E-3</v>
      </c>
      <c r="AG96" s="299">
        <f t="shared" si="39"/>
        <v>2.0697939036170136E-3</v>
      </c>
      <c r="AH96" s="299">
        <f t="shared" si="39"/>
        <v>2.0697939036170136E-3</v>
      </c>
      <c r="AI96" s="299">
        <f t="shared" si="39"/>
        <v>1.9760767388129316E-3</v>
      </c>
      <c r="AJ96" s="299">
        <f t="shared" si="39"/>
        <v>1.9238538517931277E-3</v>
      </c>
      <c r="AK96" s="299">
        <f t="shared" si="39"/>
        <v>1.8493464079573859E-3</v>
      </c>
      <c r="AL96" s="299">
        <f t="shared" si="39"/>
        <v>1.750464500253785E-3</v>
      </c>
      <c r="AM96" s="299">
        <f t="shared" si="39"/>
        <v>1.631118559738076E-3</v>
      </c>
      <c r="AN96" s="299">
        <f t="shared" si="39"/>
        <v>1.5025283467114141E-3</v>
      </c>
      <c r="AO96" s="299">
        <f t="shared" si="37"/>
        <v>1.3798626024113423E-3</v>
      </c>
      <c r="AP96" s="299">
        <f t="shared" si="37"/>
        <v>1.2757138892866985E-3</v>
      </c>
      <c r="AQ96" s="299">
        <f t="shared" si="37"/>
        <v>1.1956810296131577E-3</v>
      </c>
      <c r="AR96" s="299">
        <f t="shared" si="37"/>
        <v>1.138767038559854E-3</v>
      </c>
      <c r="AS96" s="299">
        <f t="shared" si="37"/>
        <v>1.100487621898227E-3</v>
      </c>
      <c r="AT96" s="299">
        <f t="shared" si="34"/>
        <v>1.0756971664593127E-3</v>
      </c>
      <c r="AU96" s="299">
        <f t="shared" si="34"/>
        <v>1.060033457979565E-3</v>
      </c>
      <c r="AV96" s="299">
        <f t="shared" si="34"/>
        <v>1.0502901250593114E-3</v>
      </c>
      <c r="AW96" s="299">
        <f t="shared" si="19"/>
        <v>1.0442883465394185E-3</v>
      </c>
      <c r="AX96" s="299">
        <f t="shared" si="19"/>
        <v>1.0406135323990503E-3</v>
      </c>
      <c r="AY96" s="299">
        <f t="shared" si="19"/>
        <v>1.0383717855909787E-3</v>
      </c>
      <c r="AZ96" s="306">
        <f t="shared" si="40"/>
        <v>0.11458335129790873</v>
      </c>
      <c r="BA96" s="2">
        <f t="shared" si="40"/>
        <v>0.11458335129790873</v>
      </c>
      <c r="BB96" s="2">
        <f t="shared" si="40"/>
        <v>0.11458335129790873</v>
      </c>
      <c r="BC96" s="2">
        <f t="shared" si="40"/>
        <v>0.11458335129790873</v>
      </c>
      <c r="BD96" s="2">
        <f t="shared" si="40"/>
        <v>0.11458335129790873</v>
      </c>
      <c r="BE96" s="2">
        <f t="shared" si="40"/>
        <v>0.10939518894095886</v>
      </c>
      <c r="BF96" s="2">
        <f t="shared" si="40"/>
        <v>0.1065041409971398</v>
      </c>
      <c r="BG96" s="2">
        <f t="shared" si="40"/>
        <v>0.10237942471673098</v>
      </c>
      <c r="BH96" s="2">
        <f t="shared" si="40"/>
        <v>9.690534328881234E-2</v>
      </c>
      <c r="BI96" s="2">
        <f t="shared" si="40"/>
        <v>9.0298377346844247E-2</v>
      </c>
      <c r="BJ96" s="2">
        <f t="shared" si="40"/>
        <v>8.3179650440286856E-2</v>
      </c>
      <c r="BK96" s="2">
        <f t="shared" si="38"/>
        <v>7.6388900865272488E-2</v>
      </c>
      <c r="BL96" s="2">
        <f t="shared" si="38"/>
        <v>7.0623250206851007E-2</v>
      </c>
      <c r="BM96" s="2">
        <f t="shared" si="38"/>
        <v>6.6192648078144373E-2</v>
      </c>
      <c r="BN96" s="2">
        <f t="shared" si="38"/>
        <v>6.3041901610474127E-2</v>
      </c>
      <c r="BO96" s="2">
        <f t="shared" si="38"/>
        <v>6.092276122690584E-2</v>
      </c>
      <c r="BP96" s="2">
        <f t="shared" si="35"/>
        <v>5.9550366874295046E-2</v>
      </c>
      <c r="BQ96" s="2">
        <f t="shared" si="35"/>
        <v>5.868322729666535E-2</v>
      </c>
      <c r="BR96" s="2">
        <f t="shared" si="35"/>
        <v>5.8143838453716824E-2</v>
      </c>
      <c r="BS96" s="2">
        <f t="shared" si="20"/>
        <v>5.7811581268421536E-2</v>
      </c>
      <c r="BT96" s="2">
        <f t="shared" si="20"/>
        <v>5.7608144337399331E-2</v>
      </c>
      <c r="BU96" s="2">
        <f t="shared" si="20"/>
        <v>5.7484041709798886E-2</v>
      </c>
    </row>
    <row r="97" spans="1:73" x14ac:dyDescent="0.25">
      <c r="A97" t="s">
        <v>47</v>
      </c>
      <c r="B97" s="1" t="s">
        <v>5</v>
      </c>
      <c r="C97" t="s">
        <v>10</v>
      </c>
      <c r="D97" t="s">
        <v>10</v>
      </c>
      <c r="E97" s="97">
        <v>6.9013105000000001</v>
      </c>
      <c r="F97" s="5">
        <f t="shared" si="29"/>
        <v>1.6908210725000001E-2</v>
      </c>
      <c r="G97" s="1">
        <f>LOOKUP(RIGHT(D97,5),Ref!$C$4:$C$21,Ref!$E$4:$E$21)*$G$3</f>
        <v>4.5</v>
      </c>
      <c r="H97" s="36">
        <f t="shared" si="36"/>
        <v>6.9013105000000001</v>
      </c>
      <c r="I97" s="12">
        <f t="shared" si="36"/>
        <v>6.9013105000000001</v>
      </c>
      <c r="J97" s="12">
        <f t="shared" si="36"/>
        <v>6.9013105000000001</v>
      </c>
      <c r="K97" s="12">
        <f t="shared" si="36"/>
        <v>6.9013105000000001</v>
      </c>
      <c r="L97" s="12">
        <f t="shared" si="36"/>
        <v>6.9013105000000001</v>
      </c>
      <c r="M97" s="12">
        <f t="shared" si="33"/>
        <v>7.2286111765320102</v>
      </c>
      <c r="N97" s="12">
        <f t="shared" si="33"/>
        <v>7.4248313542914977</v>
      </c>
      <c r="O97" s="12">
        <f t="shared" si="33"/>
        <v>7.7239668773819217</v>
      </c>
      <c r="P97" s="12">
        <f t="shared" si="33"/>
        <v>8.1602856829128072</v>
      </c>
      <c r="Q97" s="12">
        <f t="shared" si="33"/>
        <v>8.7573587551856722</v>
      </c>
      <c r="R97" s="12">
        <f t="shared" si="33"/>
        <v>9.5068358817536645</v>
      </c>
      <c r="S97" s="12">
        <f t="shared" si="33"/>
        <v>10.35196575</v>
      </c>
      <c r="T97" s="12">
        <f t="shared" si="33"/>
        <v>11.197095618246337</v>
      </c>
      <c r="U97" s="12">
        <f t="shared" si="33"/>
        <v>11.946572744814327</v>
      </c>
      <c r="V97" s="12">
        <f t="shared" si="33"/>
        <v>12.543645817087194</v>
      </c>
      <c r="W97" s="12">
        <f t="shared" si="33"/>
        <v>12.979964622618077</v>
      </c>
      <c r="X97" s="12">
        <f t="shared" si="33"/>
        <v>13.279100145708503</v>
      </c>
      <c r="Y97" s="12">
        <f t="shared" si="33"/>
        <v>13.47532032346799</v>
      </c>
      <c r="Z97" s="12">
        <f t="shared" si="33"/>
        <v>13.600328194137242</v>
      </c>
      <c r="AA97" s="12">
        <f t="shared" si="33"/>
        <v>13.678492580333414</v>
      </c>
      <c r="AB97" s="12">
        <f t="shared" si="33"/>
        <v>13.726796697460591</v>
      </c>
      <c r="AC97" s="12">
        <f t="shared" si="32"/>
        <v>13.756431557641299</v>
      </c>
      <c r="AD97" s="300">
        <f t="shared" si="39"/>
        <v>1.9914474364730087E-3</v>
      </c>
      <c r="AE97" s="299">
        <f t="shared" si="39"/>
        <v>1.9914474364730087E-3</v>
      </c>
      <c r="AF97" s="299">
        <f t="shared" si="39"/>
        <v>1.9914474364730087E-3</v>
      </c>
      <c r="AG97" s="299">
        <f t="shared" si="39"/>
        <v>1.9914474364730087E-3</v>
      </c>
      <c r="AH97" s="299">
        <f t="shared" si="39"/>
        <v>1.9914474364730087E-3</v>
      </c>
      <c r="AI97" s="299">
        <f t="shared" si="39"/>
        <v>1.9012776822397675E-3</v>
      </c>
      <c r="AJ97" s="299">
        <f t="shared" si="39"/>
        <v>1.8510315517921579E-3</v>
      </c>
      <c r="AK97" s="299">
        <f t="shared" si="39"/>
        <v>1.7793443863378816E-3</v>
      </c>
      <c r="AL97" s="299">
        <f t="shared" si="39"/>
        <v>1.6842053866211574E-3</v>
      </c>
      <c r="AM97" s="299">
        <f t="shared" si="39"/>
        <v>1.5693769648743676E-3</v>
      </c>
      <c r="AN97" s="299">
        <f t="shared" si="39"/>
        <v>1.4456541876258905E-3</v>
      </c>
      <c r="AO97" s="299">
        <f t="shared" si="37"/>
        <v>1.3276316243153393E-3</v>
      </c>
      <c r="AP97" s="299">
        <f t="shared" si="37"/>
        <v>1.2274251798951548E-3</v>
      </c>
      <c r="AQ97" s="299">
        <f t="shared" si="37"/>
        <v>1.1504217483206613E-3</v>
      </c>
      <c r="AR97" s="299">
        <f t="shared" si="37"/>
        <v>1.0956620829334538E-3</v>
      </c>
      <c r="AS97" s="299">
        <f t="shared" si="37"/>
        <v>1.0588316303713589E-3</v>
      </c>
      <c r="AT97" s="299">
        <f t="shared" si="34"/>
        <v>1.0349795507770812E-3</v>
      </c>
      <c r="AU97" s="299">
        <f t="shared" si="34"/>
        <v>1.0199087497455663E-3</v>
      </c>
      <c r="AV97" s="299">
        <f t="shared" si="34"/>
        <v>1.0105342244206854E-3</v>
      </c>
      <c r="AW97" s="299">
        <f t="shared" si="19"/>
        <v>1.0047596270432205E-3</v>
      </c>
      <c r="AX97" s="299">
        <f t="shared" si="19"/>
        <v>1.0012239130832161E-3</v>
      </c>
      <c r="AY97" s="299">
        <f t="shared" si="19"/>
        <v>9.9906702155582567E-4</v>
      </c>
      <c r="AZ97" s="306">
        <f t="shared" si="40"/>
        <v>0.11024610750178793</v>
      </c>
      <c r="BA97" s="2">
        <f t="shared" si="40"/>
        <v>0.11024610750178793</v>
      </c>
      <c r="BB97" s="2">
        <f t="shared" si="40"/>
        <v>0.11024610750178793</v>
      </c>
      <c r="BC97" s="2">
        <f t="shared" si="40"/>
        <v>0.11024610750178793</v>
      </c>
      <c r="BD97" s="2">
        <f t="shared" si="40"/>
        <v>0.11024610750178793</v>
      </c>
      <c r="BE97" s="2">
        <f t="shared" si="40"/>
        <v>0.10525432904128601</v>
      </c>
      <c r="BF97" s="2">
        <f t="shared" si="40"/>
        <v>0.10247271392183964</v>
      </c>
      <c r="BG97" s="2">
        <f t="shared" si="40"/>
        <v>9.8504127654171048E-2</v>
      </c>
      <c r="BH97" s="2">
        <f t="shared" si="40"/>
        <v>9.3237252818167957E-2</v>
      </c>
      <c r="BI97" s="2">
        <f t="shared" si="40"/>
        <v>8.6880375756638345E-2</v>
      </c>
      <c r="BJ97" s="2">
        <f t="shared" si="40"/>
        <v>8.0031109061900627E-2</v>
      </c>
      <c r="BK97" s="2">
        <f t="shared" si="38"/>
        <v>7.3497405001191951E-2</v>
      </c>
      <c r="BL97" s="2">
        <f t="shared" si="38"/>
        <v>6.7949997501707424E-2</v>
      </c>
      <c r="BM97" s="2">
        <f t="shared" si="38"/>
        <v>6.3687103869725162E-2</v>
      </c>
      <c r="BN97" s="2">
        <f t="shared" si="38"/>
        <v>6.0655620413786193E-2</v>
      </c>
      <c r="BO97" s="2">
        <f t="shared" si="38"/>
        <v>5.86166943753006E-2</v>
      </c>
      <c r="BP97" s="2">
        <f t="shared" si="35"/>
        <v>5.72962483103273E-2</v>
      </c>
      <c r="BQ97" s="2">
        <f t="shared" si="35"/>
        <v>5.646193196321795E-2</v>
      </c>
      <c r="BR97" s="2">
        <f t="shared" si="35"/>
        <v>5.5942960230488982E-2</v>
      </c>
      <c r="BS97" s="2">
        <f t="shared" si="20"/>
        <v>5.5623279745031104E-2</v>
      </c>
      <c r="BT97" s="2">
        <f t="shared" si="20"/>
        <v>5.5427543370477034E-2</v>
      </c>
      <c r="BU97" s="2">
        <f t="shared" si="20"/>
        <v>5.5308138313208972E-2</v>
      </c>
    </row>
    <row r="98" spans="1:73" x14ac:dyDescent="0.25">
      <c r="A98" t="s">
        <v>47</v>
      </c>
      <c r="B98" s="1" t="s">
        <v>5</v>
      </c>
      <c r="C98" t="s">
        <v>11</v>
      </c>
      <c r="D98" t="s">
        <v>11</v>
      </c>
      <c r="E98" s="97">
        <v>6.91967</v>
      </c>
      <c r="F98" s="5">
        <f t="shared" si="29"/>
        <v>1.6953191499999999E-2</v>
      </c>
      <c r="G98" s="1">
        <f>LOOKUP(RIGHT(D98,5),Ref!$C$4:$C$21,Ref!$E$4:$E$21)*$G$3</f>
        <v>4.5</v>
      </c>
      <c r="H98" s="36">
        <f t="shared" si="36"/>
        <v>6.91967</v>
      </c>
      <c r="I98" s="12">
        <f t="shared" si="36"/>
        <v>6.91967</v>
      </c>
      <c r="J98" s="12">
        <f t="shared" si="36"/>
        <v>6.91967</v>
      </c>
      <c r="K98" s="12">
        <f t="shared" si="36"/>
        <v>6.91967</v>
      </c>
      <c r="L98" s="12">
        <f t="shared" si="36"/>
        <v>6.91967</v>
      </c>
      <c r="M98" s="12">
        <f t="shared" si="33"/>
        <v>7.2478413918506135</v>
      </c>
      <c r="N98" s="12">
        <f t="shared" si="33"/>
        <v>7.4445835725475975</v>
      </c>
      <c r="O98" s="12">
        <f t="shared" si="33"/>
        <v>7.7445148834287867</v>
      </c>
      <c r="P98" s="12">
        <f t="shared" si="33"/>
        <v>8.1819944243171303</v>
      </c>
      <c r="Q98" s="12">
        <f t="shared" si="33"/>
        <v>8.7806558852113152</v>
      </c>
      <c r="R98" s="12">
        <f t="shared" si="33"/>
        <v>9.5321268396624639</v>
      </c>
      <c r="S98" s="12">
        <f t="shared" si="33"/>
        <v>10.379505</v>
      </c>
      <c r="T98" s="12">
        <f t="shared" si="33"/>
        <v>11.226883160337536</v>
      </c>
      <c r="U98" s="12">
        <f t="shared" si="33"/>
        <v>11.978354114788685</v>
      </c>
      <c r="V98" s="12">
        <f t="shared" si="33"/>
        <v>12.57701557568287</v>
      </c>
      <c r="W98" s="12">
        <f t="shared" si="33"/>
        <v>13.014495116571211</v>
      </c>
      <c r="X98" s="12">
        <f t="shared" si="33"/>
        <v>13.314426427452402</v>
      </c>
      <c r="Y98" s="12">
        <f t="shared" si="33"/>
        <v>13.511168608149386</v>
      </c>
      <c r="Z98" s="12">
        <f t="shared" si="33"/>
        <v>13.636509036236763</v>
      </c>
      <c r="AA98" s="12">
        <f t="shared" si="33"/>
        <v>13.714881362511614</v>
      </c>
      <c r="AB98" s="12">
        <f t="shared" si="33"/>
        <v>13.763313982687365</v>
      </c>
      <c r="AC98" s="12">
        <f t="shared" si="32"/>
        <v>13.793027680244755</v>
      </c>
      <c r="AD98" s="300">
        <f t="shared" si="39"/>
        <v>1.9861636614938662E-3</v>
      </c>
      <c r="AE98" s="299">
        <f t="shared" si="39"/>
        <v>1.9861636614938662E-3</v>
      </c>
      <c r="AF98" s="299">
        <f t="shared" si="39"/>
        <v>1.9861636614938662E-3</v>
      </c>
      <c r="AG98" s="299">
        <f t="shared" si="39"/>
        <v>1.9861636614938662E-3</v>
      </c>
      <c r="AH98" s="299">
        <f t="shared" si="39"/>
        <v>1.9861636614938662E-3</v>
      </c>
      <c r="AI98" s="299">
        <f t="shared" si="39"/>
        <v>1.896233148669947E-3</v>
      </c>
      <c r="AJ98" s="299">
        <f t="shared" si="39"/>
        <v>1.8461203329370494E-3</v>
      </c>
      <c r="AK98" s="299">
        <f t="shared" si="39"/>
        <v>1.774623370269056E-3</v>
      </c>
      <c r="AL98" s="299">
        <f t="shared" si="39"/>
        <v>1.679736796530059E-3</v>
      </c>
      <c r="AM98" s="299">
        <f t="shared" si="39"/>
        <v>1.5652130413944022E-3</v>
      </c>
      <c r="AN98" s="299">
        <f t="shared" si="39"/>
        <v>1.4418185295587112E-3</v>
      </c>
      <c r="AO98" s="299">
        <f t="shared" si="37"/>
        <v>1.3241091076625774E-3</v>
      </c>
      <c r="AP98" s="299">
        <f t="shared" si="37"/>
        <v>1.2241685343339814E-3</v>
      </c>
      <c r="AQ98" s="299">
        <f t="shared" si="37"/>
        <v>1.1473694108409414E-3</v>
      </c>
      <c r="AR98" s="299">
        <f t="shared" si="37"/>
        <v>1.0927550356303864E-3</v>
      </c>
      <c r="AS98" s="299">
        <f t="shared" si="37"/>
        <v>1.0560223028575032E-3</v>
      </c>
      <c r="AT98" s="299">
        <f t="shared" si="34"/>
        <v>1.0322335083989777E-3</v>
      </c>
      <c r="AU98" s="299">
        <f t="shared" si="34"/>
        <v>1.0172026937210806E-3</v>
      </c>
      <c r="AV98" s="299">
        <f t="shared" si="34"/>
        <v>1.0078530412004954E-3</v>
      </c>
      <c r="AW98" s="299">
        <f t="shared" si="19"/>
        <v>1.0020937651780304E-3</v>
      </c>
      <c r="AX98" s="299">
        <f t="shared" si="19"/>
        <v>9.9856743229262174E-4</v>
      </c>
      <c r="AY98" s="299">
        <f t="shared" si="19"/>
        <v>9.9641626350200881E-4</v>
      </c>
      <c r="AZ98" s="306">
        <f t="shared" si="40"/>
        <v>0.10995359884014957</v>
      </c>
      <c r="BA98" s="2">
        <f t="shared" si="40"/>
        <v>0.10995359884014957</v>
      </c>
      <c r="BB98" s="2">
        <f t="shared" si="40"/>
        <v>0.10995359884014957</v>
      </c>
      <c r="BC98" s="2">
        <f t="shared" si="40"/>
        <v>0.10995359884014957</v>
      </c>
      <c r="BD98" s="2">
        <f t="shared" si="40"/>
        <v>0.10995359884014957</v>
      </c>
      <c r="BE98" s="2">
        <f t="shared" si="40"/>
        <v>0.10497506473330116</v>
      </c>
      <c r="BF98" s="2">
        <f t="shared" si="40"/>
        <v>0.10220082988817213</v>
      </c>
      <c r="BG98" s="2">
        <f t="shared" si="40"/>
        <v>9.8242773206391493E-2</v>
      </c>
      <c r="BH98" s="2">
        <f t="shared" si="40"/>
        <v>9.2989872618951058E-2</v>
      </c>
      <c r="BI98" s="2">
        <f t="shared" si="40"/>
        <v>8.6649861836364098E-2</v>
      </c>
      <c r="BJ98" s="2">
        <f t="shared" si="40"/>
        <v>7.9818767845220934E-2</v>
      </c>
      <c r="BK98" s="2">
        <f t="shared" si="38"/>
        <v>7.3302399226766374E-2</v>
      </c>
      <c r="BL98" s="2">
        <f t="shared" si="38"/>
        <v>6.776971029449487E-2</v>
      </c>
      <c r="BM98" s="2">
        <f t="shared" si="38"/>
        <v>6.3518127114548087E-2</v>
      </c>
      <c r="BN98" s="2">
        <f t="shared" si="38"/>
        <v>6.0494686891958291E-2</v>
      </c>
      <c r="BO98" s="2">
        <f t="shared" si="38"/>
        <v>5.8461170600267495E-2</v>
      </c>
      <c r="BP98" s="2">
        <f t="shared" si="35"/>
        <v>5.7144227986980461E-2</v>
      </c>
      <c r="BQ98" s="2">
        <f t="shared" si="35"/>
        <v>5.6312125275922359E-2</v>
      </c>
      <c r="BR98" s="2">
        <f t="shared" si="35"/>
        <v>5.5794530496361246E-2</v>
      </c>
      <c r="BS98" s="2">
        <f t="shared" si="20"/>
        <v>5.5475698197864999E-2</v>
      </c>
      <c r="BT98" s="2">
        <f t="shared" si="20"/>
        <v>5.5280481157609904E-2</v>
      </c>
      <c r="BU98" s="2">
        <f t="shared" si="20"/>
        <v>5.5161392909835495E-2</v>
      </c>
    </row>
    <row r="99" spans="1:73" x14ac:dyDescent="0.25">
      <c r="A99" t="s">
        <v>28</v>
      </c>
      <c r="B99" s="1" t="s">
        <v>5</v>
      </c>
      <c r="C99" t="s">
        <v>9</v>
      </c>
      <c r="D99" t="s">
        <v>9</v>
      </c>
      <c r="E99" s="97">
        <v>4.7701849999999997</v>
      </c>
      <c r="F99" s="5">
        <f t="shared" si="29"/>
        <v>1.1686953249999998E-2</v>
      </c>
      <c r="G99" s="1">
        <f>LOOKUP(RIGHT(D99,5),Ref!$C$4:$C$21,Ref!$E$4:$E$21)*$G$3</f>
        <v>4.5</v>
      </c>
      <c r="H99" s="36">
        <f t="shared" si="36"/>
        <v>4.7701849999999997</v>
      </c>
      <c r="I99" s="12">
        <f t="shared" si="36"/>
        <v>4.7701849999999997</v>
      </c>
      <c r="J99" s="12">
        <f t="shared" si="36"/>
        <v>4.7701849999999997</v>
      </c>
      <c r="K99" s="12">
        <f t="shared" si="36"/>
        <v>4.7701849999999997</v>
      </c>
      <c r="L99" s="12">
        <f t="shared" si="36"/>
        <v>4.7701849999999997</v>
      </c>
      <c r="M99" s="12">
        <f t="shared" si="33"/>
        <v>4.9964151888435309</v>
      </c>
      <c r="N99" s="12">
        <f t="shared" si="33"/>
        <v>5.1320425524646351</v>
      </c>
      <c r="O99" s="12">
        <f t="shared" si="33"/>
        <v>5.3388049905860742</v>
      </c>
      <c r="P99" s="12">
        <f t="shared" si="33"/>
        <v>5.6403884972782237</v>
      </c>
      <c r="Q99" s="12">
        <f t="shared" si="33"/>
        <v>6.0530853340978306</v>
      </c>
      <c r="R99" s="12">
        <f t="shared" si="33"/>
        <v>6.5711238351908809</v>
      </c>
      <c r="S99" s="12">
        <f t="shared" si="33"/>
        <v>7.1552774999999995</v>
      </c>
      <c r="T99" s="12">
        <f t="shared" si="33"/>
        <v>7.7394311648091181</v>
      </c>
      <c r="U99" s="12">
        <f t="shared" si="33"/>
        <v>8.2574696659021694</v>
      </c>
      <c r="V99" s="12">
        <f t="shared" si="33"/>
        <v>8.6701665027217754</v>
      </c>
      <c r="W99" s="12">
        <f t="shared" si="33"/>
        <v>8.971750009413924</v>
      </c>
      <c r="X99" s="12">
        <f t="shared" si="33"/>
        <v>9.1785124475353648</v>
      </c>
      <c r="Y99" s="12">
        <f t="shared" si="33"/>
        <v>9.3141398111564673</v>
      </c>
      <c r="Z99" s="12">
        <f t="shared" si="33"/>
        <v>9.4005452365533415</v>
      </c>
      <c r="AA99" s="12">
        <f t="shared" si="33"/>
        <v>9.4545724510319804</v>
      </c>
      <c r="AB99" s="12">
        <f t="shared" si="33"/>
        <v>9.4879602510676833</v>
      </c>
      <c r="AC99" s="12">
        <f t="shared" si="32"/>
        <v>9.5084438629137402</v>
      </c>
      <c r="AD99" s="300">
        <f t="shared" si="39"/>
        <v>2.8811455118678332E-3</v>
      </c>
      <c r="AE99" s="299">
        <f t="shared" si="39"/>
        <v>2.8811455118678332E-3</v>
      </c>
      <c r="AF99" s="299">
        <f t="shared" si="39"/>
        <v>2.8811455118678332E-3</v>
      </c>
      <c r="AG99" s="299">
        <f t="shared" si="39"/>
        <v>2.8811455118678332E-3</v>
      </c>
      <c r="AH99" s="299">
        <f t="shared" si="39"/>
        <v>2.8811455118678332E-3</v>
      </c>
      <c r="AI99" s="299">
        <f t="shared" si="39"/>
        <v>2.7506915626662222E-3</v>
      </c>
      <c r="AJ99" s="299">
        <f t="shared" si="39"/>
        <v>2.677997495739581E-3</v>
      </c>
      <c r="AK99" s="299">
        <f t="shared" si="39"/>
        <v>2.5742834075721762E-3</v>
      </c>
      <c r="AL99" s="299">
        <f t="shared" si="39"/>
        <v>2.4366401552235717E-3</v>
      </c>
      <c r="AM99" s="299">
        <f t="shared" si="39"/>
        <v>2.2705110443610897E-3</v>
      </c>
      <c r="AN99" s="299">
        <f t="shared" si="39"/>
        <v>2.0915139401158508E-3</v>
      </c>
      <c r="AO99" s="299">
        <f t="shared" si="37"/>
        <v>1.9207636745785556E-3</v>
      </c>
      <c r="AP99" s="299">
        <f t="shared" si="37"/>
        <v>1.7757890484278538E-3</v>
      </c>
      <c r="AQ99" s="299">
        <f t="shared" si="37"/>
        <v>1.6643836017080547E-3</v>
      </c>
      <c r="AR99" s="299">
        <f t="shared" si="37"/>
        <v>1.5851595351963324E-3</v>
      </c>
      <c r="AS99" s="299">
        <f t="shared" si="37"/>
        <v>1.5318747277965066E-3</v>
      </c>
      <c r="AT99" s="299">
        <f t="shared" si="34"/>
        <v>1.4973665048762582E-3</v>
      </c>
      <c r="AU99" s="299">
        <f t="shared" si="34"/>
        <v>1.4755626802023299E-3</v>
      </c>
      <c r="AV99" s="299">
        <f t="shared" si="34"/>
        <v>1.4619999965627818E-3</v>
      </c>
      <c r="AW99" s="299">
        <f t="shared" si="19"/>
        <v>1.453645542906504E-3</v>
      </c>
      <c r="AX99" s="299">
        <f t="shared" si="19"/>
        <v>1.448530215120019E-3</v>
      </c>
      <c r="AY99" s="299">
        <f t="shared" si="19"/>
        <v>1.4454097117967009E-3</v>
      </c>
      <c r="AZ99" s="306">
        <f t="shared" si="40"/>
        <v>0.15949960416340619</v>
      </c>
      <c r="BA99" s="2">
        <f t="shared" si="40"/>
        <v>0.15949960416340619</v>
      </c>
      <c r="BB99" s="2">
        <f t="shared" si="40"/>
        <v>0.15949960416340619</v>
      </c>
      <c r="BC99" s="2">
        <f t="shared" si="40"/>
        <v>0.15949960416340619</v>
      </c>
      <c r="BD99" s="2">
        <f t="shared" si="40"/>
        <v>0.15949960416340619</v>
      </c>
      <c r="BE99" s="2">
        <f t="shared" si="40"/>
        <v>0.15227770121768489</v>
      </c>
      <c r="BF99" s="2">
        <f t="shared" si="40"/>
        <v>0.14825337309816874</v>
      </c>
      <c r="BG99" s="2">
        <f t="shared" si="40"/>
        <v>0.14251178318515345</v>
      </c>
      <c r="BH99" s="2">
        <f t="shared" si="40"/>
        <v>0.13489188194277102</v>
      </c>
      <c r="BI99" s="2">
        <f t="shared" si="40"/>
        <v>0.1256950096177053</v>
      </c>
      <c r="BJ99" s="2">
        <f t="shared" si="40"/>
        <v>0.11578576790953392</v>
      </c>
      <c r="BK99" s="2">
        <f t="shared" si="38"/>
        <v>0.10633306944227081</v>
      </c>
      <c r="BL99" s="2">
        <f t="shared" si="38"/>
        <v>9.8307304901907852E-2</v>
      </c>
      <c r="BM99" s="2">
        <f t="shared" si="38"/>
        <v>9.2139923011523642E-2</v>
      </c>
      <c r="BN99" s="2">
        <f t="shared" si="38"/>
        <v>8.7754095500630902E-2</v>
      </c>
      <c r="BO99" s="2">
        <f t="shared" si="38"/>
        <v>8.4804259869911316E-2</v>
      </c>
      <c r="BP99" s="2">
        <f t="shared" si="35"/>
        <v>8.2893891971625638E-2</v>
      </c>
      <c r="BQ99" s="2">
        <f t="shared" si="35"/>
        <v>8.1686836864407086E-2</v>
      </c>
      <c r="BR99" s="2">
        <f t="shared" si="35"/>
        <v>8.0936009576097367E-2</v>
      </c>
      <c r="BS99" s="2">
        <f t="shared" si="20"/>
        <v>8.0473508794485005E-2</v>
      </c>
      <c r="BT99" s="2">
        <f t="shared" si="20"/>
        <v>8.0190325333688015E-2</v>
      </c>
      <c r="BU99" s="2">
        <f t="shared" si="20"/>
        <v>8.0017574931874003E-2</v>
      </c>
    </row>
    <row r="100" spans="1:73" x14ac:dyDescent="0.25">
      <c r="A100" t="s">
        <v>29</v>
      </c>
      <c r="B100" s="1" t="s">
        <v>5</v>
      </c>
      <c r="C100" t="s">
        <v>7</v>
      </c>
      <c r="D100" t="s">
        <v>7</v>
      </c>
      <c r="E100" s="97">
        <v>5.9189860000000003</v>
      </c>
      <c r="F100" s="5">
        <f t="shared" si="29"/>
        <v>1.45015157E-2</v>
      </c>
      <c r="G100" s="1">
        <f>LOOKUP(RIGHT(D100,5),Ref!$C$4:$C$21,Ref!$E$4:$E$21)*$G$3</f>
        <v>3.5</v>
      </c>
      <c r="H100" s="36">
        <f t="shared" si="36"/>
        <v>5.9189860000000003</v>
      </c>
      <c r="I100" s="12">
        <f t="shared" si="36"/>
        <v>5.9189860000000003</v>
      </c>
      <c r="J100" s="12">
        <f t="shared" si="36"/>
        <v>5.9189860000000003</v>
      </c>
      <c r="K100" s="12">
        <f t="shared" si="36"/>
        <v>5.9189860000000003</v>
      </c>
      <c r="L100" s="12">
        <f t="shared" si="36"/>
        <v>5.9189860000000003</v>
      </c>
      <c r="M100" s="12">
        <f t="shared" si="33"/>
        <v>6.1996990793757938</v>
      </c>
      <c r="N100" s="12">
        <f t="shared" si="33"/>
        <v>6.3679895055312201</v>
      </c>
      <c r="O100" s="12">
        <f t="shared" si="33"/>
        <v>6.6245464266080063</v>
      </c>
      <c r="P100" s="12">
        <f t="shared" si="33"/>
        <v>6.9987601214524906</v>
      </c>
      <c r="Q100" s="12">
        <f t="shared" si="33"/>
        <v>7.5108465079091031</v>
      </c>
      <c r="R100" s="12">
        <f t="shared" si="33"/>
        <v>8.15364393304686</v>
      </c>
      <c r="S100" s="12">
        <f t="shared" si="33"/>
        <v>8.8784790000000005</v>
      </c>
      <c r="T100" s="12">
        <f t="shared" si="33"/>
        <v>9.6033140669531409</v>
      </c>
      <c r="U100" s="12">
        <f t="shared" si="33"/>
        <v>10.246111492090899</v>
      </c>
      <c r="V100" s="12">
        <f t="shared" si="33"/>
        <v>10.758197878547511</v>
      </c>
      <c r="W100" s="12">
        <f t="shared" si="33"/>
        <v>11.132411573391993</v>
      </c>
      <c r="X100" s="12">
        <f t="shared" si="33"/>
        <v>11.388968494468781</v>
      </c>
      <c r="Y100" s="12">
        <f t="shared" si="33"/>
        <v>11.557258920624207</v>
      </c>
      <c r="Z100" s="12">
        <f t="shared" si="33"/>
        <v>11.664473316553954</v>
      </c>
      <c r="AA100" s="12">
        <f t="shared" si="33"/>
        <v>11.731511875041321</v>
      </c>
      <c r="AB100" s="12">
        <f t="shared" ref="AB100:AC115" si="41">AB$3*$E100</f>
        <v>11.772940440386717</v>
      </c>
      <c r="AC100" s="12">
        <f t="shared" si="41"/>
        <v>11.798357109079072</v>
      </c>
      <c r="AD100" s="300">
        <f t="shared" si="39"/>
        <v>2.3219512773858999E-3</v>
      </c>
      <c r="AE100" s="299">
        <f t="shared" si="39"/>
        <v>2.3219512773858999E-3</v>
      </c>
      <c r="AF100" s="299">
        <f t="shared" si="39"/>
        <v>2.3219512773858999E-3</v>
      </c>
      <c r="AG100" s="299">
        <f t="shared" si="39"/>
        <v>2.3219512773858999E-3</v>
      </c>
      <c r="AH100" s="299">
        <f t="shared" si="39"/>
        <v>2.3219512773858999E-3</v>
      </c>
      <c r="AI100" s="299">
        <f t="shared" si="39"/>
        <v>2.2168168047461121E-3</v>
      </c>
      <c r="AJ100" s="299">
        <f t="shared" si="39"/>
        <v>2.1582317451358242E-3</v>
      </c>
      <c r="AK100" s="299">
        <f t="shared" si="39"/>
        <v>2.0746472616339487E-3</v>
      </c>
      <c r="AL100" s="299">
        <f t="shared" si="39"/>
        <v>1.963718839484525E-3</v>
      </c>
      <c r="AM100" s="299">
        <f t="shared" si="39"/>
        <v>1.829833306945751E-3</v>
      </c>
      <c r="AN100" s="299">
        <f t="shared" si="39"/>
        <v>1.6855772972653642E-3</v>
      </c>
      <c r="AO100" s="299">
        <f t="shared" si="37"/>
        <v>1.5479675182572667E-3</v>
      </c>
      <c r="AP100" s="299">
        <f t="shared" si="37"/>
        <v>1.431130650076689E-3</v>
      </c>
      <c r="AQ100" s="299">
        <f t="shared" si="37"/>
        <v>1.3413476043217091E-3</v>
      </c>
      <c r="AR100" s="299">
        <f t="shared" si="37"/>
        <v>1.2774999362053763E-3</v>
      </c>
      <c r="AS100" s="299">
        <f t="shared" si="37"/>
        <v>1.2345570421038296E-3</v>
      </c>
      <c r="AT100" s="299">
        <f t="shared" si="34"/>
        <v>1.2067464327611441E-3</v>
      </c>
      <c r="AU100" s="299">
        <f t="shared" si="34"/>
        <v>1.1891744571892804E-3</v>
      </c>
      <c r="AV100" s="299">
        <f t="shared" si="34"/>
        <v>1.1782441204631726E-3</v>
      </c>
      <c r="AW100" s="299">
        <f t="shared" si="19"/>
        <v>1.1715111615552836E-3</v>
      </c>
      <c r="AX100" s="299">
        <f t="shared" si="19"/>
        <v>1.1673886547817964E-3</v>
      </c>
      <c r="AY100" s="299">
        <f t="shared" si="19"/>
        <v>1.1648738020442937E-3</v>
      </c>
      <c r="AZ100" s="306">
        <f t="shared" si="40"/>
        <v>0.12854273000243924</v>
      </c>
      <c r="BA100" s="2">
        <f t="shared" si="40"/>
        <v>0.12854273000243924</v>
      </c>
      <c r="BB100" s="2">
        <f t="shared" si="40"/>
        <v>0.12854273000243924</v>
      </c>
      <c r="BC100" s="2">
        <f t="shared" si="40"/>
        <v>0.12854273000243924</v>
      </c>
      <c r="BD100" s="2">
        <f t="shared" si="40"/>
        <v>0.12854273000243924</v>
      </c>
      <c r="BE100" s="2">
        <f t="shared" si="40"/>
        <v>0.12272250790643567</v>
      </c>
      <c r="BF100" s="2">
        <f t="shared" si="40"/>
        <v>0.11947925143804834</v>
      </c>
      <c r="BG100" s="2">
        <f t="shared" si="40"/>
        <v>0.1148520321678529</v>
      </c>
      <c r="BH100" s="2">
        <f t="shared" si="40"/>
        <v>0.108711058256461</v>
      </c>
      <c r="BI100" s="2">
        <f t="shared" si="40"/>
        <v>0.10129918358536978</v>
      </c>
      <c r="BJ100" s="2">
        <f t="shared" si="40"/>
        <v>9.3313201500314413E-2</v>
      </c>
      <c r="BK100" s="2">
        <f t="shared" si="38"/>
        <v>8.5695153334959487E-2</v>
      </c>
      <c r="BL100" s="2">
        <f t="shared" si="38"/>
        <v>7.9227089105043877E-2</v>
      </c>
      <c r="BM100" s="2">
        <f t="shared" si="38"/>
        <v>7.4256718743839711E-2</v>
      </c>
      <c r="BN100" s="2">
        <f t="shared" si="38"/>
        <v>7.0722125385273255E-2</v>
      </c>
      <c r="BO100" s="2">
        <f t="shared" si="38"/>
        <v>6.8344815880212073E-2</v>
      </c>
      <c r="BP100" s="2">
        <f t="shared" si="35"/>
        <v>6.68052264483594E-2</v>
      </c>
      <c r="BQ100" s="2">
        <f t="shared" si="35"/>
        <v>6.5832445609440821E-2</v>
      </c>
      <c r="BR100" s="2">
        <f t="shared" si="35"/>
        <v>6.5227344487680153E-2</v>
      </c>
      <c r="BS100" s="2">
        <f t="shared" si="20"/>
        <v>6.4854609311260483E-2</v>
      </c>
      <c r="BT100" s="2">
        <f t="shared" si="20"/>
        <v>6.4626388211068336E-2</v>
      </c>
      <c r="BU100" s="2">
        <f t="shared" si="20"/>
        <v>6.4487166497167139E-2</v>
      </c>
    </row>
    <row r="101" spans="1:73" x14ac:dyDescent="0.25">
      <c r="A101" t="s">
        <v>29</v>
      </c>
      <c r="B101" s="1" t="s">
        <v>5</v>
      </c>
      <c r="C101" t="s">
        <v>8</v>
      </c>
      <c r="D101" t="s">
        <v>8</v>
      </c>
      <c r="E101" s="97">
        <v>5.7383292499999996</v>
      </c>
      <c r="F101" s="5">
        <f t="shared" si="29"/>
        <v>1.4058906662499999E-2</v>
      </c>
      <c r="G101" s="1">
        <f>LOOKUP(RIGHT(D101,5),Ref!$C$4:$C$21,Ref!$E$4:$E$21)*$G$3</f>
        <v>4</v>
      </c>
      <c r="H101" s="36">
        <f t="shared" si="36"/>
        <v>5.7383292499999996</v>
      </c>
      <c r="I101" s="12">
        <f t="shared" si="36"/>
        <v>5.7383292499999996</v>
      </c>
      <c r="J101" s="12">
        <f t="shared" si="36"/>
        <v>5.7383292499999996</v>
      </c>
      <c r="K101" s="12">
        <f t="shared" si="36"/>
        <v>5.7383292499999996</v>
      </c>
      <c r="L101" s="12">
        <f t="shared" si="36"/>
        <v>5.7383292499999996</v>
      </c>
      <c r="M101" s="12">
        <f t="shared" ref="M101:AB116" si="42">M$3*$E101</f>
        <v>6.0104745252616212</v>
      </c>
      <c r="N101" s="12">
        <f t="shared" si="42"/>
        <v>6.1736284632676668</v>
      </c>
      <c r="O101" s="12">
        <f t="shared" si="42"/>
        <v>6.4223548641249861</v>
      </c>
      <c r="P101" s="12">
        <f t="shared" si="42"/>
        <v>6.7851469692045852</v>
      </c>
      <c r="Q101" s="12">
        <f t="shared" si="42"/>
        <v>7.2816036747840185</v>
      </c>
      <c r="R101" s="12">
        <f t="shared" si="42"/>
        <v>7.9047819128289598</v>
      </c>
      <c r="S101" s="12">
        <f t="shared" si="42"/>
        <v>8.6074938749999994</v>
      </c>
      <c r="T101" s="12">
        <f t="shared" si="42"/>
        <v>9.3102058371710381</v>
      </c>
      <c r="U101" s="12">
        <f t="shared" si="42"/>
        <v>9.9333840752159812</v>
      </c>
      <c r="V101" s="12">
        <f t="shared" si="42"/>
        <v>10.429840780795413</v>
      </c>
      <c r="W101" s="12">
        <f t="shared" si="42"/>
        <v>10.792632885875012</v>
      </c>
      <c r="X101" s="12">
        <f t="shared" si="42"/>
        <v>11.041359286732332</v>
      </c>
      <c r="Y101" s="12">
        <f t="shared" si="42"/>
        <v>11.204513224738378</v>
      </c>
      <c r="Z101" s="12">
        <f t="shared" si="42"/>
        <v>11.308455268896742</v>
      </c>
      <c r="AA101" s="12">
        <f t="shared" si="42"/>
        <v>11.373447705277888</v>
      </c>
      <c r="AB101" s="12">
        <f t="shared" si="42"/>
        <v>11.413611805734796</v>
      </c>
      <c r="AC101" s="12">
        <f t="shared" si="41"/>
        <v>11.438252717775287</v>
      </c>
      <c r="AD101" s="300">
        <f t="shared" si="39"/>
        <v>2.3950520273003264E-3</v>
      </c>
      <c r="AE101" s="299">
        <f t="shared" si="39"/>
        <v>2.3950520273003264E-3</v>
      </c>
      <c r="AF101" s="299">
        <f t="shared" si="39"/>
        <v>2.3950520273003264E-3</v>
      </c>
      <c r="AG101" s="299">
        <f t="shared" si="39"/>
        <v>2.3950520273003264E-3</v>
      </c>
      <c r="AH101" s="299">
        <f t="shared" si="39"/>
        <v>2.3950520273003264E-3</v>
      </c>
      <c r="AI101" s="299">
        <f t="shared" si="39"/>
        <v>2.2866076623011783E-3</v>
      </c>
      <c r="AJ101" s="299">
        <f t="shared" si="39"/>
        <v>2.2261782005998545E-3</v>
      </c>
      <c r="AK101" s="299">
        <f t="shared" si="39"/>
        <v>2.1399622715182615E-3</v>
      </c>
      <c r="AL101" s="299">
        <f t="shared" si="39"/>
        <v>2.0255415491965984E-3</v>
      </c>
      <c r="AM101" s="299">
        <f t="shared" si="39"/>
        <v>1.8874409700603365E-3</v>
      </c>
      <c r="AN101" s="299">
        <f t="shared" si="39"/>
        <v>1.7386434255984055E-3</v>
      </c>
      <c r="AO101" s="299">
        <f t="shared" si="37"/>
        <v>1.5967013515335508E-3</v>
      </c>
      <c r="AP101" s="299">
        <f t="shared" si="37"/>
        <v>1.4761861707351181E-3</v>
      </c>
      <c r="AQ101" s="299">
        <f t="shared" si="37"/>
        <v>1.3835765333809901E-3</v>
      </c>
      <c r="AR101" s="299">
        <f t="shared" si="37"/>
        <v>1.3177187832853119E-3</v>
      </c>
      <c r="AS101" s="299">
        <f t="shared" si="37"/>
        <v>1.2734239410215054E-3</v>
      </c>
      <c r="AT101" s="299">
        <f t="shared" si="34"/>
        <v>1.2447377851424531E-3</v>
      </c>
      <c r="AU101" s="299">
        <f t="shared" si="34"/>
        <v>1.2266126004639678E-3</v>
      </c>
      <c r="AV101" s="299">
        <f t="shared" si="34"/>
        <v>1.2153381497940073E-3</v>
      </c>
      <c r="AW101" s="299">
        <f t="shared" si="19"/>
        <v>1.2083932207426862E-3</v>
      </c>
      <c r="AX101" s="299">
        <f t="shared" si="19"/>
        <v>1.2041409272938262E-3</v>
      </c>
      <c r="AY101" s="299">
        <f t="shared" si="19"/>
        <v>1.2015469007929348E-3</v>
      </c>
      <c r="AZ101" s="306">
        <f t="shared" si="40"/>
        <v>0.13258957200586177</v>
      </c>
      <c r="BA101" s="2">
        <f t="shared" si="40"/>
        <v>0.13258957200586177</v>
      </c>
      <c r="BB101" s="2">
        <f t="shared" si="40"/>
        <v>0.13258957200586177</v>
      </c>
      <c r="BC101" s="2">
        <f t="shared" si="40"/>
        <v>0.13258957200586177</v>
      </c>
      <c r="BD101" s="2">
        <f t="shared" si="40"/>
        <v>0.13258957200586177</v>
      </c>
      <c r="BE101" s="2">
        <f t="shared" si="40"/>
        <v>0.1265861149711969</v>
      </c>
      <c r="BF101" s="2">
        <f t="shared" si="40"/>
        <v>0.12324075279442846</v>
      </c>
      <c r="BG101" s="2">
        <f t="shared" si="40"/>
        <v>0.1184678572553276</v>
      </c>
      <c r="BH101" s="2">
        <f t="shared" si="40"/>
        <v>0.11213355034745998</v>
      </c>
      <c r="BI101" s="2">
        <f t="shared" si="40"/>
        <v>0.10448833159115671</v>
      </c>
      <c r="BJ101" s="2">
        <f t="shared" si="40"/>
        <v>9.6250931104300094E-2</v>
      </c>
      <c r="BK101" s="2">
        <f t="shared" si="38"/>
        <v>8.8393048003907848E-2</v>
      </c>
      <c r="BL101" s="2">
        <f t="shared" si="38"/>
        <v>8.1721353167998736E-2</v>
      </c>
      <c r="BM101" s="2">
        <f t="shared" si="38"/>
        <v>7.6594503295663099E-2</v>
      </c>
      <c r="BN101" s="2">
        <f t="shared" si="38"/>
        <v>7.2948632225255647E-2</v>
      </c>
      <c r="BO101" s="2">
        <f t="shared" si="38"/>
        <v>7.0496479156812578E-2</v>
      </c>
      <c r="BP101" s="2">
        <f t="shared" si="35"/>
        <v>6.890841965449597E-2</v>
      </c>
      <c r="BQ101" s="2">
        <f t="shared" si="35"/>
        <v>6.790501327682473E-2</v>
      </c>
      <c r="BR101" s="2">
        <f t="shared" si="35"/>
        <v>6.7280862080152701E-2</v>
      </c>
      <c r="BS101" s="2">
        <f t="shared" si="20"/>
        <v>6.6896392281572292E-2</v>
      </c>
      <c r="BT101" s="2">
        <f t="shared" si="20"/>
        <v>6.6660986218571985E-2</v>
      </c>
      <c r="BU101" s="2">
        <f t="shared" si="20"/>
        <v>6.6517381461930133E-2</v>
      </c>
    </row>
    <row r="102" spans="1:73" x14ac:dyDescent="0.25">
      <c r="A102" t="s">
        <v>29</v>
      </c>
      <c r="B102" s="1" t="s">
        <v>5</v>
      </c>
      <c r="C102" t="s">
        <v>9</v>
      </c>
      <c r="D102" t="s">
        <v>9</v>
      </c>
      <c r="E102" s="97">
        <v>6.0128275000000002</v>
      </c>
      <c r="F102" s="5">
        <f t="shared" si="29"/>
        <v>1.4731427375E-2</v>
      </c>
      <c r="G102" s="1">
        <f>LOOKUP(RIGHT(D102,5),Ref!$C$4:$C$21,Ref!$E$4:$E$21)*$G$3</f>
        <v>4.5</v>
      </c>
      <c r="H102" s="36">
        <f t="shared" ref="H102:L117" si="43">$E102</f>
        <v>6.0128275000000002</v>
      </c>
      <c r="I102" s="12">
        <f t="shared" si="43"/>
        <v>6.0128275000000002</v>
      </c>
      <c r="J102" s="12">
        <f t="shared" si="43"/>
        <v>6.0128275000000002</v>
      </c>
      <c r="K102" s="12">
        <f t="shared" si="43"/>
        <v>6.0128275000000002</v>
      </c>
      <c r="L102" s="12">
        <f t="shared" si="43"/>
        <v>6.0128275000000002</v>
      </c>
      <c r="M102" s="12">
        <f t="shared" si="42"/>
        <v>6.297991094453586</v>
      </c>
      <c r="N102" s="12">
        <f t="shared" si="42"/>
        <v>6.4689496509316831</v>
      </c>
      <c r="O102" s="12">
        <f t="shared" si="42"/>
        <v>6.729574107614944</v>
      </c>
      <c r="P102" s="12">
        <f t="shared" si="42"/>
        <v>7.1097207062447643</v>
      </c>
      <c r="Q102" s="12">
        <f t="shared" si="42"/>
        <v>7.6299258743025948</v>
      </c>
      <c r="R102" s="12">
        <f t="shared" si="42"/>
        <v>8.2829144157178813</v>
      </c>
      <c r="S102" s="12">
        <f t="shared" si="42"/>
        <v>9.0192412500000003</v>
      </c>
      <c r="T102" s="12">
        <f t="shared" si="42"/>
        <v>9.7555680842821193</v>
      </c>
      <c r="U102" s="12">
        <f t="shared" si="42"/>
        <v>10.408556625697406</v>
      </c>
      <c r="V102" s="12">
        <f t="shared" si="42"/>
        <v>10.928761793755235</v>
      </c>
      <c r="W102" s="12">
        <f t="shared" si="42"/>
        <v>11.308908392385055</v>
      </c>
      <c r="X102" s="12">
        <f t="shared" si="42"/>
        <v>11.569532849068317</v>
      </c>
      <c r="Y102" s="12">
        <f t="shared" si="42"/>
        <v>11.740491405546415</v>
      </c>
      <c r="Z102" s="12">
        <f t="shared" si="42"/>
        <v>11.8494056128519</v>
      </c>
      <c r="AA102" s="12">
        <f t="shared" si="42"/>
        <v>11.917507022119162</v>
      </c>
      <c r="AB102" s="12">
        <f t="shared" si="42"/>
        <v>11.959592409209849</v>
      </c>
      <c r="AC102" s="12">
        <f t="shared" si="41"/>
        <v>11.985412041909061</v>
      </c>
      <c r="AD102" s="300">
        <f t="shared" si="39"/>
        <v>2.2857128536498445E-3</v>
      </c>
      <c r="AE102" s="299">
        <f t="shared" si="39"/>
        <v>2.2857128536498445E-3</v>
      </c>
      <c r="AF102" s="299">
        <f t="shared" si="39"/>
        <v>2.2857128536498445E-3</v>
      </c>
      <c r="AG102" s="299">
        <f t="shared" si="39"/>
        <v>2.2857128536498445E-3</v>
      </c>
      <c r="AH102" s="299">
        <f t="shared" si="39"/>
        <v>2.2857128536498445E-3</v>
      </c>
      <c r="AI102" s="299">
        <f t="shared" si="39"/>
        <v>2.1822192025061373E-3</v>
      </c>
      <c r="AJ102" s="299">
        <f t="shared" si="39"/>
        <v>2.1245484731126103E-3</v>
      </c>
      <c r="AK102" s="299">
        <f t="shared" si="39"/>
        <v>2.0422684829308141E-3</v>
      </c>
      <c r="AL102" s="299">
        <f t="shared" si="39"/>
        <v>1.9330713077741135E-3</v>
      </c>
      <c r="AM102" s="299">
        <f t="shared" si="39"/>
        <v>1.8012753111819029E-3</v>
      </c>
      <c r="AN102" s="299">
        <f t="shared" si="39"/>
        <v>1.6592706882796037E-3</v>
      </c>
      <c r="AO102" s="299">
        <f t="shared" si="37"/>
        <v>1.5238085690998961E-3</v>
      </c>
      <c r="AP102" s="299">
        <f t="shared" si="37"/>
        <v>1.4087951603425877E-3</v>
      </c>
      <c r="AQ102" s="299">
        <f t="shared" si="37"/>
        <v>1.3204133481483939E-3</v>
      </c>
      <c r="AR102" s="299">
        <f t="shared" si="37"/>
        <v>1.2575621431681712E-3</v>
      </c>
      <c r="AS102" s="299">
        <f t="shared" si="37"/>
        <v>1.2152894538241747E-3</v>
      </c>
      <c r="AT102" s="299">
        <f t="shared" si="34"/>
        <v>1.1879128814294363E-3</v>
      </c>
      <c r="AU102" s="299">
        <f t="shared" si="34"/>
        <v>1.1706151496381611E-3</v>
      </c>
      <c r="AV102" s="299">
        <f t="shared" si="34"/>
        <v>1.1598554014070474E-3</v>
      </c>
      <c r="AW102" s="299">
        <f t="shared" si="19"/>
        <v>1.1532275230063498E-3</v>
      </c>
      <c r="AX102" s="299">
        <f t="shared" si="19"/>
        <v>1.1491693557169711E-3</v>
      </c>
      <c r="AY102" s="299">
        <f t="shared" si="19"/>
        <v>1.1466937519938739E-3</v>
      </c>
      <c r="AZ102" s="306">
        <f t="shared" si="40"/>
        <v>0.12653657855413575</v>
      </c>
      <c r="BA102" s="2">
        <f t="shared" si="40"/>
        <v>0.12653657855413575</v>
      </c>
      <c r="BB102" s="2">
        <f t="shared" si="40"/>
        <v>0.12653657855413575</v>
      </c>
      <c r="BC102" s="2">
        <f t="shared" si="40"/>
        <v>0.12653657855413575</v>
      </c>
      <c r="BD102" s="2">
        <f t="shared" si="40"/>
        <v>0.12653657855413575</v>
      </c>
      <c r="BE102" s="2">
        <f t="shared" si="40"/>
        <v>0.12080719198797606</v>
      </c>
      <c r="BF102" s="2">
        <f t="shared" si="40"/>
        <v>0.11761455264636946</v>
      </c>
      <c r="BG102" s="2">
        <f t="shared" si="40"/>
        <v>0.11305954984956264</v>
      </c>
      <c r="BH102" s="2">
        <f t="shared" si="40"/>
        <v>0.10701441740432054</v>
      </c>
      <c r="BI102" s="2">
        <f t="shared" si="40"/>
        <v>9.9718218999835531E-2</v>
      </c>
      <c r="BJ102" s="2">
        <f t="shared" si="40"/>
        <v>9.1856873209075096E-2</v>
      </c>
      <c r="BK102" s="2">
        <f t="shared" si="38"/>
        <v>8.4357719036090503E-2</v>
      </c>
      <c r="BL102" s="2">
        <f t="shared" si="38"/>
        <v>7.7990601132912465E-2</v>
      </c>
      <c r="BM102" s="2">
        <f t="shared" si="38"/>
        <v>7.3097802764294312E-2</v>
      </c>
      <c r="BN102" s="2">
        <f t="shared" si="38"/>
        <v>6.9618373393495331E-2</v>
      </c>
      <c r="BO102" s="2">
        <f t="shared" si="38"/>
        <v>6.7278166281595955E-2</v>
      </c>
      <c r="BP102" s="2">
        <f t="shared" si="35"/>
        <v>6.5762605043079819E-2</v>
      </c>
      <c r="BQ102" s="2">
        <f t="shared" si="35"/>
        <v>6.480500628166061E-2</v>
      </c>
      <c r="BR102" s="2">
        <f t="shared" si="35"/>
        <v>6.4209348902784263E-2</v>
      </c>
      <c r="BS102" s="2">
        <f t="shared" si="20"/>
        <v>6.3842430960944829E-2</v>
      </c>
      <c r="BT102" s="2">
        <f t="shared" si="20"/>
        <v>6.3617771680940211E-2</v>
      </c>
      <c r="BU102" s="2">
        <f t="shared" si="20"/>
        <v>6.3480722784147958E-2</v>
      </c>
    </row>
    <row r="103" spans="1:73" x14ac:dyDescent="0.25">
      <c r="A103" t="s">
        <v>29</v>
      </c>
      <c r="B103" s="1" t="s">
        <v>5</v>
      </c>
      <c r="C103" t="s">
        <v>10</v>
      </c>
      <c r="D103" t="s">
        <v>10</v>
      </c>
      <c r="E103" s="97">
        <v>6.2334699999999996</v>
      </c>
      <c r="F103" s="5">
        <f t="shared" si="29"/>
        <v>1.52720015E-2</v>
      </c>
      <c r="G103" s="1">
        <f>LOOKUP(RIGHT(D103,5),Ref!$C$4:$C$21,Ref!$E$4:$E$21)*$G$3</f>
        <v>4.5</v>
      </c>
      <c r="H103" s="36">
        <f t="shared" si="43"/>
        <v>6.2334699999999996</v>
      </c>
      <c r="I103" s="12">
        <f t="shared" si="43"/>
        <v>6.2334699999999996</v>
      </c>
      <c r="J103" s="12">
        <f t="shared" si="43"/>
        <v>6.2334699999999996</v>
      </c>
      <c r="K103" s="12">
        <f t="shared" si="43"/>
        <v>6.2334699999999996</v>
      </c>
      <c r="L103" s="12">
        <f t="shared" si="43"/>
        <v>6.2334699999999996</v>
      </c>
      <c r="M103" s="12">
        <f t="shared" si="42"/>
        <v>6.5290977576761664</v>
      </c>
      <c r="N103" s="12">
        <f t="shared" si="42"/>
        <v>6.7063296894170197</v>
      </c>
      <c r="O103" s="12">
        <f t="shared" si="42"/>
        <v>6.9765178383372088</v>
      </c>
      <c r="P103" s="12">
        <f t="shared" si="42"/>
        <v>7.3706140298812075</v>
      </c>
      <c r="Q103" s="12">
        <f t="shared" si="42"/>
        <v>7.9099082818672235</v>
      </c>
      <c r="R103" s="12">
        <f t="shared" si="42"/>
        <v>8.586858432733175</v>
      </c>
      <c r="S103" s="12">
        <f t="shared" si="42"/>
        <v>9.350204999999999</v>
      </c>
      <c r="T103" s="12">
        <f t="shared" si="42"/>
        <v>10.113551567266823</v>
      </c>
      <c r="U103" s="12">
        <f t="shared" si="42"/>
        <v>10.790501718132775</v>
      </c>
      <c r="V103" s="12">
        <f t="shared" si="42"/>
        <v>11.329795970118791</v>
      </c>
      <c r="W103" s="12">
        <f t="shared" si="42"/>
        <v>11.723892161662789</v>
      </c>
      <c r="X103" s="12">
        <f t="shared" si="42"/>
        <v>11.994080310582978</v>
      </c>
      <c r="Y103" s="12">
        <f t="shared" si="42"/>
        <v>12.171312242323832</v>
      </c>
      <c r="Z103" s="12">
        <f t="shared" si="42"/>
        <v>12.284223088978342</v>
      </c>
      <c r="AA103" s="12">
        <f t="shared" si="42"/>
        <v>12.354823499787601</v>
      </c>
      <c r="AB103" s="12">
        <f t="shared" si="42"/>
        <v>12.398453222720477</v>
      </c>
      <c r="AC103" s="12">
        <f t="shared" si="41"/>
        <v>12.425220314548998</v>
      </c>
      <c r="AD103" s="300">
        <f t="shared" si="39"/>
        <v>2.2048068096147508E-3</v>
      </c>
      <c r="AE103" s="299">
        <f t="shared" si="39"/>
        <v>2.2048068096147508E-3</v>
      </c>
      <c r="AF103" s="299">
        <f t="shared" si="39"/>
        <v>2.2048068096147508E-3</v>
      </c>
      <c r="AG103" s="299">
        <f t="shared" si="39"/>
        <v>2.2048068096147508E-3</v>
      </c>
      <c r="AH103" s="299">
        <f t="shared" si="39"/>
        <v>2.2048068096147508E-3</v>
      </c>
      <c r="AI103" s="299">
        <f t="shared" si="39"/>
        <v>2.1049764628460511E-3</v>
      </c>
      <c r="AJ103" s="299">
        <f t="shared" si="39"/>
        <v>2.0493470706066629E-3</v>
      </c>
      <c r="AK103" s="299">
        <f t="shared" si="39"/>
        <v>1.9699794972222024E-3</v>
      </c>
      <c r="AL103" s="299">
        <f t="shared" si="39"/>
        <v>1.8646475107516607E-3</v>
      </c>
      <c r="AM103" s="299">
        <f t="shared" si="39"/>
        <v>1.7375166201402436E-3</v>
      </c>
      <c r="AN103" s="299">
        <f t="shared" si="39"/>
        <v>1.6005384520069127E-3</v>
      </c>
      <c r="AO103" s="299">
        <f t="shared" si="37"/>
        <v>1.4698712064098339E-3</v>
      </c>
      <c r="AP103" s="299">
        <f t="shared" si="37"/>
        <v>1.3589288601653369E-3</v>
      </c>
      <c r="AQ103" s="299">
        <f t="shared" si="37"/>
        <v>1.2736754474014854E-3</v>
      </c>
      <c r="AR103" s="299">
        <f t="shared" si="37"/>
        <v>1.2130489498466369E-3</v>
      </c>
      <c r="AS103" s="299">
        <f t="shared" si="37"/>
        <v>1.1722725622187928E-3</v>
      </c>
      <c r="AT103" s="299">
        <f t="shared" si="34"/>
        <v>1.1458650223812989E-3</v>
      </c>
      <c r="AU103" s="299">
        <f t="shared" si="34"/>
        <v>1.129179568308013E-3</v>
      </c>
      <c r="AV103" s="299">
        <f t="shared" si="34"/>
        <v>1.1188006766061013E-3</v>
      </c>
      <c r="AW103" s="299">
        <f t="shared" si="19"/>
        <v>1.1124074013494029E-3</v>
      </c>
      <c r="AX103" s="299">
        <f t="shared" si="19"/>
        <v>1.1084928786393913E-3</v>
      </c>
      <c r="AY103" s="299">
        <f t="shared" si="19"/>
        <v>1.1061049024166229E-3</v>
      </c>
      <c r="AZ103" s="306">
        <f t="shared" si="40"/>
        <v>0.12205763712446163</v>
      </c>
      <c r="BA103" s="2">
        <f t="shared" si="40"/>
        <v>0.12205763712446163</v>
      </c>
      <c r="BB103" s="2">
        <f t="shared" si="40"/>
        <v>0.12205763712446163</v>
      </c>
      <c r="BC103" s="2">
        <f t="shared" si="40"/>
        <v>0.12205763712446163</v>
      </c>
      <c r="BD103" s="2">
        <f t="shared" si="40"/>
        <v>0.12205763712446163</v>
      </c>
      <c r="BE103" s="2">
        <f t="shared" si="40"/>
        <v>0.1165310503111561</v>
      </c>
      <c r="BF103" s="2">
        <f t="shared" si="40"/>
        <v>0.11345141896123477</v>
      </c>
      <c r="BG103" s="2">
        <f t="shared" si="40"/>
        <v>0.10905764694031914</v>
      </c>
      <c r="BH103" s="2">
        <f t="shared" si="40"/>
        <v>0.10322649052055712</v>
      </c>
      <c r="BI103" s="2">
        <f t="shared" si="40"/>
        <v>9.6188551393242228E-2</v>
      </c>
      <c r="BJ103" s="2">
        <f t="shared" si="40"/>
        <v>8.8605469071887738E-2</v>
      </c>
      <c r="BK103" s="2">
        <f t="shared" si="38"/>
        <v>8.1371758082974421E-2</v>
      </c>
      <c r="BL103" s="2">
        <f t="shared" si="38"/>
        <v>7.52300133366339E-2</v>
      </c>
      <c r="BM103" s="2">
        <f t="shared" si="38"/>
        <v>7.0510402496639105E-2</v>
      </c>
      <c r="BN103" s="2">
        <f t="shared" si="38"/>
        <v>6.7154132456830148E-2</v>
      </c>
      <c r="BO103" s="2">
        <f t="shared" si="38"/>
        <v>6.4896760290424585E-2</v>
      </c>
      <c r="BP103" s="2">
        <f t="shared" si="35"/>
        <v>6.3434844488650638E-2</v>
      </c>
      <c r="BQ103" s="2">
        <f t="shared" si="35"/>
        <v>6.2511141291775152E-2</v>
      </c>
      <c r="BR103" s="2">
        <f t="shared" si="35"/>
        <v>6.1936568049538392E-2</v>
      </c>
      <c r="BS103" s="2">
        <f t="shared" si="20"/>
        <v>6.1582637687968414E-2</v>
      </c>
      <c r="BT103" s="2">
        <f t="shared" si="20"/>
        <v>6.1365930541396455E-2</v>
      </c>
      <c r="BU103" s="2">
        <f t="shared" si="20"/>
        <v>6.1233732684428006E-2</v>
      </c>
    </row>
    <row r="104" spans="1:73" x14ac:dyDescent="0.25">
      <c r="A104" t="s">
        <v>29</v>
      </c>
      <c r="B104" s="1" t="s">
        <v>5</v>
      </c>
      <c r="C104" t="s">
        <v>11</v>
      </c>
      <c r="D104" t="s">
        <v>11</v>
      </c>
      <c r="E104" s="97">
        <v>7.3072999999999997</v>
      </c>
      <c r="F104" s="5">
        <f t="shared" si="29"/>
        <v>1.7902885E-2</v>
      </c>
      <c r="G104" s="1">
        <f>LOOKUP(RIGHT(D104,5),Ref!$C$4:$C$21,Ref!$E$4:$E$21)*$G$3</f>
        <v>4.5</v>
      </c>
      <c r="H104" s="36">
        <f t="shared" si="43"/>
        <v>7.3072999999999997</v>
      </c>
      <c r="I104" s="12">
        <f t="shared" si="43"/>
        <v>7.3072999999999997</v>
      </c>
      <c r="J104" s="12">
        <f t="shared" si="43"/>
        <v>7.3072999999999997</v>
      </c>
      <c r="K104" s="12">
        <f t="shared" si="43"/>
        <v>7.3072999999999997</v>
      </c>
      <c r="L104" s="12">
        <f t="shared" si="43"/>
        <v>7.3072999999999997</v>
      </c>
      <c r="M104" s="12">
        <f t="shared" si="42"/>
        <v>7.6538550830704333</v>
      </c>
      <c r="N104" s="12">
        <f t="shared" si="42"/>
        <v>7.8616184788692323</v>
      </c>
      <c r="O104" s="12">
        <f t="shared" si="42"/>
        <v>8.1783515120922186</v>
      </c>
      <c r="P104" s="12">
        <f t="shared" si="42"/>
        <v>8.640338030110188</v>
      </c>
      <c r="Q104" s="12">
        <f t="shared" si="42"/>
        <v>9.2725356483769659</v>
      </c>
      <c r="R104" s="12">
        <f t="shared" si="42"/>
        <v>10.066102929108688</v>
      </c>
      <c r="S104" s="12">
        <f t="shared" si="42"/>
        <v>10.96095</v>
      </c>
      <c r="T104" s="12">
        <f t="shared" si="42"/>
        <v>11.855797070891311</v>
      </c>
      <c r="U104" s="12">
        <f t="shared" si="42"/>
        <v>12.649364351623033</v>
      </c>
      <c r="V104" s="12">
        <f t="shared" si="42"/>
        <v>13.281561969889811</v>
      </c>
      <c r="W104" s="12">
        <f t="shared" si="42"/>
        <v>13.743548487907779</v>
      </c>
      <c r="X104" s="12">
        <f t="shared" si="42"/>
        <v>14.060281521130767</v>
      </c>
      <c r="Y104" s="12">
        <f t="shared" si="42"/>
        <v>14.268044916929567</v>
      </c>
      <c r="Z104" s="12">
        <f t="shared" si="42"/>
        <v>14.400406736230615</v>
      </c>
      <c r="AA104" s="12">
        <f t="shared" si="42"/>
        <v>14.483169367944008</v>
      </c>
      <c r="AB104" s="12">
        <f t="shared" si="42"/>
        <v>14.534315114115467</v>
      </c>
      <c r="AC104" s="12">
        <f t="shared" si="41"/>
        <v>14.565693330440974</v>
      </c>
      <c r="AD104" s="300">
        <f t="shared" si="39"/>
        <v>1.8808037309990366E-3</v>
      </c>
      <c r="AE104" s="299">
        <f t="shared" si="39"/>
        <v>1.8808037309990366E-3</v>
      </c>
      <c r="AF104" s="299">
        <f t="shared" si="39"/>
        <v>1.8808037309990366E-3</v>
      </c>
      <c r="AG104" s="299">
        <f t="shared" si="39"/>
        <v>1.8808037309990366E-3</v>
      </c>
      <c r="AH104" s="299">
        <f t="shared" si="39"/>
        <v>1.8808037309990366E-3</v>
      </c>
      <c r="AI104" s="299">
        <f t="shared" si="39"/>
        <v>1.7956437578663764E-3</v>
      </c>
      <c r="AJ104" s="299">
        <f t="shared" si="39"/>
        <v>1.7481892743167124E-3</v>
      </c>
      <c r="AK104" s="299">
        <f t="shared" si="39"/>
        <v>1.6804850076703683E-3</v>
      </c>
      <c r="AL104" s="299">
        <f t="shared" si="39"/>
        <v>1.5906318775532895E-3</v>
      </c>
      <c r="AM104" s="299">
        <f t="shared" si="39"/>
        <v>1.4821832586790749E-3</v>
      </c>
      <c r="AN104" s="299">
        <f t="shared" si="39"/>
        <v>1.3653344497189836E-3</v>
      </c>
      <c r="AO104" s="299">
        <f t="shared" si="37"/>
        <v>1.2538691539993577E-3</v>
      </c>
      <c r="AP104" s="299">
        <f t="shared" si="37"/>
        <v>1.1592301235716094E-3</v>
      </c>
      <c r="AQ104" s="299">
        <f t="shared" si="37"/>
        <v>1.0865049595765518E-3</v>
      </c>
      <c r="AR104" s="299">
        <f t="shared" si="37"/>
        <v>1.0347877105634799E-3</v>
      </c>
      <c r="AS104" s="299">
        <f t="shared" si="37"/>
        <v>1.0000035373412858E-3</v>
      </c>
      <c r="AT104" s="299">
        <f t="shared" si="34"/>
        <v>9.7747666594544562E-4</v>
      </c>
      <c r="AU104" s="299">
        <f t="shared" si="34"/>
        <v>9.6324319018802431E-4</v>
      </c>
      <c r="AV104" s="299">
        <f t="shared" si="34"/>
        <v>9.5438950824570403E-4</v>
      </c>
      <c r="AW104" s="299">
        <f t="shared" si="19"/>
        <v>9.4893574426798712E-4</v>
      </c>
      <c r="AX104" s="299">
        <f t="shared" si="19"/>
        <v>9.4559647259757863E-4</v>
      </c>
      <c r="AY104" s="299">
        <f t="shared" si="19"/>
        <v>9.4355941675679743E-4</v>
      </c>
      <c r="AZ104" s="306">
        <f t="shared" si="40"/>
        <v>0.10412089544513264</v>
      </c>
      <c r="BA104" s="2">
        <f t="shared" si="40"/>
        <v>0.10412089544513264</v>
      </c>
      <c r="BB104" s="2">
        <f t="shared" si="40"/>
        <v>0.10412089544513264</v>
      </c>
      <c r="BC104" s="2">
        <f t="shared" si="40"/>
        <v>0.10412089544513264</v>
      </c>
      <c r="BD104" s="2">
        <f t="shared" si="40"/>
        <v>0.10412089544513264</v>
      </c>
      <c r="BE104" s="2">
        <f t="shared" si="40"/>
        <v>9.9406457403292889E-2</v>
      </c>
      <c r="BF104" s="2">
        <f t="shared" si="40"/>
        <v>9.6779387263734626E-2</v>
      </c>
      <c r="BG104" s="2">
        <f t="shared" si="40"/>
        <v>9.3031293428909603E-2</v>
      </c>
      <c r="BH104" s="2">
        <f t="shared" si="40"/>
        <v>8.8057043212291422E-2</v>
      </c>
      <c r="BI104" s="2">
        <f t="shared" si="40"/>
        <v>8.205335068400553E-2</v>
      </c>
      <c r="BJ104" s="2">
        <f t="shared" si="40"/>
        <v>7.558462541506987E-2</v>
      </c>
      <c r="BK104" s="2">
        <f t="shared" si="38"/>
        <v>6.9413930296755091E-2</v>
      </c>
      <c r="BL104" s="2">
        <f t="shared" si="38"/>
        <v>6.4174733654497176E-2</v>
      </c>
      <c r="BM104" s="2">
        <f t="shared" si="38"/>
        <v>6.0148684007872259E-2</v>
      </c>
      <c r="BN104" s="2">
        <f t="shared" si="38"/>
        <v>5.7285628076810459E-2</v>
      </c>
      <c r="BO104" s="2">
        <f t="shared" si="38"/>
        <v>5.5359983628365188E-2</v>
      </c>
      <c r="BP104" s="2">
        <f t="shared" si="35"/>
        <v>5.4112900808050729E-2</v>
      </c>
      <c r="BQ104" s="2">
        <f t="shared" si="35"/>
        <v>5.3324938610436363E-2</v>
      </c>
      <c r="BR104" s="2">
        <f t="shared" si="35"/>
        <v>5.2834800656843983E-2</v>
      </c>
      <c r="BS104" s="2">
        <f t="shared" si="20"/>
        <v>5.2532881440315919E-2</v>
      </c>
      <c r="BT104" s="2">
        <f t="shared" si="20"/>
        <v>5.2348020069229201E-2</v>
      </c>
      <c r="BU104" s="2">
        <f t="shared" si="20"/>
        <v>5.2235249090142925E-2</v>
      </c>
    </row>
    <row r="105" spans="1:73" x14ac:dyDescent="0.25">
      <c r="A105" t="s">
        <v>31</v>
      </c>
      <c r="B105" s="1" t="s">
        <v>5</v>
      </c>
      <c r="C105" t="s">
        <v>7</v>
      </c>
      <c r="D105" t="s">
        <v>7</v>
      </c>
      <c r="E105" s="97">
        <v>4.6672549999999999</v>
      </c>
      <c r="F105" s="5">
        <f t="shared" si="29"/>
        <v>1.1434774750000001E-2</v>
      </c>
      <c r="G105" s="1">
        <f>LOOKUP(RIGHT(D105,5),Ref!$C$4:$C$21,Ref!$E$4:$E$21)*$G$3</f>
        <v>3.5</v>
      </c>
      <c r="H105" s="36">
        <f t="shared" si="43"/>
        <v>4.6672549999999999</v>
      </c>
      <c r="I105" s="12">
        <f t="shared" si="43"/>
        <v>4.6672549999999999</v>
      </c>
      <c r="J105" s="12">
        <f t="shared" si="43"/>
        <v>4.6672549999999999</v>
      </c>
      <c r="K105" s="12">
        <f t="shared" si="43"/>
        <v>4.6672549999999999</v>
      </c>
      <c r="L105" s="12">
        <f t="shared" si="43"/>
        <v>4.6672549999999999</v>
      </c>
      <c r="M105" s="12">
        <f t="shared" si="42"/>
        <v>4.8886036437173646</v>
      </c>
      <c r="N105" s="12">
        <f t="shared" si="42"/>
        <v>5.0213044699950489</v>
      </c>
      <c r="O105" s="12">
        <f t="shared" si="42"/>
        <v>5.2236054338223381</v>
      </c>
      <c r="P105" s="12">
        <f t="shared" si="42"/>
        <v>5.5186814381128357</v>
      </c>
      <c r="Q105" s="12">
        <f t="shared" si="42"/>
        <v>5.9224731935962165</v>
      </c>
      <c r="R105" s="12">
        <f t="shared" si="42"/>
        <v>6.4293335741514888</v>
      </c>
      <c r="S105" s="12">
        <f t="shared" si="42"/>
        <v>7.0008824999999995</v>
      </c>
      <c r="T105" s="12">
        <f t="shared" si="42"/>
        <v>7.572431425848511</v>
      </c>
      <c r="U105" s="12">
        <f t="shared" si="42"/>
        <v>8.0792918064037824</v>
      </c>
      <c r="V105" s="12">
        <f t="shared" si="42"/>
        <v>8.4830835618871649</v>
      </c>
      <c r="W105" s="12">
        <f t="shared" si="42"/>
        <v>8.7781595661776599</v>
      </c>
      <c r="X105" s="12">
        <f t="shared" si="42"/>
        <v>8.9804605300049509</v>
      </c>
      <c r="Y105" s="12">
        <f t="shared" si="42"/>
        <v>9.1131613562826352</v>
      </c>
      <c r="Z105" s="12">
        <f t="shared" si="42"/>
        <v>9.1977023444645791</v>
      </c>
      <c r="AA105" s="12">
        <f t="shared" si="42"/>
        <v>9.2505637716233782</v>
      </c>
      <c r="AB105" s="12">
        <f t="shared" si="42"/>
        <v>9.2832311370726508</v>
      </c>
      <c r="AC105" s="12">
        <f t="shared" si="41"/>
        <v>9.3032727580593768</v>
      </c>
      <c r="AD105" s="300">
        <f t="shared" si="39"/>
        <v>2.9446852815047087E-3</v>
      </c>
      <c r="AE105" s="299">
        <f t="shared" si="39"/>
        <v>2.9446852815047087E-3</v>
      </c>
      <c r="AF105" s="299">
        <f t="shared" si="39"/>
        <v>2.9446852815047087E-3</v>
      </c>
      <c r="AG105" s="299">
        <f t="shared" si="39"/>
        <v>2.9446852815047087E-3</v>
      </c>
      <c r="AH105" s="299">
        <f t="shared" si="39"/>
        <v>2.9446852815047087E-3</v>
      </c>
      <c r="AI105" s="299">
        <f t="shared" si="39"/>
        <v>2.8113543467963441E-3</v>
      </c>
      <c r="AJ105" s="299">
        <f t="shared" si="39"/>
        <v>2.7370571104888232E-3</v>
      </c>
      <c r="AK105" s="299">
        <f t="shared" si="39"/>
        <v>2.6310557483038063E-3</v>
      </c>
      <c r="AL105" s="299">
        <f t="shared" si="39"/>
        <v>2.490376960085779E-3</v>
      </c>
      <c r="AM105" s="299">
        <f t="shared" si="39"/>
        <v>2.3205840962504951E-3</v>
      </c>
      <c r="AN105" s="299">
        <f t="shared" si="39"/>
        <v>2.1376394528328812E-3</v>
      </c>
      <c r="AO105" s="299">
        <f t="shared" si="37"/>
        <v>1.9631235210031393E-3</v>
      </c>
      <c r="AP105" s="299">
        <f t="shared" si="37"/>
        <v>1.8149516754440932E-3</v>
      </c>
      <c r="AQ105" s="299">
        <f t="shared" si="37"/>
        <v>1.7010893321907068E-3</v>
      </c>
      <c r="AR105" s="299">
        <f t="shared" si="37"/>
        <v>1.6201180859842703E-3</v>
      </c>
      <c r="AS105" s="299">
        <f t="shared" si="37"/>
        <v>1.5656581541857E-3</v>
      </c>
      <c r="AT105" s="299">
        <f t="shared" si="34"/>
        <v>1.5303888990559021E-3</v>
      </c>
      <c r="AU105" s="299">
        <f t="shared" si="34"/>
        <v>1.5081042205024047E-3</v>
      </c>
      <c r="AV105" s="299">
        <f t="shared" si="34"/>
        <v>1.4942424302087272E-3</v>
      </c>
      <c r="AW105" s="299">
        <f t="shared" si="19"/>
        <v>1.485703730370306E-3</v>
      </c>
      <c r="AX105" s="299">
        <f t="shared" si="19"/>
        <v>1.4804755909442031E-3</v>
      </c>
      <c r="AY105" s="299">
        <f t="shared" si="19"/>
        <v>1.4772862691382722E-3</v>
      </c>
      <c r="AZ105" s="306">
        <f t="shared" si="40"/>
        <v>0.16301715232748537</v>
      </c>
      <c r="BA105" s="2">
        <f t="shared" si="40"/>
        <v>0.16301715232748537</v>
      </c>
      <c r="BB105" s="2">
        <f t="shared" si="40"/>
        <v>0.16301715232748537</v>
      </c>
      <c r="BC105" s="2">
        <f t="shared" si="40"/>
        <v>0.16301715232748537</v>
      </c>
      <c r="BD105" s="2">
        <f t="shared" si="40"/>
        <v>0.16301715232748537</v>
      </c>
      <c r="BE105" s="2">
        <f t="shared" si="40"/>
        <v>0.15563598007460103</v>
      </c>
      <c r="BF105" s="2">
        <f t="shared" si="40"/>
        <v>0.15152290083834888</v>
      </c>
      <c r="BG105" s="2">
        <f t="shared" si="40"/>
        <v>0.14565468792107375</v>
      </c>
      <c r="BH105" s="2">
        <f t="shared" si="40"/>
        <v>0.13786674005709504</v>
      </c>
      <c r="BI105" s="2">
        <f t="shared" si="40"/>
        <v>0.12846704314489643</v>
      </c>
      <c r="BJ105" s="2">
        <f t="shared" si="40"/>
        <v>0.11833926650580266</v>
      </c>
      <c r="BK105" s="2">
        <f t="shared" si="38"/>
        <v>0.10867810155165693</v>
      </c>
      <c r="BL105" s="2">
        <f t="shared" si="38"/>
        <v>0.10047533962329191</v>
      </c>
      <c r="BM105" s="2">
        <f t="shared" si="38"/>
        <v>9.4171944462157084E-2</v>
      </c>
      <c r="BN105" s="2">
        <f t="shared" si="38"/>
        <v>8.968939345411317E-2</v>
      </c>
      <c r="BO105" s="2">
        <f t="shared" si="38"/>
        <v>8.6674503186038254E-2</v>
      </c>
      <c r="BP105" s="2">
        <f t="shared" si="35"/>
        <v>8.4722004706121498E-2</v>
      </c>
      <c r="BQ105" s="2">
        <f t="shared" si="35"/>
        <v>8.3488329630166266E-2</v>
      </c>
      <c r="BR105" s="2">
        <f t="shared" si="35"/>
        <v>8.2720943860953813E-2</v>
      </c>
      <c r="BS105" s="2">
        <f t="shared" si="20"/>
        <v>8.2248243249794684E-2</v>
      </c>
      <c r="BT105" s="2">
        <f t="shared" si="20"/>
        <v>8.1958814560566876E-2</v>
      </c>
      <c r="BU105" s="2">
        <f t="shared" si="20"/>
        <v>8.1782254382158553E-2</v>
      </c>
    </row>
    <row r="106" spans="1:73" x14ac:dyDescent="0.25">
      <c r="A106" t="s">
        <v>31</v>
      </c>
      <c r="B106" s="1" t="s">
        <v>5</v>
      </c>
      <c r="C106" t="s">
        <v>8</v>
      </c>
      <c r="D106" t="s">
        <v>8</v>
      </c>
      <c r="E106" s="97">
        <v>4.84063</v>
      </c>
      <c r="F106" s="5">
        <f t="shared" si="29"/>
        <v>1.1859543500000002E-2</v>
      </c>
      <c r="G106" s="1">
        <f>LOOKUP(RIGHT(D106,5),Ref!$C$4:$C$21,Ref!$E$4:$E$21)*$G$3</f>
        <v>4</v>
      </c>
      <c r="H106" s="36">
        <f t="shared" si="43"/>
        <v>4.84063</v>
      </c>
      <c r="I106" s="12">
        <f t="shared" si="43"/>
        <v>4.84063</v>
      </c>
      <c r="J106" s="12">
        <f t="shared" si="43"/>
        <v>4.84063</v>
      </c>
      <c r="K106" s="12">
        <f t="shared" si="43"/>
        <v>4.84063</v>
      </c>
      <c r="L106" s="12">
        <f t="shared" si="43"/>
        <v>4.84063</v>
      </c>
      <c r="M106" s="12">
        <f t="shared" si="42"/>
        <v>5.0702011044795245</v>
      </c>
      <c r="N106" s="12">
        <f t="shared" si="42"/>
        <v>5.2078313819562316</v>
      </c>
      <c r="O106" s="12">
        <f t="shared" si="42"/>
        <v>5.4176472404279226</v>
      </c>
      <c r="P106" s="12">
        <f t="shared" si="42"/>
        <v>5.7236844633027628</v>
      </c>
      <c r="Q106" s="12">
        <f t="shared" si="42"/>
        <v>6.1424759125262396</v>
      </c>
      <c r="R106" s="12">
        <f t="shared" si="42"/>
        <v>6.6681646876043672</v>
      </c>
      <c r="S106" s="12">
        <f t="shared" si="42"/>
        <v>7.2609449999999995</v>
      </c>
      <c r="T106" s="12">
        <f t="shared" si="42"/>
        <v>7.8537253123956328</v>
      </c>
      <c r="U106" s="12">
        <f t="shared" si="42"/>
        <v>8.3794140874737604</v>
      </c>
      <c r="V106" s="12">
        <f t="shared" si="42"/>
        <v>8.7982055366972372</v>
      </c>
      <c r="W106" s="12">
        <f t="shared" si="42"/>
        <v>9.1042427595720756</v>
      </c>
      <c r="X106" s="12">
        <f t="shared" si="42"/>
        <v>9.3140586180437683</v>
      </c>
      <c r="Y106" s="12">
        <f t="shared" si="42"/>
        <v>9.4516888955204745</v>
      </c>
      <c r="Z106" s="12">
        <f t="shared" si="42"/>
        <v>9.5393703364580631</v>
      </c>
      <c r="AA106" s="12">
        <f t="shared" si="42"/>
        <v>9.5941954124712012</v>
      </c>
      <c r="AB106" s="12">
        <f t="shared" si="42"/>
        <v>9.6280762758940721</v>
      </c>
      <c r="AC106" s="12">
        <f t="shared" si="41"/>
        <v>9.6488623850303803</v>
      </c>
      <c r="AD106" s="300">
        <f t="shared" si="39"/>
        <v>2.8392166109637092E-3</v>
      </c>
      <c r="AE106" s="299">
        <f t="shared" si="39"/>
        <v>2.8392166109637092E-3</v>
      </c>
      <c r="AF106" s="299">
        <f t="shared" si="39"/>
        <v>2.8392166109637092E-3</v>
      </c>
      <c r="AG106" s="299">
        <f t="shared" si="39"/>
        <v>2.8392166109637092E-3</v>
      </c>
      <c r="AH106" s="299">
        <f t="shared" si="39"/>
        <v>2.8392166109637092E-3</v>
      </c>
      <c r="AI106" s="299">
        <f t="shared" si="39"/>
        <v>2.7106611395328654E-3</v>
      </c>
      <c r="AJ106" s="299">
        <f t="shared" si="39"/>
        <v>2.6390249790243236E-3</v>
      </c>
      <c r="AK106" s="299">
        <f t="shared" si="39"/>
        <v>2.536820227232753E-3</v>
      </c>
      <c r="AL106" s="299">
        <f t="shared" si="39"/>
        <v>2.4011800775612167E-3</v>
      </c>
      <c r="AM106" s="299">
        <f t="shared" si="39"/>
        <v>2.2374686200237583E-3</v>
      </c>
      <c r="AN106" s="299">
        <f t="shared" si="39"/>
        <v>2.0610764351812736E-3</v>
      </c>
      <c r="AO106" s="299">
        <f t="shared" si="37"/>
        <v>1.8928110739758063E-3</v>
      </c>
      <c r="AP106" s="299">
        <f t="shared" si="37"/>
        <v>1.749946242942514E-3</v>
      </c>
      <c r="AQ106" s="299">
        <f t="shared" si="37"/>
        <v>1.6401620638457673E-3</v>
      </c>
      <c r="AR106" s="299">
        <f t="shared" si="37"/>
        <v>1.5620909339074699E-3</v>
      </c>
      <c r="AS106" s="299">
        <f t="shared" si="37"/>
        <v>1.5095815727320574E-3</v>
      </c>
      <c r="AT106" s="299">
        <f t="shared" si="34"/>
        <v>1.4755755430725245E-3</v>
      </c>
      <c r="AU106" s="299">
        <f t="shared" si="34"/>
        <v>1.4540890263583356E-3</v>
      </c>
      <c r="AV106" s="299">
        <f t="shared" si="34"/>
        <v>1.4407237185250334E-3</v>
      </c>
      <c r="AW106" s="299">
        <f t="shared" si="19"/>
        <v>1.4324908460447217E-3</v>
      </c>
      <c r="AX106" s="299">
        <f t="shared" si="19"/>
        <v>1.4274499608960584E-3</v>
      </c>
      <c r="AY106" s="299">
        <f t="shared" si="19"/>
        <v>1.4243748698138353E-3</v>
      </c>
      <c r="AZ106" s="306">
        <f t="shared" si="40"/>
        <v>0.15717842910658691</v>
      </c>
      <c r="BA106" s="2">
        <f t="shared" si="40"/>
        <v>0.15717842910658691</v>
      </c>
      <c r="BB106" s="2">
        <f t="shared" si="40"/>
        <v>0.15717842910658691</v>
      </c>
      <c r="BC106" s="2">
        <f t="shared" si="40"/>
        <v>0.15717842910658691</v>
      </c>
      <c r="BD106" s="2">
        <f t="shared" si="40"/>
        <v>0.15717842910658691</v>
      </c>
      <c r="BE106" s="2">
        <f t="shared" si="40"/>
        <v>0.15006162548740187</v>
      </c>
      <c r="BF106" s="2">
        <f t="shared" si="40"/>
        <v>0.14609586284270601</v>
      </c>
      <c r="BG106" s="2">
        <f t="shared" si="40"/>
        <v>0.14043782947117858</v>
      </c>
      <c r="BH106" s="2">
        <f t="shared" si="40"/>
        <v>0.13292881956794408</v>
      </c>
      <c r="BI106" s="2">
        <f t="shared" si="40"/>
        <v>0.12386578801793023</v>
      </c>
      <c r="BJ106" s="2">
        <f t="shared" si="40"/>
        <v>0.11410075409513637</v>
      </c>
      <c r="BK106" s="2">
        <f t="shared" si="38"/>
        <v>0.10478561940439128</v>
      </c>
      <c r="BL106" s="2">
        <f t="shared" si="38"/>
        <v>9.68766526740336E-2</v>
      </c>
      <c r="BM106" s="2">
        <f t="shared" si="38"/>
        <v>9.079902381523168E-2</v>
      </c>
      <c r="BN106" s="2">
        <f t="shared" si="38"/>
        <v>8.6477022628392797E-2</v>
      </c>
      <c r="BO106" s="2">
        <f t="shared" si="38"/>
        <v>8.3570115536108519E-2</v>
      </c>
      <c r="BP106" s="2">
        <f t="shared" si="35"/>
        <v>8.1687548950171579E-2</v>
      </c>
      <c r="BQ106" s="2">
        <f t="shared" si="35"/>
        <v>8.049805994427206E-2</v>
      </c>
      <c r="BR106" s="2">
        <f t="shared" si="35"/>
        <v>7.9758159338713344E-2</v>
      </c>
      <c r="BS106" s="2">
        <f t="shared" si="20"/>
        <v>7.930238926520318E-2</v>
      </c>
      <c r="BT106" s="2">
        <f t="shared" si="20"/>
        <v>7.9023326933039401E-2</v>
      </c>
      <c r="BU106" s="2">
        <f t="shared" si="20"/>
        <v>7.885309054325601E-2</v>
      </c>
    </row>
    <row r="107" spans="1:73" x14ac:dyDescent="0.25">
      <c r="A107" t="s">
        <v>31</v>
      </c>
      <c r="B107" s="1" t="s">
        <v>5</v>
      </c>
      <c r="C107" t="s">
        <v>9</v>
      </c>
      <c r="D107" t="s">
        <v>9</v>
      </c>
      <c r="E107" s="97">
        <v>5.4611299999999998</v>
      </c>
      <c r="F107" s="5">
        <f t="shared" si="29"/>
        <v>1.3379768499999998E-2</v>
      </c>
      <c r="G107" s="1">
        <f>LOOKUP(RIGHT(D107,5),Ref!$C$4:$C$21,Ref!$E$4:$E$21)*$G$3</f>
        <v>4.5</v>
      </c>
      <c r="H107" s="36">
        <f t="shared" si="43"/>
        <v>5.4611299999999998</v>
      </c>
      <c r="I107" s="12">
        <f t="shared" si="43"/>
        <v>5.4611299999999998</v>
      </c>
      <c r="J107" s="12">
        <f t="shared" si="43"/>
        <v>5.4611299999999998</v>
      </c>
      <c r="K107" s="12">
        <f t="shared" si="43"/>
        <v>5.4611299999999998</v>
      </c>
      <c r="L107" s="12">
        <f t="shared" si="43"/>
        <v>5.4611299999999998</v>
      </c>
      <c r="M107" s="12">
        <f t="shared" si="42"/>
        <v>5.7201288587862047</v>
      </c>
      <c r="N107" s="12">
        <f t="shared" si="42"/>
        <v>5.8754013826594127</v>
      </c>
      <c r="O107" s="12">
        <f t="shared" si="42"/>
        <v>6.1121126535426464</v>
      </c>
      <c r="P107" s="12">
        <f t="shared" si="42"/>
        <v>6.4573795008246062</v>
      </c>
      <c r="Q107" s="12">
        <f t="shared" si="42"/>
        <v>6.9298540644863218</v>
      </c>
      <c r="R107" s="12">
        <f t="shared" si="42"/>
        <v>7.5229286725936158</v>
      </c>
      <c r="S107" s="12">
        <f t="shared" si="42"/>
        <v>8.1916949999999993</v>
      </c>
      <c r="T107" s="12">
        <f t="shared" si="42"/>
        <v>8.8604613274063837</v>
      </c>
      <c r="U107" s="12">
        <f t="shared" si="42"/>
        <v>9.4535359355136777</v>
      </c>
      <c r="V107" s="12">
        <f t="shared" si="42"/>
        <v>9.9260104991753924</v>
      </c>
      <c r="W107" s="12">
        <f t="shared" si="42"/>
        <v>10.271277346457351</v>
      </c>
      <c r="X107" s="12">
        <f t="shared" si="42"/>
        <v>10.507988617340587</v>
      </c>
      <c r="Y107" s="12">
        <f t="shared" si="42"/>
        <v>10.663261141213795</v>
      </c>
      <c r="Z107" s="12">
        <f t="shared" si="42"/>
        <v>10.762182097276845</v>
      </c>
      <c r="AA107" s="12">
        <f t="shared" si="42"/>
        <v>10.824034969189723</v>
      </c>
      <c r="AB107" s="12">
        <f t="shared" si="42"/>
        <v>10.862258877991788</v>
      </c>
      <c r="AC107" s="12">
        <f t="shared" si="41"/>
        <v>10.885709471031861</v>
      </c>
      <c r="AD107" s="300">
        <f t="shared" si="39"/>
        <v>2.5166214874081483E-3</v>
      </c>
      <c r="AE107" s="299">
        <f t="shared" si="39"/>
        <v>2.5166214874081483E-3</v>
      </c>
      <c r="AF107" s="299">
        <f t="shared" si="39"/>
        <v>2.5166214874081483E-3</v>
      </c>
      <c r="AG107" s="299">
        <f t="shared" si="39"/>
        <v>2.5166214874081483E-3</v>
      </c>
      <c r="AH107" s="299">
        <f t="shared" si="39"/>
        <v>2.5166214874081483E-3</v>
      </c>
      <c r="AI107" s="299">
        <f t="shared" si="39"/>
        <v>2.4026726395191054E-3</v>
      </c>
      <c r="AJ107" s="299">
        <f t="shared" si="39"/>
        <v>2.3391758636426003E-3</v>
      </c>
      <c r="AK107" s="299">
        <f t="shared" si="39"/>
        <v>2.2485837357011608E-3</v>
      </c>
      <c r="AL107" s="299">
        <f t="shared" si="39"/>
        <v>2.1283551790279949E-3</v>
      </c>
      <c r="AM107" s="299">
        <f t="shared" si="39"/>
        <v>1.9832448094342387E-3</v>
      </c>
      <c r="AN107" s="299">
        <f t="shared" si="39"/>
        <v>1.8268945116544616E-3</v>
      </c>
      <c r="AO107" s="299">
        <f t="shared" si="37"/>
        <v>1.6777476582720988E-3</v>
      </c>
      <c r="AP107" s="299">
        <f t="shared" si="37"/>
        <v>1.5511152970126734E-3</v>
      </c>
      <c r="AQ107" s="299">
        <f t="shared" si="37"/>
        <v>1.4538049251919909E-3</v>
      </c>
      <c r="AR107" s="299">
        <f t="shared" si="37"/>
        <v>1.3846043286646749E-3</v>
      </c>
      <c r="AS107" s="299">
        <f t="shared" si="37"/>
        <v>1.3380611427330936E-3</v>
      </c>
      <c r="AT107" s="299">
        <f t="shared" si="34"/>
        <v>1.3079189180743094E-3</v>
      </c>
      <c r="AU107" s="299">
        <f t="shared" si="34"/>
        <v>1.2888737246066198E-3</v>
      </c>
      <c r="AV107" s="299">
        <f t="shared" si="34"/>
        <v>1.2770269987353959E-3</v>
      </c>
      <c r="AW107" s="299">
        <f t="shared" si="19"/>
        <v>1.2697295548887249E-3</v>
      </c>
      <c r="AX107" s="299">
        <f t="shared" si="19"/>
        <v>1.2652614210268364E-3</v>
      </c>
      <c r="AY107" s="299">
        <f t="shared" si="19"/>
        <v>1.2625357254024252E-3</v>
      </c>
      <c r="AZ107" s="306">
        <f t="shared" si="40"/>
        <v>0.13931963152062263</v>
      </c>
      <c r="BA107" s="2">
        <f t="shared" si="40"/>
        <v>0.13931963152062263</v>
      </c>
      <c r="BB107" s="2">
        <f t="shared" si="40"/>
        <v>0.13931963152062263</v>
      </c>
      <c r="BC107" s="2">
        <f t="shared" si="40"/>
        <v>0.13931963152062263</v>
      </c>
      <c r="BD107" s="2">
        <f t="shared" si="40"/>
        <v>0.13931963152062263</v>
      </c>
      <c r="BE107" s="2">
        <f t="shared" si="40"/>
        <v>0.13301144748121399</v>
      </c>
      <c r="BF107" s="2">
        <f t="shared" si="40"/>
        <v>0.12949627944258571</v>
      </c>
      <c r="BG107" s="2">
        <f t="shared" si="40"/>
        <v>0.12448111846322485</v>
      </c>
      <c r="BH107" s="2">
        <f t="shared" si="40"/>
        <v>0.11782529107806941</v>
      </c>
      <c r="BI107" s="2">
        <f t="shared" si="40"/>
        <v>0.10979201180950346</v>
      </c>
      <c r="BJ107" s="2">
        <f t="shared" si="40"/>
        <v>0.10113649250165077</v>
      </c>
      <c r="BK107" s="2">
        <f t="shared" si="38"/>
        <v>9.2879754347081747E-2</v>
      </c>
      <c r="BL107" s="2">
        <f t="shared" si="38"/>
        <v>8.5869413698906133E-2</v>
      </c>
      <c r="BM107" s="2">
        <f t="shared" si="38"/>
        <v>8.0482332163988937E-2</v>
      </c>
      <c r="BN107" s="2">
        <f t="shared" si="38"/>
        <v>7.6651401824471679E-2</v>
      </c>
      <c r="BO107" s="2">
        <f t="shared" si="38"/>
        <v>7.4074780927674846E-2</v>
      </c>
      <c r="BP107" s="2">
        <f t="shared" si="35"/>
        <v>7.2406113766687305E-2</v>
      </c>
      <c r="BQ107" s="2">
        <f t="shared" si="35"/>
        <v>7.1351775897669834E-2</v>
      </c>
      <c r="BR107" s="2">
        <f t="shared" si="35"/>
        <v>7.069594366729158E-2</v>
      </c>
      <c r="BS107" s="2">
        <f t="shared" si="20"/>
        <v>7.0291958724443562E-2</v>
      </c>
      <c r="BT107" s="2">
        <f t="shared" si="20"/>
        <v>7.0044603781978923E-2</v>
      </c>
      <c r="BU107" s="2">
        <f t="shared" si="20"/>
        <v>6.9893709850598937E-2</v>
      </c>
    </row>
    <row r="108" spans="1:73" x14ac:dyDescent="0.25">
      <c r="A108" t="s">
        <v>33</v>
      </c>
      <c r="B108" s="1" t="s">
        <v>5</v>
      </c>
      <c r="C108" t="s">
        <v>13</v>
      </c>
      <c r="D108" t="s">
        <v>13</v>
      </c>
      <c r="E108" s="97">
        <v>5.6863349999999997</v>
      </c>
      <c r="F108" s="5">
        <f t="shared" si="29"/>
        <v>1.3931520750000001E-2</v>
      </c>
      <c r="G108" s="1">
        <f>LOOKUP(RIGHT(D108,5),Ref!$C$4:$C$21,Ref!$E$4:$E$21)*$G$3</f>
        <v>1.5</v>
      </c>
      <c r="H108" s="36">
        <f t="shared" si="43"/>
        <v>5.6863349999999997</v>
      </c>
      <c r="I108" s="12">
        <f t="shared" si="43"/>
        <v>5.6863349999999997</v>
      </c>
      <c r="J108" s="12">
        <f t="shared" si="43"/>
        <v>5.6863349999999997</v>
      </c>
      <c r="K108" s="12">
        <f t="shared" si="43"/>
        <v>5.6863349999999997</v>
      </c>
      <c r="L108" s="12">
        <f t="shared" si="43"/>
        <v>5.6863349999999997</v>
      </c>
      <c r="M108" s="12">
        <f t="shared" si="42"/>
        <v>5.9560144025551587</v>
      </c>
      <c r="N108" s="12">
        <f t="shared" si="42"/>
        <v>6.1176900240910967</v>
      </c>
      <c r="O108" s="12">
        <f t="shared" si="42"/>
        <v>6.3641627475966374</v>
      </c>
      <c r="P108" s="12">
        <f t="shared" si="42"/>
        <v>6.7236676409134173</v>
      </c>
      <c r="Q108" s="12">
        <f t="shared" si="42"/>
        <v>7.2156260172859517</v>
      </c>
      <c r="R108" s="12">
        <f t="shared" si="42"/>
        <v>7.8331577189103028</v>
      </c>
      <c r="S108" s="12">
        <f t="shared" si="42"/>
        <v>8.5295024999999995</v>
      </c>
      <c r="T108" s="12">
        <f t="shared" si="42"/>
        <v>9.2258472810896972</v>
      </c>
      <c r="U108" s="12">
        <f t="shared" si="42"/>
        <v>9.8433789827140483</v>
      </c>
      <c r="V108" s="12">
        <f t="shared" si="42"/>
        <v>10.335337359086582</v>
      </c>
      <c r="W108" s="12">
        <f t="shared" si="42"/>
        <v>10.69484225240336</v>
      </c>
      <c r="X108" s="12">
        <f t="shared" si="42"/>
        <v>10.941314975908902</v>
      </c>
      <c r="Y108" s="12">
        <f t="shared" si="42"/>
        <v>11.10299059744484</v>
      </c>
      <c r="Z108" s="12">
        <f t="shared" si="42"/>
        <v>11.205990836350486</v>
      </c>
      <c r="AA108" s="12">
        <f t="shared" si="42"/>
        <v>11.27039438477521</v>
      </c>
      <c r="AB108" s="12">
        <f t="shared" si="42"/>
        <v>11.310194563576665</v>
      </c>
      <c r="AC108" s="12">
        <f t="shared" si="41"/>
        <v>11.334612207539458</v>
      </c>
      <c r="AD108" s="300">
        <f t="shared" si="39"/>
        <v>2.4169517102895382E-3</v>
      </c>
      <c r="AE108" s="299">
        <f t="shared" si="39"/>
        <v>2.4169517102895382E-3</v>
      </c>
      <c r="AF108" s="299">
        <f t="shared" si="39"/>
        <v>2.4169517102895382E-3</v>
      </c>
      <c r="AG108" s="299">
        <f t="shared" si="39"/>
        <v>2.4169517102895382E-3</v>
      </c>
      <c r="AH108" s="299">
        <f t="shared" si="39"/>
        <v>2.4169517102895382E-3</v>
      </c>
      <c r="AI108" s="299">
        <f t="shared" si="39"/>
        <v>2.3075157604778777E-3</v>
      </c>
      <c r="AJ108" s="299">
        <f t="shared" si="39"/>
        <v>2.246533748752846E-3</v>
      </c>
      <c r="AK108" s="299">
        <f t="shared" si="39"/>
        <v>2.159529485433004E-3</v>
      </c>
      <c r="AL108" s="299">
        <f t="shared" si="39"/>
        <v>2.0440625321661763E-3</v>
      </c>
      <c r="AM108" s="299">
        <f t="shared" si="39"/>
        <v>1.9046992001254945E-3</v>
      </c>
      <c r="AN108" s="299">
        <f t="shared" si="39"/>
        <v>1.7545410927128858E-3</v>
      </c>
      <c r="AO108" s="299">
        <f t="shared" si="37"/>
        <v>1.6113011401930255E-3</v>
      </c>
      <c r="AP108" s="299">
        <f t="shared" si="37"/>
        <v>1.4896840024329944E-3</v>
      </c>
      <c r="AQ108" s="299">
        <f t="shared" si="37"/>
        <v>1.3962275685681087E-3</v>
      </c>
      <c r="AR108" s="299">
        <f t="shared" si="37"/>
        <v>1.3297676337044012E-3</v>
      </c>
      <c r="AS108" s="299">
        <f t="shared" si="37"/>
        <v>1.2850677718449545E-3</v>
      </c>
      <c r="AT108" s="299">
        <f t="shared" si="34"/>
        <v>1.2561193178142254E-3</v>
      </c>
      <c r="AU108" s="299">
        <f t="shared" si="34"/>
        <v>1.2378284015382404E-3</v>
      </c>
      <c r="AV108" s="299">
        <f t="shared" si="34"/>
        <v>1.2264508604582448E-3</v>
      </c>
      <c r="AW108" s="299">
        <f t="shared" si="19"/>
        <v>1.2194424289264458E-3</v>
      </c>
      <c r="AX108" s="299">
        <f t="shared" si="19"/>
        <v>1.2151512537007206E-3</v>
      </c>
      <c r="AY108" s="299">
        <f t="shared" si="19"/>
        <v>1.2125335081501433E-3</v>
      </c>
      <c r="AZ108" s="306">
        <f t="shared" si="40"/>
        <v>0.13380193380907349</v>
      </c>
      <c r="BA108" s="2">
        <f t="shared" si="40"/>
        <v>0.13380193380907349</v>
      </c>
      <c r="BB108" s="2">
        <f t="shared" si="40"/>
        <v>0.13380193380907349</v>
      </c>
      <c r="BC108" s="2">
        <f t="shared" si="40"/>
        <v>0.13380193380907349</v>
      </c>
      <c r="BD108" s="2">
        <f t="shared" si="40"/>
        <v>0.13380193380907349</v>
      </c>
      <c r="BE108" s="2">
        <f t="shared" si="40"/>
        <v>0.12774358284960033</v>
      </c>
      <c r="BF108" s="2">
        <f t="shared" si="40"/>
        <v>0.12436763162076946</v>
      </c>
      <c r="BG108" s="2">
        <f t="shared" si="40"/>
        <v>0.1195510940655222</v>
      </c>
      <c r="BH108" s="2">
        <f t="shared" si="40"/>
        <v>0.11315886803453844</v>
      </c>
      <c r="BI108" s="2">
        <f t="shared" si="40"/>
        <v>0.10544374354540026</v>
      </c>
      <c r="BJ108" s="2">
        <f t="shared" si="40"/>
        <v>9.7131022582303009E-2</v>
      </c>
      <c r="BK108" s="2">
        <f t="shared" si="38"/>
        <v>8.9201289206048986E-2</v>
      </c>
      <c r="BL108" s="2">
        <f t="shared" si="38"/>
        <v>8.2468590266578962E-2</v>
      </c>
      <c r="BM108" s="2">
        <f t="shared" si="38"/>
        <v>7.7294861919096375E-2</v>
      </c>
      <c r="BN108" s="2">
        <f t="shared" si="38"/>
        <v>7.3615654027713293E-2</v>
      </c>
      <c r="BO108" s="2">
        <f t="shared" si="38"/>
        <v>7.1141079160399967E-2</v>
      </c>
      <c r="BP108" s="2">
        <f t="shared" si="35"/>
        <v>6.9538498888065695E-2</v>
      </c>
      <c r="BQ108" s="2">
        <f t="shared" si="35"/>
        <v>6.8525917644324807E-2</v>
      </c>
      <c r="BR108" s="2">
        <f t="shared" si="35"/>
        <v>6.7896059384428817E-2</v>
      </c>
      <c r="BS108" s="2">
        <f t="shared" si="20"/>
        <v>6.7508074102004267E-2</v>
      </c>
      <c r="BT108" s="2">
        <f t="shared" si="20"/>
        <v>6.7270515552087337E-2</v>
      </c>
      <c r="BU108" s="2">
        <f t="shared" si="20"/>
        <v>6.7125597713888013E-2</v>
      </c>
    </row>
    <row r="109" spans="1:73" x14ac:dyDescent="0.25">
      <c r="A109" t="s">
        <v>33</v>
      </c>
      <c r="B109" s="1" t="s">
        <v>5</v>
      </c>
      <c r="C109" t="s">
        <v>14</v>
      </c>
      <c r="D109" t="s">
        <v>14</v>
      </c>
      <c r="E109" s="97">
        <v>6.0998799999999997</v>
      </c>
      <c r="F109" s="5">
        <f t="shared" si="29"/>
        <v>1.4944706E-2</v>
      </c>
      <c r="G109" s="1">
        <f>LOOKUP(RIGHT(D109,5),Ref!$C$4:$C$21,Ref!$E$4:$E$21)*$G$3</f>
        <v>2</v>
      </c>
      <c r="H109" s="36">
        <f t="shared" si="43"/>
        <v>6.0998799999999997</v>
      </c>
      <c r="I109" s="12">
        <f t="shared" si="43"/>
        <v>6.0998799999999997</v>
      </c>
      <c r="J109" s="12">
        <f t="shared" si="43"/>
        <v>6.0998799999999997</v>
      </c>
      <c r="K109" s="12">
        <f t="shared" si="43"/>
        <v>6.0998799999999997</v>
      </c>
      <c r="L109" s="12">
        <f t="shared" si="43"/>
        <v>6.0998799999999997</v>
      </c>
      <c r="M109" s="12">
        <f t="shared" si="42"/>
        <v>6.3891721352783755</v>
      </c>
      <c r="N109" s="12">
        <f t="shared" si="42"/>
        <v>6.5626057951479826</v>
      </c>
      <c r="O109" s="12">
        <f t="shared" si="42"/>
        <v>6.8270035199842747</v>
      </c>
      <c r="P109" s="12">
        <f t="shared" si="42"/>
        <v>7.2126538041559165</v>
      </c>
      <c r="Q109" s="12">
        <f t="shared" si="42"/>
        <v>7.7403903973864061</v>
      </c>
      <c r="R109" s="12">
        <f t="shared" si="42"/>
        <v>8.4028327747884308</v>
      </c>
      <c r="S109" s="12">
        <f t="shared" si="42"/>
        <v>9.1498200000000001</v>
      </c>
      <c r="T109" s="12">
        <f t="shared" si="42"/>
        <v>9.8968072252115675</v>
      </c>
      <c r="U109" s="12">
        <f t="shared" si="42"/>
        <v>10.559249602613594</v>
      </c>
      <c r="V109" s="12">
        <f t="shared" si="42"/>
        <v>11.086986195844082</v>
      </c>
      <c r="W109" s="12">
        <f t="shared" si="42"/>
        <v>11.472636480015723</v>
      </c>
      <c r="X109" s="12">
        <f t="shared" si="42"/>
        <v>11.737034204852018</v>
      </c>
      <c r="Y109" s="12">
        <f t="shared" si="42"/>
        <v>11.910467864721623</v>
      </c>
      <c r="Z109" s="12">
        <f t="shared" si="42"/>
        <v>12.020958909884417</v>
      </c>
      <c r="AA109" s="12">
        <f t="shared" si="42"/>
        <v>12.090046277576436</v>
      </c>
      <c r="AB109" s="12">
        <f t="shared" si="42"/>
        <v>12.132740968386498</v>
      </c>
      <c r="AC109" s="12">
        <f t="shared" si="41"/>
        <v>12.158934412503973</v>
      </c>
      <c r="AD109" s="300">
        <f t="shared" si="39"/>
        <v>2.2530930286381468E-3</v>
      </c>
      <c r="AE109" s="299">
        <f t="shared" si="39"/>
        <v>2.2530930286381468E-3</v>
      </c>
      <c r="AF109" s="299">
        <f t="shared" si="39"/>
        <v>2.2530930286381468E-3</v>
      </c>
      <c r="AG109" s="299">
        <f t="shared" si="39"/>
        <v>2.2530930286381468E-3</v>
      </c>
      <c r="AH109" s="299">
        <f t="shared" si="39"/>
        <v>2.2530930286381468E-3</v>
      </c>
      <c r="AI109" s="299">
        <f t="shared" si="39"/>
        <v>2.1510763542654894E-3</v>
      </c>
      <c r="AJ109" s="299">
        <f t="shared" si="39"/>
        <v>2.0942286543693504E-3</v>
      </c>
      <c r="AK109" s="299">
        <f t="shared" si="39"/>
        <v>2.0131228969339854E-3</v>
      </c>
      <c r="AL109" s="299">
        <f t="shared" si="39"/>
        <v>1.9054840945797547E-3</v>
      </c>
      <c r="AM109" s="299">
        <f t="shared" si="39"/>
        <v>1.7755689826923814E-3</v>
      </c>
      <c r="AN109" s="299">
        <f t="shared" si="39"/>
        <v>1.6355909336628802E-3</v>
      </c>
      <c r="AO109" s="299">
        <f t="shared" si="37"/>
        <v>1.5020620190920979E-3</v>
      </c>
      <c r="AP109" s="299">
        <f t="shared" si="37"/>
        <v>1.388689987667761E-3</v>
      </c>
      <c r="AQ109" s="299">
        <f t="shared" si="37"/>
        <v>1.3015694884348113E-3</v>
      </c>
      <c r="AR109" s="299">
        <f t="shared" si="37"/>
        <v>1.2396152444639102E-3</v>
      </c>
      <c r="AS109" s="299">
        <f t="shared" si="37"/>
        <v>1.1979458363794008E-3</v>
      </c>
      <c r="AT109" s="299">
        <f t="shared" si="34"/>
        <v>1.1709599600423538E-3</v>
      </c>
      <c r="AU109" s="299">
        <f t="shared" si="34"/>
        <v>1.1539090873363001E-3</v>
      </c>
      <c r="AV109" s="299">
        <f t="shared" si="34"/>
        <v>1.1433028934345975E-3</v>
      </c>
      <c r="AW109" s="299">
        <f t="shared" si="19"/>
        <v>1.1367696026953749E-3</v>
      </c>
      <c r="AX109" s="299">
        <f t="shared" si="19"/>
        <v>1.1327693502515273E-3</v>
      </c>
      <c r="AY109" s="299">
        <f t="shared" si="19"/>
        <v>1.1303290763206729E-3</v>
      </c>
      <c r="AZ109" s="306">
        <f t="shared" si="40"/>
        <v>0.12473075196335302</v>
      </c>
      <c r="BA109" s="2">
        <f t="shared" si="40"/>
        <v>0.12473075196335302</v>
      </c>
      <c r="BB109" s="2">
        <f t="shared" si="40"/>
        <v>0.12473075196335302</v>
      </c>
      <c r="BC109" s="2">
        <f t="shared" si="40"/>
        <v>0.12473075196335302</v>
      </c>
      <c r="BD109" s="2">
        <f t="shared" si="40"/>
        <v>0.12473075196335302</v>
      </c>
      <c r="BE109" s="2">
        <f t="shared" si="40"/>
        <v>0.11908313051782693</v>
      </c>
      <c r="BF109" s="2">
        <f t="shared" si="40"/>
        <v>0.11593605391455046</v>
      </c>
      <c r="BG109" s="2">
        <f t="shared" si="40"/>
        <v>0.11144605639341611</v>
      </c>
      <c r="BH109" s="2">
        <f t="shared" si="40"/>
        <v>0.105487195135835</v>
      </c>
      <c r="BI109" s="2">
        <f t="shared" si="40"/>
        <v>9.8295122109489638E-2</v>
      </c>
      <c r="BJ109" s="2">
        <f t="shared" si="40"/>
        <v>9.0545967018292178E-2</v>
      </c>
      <c r="BK109" s="2">
        <f t="shared" si="38"/>
        <v>8.3153834642235344E-2</v>
      </c>
      <c r="BL109" s="2">
        <f t="shared" si="38"/>
        <v>7.6877583039913461E-2</v>
      </c>
      <c r="BM109" s="2">
        <f t="shared" si="38"/>
        <v>7.2054610689181578E-2</v>
      </c>
      <c r="BN109" s="2">
        <f t="shared" si="38"/>
        <v>6.8624836889525212E-2</v>
      </c>
      <c r="BO109" s="2">
        <f t="shared" si="38"/>
        <v>6.6318027300135904E-2</v>
      </c>
      <c r="BP109" s="2">
        <f t="shared" si="35"/>
        <v>6.4824094912468613E-2</v>
      </c>
      <c r="BQ109" s="2">
        <f t="shared" si="35"/>
        <v>6.3880162217624228E-2</v>
      </c>
      <c r="BR109" s="2">
        <f t="shared" si="35"/>
        <v>6.3293005573840141E-2</v>
      </c>
      <c r="BS109" s="2">
        <f t="shared" si="20"/>
        <v>6.2931323984868642E-2</v>
      </c>
      <c r="BT109" s="2">
        <f t="shared" si="20"/>
        <v>6.2709870858423208E-2</v>
      </c>
      <c r="BU109" s="2">
        <f t="shared" si="20"/>
        <v>6.2574777811432586E-2</v>
      </c>
    </row>
    <row r="110" spans="1:73" x14ac:dyDescent="0.25">
      <c r="A110" t="s">
        <v>33</v>
      </c>
      <c r="B110" s="1" t="s">
        <v>5</v>
      </c>
      <c r="C110" t="s">
        <v>15</v>
      </c>
      <c r="D110" t="s">
        <v>15</v>
      </c>
      <c r="E110" s="97">
        <v>5.8345250000000002</v>
      </c>
      <c r="F110" s="5">
        <f t="shared" si="29"/>
        <v>1.4294586250000001E-2</v>
      </c>
      <c r="G110" s="1">
        <f>LOOKUP(RIGHT(D110,5),Ref!$C$4:$C$21,Ref!$E$4:$E$21)*$G$3</f>
        <v>2.5</v>
      </c>
      <c r="H110" s="36">
        <f t="shared" si="43"/>
        <v>5.8345250000000002</v>
      </c>
      <c r="I110" s="12">
        <f t="shared" si="43"/>
        <v>5.8345250000000002</v>
      </c>
      <c r="J110" s="12">
        <f t="shared" si="43"/>
        <v>5.8345250000000002</v>
      </c>
      <c r="K110" s="12">
        <f t="shared" si="43"/>
        <v>5.8345250000000002</v>
      </c>
      <c r="L110" s="12">
        <f t="shared" si="43"/>
        <v>5.8345250000000002</v>
      </c>
      <c r="M110" s="12">
        <f t="shared" si="42"/>
        <v>6.1112324427013425</v>
      </c>
      <c r="N110" s="12">
        <f t="shared" si="42"/>
        <v>6.2771214477884456</v>
      </c>
      <c r="O110" s="12">
        <f t="shared" si="42"/>
        <v>6.5300174286110959</v>
      </c>
      <c r="P110" s="12">
        <f t="shared" si="42"/>
        <v>6.8988912792862811</v>
      </c>
      <c r="Q110" s="12">
        <f t="shared" si="42"/>
        <v>7.4036704465187713</v>
      </c>
      <c r="R110" s="12">
        <f t="shared" si="42"/>
        <v>8.037295470619501</v>
      </c>
      <c r="S110" s="12">
        <f t="shared" si="42"/>
        <v>8.7517875000000007</v>
      </c>
      <c r="T110" s="12">
        <f t="shared" si="42"/>
        <v>9.4662795293805004</v>
      </c>
      <c r="U110" s="12">
        <f t="shared" si="42"/>
        <v>10.099904553481229</v>
      </c>
      <c r="V110" s="12">
        <f t="shared" si="42"/>
        <v>10.604683720713719</v>
      </c>
      <c r="W110" s="12">
        <f t="shared" si="42"/>
        <v>10.973557571388904</v>
      </c>
      <c r="X110" s="12">
        <f t="shared" si="42"/>
        <v>11.226453552211554</v>
      </c>
      <c r="Y110" s="12">
        <f t="shared" si="42"/>
        <v>11.392342557298658</v>
      </c>
      <c r="Z110" s="12">
        <f t="shared" si="42"/>
        <v>11.498027056875443</v>
      </c>
      <c r="AA110" s="12">
        <f t="shared" si="42"/>
        <v>11.564109008320928</v>
      </c>
      <c r="AB110" s="12">
        <f t="shared" si="42"/>
        <v>11.604946408548239</v>
      </c>
      <c r="AC110" s="12">
        <f t="shared" si="41"/>
        <v>11.630000393960987</v>
      </c>
      <c r="AD110" s="300">
        <f t="shared" si="39"/>
        <v>2.3555640096716117E-3</v>
      </c>
      <c r="AE110" s="299">
        <f t="shared" si="39"/>
        <v>2.3555640096716117E-3</v>
      </c>
      <c r="AF110" s="299">
        <f t="shared" si="39"/>
        <v>2.3555640096716117E-3</v>
      </c>
      <c r="AG110" s="299">
        <f t="shared" si="39"/>
        <v>2.3555640096716117E-3</v>
      </c>
      <c r="AH110" s="299">
        <f t="shared" si="39"/>
        <v>2.3555640096716117E-3</v>
      </c>
      <c r="AI110" s="299">
        <f t="shared" si="39"/>
        <v>2.24890760290803E-3</v>
      </c>
      <c r="AJ110" s="299">
        <f t="shared" si="39"/>
        <v>2.1894744617967209E-3</v>
      </c>
      <c r="AK110" s="299">
        <f t="shared" si="39"/>
        <v>2.1046800033506889E-3</v>
      </c>
      <c r="AL110" s="299">
        <f t="shared" si="39"/>
        <v>1.9921457734511641E-3</v>
      </c>
      <c r="AM110" s="299">
        <f t="shared" si="39"/>
        <v>1.8563221043950628E-3</v>
      </c>
      <c r="AN110" s="299">
        <f t="shared" si="39"/>
        <v>1.7099778344306566E-3</v>
      </c>
      <c r="AO110" s="299">
        <f t="shared" si="37"/>
        <v>1.5703760064477408E-3</v>
      </c>
      <c r="AP110" s="299">
        <f t="shared" si="37"/>
        <v>1.4518477994309427E-3</v>
      </c>
      <c r="AQ110" s="299">
        <f t="shared" si="37"/>
        <v>1.360765047902569E-3</v>
      </c>
      <c r="AR110" s="299">
        <f t="shared" si="37"/>
        <v>1.2959931163891688E-3</v>
      </c>
      <c r="AS110" s="299">
        <f t="shared" si="37"/>
        <v>1.2524285778900558E-3</v>
      </c>
      <c r="AT110" s="299">
        <f t="shared" si="34"/>
        <v>1.2242153801831604E-3</v>
      </c>
      <c r="AU110" s="299">
        <f t="shared" si="34"/>
        <v>1.2063890314397401E-3</v>
      </c>
      <c r="AV110" s="299">
        <f t="shared" si="34"/>
        <v>1.195300466379668E-3</v>
      </c>
      <c r="AW110" s="299">
        <f t="shared" si="19"/>
        <v>1.1884700406784548E-3</v>
      </c>
      <c r="AX110" s="299">
        <f t="shared" si="19"/>
        <v>1.1842878562029105E-3</v>
      </c>
      <c r="AY110" s="299">
        <f t="shared" si="19"/>
        <v>1.1817365982778282E-3</v>
      </c>
      <c r="AZ110" s="306">
        <f t="shared" si="40"/>
        <v>0.13040352372921835</v>
      </c>
      <c r="BA110" s="2">
        <f t="shared" si="40"/>
        <v>0.13040352372921835</v>
      </c>
      <c r="BB110" s="2">
        <f t="shared" si="40"/>
        <v>0.13040352372921835</v>
      </c>
      <c r="BC110" s="2">
        <f t="shared" si="40"/>
        <v>0.13040352372921835</v>
      </c>
      <c r="BD110" s="2">
        <f t="shared" si="40"/>
        <v>0.13040352372921835</v>
      </c>
      <c r="BE110" s="2">
        <f t="shared" si="40"/>
        <v>0.1244990476830731</v>
      </c>
      <c r="BF110" s="2">
        <f t="shared" si="40"/>
        <v>0.12120884160275053</v>
      </c>
      <c r="BG110" s="2">
        <f t="shared" si="40"/>
        <v>0.116514638376401</v>
      </c>
      <c r="BH110" s="2">
        <f t="shared" si="40"/>
        <v>0.11028476728871282</v>
      </c>
      <c r="BI110" s="2">
        <f t="shared" si="40"/>
        <v>0.10276559779129125</v>
      </c>
      <c r="BJ110" s="2">
        <f t="shared" si="40"/>
        <v>9.466401006003744E-2</v>
      </c>
      <c r="BK110" s="2">
        <f t="shared" si="38"/>
        <v>8.6935682486145568E-2</v>
      </c>
      <c r="BL110" s="2">
        <f t="shared" si="38"/>
        <v>8.0373986097155681E-2</v>
      </c>
      <c r="BM110" s="2">
        <f t="shared" si="38"/>
        <v>7.5331664300131523E-2</v>
      </c>
      <c r="BN110" s="2">
        <f t="shared" si="38"/>
        <v>7.1745903916030349E-2</v>
      </c>
      <c r="BO110" s="2">
        <f t="shared" si="38"/>
        <v>6.9334180309031657E-2</v>
      </c>
      <c r="BP110" s="2">
        <f t="shared" si="35"/>
        <v>6.7772303670764811E-2</v>
      </c>
      <c r="BQ110" s="2">
        <f t="shared" si="35"/>
        <v>6.678544078704636E-2</v>
      </c>
      <c r="BR110" s="2">
        <f t="shared" si="35"/>
        <v>6.617158017829318E-2</v>
      </c>
      <c r="BS110" s="2">
        <f t="shared" si="20"/>
        <v>6.5793449260877351E-2</v>
      </c>
      <c r="BT110" s="2">
        <f t="shared" si="20"/>
        <v>6.5561924415762821E-2</v>
      </c>
      <c r="BU110" s="2">
        <f t="shared" si="20"/>
        <v>6.5420687318402337E-2</v>
      </c>
    </row>
    <row r="111" spans="1:73" x14ac:dyDescent="0.25">
      <c r="A111" t="s">
        <v>33</v>
      </c>
      <c r="B111" s="1" t="s">
        <v>5</v>
      </c>
      <c r="C111" t="s">
        <v>16</v>
      </c>
      <c r="D111" t="s">
        <v>16</v>
      </c>
      <c r="E111" s="97">
        <v>5.9874599999999996</v>
      </c>
      <c r="F111" s="5">
        <f t="shared" si="29"/>
        <v>1.4669277E-2</v>
      </c>
      <c r="G111" s="1">
        <f>LOOKUP(RIGHT(D111,5),Ref!$C$4:$C$21,Ref!$E$4:$E$21)*$G$3</f>
        <v>3</v>
      </c>
      <c r="H111" s="36">
        <f t="shared" si="43"/>
        <v>5.9874599999999996</v>
      </c>
      <c r="I111" s="12">
        <f t="shared" si="43"/>
        <v>5.9874599999999996</v>
      </c>
      <c r="J111" s="12">
        <f t="shared" si="43"/>
        <v>5.9874599999999996</v>
      </c>
      <c r="K111" s="12">
        <f t="shared" si="43"/>
        <v>5.9874599999999996</v>
      </c>
      <c r="L111" s="12">
        <f t="shared" si="43"/>
        <v>5.9874599999999996</v>
      </c>
      <c r="M111" s="12">
        <f t="shared" si="42"/>
        <v>6.271420518615753</v>
      </c>
      <c r="N111" s="12">
        <f t="shared" si="42"/>
        <v>6.4416578185499942</v>
      </c>
      <c r="O111" s="12">
        <f t="shared" si="42"/>
        <v>6.701182727490548</v>
      </c>
      <c r="P111" s="12">
        <f t="shared" si="42"/>
        <v>7.0797255267696055</v>
      </c>
      <c r="Q111" s="12">
        <f t="shared" si="42"/>
        <v>7.5977360027959913</v>
      </c>
      <c r="R111" s="12">
        <f t="shared" si="42"/>
        <v>8.2479696528021442</v>
      </c>
      <c r="S111" s="12">
        <f t="shared" si="42"/>
        <v>8.9811899999999998</v>
      </c>
      <c r="T111" s="12">
        <f t="shared" si="42"/>
        <v>9.7144103471978553</v>
      </c>
      <c r="U111" s="12">
        <f t="shared" si="42"/>
        <v>10.364643997204007</v>
      </c>
      <c r="V111" s="12">
        <f t="shared" si="42"/>
        <v>10.882654473230392</v>
      </c>
      <c r="W111" s="12">
        <f t="shared" si="42"/>
        <v>11.261197272509449</v>
      </c>
      <c r="X111" s="12">
        <f t="shared" si="42"/>
        <v>11.520722181450004</v>
      </c>
      <c r="Y111" s="12">
        <f t="shared" si="42"/>
        <v>11.690959481384246</v>
      </c>
      <c r="Z111" s="12">
        <f t="shared" si="42"/>
        <v>11.799414190865484</v>
      </c>
      <c r="AA111" s="12">
        <f t="shared" si="42"/>
        <v>11.867228287300374</v>
      </c>
      <c r="AB111" s="12">
        <f t="shared" si="42"/>
        <v>11.909136120477028</v>
      </c>
      <c r="AC111" s="12">
        <f t="shared" si="41"/>
        <v>11.934846822804881</v>
      </c>
      <c r="AD111" s="300">
        <f t="shared" si="39"/>
        <v>2.2953968967691241E-3</v>
      </c>
      <c r="AE111" s="299">
        <f t="shared" si="39"/>
        <v>2.2953968967691241E-3</v>
      </c>
      <c r="AF111" s="299">
        <f t="shared" si="39"/>
        <v>2.2953968967691241E-3</v>
      </c>
      <c r="AG111" s="299">
        <f t="shared" si="39"/>
        <v>2.2953968967691241E-3</v>
      </c>
      <c r="AH111" s="299">
        <f t="shared" si="39"/>
        <v>2.2953968967691241E-3</v>
      </c>
      <c r="AI111" s="299">
        <f t="shared" si="39"/>
        <v>2.1914647666718399E-3</v>
      </c>
      <c r="AJ111" s="299">
        <f t="shared" si="39"/>
        <v>2.1335496995745296E-3</v>
      </c>
      <c r="AK111" s="299">
        <f t="shared" si="39"/>
        <v>2.0509211078737362E-3</v>
      </c>
      <c r="AL111" s="299">
        <f t="shared" si="39"/>
        <v>1.941261289235361E-3</v>
      </c>
      <c r="AM111" s="299">
        <f t="shared" si="39"/>
        <v>1.8089069031184516E-3</v>
      </c>
      <c r="AN111" s="299">
        <f t="shared" si="39"/>
        <v>1.6663006390742533E-3</v>
      </c>
      <c r="AO111" s="299">
        <f t="shared" si="37"/>
        <v>1.5302645978460827E-3</v>
      </c>
      <c r="AP111" s="299">
        <f t="shared" si="37"/>
        <v>1.414763903554232E-3</v>
      </c>
      <c r="AQ111" s="299">
        <f t="shared" si="37"/>
        <v>1.3260076378153237E-3</v>
      </c>
      <c r="AR111" s="299">
        <f t="shared" si="37"/>
        <v>1.2628901466398969E-3</v>
      </c>
      <c r="AS111" s="299">
        <f t="shared" si="37"/>
        <v>1.2204383575696504E-3</v>
      </c>
      <c r="AT111" s="299">
        <f t="shared" si="34"/>
        <v>1.1929457968926983E-3</v>
      </c>
      <c r="AU111" s="299">
        <f t="shared" si="34"/>
        <v>1.1755747785640238E-3</v>
      </c>
      <c r="AV111" s="299">
        <f t="shared" si="34"/>
        <v>1.1647694437380515E-3</v>
      </c>
      <c r="AW111" s="299">
        <f t="shared" si="19"/>
        <v>1.1581134845309133E-3</v>
      </c>
      <c r="AX111" s="299">
        <f t="shared" si="19"/>
        <v>1.1540381237139434E-3</v>
      </c>
      <c r="AY111" s="299">
        <f t="shared" si="19"/>
        <v>1.1515520314234996E-3</v>
      </c>
      <c r="AZ111" s="306">
        <f t="shared" si="40"/>
        <v>0.12707268512628356</v>
      </c>
      <c r="BA111" s="2">
        <f t="shared" si="40"/>
        <v>0.12707268512628356</v>
      </c>
      <c r="BB111" s="2">
        <f t="shared" si="40"/>
        <v>0.12707268512628356</v>
      </c>
      <c r="BC111" s="2">
        <f t="shared" si="40"/>
        <v>0.12707268512628356</v>
      </c>
      <c r="BD111" s="2">
        <f t="shared" si="40"/>
        <v>0.12707268512628356</v>
      </c>
      <c r="BE111" s="2">
        <f t="shared" si="40"/>
        <v>0.1213190244582982</v>
      </c>
      <c r="BF111" s="2">
        <f t="shared" si="40"/>
        <v>0.11811285863325818</v>
      </c>
      <c r="BG111" s="2">
        <f t="shared" si="40"/>
        <v>0.11353855733033225</v>
      </c>
      <c r="BH111" s="2">
        <f t="shared" si="40"/>
        <v>0.10746781304011671</v>
      </c>
      <c r="BI111" s="2">
        <f t="shared" si="40"/>
        <v>0.10014070231003357</v>
      </c>
      <c r="BJ111" s="2">
        <f t="shared" si="40"/>
        <v>9.2246049793324722E-2</v>
      </c>
      <c r="BK111" s="2">
        <f t="shared" si="38"/>
        <v>8.4715123417522381E-2</v>
      </c>
      <c r="BL111" s="2">
        <f t="shared" si="38"/>
        <v>7.832102949055314E-2</v>
      </c>
      <c r="BM111" s="2">
        <f t="shared" si="38"/>
        <v>7.3407501453157928E-2</v>
      </c>
      <c r="BN111" s="2">
        <f t="shared" si="38"/>
        <v>6.9913330535097865E-2</v>
      </c>
      <c r="BO111" s="2">
        <f t="shared" si="38"/>
        <v>6.7563208500357921E-2</v>
      </c>
      <c r="BP111" s="2">
        <f t="shared" si="35"/>
        <v>6.6041226175150916E-2</v>
      </c>
      <c r="BQ111" s="2">
        <f t="shared" si="35"/>
        <v>6.5079570286572547E-2</v>
      </c>
      <c r="BR111" s="2">
        <f t="shared" si="35"/>
        <v>6.448138924347821E-2</v>
      </c>
      <c r="BS111" s="2">
        <f t="shared" si="20"/>
        <v>6.4112916754152927E-2</v>
      </c>
      <c r="BT111" s="2">
        <f t="shared" si="20"/>
        <v>6.3887305644109285E-2</v>
      </c>
      <c r="BU111" s="2">
        <f t="shared" si="20"/>
        <v>6.374967610245437E-2</v>
      </c>
    </row>
    <row r="112" spans="1:73" x14ac:dyDescent="0.25">
      <c r="A112" t="s">
        <v>33</v>
      </c>
      <c r="B112" s="1" t="s">
        <v>5</v>
      </c>
      <c r="C112" t="s">
        <v>17</v>
      </c>
      <c r="D112" t="s">
        <v>17</v>
      </c>
      <c r="E112" s="97">
        <v>6.107545</v>
      </c>
      <c r="F112" s="5">
        <f t="shared" si="29"/>
        <v>1.496348525E-2</v>
      </c>
      <c r="G112" s="1">
        <f>LOOKUP(RIGHT(D112,5),Ref!$C$4:$C$21,Ref!$E$4:$E$21)*$G$3</f>
        <v>3</v>
      </c>
      <c r="H112" s="36">
        <f t="shared" si="43"/>
        <v>6.107545</v>
      </c>
      <c r="I112" s="12">
        <f t="shared" si="43"/>
        <v>6.107545</v>
      </c>
      <c r="J112" s="12">
        <f t="shared" si="43"/>
        <v>6.107545</v>
      </c>
      <c r="K112" s="12">
        <f t="shared" si="43"/>
        <v>6.107545</v>
      </c>
      <c r="L112" s="12">
        <f t="shared" si="43"/>
        <v>6.107545</v>
      </c>
      <c r="M112" s="12">
        <f t="shared" si="42"/>
        <v>6.3972006545962818</v>
      </c>
      <c r="N112" s="12">
        <f t="shared" si="42"/>
        <v>6.5708522480978457</v>
      </c>
      <c r="O112" s="12">
        <f t="shared" si="42"/>
        <v>6.835582210381574</v>
      </c>
      <c r="P112" s="12">
        <f t="shared" si="42"/>
        <v>7.2217170957958929</v>
      </c>
      <c r="Q112" s="12">
        <f t="shared" si="42"/>
        <v>7.7501168333812078</v>
      </c>
      <c r="R112" s="12">
        <f t="shared" si="42"/>
        <v>8.4133916240147695</v>
      </c>
      <c r="S112" s="12">
        <f t="shared" si="42"/>
        <v>9.1613174999999991</v>
      </c>
      <c r="T112" s="12">
        <f t="shared" si="42"/>
        <v>9.9092433759852305</v>
      </c>
      <c r="U112" s="12">
        <f t="shared" si="42"/>
        <v>10.572518166618792</v>
      </c>
      <c r="V112" s="12">
        <f t="shared" si="42"/>
        <v>11.100917904204108</v>
      </c>
      <c r="W112" s="12">
        <f t="shared" si="42"/>
        <v>11.487052789618424</v>
      </c>
      <c r="X112" s="12">
        <f t="shared" si="42"/>
        <v>11.751782751902155</v>
      </c>
      <c r="Y112" s="12">
        <f t="shared" si="42"/>
        <v>11.925434345403717</v>
      </c>
      <c r="Z112" s="12">
        <f t="shared" si="42"/>
        <v>12.036064231635708</v>
      </c>
      <c r="AA112" s="12">
        <f t="shared" si="42"/>
        <v>12.105238413277078</v>
      </c>
      <c r="AB112" s="12">
        <f t="shared" si="42"/>
        <v>12.147986753471235</v>
      </c>
      <c r="AC112" s="12">
        <f t="shared" si="41"/>
        <v>12.17421311180164</v>
      </c>
      <c r="AD112" s="300">
        <f t="shared" si="39"/>
        <v>2.2502653854419834E-3</v>
      </c>
      <c r="AE112" s="299">
        <f t="shared" si="39"/>
        <v>2.2502653854419834E-3</v>
      </c>
      <c r="AF112" s="299">
        <f t="shared" si="39"/>
        <v>2.2502653854419834E-3</v>
      </c>
      <c r="AG112" s="299">
        <f t="shared" si="39"/>
        <v>2.2502653854419834E-3</v>
      </c>
      <c r="AH112" s="299">
        <f t="shared" si="39"/>
        <v>2.2502653854419834E-3</v>
      </c>
      <c r="AI112" s="299">
        <f t="shared" si="39"/>
        <v>2.1483767425138859E-3</v>
      </c>
      <c r="AJ112" s="299">
        <f t="shared" si="39"/>
        <v>2.0916003867698907E-3</v>
      </c>
      <c r="AK112" s="299">
        <f t="shared" si="39"/>
        <v>2.0105964174721071E-3</v>
      </c>
      <c r="AL112" s="299">
        <f t="shared" si="39"/>
        <v>1.9030927023616121E-3</v>
      </c>
      <c r="AM112" s="299">
        <f t="shared" si="39"/>
        <v>1.7733406345995981E-3</v>
      </c>
      <c r="AN112" s="299">
        <f t="shared" si="39"/>
        <v>1.6335382587326869E-3</v>
      </c>
      <c r="AO112" s="299">
        <f t="shared" si="37"/>
        <v>1.5001769236279892E-3</v>
      </c>
      <c r="AP112" s="299">
        <f t="shared" si="37"/>
        <v>1.3869471746789947E-3</v>
      </c>
      <c r="AQ112" s="299">
        <f t="shared" si="37"/>
        <v>1.2999360121151357E-3</v>
      </c>
      <c r="AR112" s="299">
        <f t="shared" si="37"/>
        <v>1.238059521035132E-3</v>
      </c>
      <c r="AS112" s="299">
        <f t="shared" si="37"/>
        <v>1.1964424082694402E-3</v>
      </c>
      <c r="AT112" s="299">
        <f t="shared" si="34"/>
        <v>1.1694903993442788E-3</v>
      </c>
      <c r="AU112" s="299">
        <f t="shared" si="34"/>
        <v>1.152460925570086E-3</v>
      </c>
      <c r="AV112" s="299">
        <f t="shared" si="34"/>
        <v>1.1418680424956072E-3</v>
      </c>
      <c r="AW112" s="299">
        <f t="shared" si="34"/>
        <v>1.1353429510694497E-3</v>
      </c>
      <c r="AX112" s="299">
        <f t="shared" si="34"/>
        <v>1.1313477189627396E-3</v>
      </c>
      <c r="AY112" s="299">
        <f t="shared" si="34"/>
        <v>1.1289105075880646E-3</v>
      </c>
      <c r="AZ112" s="306">
        <f t="shared" si="40"/>
        <v>0.12457421423603392</v>
      </c>
      <c r="BA112" s="2">
        <f t="shared" si="40"/>
        <v>0.12457421423603392</v>
      </c>
      <c r="BB112" s="2">
        <f t="shared" si="40"/>
        <v>0.12457421423603392</v>
      </c>
      <c r="BC112" s="2">
        <f t="shared" si="40"/>
        <v>0.12457421423603392</v>
      </c>
      <c r="BD112" s="2">
        <f t="shared" si="40"/>
        <v>0.12457421423603392</v>
      </c>
      <c r="BE112" s="2">
        <f t="shared" si="40"/>
        <v>0.11893368058411065</v>
      </c>
      <c r="BF112" s="2">
        <f t="shared" si="40"/>
        <v>0.11579055357795776</v>
      </c>
      <c r="BG112" s="2">
        <f t="shared" si="40"/>
        <v>0.11130619102652066</v>
      </c>
      <c r="BH112" s="2">
        <f t="shared" si="40"/>
        <v>0.10535480817008751</v>
      </c>
      <c r="BI112" s="2">
        <f t="shared" si="40"/>
        <v>9.8171761231924379E-2</v>
      </c>
      <c r="BJ112" s="2">
        <f t="shared" si="40"/>
        <v>9.043233136973039E-2</v>
      </c>
      <c r="BK112" s="2">
        <f t="shared" si="38"/>
        <v>8.3049476157355959E-2</v>
      </c>
      <c r="BL112" s="2">
        <f t="shared" si="38"/>
        <v>7.6781101282676956E-2</v>
      </c>
      <c r="BM112" s="2">
        <f t="shared" si="38"/>
        <v>7.1964181786744907E-2</v>
      </c>
      <c r="BN112" s="2">
        <f t="shared" si="38"/>
        <v>6.8538712370629612E-2</v>
      </c>
      <c r="BO112" s="2">
        <f t="shared" si="38"/>
        <v>6.6234797838993067E-2</v>
      </c>
      <c r="BP112" s="2">
        <f t="shared" si="35"/>
        <v>6.4742740344061162E-2</v>
      </c>
      <c r="BQ112" s="2">
        <f t="shared" si="35"/>
        <v>6.3799992289543778E-2</v>
      </c>
      <c r="BR112" s="2">
        <f t="shared" si="35"/>
        <v>6.3213572530330275E-2</v>
      </c>
      <c r="BS112" s="2">
        <f t="shared" si="35"/>
        <v>6.2852344853590189E-2</v>
      </c>
      <c r="BT112" s="2">
        <f t="shared" si="35"/>
        <v>6.2631169651943375E-2</v>
      </c>
      <c r="BU112" s="2">
        <f t="shared" si="35"/>
        <v>6.2496246147412976E-2</v>
      </c>
    </row>
    <row r="113" spans="1:73" x14ac:dyDescent="0.25">
      <c r="A113" t="s">
        <v>33</v>
      </c>
      <c r="B113" s="1" t="s">
        <v>5</v>
      </c>
      <c r="C113" t="s">
        <v>18</v>
      </c>
      <c r="D113" t="s">
        <v>18</v>
      </c>
      <c r="E113" s="97">
        <v>6.1062310000000002</v>
      </c>
      <c r="F113" s="5">
        <f t="shared" si="29"/>
        <v>1.4960265950000001E-2</v>
      </c>
      <c r="G113" s="1">
        <f>LOOKUP(RIGHT(D113,5),Ref!$C$4:$C$21,Ref!$E$4:$E$21)*$G$3</f>
        <v>3</v>
      </c>
      <c r="H113" s="36">
        <f t="shared" si="43"/>
        <v>6.1062310000000002</v>
      </c>
      <c r="I113" s="12">
        <f t="shared" si="43"/>
        <v>6.1062310000000002</v>
      </c>
      <c r="J113" s="12">
        <f t="shared" si="43"/>
        <v>6.1062310000000002</v>
      </c>
      <c r="K113" s="12">
        <f t="shared" si="43"/>
        <v>6.1062310000000002</v>
      </c>
      <c r="L113" s="12">
        <f t="shared" si="43"/>
        <v>6.1062310000000002</v>
      </c>
      <c r="M113" s="12">
        <f t="shared" si="42"/>
        <v>6.3958243369989267</v>
      </c>
      <c r="N113" s="12">
        <f t="shared" si="42"/>
        <v>6.5694385704492975</v>
      </c>
      <c r="O113" s="12">
        <f t="shared" si="42"/>
        <v>6.8341115777420374</v>
      </c>
      <c r="P113" s="12">
        <f t="shared" si="42"/>
        <v>7.2201633886576113</v>
      </c>
      <c r="Q113" s="12">
        <f t="shared" si="42"/>
        <v>7.7484494443535272</v>
      </c>
      <c r="R113" s="12">
        <f t="shared" si="42"/>
        <v>8.4115815355759693</v>
      </c>
      <c r="S113" s="12">
        <f t="shared" si="42"/>
        <v>9.1593464999999998</v>
      </c>
      <c r="T113" s="12">
        <f t="shared" si="42"/>
        <v>9.9071114644240321</v>
      </c>
      <c r="U113" s="12">
        <f t="shared" si="42"/>
        <v>10.570243555646472</v>
      </c>
      <c r="V113" s="12">
        <f t="shared" si="42"/>
        <v>11.098529611342389</v>
      </c>
      <c r="W113" s="12">
        <f t="shared" si="42"/>
        <v>11.484581422257962</v>
      </c>
      <c r="X113" s="12">
        <f t="shared" si="42"/>
        <v>11.749254429550703</v>
      </c>
      <c r="Y113" s="12">
        <f t="shared" si="42"/>
        <v>11.922868663001074</v>
      </c>
      <c r="Z113" s="12">
        <f t="shared" si="42"/>
        <v>12.033474747906915</v>
      </c>
      <c r="AA113" s="12">
        <f t="shared" si="42"/>
        <v>12.102634047156968</v>
      </c>
      <c r="AB113" s="12">
        <f t="shared" si="42"/>
        <v>12.145373190313851</v>
      </c>
      <c r="AC113" s="12">
        <f t="shared" si="41"/>
        <v>12.171593906207754</v>
      </c>
      <c r="AD113" s="300">
        <f t="shared" si="39"/>
        <v>2.2507496201059638E-3</v>
      </c>
      <c r="AE113" s="299">
        <f t="shared" si="39"/>
        <v>2.2507496201059638E-3</v>
      </c>
      <c r="AF113" s="299">
        <f t="shared" ref="AF113:AQ140" si="44">Algae_electricity_factor/J113</f>
        <v>2.2507496201059638E-3</v>
      </c>
      <c r="AG113" s="299">
        <f t="shared" si="44"/>
        <v>2.2507496201059638E-3</v>
      </c>
      <c r="AH113" s="299">
        <f t="shared" si="44"/>
        <v>2.2507496201059638E-3</v>
      </c>
      <c r="AI113" s="299">
        <f t="shared" si="44"/>
        <v>2.1488390517582731E-3</v>
      </c>
      <c r="AJ113" s="299">
        <f t="shared" si="44"/>
        <v>2.0920504783088802E-3</v>
      </c>
      <c r="AK113" s="299">
        <f t="shared" si="44"/>
        <v>2.0110290777649387E-3</v>
      </c>
      <c r="AL113" s="299">
        <f t="shared" si="44"/>
        <v>1.903502228927329E-3</v>
      </c>
      <c r="AM113" s="299">
        <f t="shared" si="44"/>
        <v>1.7737222398146425E-3</v>
      </c>
      <c r="AN113" s="299">
        <f t="shared" si="44"/>
        <v>1.6338897798710084E-3</v>
      </c>
      <c r="AO113" s="299">
        <f t="shared" si="37"/>
        <v>1.5004997467373093E-3</v>
      </c>
      <c r="AP113" s="299">
        <f t="shared" si="37"/>
        <v>1.3872456318758364E-3</v>
      </c>
      <c r="AQ113" s="299">
        <f t="shared" si="37"/>
        <v>1.3002157453777521E-3</v>
      </c>
      <c r="AR113" s="299">
        <f t="shared" si="37"/>
        <v>1.2383259390941017E-3</v>
      </c>
      <c r="AS113" s="299">
        <f t="shared" si="37"/>
        <v>1.1966998707408838E-3</v>
      </c>
      <c r="AT113" s="299">
        <f t="shared" si="34"/>
        <v>1.169742062012255E-3</v>
      </c>
      <c r="AU113" s="299">
        <f t="shared" si="34"/>
        <v>1.152708923665179E-3</v>
      </c>
      <c r="AV113" s="299">
        <f t="shared" si="34"/>
        <v>1.1421137611079294E-3</v>
      </c>
      <c r="AW113" s="299">
        <f t="shared" si="34"/>
        <v>1.1355872655471864E-3</v>
      </c>
      <c r="AX113" s="299">
        <f t="shared" si="34"/>
        <v>1.1315911737063806E-3</v>
      </c>
      <c r="AY113" s="299">
        <f t="shared" si="34"/>
        <v>1.1291534378681295E-3</v>
      </c>
      <c r="AZ113" s="306">
        <f t="shared" si="40"/>
        <v>0.12460102136427818</v>
      </c>
      <c r="BA113" s="2">
        <f t="shared" si="40"/>
        <v>0.12460102136427818</v>
      </c>
      <c r="BB113" s="2">
        <f t="shared" ref="BB113:BM140" si="45">Algae_yield_cost_factor/J113</f>
        <v>0.12460102136427818</v>
      </c>
      <c r="BC113" s="2">
        <f t="shared" si="45"/>
        <v>0.12460102136427818</v>
      </c>
      <c r="BD113" s="2">
        <f t="shared" si="45"/>
        <v>0.12460102136427818</v>
      </c>
      <c r="BE113" s="2">
        <f t="shared" si="45"/>
        <v>0.11895927392577878</v>
      </c>
      <c r="BF113" s="2">
        <f t="shared" si="45"/>
        <v>0.11581547055004765</v>
      </c>
      <c r="BG113" s="2">
        <f t="shared" si="45"/>
        <v>0.11133014300852212</v>
      </c>
      <c r="BH113" s="2">
        <f t="shared" si="45"/>
        <v>0.10537747947386483</v>
      </c>
      <c r="BI113" s="2">
        <f t="shared" si="45"/>
        <v>9.8192886815653316E-2</v>
      </c>
      <c r="BJ113" s="2">
        <f t="shared" si="45"/>
        <v>9.0451791505355747E-2</v>
      </c>
      <c r="BK113" s="2">
        <f t="shared" si="38"/>
        <v>8.306734757618546E-2</v>
      </c>
      <c r="BL113" s="2">
        <f t="shared" si="38"/>
        <v>7.6797623809762058E-2</v>
      </c>
      <c r="BM113" s="2">
        <f t="shared" si="38"/>
        <v>7.1979667760804486E-2</v>
      </c>
      <c r="BN113" s="2">
        <f t="shared" si="38"/>
        <v>6.8553461217840755E-2</v>
      </c>
      <c r="BO113" s="2">
        <f t="shared" si="38"/>
        <v>6.6249050906779142E-2</v>
      </c>
      <c r="BP113" s="2">
        <f t="shared" si="35"/>
        <v>6.4756672335957985E-2</v>
      </c>
      <c r="BQ113" s="2">
        <f t="shared" si="35"/>
        <v>6.3813721411463409E-2</v>
      </c>
      <c r="BR113" s="2">
        <f t="shared" si="35"/>
        <v>6.3227175460567414E-2</v>
      </c>
      <c r="BS113" s="2">
        <f t="shared" si="35"/>
        <v>6.2865870051234632E-2</v>
      </c>
      <c r="BT113" s="2">
        <f t="shared" si="35"/>
        <v>6.2644647254890704E-2</v>
      </c>
      <c r="BU113" s="2">
        <f t="shared" si="35"/>
        <v>6.2509694716168032E-2</v>
      </c>
    </row>
    <row r="114" spans="1:73" x14ac:dyDescent="0.25">
      <c r="A114" t="s">
        <v>33</v>
      </c>
      <c r="B114" s="1" t="s">
        <v>5</v>
      </c>
      <c r="C114" t="s">
        <v>6</v>
      </c>
      <c r="D114" t="s">
        <v>6</v>
      </c>
      <c r="E114" s="97">
        <v>5.5417949999999996</v>
      </c>
      <c r="F114" s="5">
        <f t="shared" si="29"/>
        <v>1.3577397749999998E-2</v>
      </c>
      <c r="G114" s="1">
        <f>LOOKUP(RIGHT(D114,5),Ref!$C$4:$C$21,Ref!$E$4:$E$21)*$G$3</f>
        <v>3</v>
      </c>
      <c r="H114" s="36">
        <f t="shared" si="43"/>
        <v>5.5417949999999996</v>
      </c>
      <c r="I114" s="12">
        <f t="shared" si="43"/>
        <v>5.5417949999999996</v>
      </c>
      <c r="J114" s="12">
        <f t="shared" si="43"/>
        <v>5.5417949999999996</v>
      </c>
      <c r="K114" s="12">
        <f t="shared" si="43"/>
        <v>5.5417949999999996</v>
      </c>
      <c r="L114" s="12">
        <f t="shared" si="43"/>
        <v>5.5417949999999996</v>
      </c>
      <c r="M114" s="12">
        <f t="shared" si="42"/>
        <v>5.8046194668460727</v>
      </c>
      <c r="N114" s="12">
        <f t="shared" si="42"/>
        <v>5.9621854827508267</v>
      </c>
      <c r="O114" s="12">
        <f t="shared" si="42"/>
        <v>6.2023931572475606</v>
      </c>
      <c r="P114" s="12">
        <f t="shared" si="42"/>
        <v>6.5527598557024458</v>
      </c>
      <c r="Q114" s="12">
        <f t="shared" si="42"/>
        <v>7.0322132242411319</v>
      </c>
      <c r="R114" s="12">
        <f t="shared" si="42"/>
        <v>7.6340479906422178</v>
      </c>
      <c r="S114" s="12">
        <f t="shared" si="42"/>
        <v>8.3126924999999989</v>
      </c>
      <c r="T114" s="12">
        <f t="shared" si="42"/>
        <v>8.99133700935778</v>
      </c>
      <c r="U114" s="12">
        <f t="shared" si="42"/>
        <v>9.5931717757588668</v>
      </c>
      <c r="V114" s="12">
        <f t="shared" si="42"/>
        <v>10.072625144297552</v>
      </c>
      <c r="W114" s="12">
        <f t="shared" si="42"/>
        <v>10.422991842752436</v>
      </c>
      <c r="X114" s="12">
        <f t="shared" si="42"/>
        <v>10.663199517249172</v>
      </c>
      <c r="Y114" s="12">
        <f t="shared" si="42"/>
        <v>10.820765533153926</v>
      </c>
      <c r="Z114" s="12">
        <f t="shared" si="42"/>
        <v>10.921147626183286</v>
      </c>
      <c r="AA114" s="12">
        <f t="shared" si="42"/>
        <v>10.983914111563131</v>
      </c>
      <c r="AB114" s="12">
        <f t="shared" si="42"/>
        <v>11.022702616264491</v>
      </c>
      <c r="AC114" s="12">
        <f t="shared" si="41"/>
        <v>11.046499592212053</v>
      </c>
      <c r="AD114" s="300">
        <f t="shared" ref="AD114:AD155" si="46">Algae_electricity_factor/H114</f>
        <v>2.4799901662781211E-3</v>
      </c>
      <c r="AE114" s="299">
        <f t="shared" ref="AE114:AE155" si="47">Algae_electricity_factor/I114</f>
        <v>2.4799901662781211E-3</v>
      </c>
      <c r="AF114" s="299">
        <f t="shared" si="44"/>
        <v>2.4799901662781211E-3</v>
      </c>
      <c r="AG114" s="299">
        <f t="shared" si="44"/>
        <v>2.4799901662781211E-3</v>
      </c>
      <c r="AH114" s="299">
        <f t="shared" si="44"/>
        <v>2.4799901662781211E-3</v>
      </c>
      <c r="AI114" s="299">
        <f t="shared" si="44"/>
        <v>2.3676999296901049E-3</v>
      </c>
      <c r="AJ114" s="299">
        <f t="shared" si="44"/>
        <v>2.3051273972087586E-3</v>
      </c>
      <c r="AK114" s="299">
        <f t="shared" si="44"/>
        <v>2.2158539059185123E-3</v>
      </c>
      <c r="AL114" s="299">
        <f t="shared" si="44"/>
        <v>2.0973753664372563E-3</v>
      </c>
      <c r="AM114" s="299">
        <f t="shared" si="44"/>
        <v>1.9543771875620815E-3</v>
      </c>
      <c r="AN114" s="299">
        <f t="shared" si="44"/>
        <v>1.8003026861209282E-3</v>
      </c>
      <c r="AO114" s="299">
        <f t="shared" si="37"/>
        <v>1.6533267775187476E-3</v>
      </c>
      <c r="AP114" s="299">
        <f t="shared" si="37"/>
        <v>1.5285376456499785E-3</v>
      </c>
      <c r="AQ114" s="299">
        <f t="shared" si="37"/>
        <v>1.4326436995799623E-3</v>
      </c>
      <c r="AR114" s="299">
        <f t="shared" si="37"/>
        <v>1.3644503698531825E-3</v>
      </c>
      <c r="AS114" s="299">
        <f t="shared" si="37"/>
        <v>1.3185846550466012E-3</v>
      </c>
      <c r="AT114" s="299">
        <f t="shared" si="34"/>
        <v>1.2888811731691905E-3</v>
      </c>
      <c r="AU114" s="299">
        <f t="shared" si="34"/>
        <v>1.2701131968362147E-3</v>
      </c>
      <c r="AV114" s="299">
        <f t="shared" si="34"/>
        <v>1.2584389089823486E-3</v>
      </c>
      <c r="AW114" s="299">
        <f t="shared" si="34"/>
        <v>1.2512476849268987E-3</v>
      </c>
      <c r="AX114" s="299">
        <f t="shared" si="34"/>
        <v>1.2468445881185226E-3</v>
      </c>
      <c r="AY114" s="299">
        <f t="shared" si="34"/>
        <v>1.2441585670467685E-3</v>
      </c>
      <c r="AZ114" s="306">
        <f t="shared" ref="AZ114:AZ155" si="48">Algae_yield_cost_factor/H114</f>
        <v>0.13729172935596098</v>
      </c>
      <c r="BA114" s="2">
        <f t="shared" ref="BA114:BA155" si="49">Algae_yield_cost_factor/I114</f>
        <v>0.13729172935596098</v>
      </c>
      <c r="BB114" s="2">
        <f t="shared" si="45"/>
        <v>0.13729172935596098</v>
      </c>
      <c r="BC114" s="2">
        <f t="shared" si="45"/>
        <v>0.13729172935596098</v>
      </c>
      <c r="BD114" s="2">
        <f t="shared" si="45"/>
        <v>0.13729172935596098</v>
      </c>
      <c r="BE114" s="2">
        <f t="shared" si="45"/>
        <v>0.13107536568622299</v>
      </c>
      <c r="BF114" s="2">
        <f t="shared" si="45"/>
        <v>0.12761136356582806</v>
      </c>
      <c r="BG114" s="2">
        <f t="shared" si="45"/>
        <v>0.12266920203166504</v>
      </c>
      <c r="BH114" s="2">
        <f t="shared" si="45"/>
        <v>0.11611025522690341</v>
      </c>
      <c r="BI114" s="2">
        <f t="shared" si="45"/>
        <v>0.10819390638831528</v>
      </c>
      <c r="BJ114" s="2">
        <f t="shared" si="45"/>
        <v>9.9664374682849166E-2</v>
      </c>
      <c r="BK114" s="2">
        <f t="shared" si="38"/>
        <v>9.152781957064067E-2</v>
      </c>
      <c r="BL114" s="2">
        <f t="shared" si="38"/>
        <v>8.4619519710402019E-2</v>
      </c>
      <c r="BM114" s="2">
        <f t="shared" si="38"/>
        <v>7.9310851204478866E-2</v>
      </c>
      <c r="BN114" s="2">
        <f t="shared" si="38"/>
        <v>7.5535682941299184E-2</v>
      </c>
      <c r="BO114" s="2">
        <f t="shared" si="38"/>
        <v>7.2996566702224278E-2</v>
      </c>
      <c r="BP114" s="2">
        <f t="shared" si="35"/>
        <v>7.1352188248513179E-2</v>
      </c>
      <c r="BQ114" s="2">
        <f t="shared" si="35"/>
        <v>7.03131970612485E-2</v>
      </c>
      <c r="BR114" s="2">
        <f t="shared" si="35"/>
        <v>6.9666910962920159E-2</v>
      </c>
      <c r="BS114" s="2">
        <f t="shared" si="35"/>
        <v>6.9268806325174515E-2</v>
      </c>
      <c r="BT114" s="2">
        <f t="shared" si="35"/>
        <v>6.9025051820191585E-2</v>
      </c>
      <c r="BU114" s="2">
        <f t="shared" si="35"/>
        <v>6.8876354263627843E-2</v>
      </c>
    </row>
    <row r="115" spans="1:73" x14ac:dyDescent="0.25">
      <c r="A115" t="s">
        <v>33</v>
      </c>
      <c r="B115" s="1" t="s">
        <v>5</v>
      </c>
      <c r="C115" t="s">
        <v>7</v>
      </c>
      <c r="D115" t="s">
        <v>7</v>
      </c>
      <c r="E115" s="97">
        <v>5.9726774999999996</v>
      </c>
      <c r="F115" s="5">
        <f t="shared" si="29"/>
        <v>1.4633059874999998E-2</v>
      </c>
      <c r="G115" s="1">
        <f>LOOKUP(RIGHT(D115,5),Ref!$C$4:$C$21,Ref!$E$4:$E$21)*$G$3</f>
        <v>3.5</v>
      </c>
      <c r="H115" s="36">
        <f t="shared" si="43"/>
        <v>5.9726774999999996</v>
      </c>
      <c r="I115" s="12">
        <f t="shared" si="43"/>
        <v>5.9726774999999996</v>
      </c>
      <c r="J115" s="12">
        <f t="shared" si="43"/>
        <v>5.9726774999999996</v>
      </c>
      <c r="K115" s="12">
        <f t="shared" si="43"/>
        <v>5.9726774999999996</v>
      </c>
      <c r="L115" s="12">
        <f t="shared" si="43"/>
        <v>5.9726774999999996</v>
      </c>
      <c r="M115" s="12">
        <f t="shared" si="42"/>
        <v>6.2559369456455061</v>
      </c>
      <c r="N115" s="12">
        <f t="shared" si="42"/>
        <v>6.4257539450038301</v>
      </c>
      <c r="O115" s="12">
        <f t="shared" si="42"/>
        <v>6.6846381102957562</v>
      </c>
      <c r="P115" s="12">
        <f t="shared" si="42"/>
        <v>7.0622463214639382</v>
      </c>
      <c r="Q115" s="12">
        <f t="shared" si="42"/>
        <v>7.578977876234589</v>
      </c>
      <c r="R115" s="12">
        <f t="shared" si="42"/>
        <v>8.227606157865635</v>
      </c>
      <c r="S115" s="12">
        <f t="shared" si="42"/>
        <v>8.9590162499999995</v>
      </c>
      <c r="T115" s="12">
        <f t="shared" si="42"/>
        <v>9.6904263421343639</v>
      </c>
      <c r="U115" s="12">
        <f t="shared" si="42"/>
        <v>10.33905462376541</v>
      </c>
      <c r="V115" s="12">
        <f t="shared" si="42"/>
        <v>10.855786178536061</v>
      </c>
      <c r="W115" s="12">
        <f t="shared" si="42"/>
        <v>11.233394389704241</v>
      </c>
      <c r="X115" s="12">
        <f t="shared" si="42"/>
        <v>11.492278554996169</v>
      </c>
      <c r="Y115" s="12">
        <f t="shared" si="42"/>
        <v>11.662095554354494</v>
      </c>
      <c r="Z115" s="12">
        <f t="shared" si="42"/>
        <v>11.770282498916565</v>
      </c>
      <c r="AA115" s="12">
        <f t="shared" si="42"/>
        <v>11.83792916844914</v>
      </c>
      <c r="AB115" s="12">
        <f t="shared" si="42"/>
        <v>11.879733534956465</v>
      </c>
      <c r="AC115" s="12">
        <f t="shared" si="41"/>
        <v>11.905380759873669</v>
      </c>
      <c r="AD115" s="300">
        <f t="shared" si="46"/>
        <v>2.3010780514315832E-3</v>
      </c>
      <c r="AE115" s="299">
        <f t="shared" si="47"/>
        <v>2.3010780514315832E-3</v>
      </c>
      <c r="AF115" s="299">
        <f t="shared" si="44"/>
        <v>2.3010780514315832E-3</v>
      </c>
      <c r="AG115" s="299">
        <f t="shared" si="44"/>
        <v>2.3010780514315832E-3</v>
      </c>
      <c r="AH115" s="299">
        <f t="shared" si="44"/>
        <v>2.3010780514315832E-3</v>
      </c>
      <c r="AI115" s="299">
        <f t="shared" si="44"/>
        <v>2.1968886871686897E-3</v>
      </c>
      <c r="AJ115" s="299">
        <f t="shared" si="44"/>
        <v>2.1388302790858057E-3</v>
      </c>
      <c r="AK115" s="299">
        <f t="shared" si="44"/>
        <v>2.055997179916324E-3</v>
      </c>
      <c r="AL115" s="299">
        <f t="shared" si="44"/>
        <v>1.9460659509650663E-3</v>
      </c>
      <c r="AM115" s="299">
        <f t="shared" si="44"/>
        <v>1.8133839850126856E-3</v>
      </c>
      <c r="AN115" s="299">
        <f t="shared" si="44"/>
        <v>1.6704247675236993E-3</v>
      </c>
      <c r="AO115" s="299">
        <f t="shared" si="37"/>
        <v>1.5340520342877221E-3</v>
      </c>
      <c r="AP115" s="299">
        <f t="shared" si="37"/>
        <v>1.4182654733952773E-3</v>
      </c>
      <c r="AQ115" s="299">
        <f t="shared" si="37"/>
        <v>1.3292895340680519E-3</v>
      </c>
      <c r="AR115" s="299">
        <f t="shared" si="37"/>
        <v>1.2660158258001569E-3</v>
      </c>
      <c r="AS115" s="299">
        <f t="shared" si="37"/>
        <v>1.2234589676763863E-3</v>
      </c>
      <c r="AT115" s="299">
        <f t="shared" si="34"/>
        <v>1.1958983623447197E-3</v>
      </c>
      <c r="AU115" s="299">
        <f t="shared" si="34"/>
        <v>1.1784843503874016E-3</v>
      </c>
      <c r="AV115" s="299">
        <f t="shared" si="34"/>
        <v>1.1676522721348732E-3</v>
      </c>
      <c r="AW115" s="299">
        <f t="shared" si="34"/>
        <v>1.1609798392914169E-3</v>
      </c>
      <c r="AX115" s="299">
        <f t="shared" si="34"/>
        <v>1.1568943918723699E-3</v>
      </c>
      <c r="AY115" s="299">
        <f t="shared" si="34"/>
        <v>1.1544021464522313E-3</v>
      </c>
      <c r="AZ115" s="306">
        <f t="shared" si="48"/>
        <v>0.1273871926428671</v>
      </c>
      <c r="BA115" s="2">
        <f t="shared" si="49"/>
        <v>0.1273871926428671</v>
      </c>
      <c r="BB115" s="2">
        <f t="shared" si="45"/>
        <v>0.1273871926428671</v>
      </c>
      <c r="BC115" s="2">
        <f t="shared" si="45"/>
        <v>0.1273871926428671</v>
      </c>
      <c r="BD115" s="2">
        <f t="shared" si="45"/>
        <v>0.1273871926428671</v>
      </c>
      <c r="BE115" s="2">
        <f t="shared" si="45"/>
        <v>0.12161929154605822</v>
      </c>
      <c r="BF115" s="2">
        <f t="shared" si="45"/>
        <v>0.11840519039447352</v>
      </c>
      <c r="BG115" s="2">
        <f t="shared" si="45"/>
        <v>0.11381956760147707</v>
      </c>
      <c r="BH115" s="2">
        <f t="shared" si="45"/>
        <v>0.10773379809393312</v>
      </c>
      <c r="BI115" s="2">
        <f t="shared" si="45"/>
        <v>0.10038855261367011</v>
      </c>
      <c r="BJ115" s="2">
        <f t="shared" si="45"/>
        <v>9.2474360669153835E-2</v>
      </c>
      <c r="BK115" s="2">
        <f t="shared" si="38"/>
        <v>8.4924795095244726E-2</v>
      </c>
      <c r="BL115" s="2">
        <f t="shared" si="38"/>
        <v>7.8514875653926952E-2</v>
      </c>
      <c r="BM115" s="2">
        <f t="shared" si="38"/>
        <v>7.3589186533296824E-2</v>
      </c>
      <c r="BN115" s="2">
        <f t="shared" si="38"/>
        <v>7.0086367470146682E-2</v>
      </c>
      <c r="BO115" s="2">
        <f t="shared" si="38"/>
        <v>6.773042883489909E-2</v>
      </c>
      <c r="BP115" s="2">
        <f t="shared" si="35"/>
        <v>6.6204679572046052E-2</v>
      </c>
      <c r="BQ115" s="2">
        <f t="shared" si="35"/>
        <v>6.5240643565309134E-2</v>
      </c>
      <c r="BR115" s="2">
        <f t="shared" si="35"/>
        <v>6.4640982011795564E-2</v>
      </c>
      <c r="BS115" s="2">
        <f t="shared" si="35"/>
        <v>6.4271597545459386E-2</v>
      </c>
      <c r="BT115" s="2">
        <f t="shared" si="35"/>
        <v>6.4045428043265115E-2</v>
      </c>
      <c r="BU115" s="2">
        <f t="shared" si="35"/>
        <v>6.3907457865655964E-2</v>
      </c>
    </row>
    <row r="116" spans="1:73" x14ac:dyDescent="0.25">
      <c r="A116" t="s">
        <v>33</v>
      </c>
      <c r="B116" s="1" t="s">
        <v>5</v>
      </c>
      <c r="C116" t="s">
        <v>8</v>
      </c>
      <c r="D116" t="s">
        <v>8</v>
      </c>
      <c r="E116" s="97">
        <v>5.9071600000000002</v>
      </c>
      <c r="F116" s="5">
        <f t="shared" si="29"/>
        <v>1.4472542000000001E-2</v>
      </c>
      <c r="G116" s="1">
        <f>LOOKUP(RIGHT(D116,5),Ref!$C$4:$C$21,Ref!$E$4:$E$21)*$G$3</f>
        <v>4</v>
      </c>
      <c r="H116" s="36">
        <f t="shared" si="43"/>
        <v>5.9071600000000002</v>
      </c>
      <c r="I116" s="12">
        <f t="shared" si="43"/>
        <v>5.9071600000000002</v>
      </c>
      <c r="J116" s="12">
        <f t="shared" si="43"/>
        <v>5.9071600000000002</v>
      </c>
      <c r="K116" s="12">
        <f t="shared" si="43"/>
        <v>5.9071600000000002</v>
      </c>
      <c r="L116" s="12">
        <f t="shared" si="43"/>
        <v>5.9071600000000002</v>
      </c>
      <c r="M116" s="12">
        <f t="shared" si="42"/>
        <v>6.187312220999595</v>
      </c>
      <c r="N116" s="12">
        <f t="shared" si="42"/>
        <v>6.3552664066942883</v>
      </c>
      <c r="O116" s="12">
        <f t="shared" si="42"/>
        <v>6.6113107328521723</v>
      </c>
      <c r="P116" s="12">
        <f t="shared" si="42"/>
        <v>6.984776757207956</v>
      </c>
      <c r="Q116" s="12">
        <f t="shared" si="42"/>
        <v>7.4958400066599813</v>
      </c>
      <c r="R116" s="12">
        <f t="shared" si="42"/>
        <v>8.1373531370976533</v>
      </c>
      <c r="S116" s="12">
        <f t="shared" si="42"/>
        <v>8.8607399999999998</v>
      </c>
      <c r="T116" s="12">
        <f t="shared" si="42"/>
        <v>9.5841268629023464</v>
      </c>
      <c r="U116" s="12">
        <f t="shared" si="42"/>
        <v>10.225639993340019</v>
      </c>
      <c r="V116" s="12">
        <f t="shared" si="42"/>
        <v>10.736703242792045</v>
      </c>
      <c r="W116" s="12">
        <f t="shared" si="42"/>
        <v>11.110169267147826</v>
      </c>
      <c r="X116" s="12">
        <f t="shared" si="42"/>
        <v>11.366213593305712</v>
      </c>
      <c r="Y116" s="12">
        <f t="shared" si="42"/>
        <v>11.534167779000406</v>
      </c>
      <c r="Z116" s="12">
        <f t="shared" si="42"/>
        <v>11.641167962994819</v>
      </c>
      <c r="AA116" s="12">
        <f t="shared" si="42"/>
        <v>11.708072579960332</v>
      </c>
      <c r="AB116" s="12">
        <f t="shared" ref="AB116:AC131" si="50">AB$3*$E116</f>
        <v>11.749418371970267</v>
      </c>
      <c r="AC116" s="12">
        <f t="shared" si="50"/>
        <v>11.774784258734103</v>
      </c>
      <c r="AD116" s="300">
        <f t="shared" si="46"/>
        <v>2.3265997710455208E-3</v>
      </c>
      <c r="AE116" s="299">
        <f t="shared" si="47"/>
        <v>2.3265997710455208E-3</v>
      </c>
      <c r="AF116" s="299">
        <f t="shared" si="44"/>
        <v>2.3265997710455208E-3</v>
      </c>
      <c r="AG116" s="299">
        <f t="shared" si="44"/>
        <v>2.3265997710455208E-3</v>
      </c>
      <c r="AH116" s="299">
        <f t="shared" si="44"/>
        <v>2.3265997710455208E-3</v>
      </c>
      <c r="AI116" s="299">
        <f t="shared" si="44"/>
        <v>2.2212548215821094E-3</v>
      </c>
      <c r="AJ116" s="299">
        <f t="shared" si="44"/>
        <v>2.1625524760146182E-3</v>
      </c>
      <c r="AK116" s="299">
        <f t="shared" si="44"/>
        <v>2.0788006582773584E-3</v>
      </c>
      <c r="AL116" s="299">
        <f t="shared" si="44"/>
        <v>1.9676501599491386E-3</v>
      </c>
      <c r="AM116" s="299">
        <f t="shared" si="44"/>
        <v>1.8334965916185786E-3</v>
      </c>
      <c r="AN116" s="299">
        <f t="shared" si="44"/>
        <v>1.6889517846869779E-3</v>
      </c>
      <c r="AO116" s="299">
        <f t="shared" si="37"/>
        <v>1.5510665140303474E-3</v>
      </c>
      <c r="AP116" s="299">
        <f t="shared" si="37"/>
        <v>1.4339957410963681E-3</v>
      </c>
      <c r="AQ116" s="299">
        <f t="shared" si="37"/>
        <v>1.3440329517253192E-3</v>
      </c>
      <c r="AR116" s="299">
        <f t="shared" si="37"/>
        <v>1.2800574620292181E-3</v>
      </c>
      <c r="AS116" s="299">
        <f t="shared" si="37"/>
        <v>1.2370285972301373E-3</v>
      </c>
      <c r="AT116" s="299">
        <f t="shared" si="34"/>
        <v>1.2091623116799195E-3</v>
      </c>
      <c r="AU116" s="299">
        <f t="shared" si="34"/>
        <v>1.1915551574125213E-3</v>
      </c>
      <c r="AV116" s="299">
        <f t="shared" si="34"/>
        <v>1.1806029384008275E-3</v>
      </c>
      <c r="AW116" s="299">
        <f t="shared" si="34"/>
        <v>1.1738565002623023E-3</v>
      </c>
      <c r="AX116" s="299">
        <f t="shared" si="34"/>
        <v>1.1697257403239943E-3</v>
      </c>
      <c r="AY116" s="299">
        <f t="shared" si="34"/>
        <v>1.1672058529084951E-3</v>
      </c>
      <c r="AZ116" s="306">
        <f t="shared" si="48"/>
        <v>0.12880006962503432</v>
      </c>
      <c r="BA116" s="2">
        <f t="shared" si="49"/>
        <v>0.12880006962503432</v>
      </c>
      <c r="BB116" s="2">
        <f t="shared" si="45"/>
        <v>0.12880006962503432</v>
      </c>
      <c r="BC116" s="2">
        <f t="shared" si="45"/>
        <v>0.12880006962503432</v>
      </c>
      <c r="BD116" s="2">
        <f t="shared" si="45"/>
        <v>0.12880006962503432</v>
      </c>
      <c r="BE116" s="2">
        <f t="shared" si="45"/>
        <v>0.12296819557673774</v>
      </c>
      <c r="BF116" s="2">
        <f t="shared" si="45"/>
        <v>0.11971844618264751</v>
      </c>
      <c r="BG116" s="2">
        <f t="shared" si="45"/>
        <v>0.1150819633246892</v>
      </c>
      <c r="BH116" s="2">
        <f t="shared" si="45"/>
        <v>0.10892869532316327</v>
      </c>
      <c r="BI116" s="2">
        <f t="shared" si="45"/>
        <v>0.10150198224751548</v>
      </c>
      <c r="BJ116" s="2">
        <f t="shared" si="45"/>
        <v>9.350001240791514E-2</v>
      </c>
      <c r="BK116" s="2">
        <f t="shared" si="38"/>
        <v>8.5866713083356222E-2</v>
      </c>
      <c r="BL116" s="2">
        <f t="shared" si="38"/>
        <v>7.9385699935926451E-2</v>
      </c>
      <c r="BM116" s="2">
        <f t="shared" si="38"/>
        <v>7.4405379006277958E-2</v>
      </c>
      <c r="BN116" s="2">
        <f t="shared" si="38"/>
        <v>7.0863709472179015E-2</v>
      </c>
      <c r="BO116" s="2">
        <f t="shared" si="38"/>
        <v>6.8481640647545181E-2</v>
      </c>
      <c r="BP116" s="2">
        <f t="shared" si="35"/>
        <v>6.6938968992657902E-2</v>
      </c>
      <c r="BQ116" s="2">
        <f t="shared" si="35"/>
        <v>6.5964240668619376E-2</v>
      </c>
      <c r="BR116" s="2">
        <f t="shared" si="35"/>
        <v>6.5357928148172054E-2</v>
      </c>
      <c r="BS116" s="2">
        <f t="shared" si="35"/>
        <v>6.4984446764404638E-2</v>
      </c>
      <c r="BT116" s="2">
        <f t="shared" si="35"/>
        <v>6.4755768770759295E-2</v>
      </c>
      <c r="BU116" s="2">
        <f t="shared" si="35"/>
        <v>6.461626833815258E-2</v>
      </c>
    </row>
    <row r="117" spans="1:73" x14ac:dyDescent="0.25">
      <c r="A117" t="s">
        <v>33</v>
      </c>
      <c r="B117" s="1" t="s">
        <v>5</v>
      </c>
      <c r="C117" t="s">
        <v>9</v>
      </c>
      <c r="D117" t="s">
        <v>9</v>
      </c>
      <c r="E117" s="97">
        <v>6.133095</v>
      </c>
      <c r="F117" s="5">
        <f t="shared" si="29"/>
        <v>1.5026082749999999E-2</v>
      </c>
      <c r="G117" s="1">
        <f>LOOKUP(RIGHT(D117,5),Ref!$C$4:$C$21,Ref!$E$4:$E$21)*$G$3</f>
        <v>4.5</v>
      </c>
      <c r="H117" s="36">
        <f t="shared" si="43"/>
        <v>6.133095</v>
      </c>
      <c r="I117" s="12">
        <f t="shared" si="43"/>
        <v>6.133095</v>
      </c>
      <c r="J117" s="12">
        <f t="shared" si="43"/>
        <v>6.133095</v>
      </c>
      <c r="K117" s="12">
        <f t="shared" si="43"/>
        <v>6.133095</v>
      </c>
      <c r="L117" s="12">
        <f t="shared" si="43"/>
        <v>6.133095</v>
      </c>
      <c r="M117" s="12">
        <f t="shared" ref="M117:AB132" si="51">M$3*$E117</f>
        <v>6.4239623856559689</v>
      </c>
      <c r="N117" s="12">
        <f t="shared" si="51"/>
        <v>6.5983404245973878</v>
      </c>
      <c r="O117" s="12">
        <f t="shared" si="51"/>
        <v>6.8641778450392392</v>
      </c>
      <c r="P117" s="12">
        <f t="shared" si="51"/>
        <v>7.2519280679291453</v>
      </c>
      <c r="Q117" s="12">
        <f t="shared" si="51"/>
        <v>7.7825382866972106</v>
      </c>
      <c r="R117" s="12">
        <f t="shared" si="51"/>
        <v>8.4485877881025626</v>
      </c>
      <c r="S117" s="12">
        <f t="shared" si="51"/>
        <v>9.1996424999999995</v>
      </c>
      <c r="T117" s="12">
        <f t="shared" si="51"/>
        <v>9.9506972118974382</v>
      </c>
      <c r="U117" s="12">
        <f t="shared" si="51"/>
        <v>10.616746713302788</v>
      </c>
      <c r="V117" s="12">
        <f t="shared" si="51"/>
        <v>11.147356932070855</v>
      </c>
      <c r="W117" s="12">
        <f t="shared" si="51"/>
        <v>11.535107154960759</v>
      </c>
      <c r="X117" s="12">
        <f t="shared" si="51"/>
        <v>11.800944575402612</v>
      </c>
      <c r="Y117" s="12">
        <f t="shared" si="51"/>
        <v>11.975322614344032</v>
      </c>
      <c r="Z117" s="12">
        <f t="shared" si="51"/>
        <v>12.086415304140012</v>
      </c>
      <c r="AA117" s="12">
        <f t="shared" si="51"/>
        <v>12.155878865612546</v>
      </c>
      <c r="AB117" s="12">
        <f t="shared" si="51"/>
        <v>12.198806037087023</v>
      </c>
      <c r="AC117" s="12">
        <f t="shared" si="50"/>
        <v>12.225142109460524</v>
      </c>
      <c r="AD117" s="300">
        <f t="shared" si="46"/>
        <v>2.2408909536749812E-3</v>
      </c>
      <c r="AE117" s="299">
        <f t="shared" si="47"/>
        <v>2.2408909536749812E-3</v>
      </c>
      <c r="AF117" s="299">
        <f t="shared" si="44"/>
        <v>2.2408909536749812E-3</v>
      </c>
      <c r="AG117" s="299">
        <f t="shared" si="44"/>
        <v>2.2408909536749812E-3</v>
      </c>
      <c r="AH117" s="299">
        <f t="shared" si="44"/>
        <v>2.2408909536749812E-3</v>
      </c>
      <c r="AI117" s="299">
        <f t="shared" si="44"/>
        <v>2.1394267709626169E-3</v>
      </c>
      <c r="AJ117" s="299">
        <f t="shared" si="44"/>
        <v>2.0828869411307852E-3</v>
      </c>
      <c r="AK117" s="299">
        <f t="shared" si="44"/>
        <v>2.0022204281116922E-3</v>
      </c>
      <c r="AL117" s="299">
        <f t="shared" si="44"/>
        <v>1.895164565173889E-3</v>
      </c>
      <c r="AM117" s="299">
        <f t="shared" si="44"/>
        <v>1.7659530345030697E-3</v>
      </c>
      <c r="AN117" s="299">
        <f t="shared" si="44"/>
        <v>1.6267330645345502E-3</v>
      </c>
      <c r="AO117" s="299">
        <f t="shared" si="37"/>
        <v>1.4939273024499877E-3</v>
      </c>
      <c r="AP117" s="299">
        <f t="shared" si="37"/>
        <v>1.3811692598883307E-3</v>
      </c>
      <c r="AQ117" s="299">
        <f t="shared" si="37"/>
        <v>1.2945205791062649E-3</v>
      </c>
      <c r="AR117" s="299">
        <f t="shared" si="37"/>
        <v>1.2329018607082584E-3</v>
      </c>
      <c r="AS117" s="299">
        <f t="shared" si="37"/>
        <v>1.1914581216195051E-3</v>
      </c>
      <c r="AT117" s="299">
        <f t="shared" si="34"/>
        <v>1.1646183926815341E-3</v>
      </c>
      <c r="AU117" s="299">
        <f t="shared" si="34"/>
        <v>1.1476598623795897E-3</v>
      </c>
      <c r="AV117" s="299">
        <f t="shared" si="34"/>
        <v>1.137111108437719E-3</v>
      </c>
      <c r="AW117" s="299">
        <f t="shared" si="34"/>
        <v>1.130613200038392E-3</v>
      </c>
      <c r="AX117" s="299">
        <f t="shared" si="34"/>
        <v>1.1266346117600147E-3</v>
      </c>
      <c r="AY117" s="299">
        <f t="shared" si="34"/>
        <v>1.1242075536196563E-3</v>
      </c>
      <c r="AZ117" s="306">
        <f t="shared" si="48"/>
        <v>0.12405524768264926</v>
      </c>
      <c r="BA117" s="2">
        <f t="shared" si="49"/>
        <v>0.12405524768264926</v>
      </c>
      <c r="BB117" s="2">
        <f t="shared" si="45"/>
        <v>0.12405524768264926</v>
      </c>
      <c r="BC117" s="2">
        <f t="shared" si="45"/>
        <v>0.12405524768264926</v>
      </c>
      <c r="BD117" s="2">
        <f t="shared" si="45"/>
        <v>0.12405524768264926</v>
      </c>
      <c r="BE117" s="2">
        <f t="shared" si="45"/>
        <v>0.11843821205819934</v>
      </c>
      <c r="BF117" s="2">
        <f t="shared" si="45"/>
        <v>0.11530817907635346</v>
      </c>
      <c r="BG117" s="2">
        <f t="shared" si="45"/>
        <v>0.1108424980328971</v>
      </c>
      <c r="BH117" s="2">
        <f t="shared" si="45"/>
        <v>0.10491590817771078</v>
      </c>
      <c r="BI117" s="2">
        <f t="shared" si="45"/>
        <v>9.7762785258215246E-2</v>
      </c>
      <c r="BJ117" s="2">
        <f t="shared" si="45"/>
        <v>9.0055597262970813E-2</v>
      </c>
      <c r="BK117" s="2">
        <f t="shared" si="38"/>
        <v>8.2703498455099514E-2</v>
      </c>
      <c r="BL117" s="2">
        <f t="shared" si="38"/>
        <v>7.6461237145928326E-2</v>
      </c>
      <c r="BM117" s="2">
        <f t="shared" si="38"/>
        <v>7.1664384564518402E-2</v>
      </c>
      <c r="BN117" s="2">
        <f t="shared" si="38"/>
        <v>6.8253185389379592E-2</v>
      </c>
      <c r="BO117" s="2">
        <f t="shared" si="38"/>
        <v>6.5958868787708805E-2</v>
      </c>
      <c r="BP117" s="2">
        <f t="shared" si="35"/>
        <v>6.4473027089042165E-2</v>
      </c>
      <c r="BQ117" s="2">
        <f t="shared" si="35"/>
        <v>6.3534206450094388E-2</v>
      </c>
      <c r="BR117" s="2">
        <f t="shared" si="35"/>
        <v>6.2950229670297952E-2</v>
      </c>
      <c r="BS117" s="2">
        <f t="shared" si="35"/>
        <v>6.2590506840155005E-2</v>
      </c>
      <c r="BT117" s="2">
        <f t="shared" si="35"/>
        <v>6.2370253037312896E-2</v>
      </c>
      <c r="BU117" s="2">
        <f t="shared" si="35"/>
        <v>6.2235891613679782E-2</v>
      </c>
    </row>
    <row r="118" spans="1:73" x14ac:dyDescent="0.25">
      <c r="A118" t="s">
        <v>33</v>
      </c>
      <c r="B118" s="1" t="s">
        <v>5</v>
      </c>
      <c r="C118" t="s">
        <v>10</v>
      </c>
      <c r="D118" t="s">
        <v>10</v>
      </c>
      <c r="E118" s="97">
        <v>6.2615385000000003</v>
      </c>
      <c r="F118" s="5">
        <f t="shared" si="29"/>
        <v>1.5340769325E-2</v>
      </c>
      <c r="G118" s="1">
        <f>LOOKUP(RIGHT(D118,5),Ref!$C$4:$C$21,Ref!$E$4:$E$21)*$G$3</f>
        <v>4.5</v>
      </c>
      <c r="H118" s="36">
        <f t="shared" ref="H118:L133" si="52">$E118</f>
        <v>6.2615385000000003</v>
      </c>
      <c r="I118" s="12">
        <f t="shared" si="52"/>
        <v>6.2615385000000003</v>
      </c>
      <c r="J118" s="12">
        <f t="shared" si="52"/>
        <v>6.2615385000000003</v>
      </c>
      <c r="K118" s="12">
        <f t="shared" si="52"/>
        <v>6.2615385000000003</v>
      </c>
      <c r="L118" s="12">
        <f t="shared" si="52"/>
        <v>6.2615385000000003</v>
      </c>
      <c r="M118" s="12">
        <f t="shared" si="51"/>
        <v>6.558497430797452</v>
      </c>
      <c r="N118" s="12">
        <f t="shared" si="51"/>
        <v>6.7365274147429473</v>
      </c>
      <c r="O118" s="12">
        <f t="shared" si="51"/>
        <v>7.0079321855539876</v>
      </c>
      <c r="P118" s="12">
        <f t="shared" si="51"/>
        <v>7.403802940696167</v>
      </c>
      <c r="Q118" s="12">
        <f t="shared" si="51"/>
        <v>7.9455255641529483</v>
      </c>
      <c r="R118" s="12">
        <f t="shared" si="51"/>
        <v>8.6255239329953373</v>
      </c>
      <c r="S118" s="12">
        <f t="shared" si="51"/>
        <v>9.3923077500000005</v>
      </c>
      <c r="T118" s="12">
        <f t="shared" si="51"/>
        <v>10.159091567004664</v>
      </c>
      <c r="U118" s="12">
        <f t="shared" si="51"/>
        <v>10.839089935847053</v>
      </c>
      <c r="V118" s="12">
        <f t="shared" si="51"/>
        <v>11.380812559303834</v>
      </c>
      <c r="W118" s="12">
        <f t="shared" si="51"/>
        <v>11.776683314446013</v>
      </c>
      <c r="X118" s="12">
        <f t="shared" si="51"/>
        <v>12.048088085257055</v>
      </c>
      <c r="Y118" s="12">
        <f t="shared" si="51"/>
        <v>12.226118069202549</v>
      </c>
      <c r="Z118" s="12">
        <f t="shared" si="51"/>
        <v>12.3395373386295</v>
      </c>
      <c r="AA118" s="12">
        <f t="shared" si="51"/>
        <v>12.410455653853282</v>
      </c>
      <c r="AB118" s="12">
        <f t="shared" si="51"/>
        <v>12.45428183572125</v>
      </c>
      <c r="AC118" s="12">
        <f t="shared" si="50"/>
        <v>12.481169456262831</v>
      </c>
      <c r="AD118" s="300">
        <f t="shared" si="46"/>
        <v>2.1949233568601804E-3</v>
      </c>
      <c r="AE118" s="299">
        <f t="shared" si="47"/>
        <v>2.1949233568601804E-3</v>
      </c>
      <c r="AF118" s="299">
        <f t="shared" si="44"/>
        <v>2.1949233568601804E-3</v>
      </c>
      <c r="AG118" s="299">
        <f t="shared" si="44"/>
        <v>2.1949233568601804E-3</v>
      </c>
      <c r="AH118" s="299">
        <f t="shared" si="44"/>
        <v>2.1949233568601804E-3</v>
      </c>
      <c r="AI118" s="299">
        <f t="shared" si="44"/>
        <v>2.0955405180143778E-3</v>
      </c>
      <c r="AJ118" s="299">
        <f t="shared" si="44"/>
        <v>2.0401604947752876E-3</v>
      </c>
      <c r="AK118" s="299">
        <f t="shared" si="44"/>
        <v>1.9611487011618116E-3</v>
      </c>
      <c r="AL118" s="299">
        <f t="shared" si="44"/>
        <v>1.8562888847277954E-3</v>
      </c>
      <c r="AM118" s="299">
        <f t="shared" si="44"/>
        <v>1.7297278817571117E-3</v>
      </c>
      <c r="AN118" s="299">
        <f t="shared" si="44"/>
        <v>1.5933637435003437E-3</v>
      </c>
      <c r="AO118" s="299">
        <f t="shared" si="37"/>
        <v>1.4632822379067869E-3</v>
      </c>
      <c r="AP118" s="299">
        <f t="shared" si="37"/>
        <v>1.3528372111701974E-3</v>
      </c>
      <c r="AQ118" s="299">
        <f t="shared" si="37"/>
        <v>1.2679659625368009E-3</v>
      </c>
      <c r="AR118" s="299">
        <f t="shared" si="37"/>
        <v>1.2076112344275318E-3</v>
      </c>
      <c r="AS118" s="299">
        <f t="shared" si="37"/>
        <v>1.167017634470183E-3</v>
      </c>
      <c r="AT118" s="299">
        <f t="shared" si="34"/>
        <v>1.1407284712955375E-3</v>
      </c>
      <c r="AU118" s="299">
        <f t="shared" si="34"/>
        <v>1.1241178128443912E-3</v>
      </c>
      <c r="AV118" s="299">
        <f t="shared" si="34"/>
        <v>1.1137854464368193E-3</v>
      </c>
      <c r="AW118" s="299">
        <f t="shared" si="34"/>
        <v>1.1074208302144053E-3</v>
      </c>
      <c r="AX118" s="299">
        <f t="shared" si="34"/>
        <v>1.103523855073683E-3</v>
      </c>
      <c r="AY118" s="299">
        <f t="shared" si="34"/>
        <v>1.1011465833943119E-3</v>
      </c>
      <c r="AZ118" s="306">
        <f t="shared" si="48"/>
        <v>0.12151049127721848</v>
      </c>
      <c r="BA118" s="2">
        <f t="shared" si="49"/>
        <v>0.12151049127721848</v>
      </c>
      <c r="BB118" s="2">
        <f t="shared" si="45"/>
        <v>0.12151049127721848</v>
      </c>
      <c r="BC118" s="2">
        <f t="shared" si="45"/>
        <v>0.12151049127721848</v>
      </c>
      <c r="BD118" s="2">
        <f t="shared" si="45"/>
        <v>0.12151049127721848</v>
      </c>
      <c r="BE118" s="2">
        <f t="shared" si="45"/>
        <v>0.11600867840756422</v>
      </c>
      <c r="BF118" s="2">
        <f t="shared" si="45"/>
        <v>0.11294285207258375</v>
      </c>
      <c r="BG118" s="2">
        <f t="shared" si="45"/>
        <v>0.10856877594429405</v>
      </c>
      <c r="BH118" s="2">
        <f t="shared" si="45"/>
        <v>0.10276375875756048</v>
      </c>
      <c r="BI118" s="2">
        <f t="shared" si="45"/>
        <v>9.5757368489107514E-2</v>
      </c>
      <c r="BJ118" s="2">
        <f t="shared" si="45"/>
        <v>8.8208278731423589E-2</v>
      </c>
      <c r="BK118" s="2">
        <f t="shared" si="38"/>
        <v>8.1006994184812331E-2</v>
      </c>
      <c r="BL118" s="2">
        <f t="shared" si="38"/>
        <v>7.4892780940899309E-2</v>
      </c>
      <c r="BM118" s="2">
        <f t="shared" si="38"/>
        <v>7.0194326626072001E-2</v>
      </c>
      <c r="BN118" s="2">
        <f t="shared" si="38"/>
        <v>6.6853101685101349E-2</v>
      </c>
      <c r="BO118" s="2">
        <f t="shared" si="38"/>
        <v>6.4605848605347224E-2</v>
      </c>
      <c r="BP118" s="2">
        <f t="shared" si="35"/>
        <v>6.315048611050926E-2</v>
      </c>
      <c r="BQ118" s="2">
        <f t="shared" si="35"/>
        <v>6.2230923583403923E-2</v>
      </c>
      <c r="BR118" s="2">
        <f t="shared" si="35"/>
        <v>6.165892597158925E-2</v>
      </c>
      <c r="BS118" s="2">
        <f t="shared" si="35"/>
        <v>6.1306582168075857E-2</v>
      </c>
      <c r="BT118" s="2">
        <f t="shared" si="35"/>
        <v>6.1090846451216187E-2</v>
      </c>
      <c r="BU118" s="2">
        <f t="shared" si="35"/>
        <v>6.095924119549874E-2</v>
      </c>
    </row>
    <row r="119" spans="1:73" x14ac:dyDescent="0.25">
      <c r="A119" t="s">
        <v>33</v>
      </c>
      <c r="B119" s="1" t="s">
        <v>5</v>
      </c>
      <c r="C119" t="s">
        <v>11</v>
      </c>
      <c r="D119" t="s">
        <v>11</v>
      </c>
      <c r="E119" s="97">
        <v>6.4857579999999997</v>
      </c>
      <c r="F119" s="5">
        <f t="shared" si="29"/>
        <v>1.5890107099999998E-2</v>
      </c>
      <c r="G119" s="1">
        <f>LOOKUP(RIGHT(D119,5),Ref!$C$4:$C$21,Ref!$E$4:$E$21)*$G$3</f>
        <v>4.5</v>
      </c>
      <c r="H119" s="36">
        <f t="shared" si="52"/>
        <v>6.4857579999999997</v>
      </c>
      <c r="I119" s="12">
        <f t="shared" si="52"/>
        <v>6.4857579999999997</v>
      </c>
      <c r="J119" s="12">
        <f t="shared" si="52"/>
        <v>6.4857579999999997</v>
      </c>
      <c r="K119" s="12">
        <f t="shared" si="52"/>
        <v>6.4857579999999997</v>
      </c>
      <c r="L119" s="12">
        <f t="shared" si="52"/>
        <v>6.4857579999999997</v>
      </c>
      <c r="M119" s="12">
        <f t="shared" si="51"/>
        <v>6.7933507363683887</v>
      </c>
      <c r="N119" s="12">
        <f t="shared" si="51"/>
        <v>6.9777557979382197</v>
      </c>
      <c r="O119" s="12">
        <f t="shared" si="51"/>
        <v>7.2588793051283247</v>
      </c>
      <c r="P119" s="12">
        <f t="shared" si="51"/>
        <v>7.6689258004312659</v>
      </c>
      <c r="Q119" s="12">
        <f t="shared" si="51"/>
        <v>8.2300469751818177</v>
      </c>
      <c r="R119" s="12">
        <f t="shared" si="51"/>
        <v>8.9343954129829228</v>
      </c>
      <c r="S119" s="12">
        <f t="shared" si="51"/>
        <v>9.7286369999999991</v>
      </c>
      <c r="T119" s="12">
        <f t="shared" si="51"/>
        <v>10.522878587017077</v>
      </c>
      <c r="U119" s="12">
        <f t="shared" si="51"/>
        <v>11.227227024818182</v>
      </c>
      <c r="V119" s="12">
        <f t="shared" si="51"/>
        <v>11.788348199568734</v>
      </c>
      <c r="W119" s="12">
        <f t="shared" si="51"/>
        <v>12.198394694871673</v>
      </c>
      <c r="X119" s="12">
        <f t="shared" si="51"/>
        <v>12.479518202061779</v>
      </c>
      <c r="Y119" s="12">
        <f t="shared" si="51"/>
        <v>12.663923263631611</v>
      </c>
      <c r="Z119" s="12">
        <f t="shared" si="51"/>
        <v>12.781403964906545</v>
      </c>
      <c r="AA119" s="12">
        <f t="shared" si="51"/>
        <v>12.854861794848684</v>
      </c>
      <c r="AB119" s="12">
        <f t="shared" si="51"/>
        <v>12.900257348938089</v>
      </c>
      <c r="AC119" s="12">
        <f t="shared" si="50"/>
        <v>12.928107788575012</v>
      </c>
      <c r="AD119" s="300">
        <f t="shared" si="46"/>
        <v>2.1190425395966454E-3</v>
      </c>
      <c r="AE119" s="299">
        <f t="shared" si="47"/>
        <v>2.1190425395966454E-3</v>
      </c>
      <c r="AF119" s="299">
        <f t="shared" si="44"/>
        <v>2.1190425395966454E-3</v>
      </c>
      <c r="AG119" s="299">
        <f t="shared" si="44"/>
        <v>2.1190425395966454E-3</v>
      </c>
      <c r="AH119" s="299">
        <f t="shared" si="44"/>
        <v>2.1190425395966454E-3</v>
      </c>
      <c r="AI119" s="299">
        <f t="shared" si="44"/>
        <v>2.0230954703917372E-3</v>
      </c>
      <c r="AJ119" s="299">
        <f t="shared" si="44"/>
        <v>1.9696299930115359E-3</v>
      </c>
      <c r="AK119" s="299">
        <f t="shared" si="44"/>
        <v>1.8933497205029359E-3</v>
      </c>
      <c r="AL119" s="299">
        <f t="shared" si="44"/>
        <v>1.7921150186061758E-3</v>
      </c>
      <c r="AM119" s="299">
        <f t="shared" si="44"/>
        <v>1.6699293630976677E-3</v>
      </c>
      <c r="AN119" s="299">
        <f t="shared" si="44"/>
        <v>1.5382794770374608E-3</v>
      </c>
      <c r="AO119" s="299">
        <f t="shared" si="37"/>
        <v>1.4126950263977638E-3</v>
      </c>
      <c r="AP119" s="299">
        <f t="shared" si="37"/>
        <v>1.3060682008139714E-3</v>
      </c>
      <c r="AQ119" s="299">
        <f t="shared" si="37"/>
        <v>1.224131040830345E-3</v>
      </c>
      <c r="AR119" s="299">
        <f t="shared" si="37"/>
        <v>1.1658628393782988E-3</v>
      </c>
      <c r="AS119" s="299">
        <f t="shared" si="37"/>
        <v>1.1266726030194124E-3</v>
      </c>
      <c r="AT119" s="299">
        <f t="shared" si="34"/>
        <v>1.1012922839648278E-3</v>
      </c>
      <c r="AU119" s="299">
        <f t="shared" si="34"/>
        <v>1.0852558735094571E-3</v>
      </c>
      <c r="AV119" s="299">
        <f t="shared" si="34"/>
        <v>1.0752807079147623E-3</v>
      </c>
      <c r="AW119" s="299">
        <f t="shared" si="34"/>
        <v>1.0691361231932278E-3</v>
      </c>
      <c r="AX119" s="299">
        <f t="shared" si="34"/>
        <v>1.0653738705965112E-3</v>
      </c>
      <c r="AY119" s="299">
        <f t="shared" si="34"/>
        <v>1.0630787837083878E-3</v>
      </c>
      <c r="AZ119" s="306">
        <f t="shared" si="48"/>
        <v>0.11730974533527427</v>
      </c>
      <c r="BA119" s="2">
        <f t="shared" si="49"/>
        <v>0.11730974533527427</v>
      </c>
      <c r="BB119" s="2">
        <f t="shared" si="45"/>
        <v>0.11730974533527427</v>
      </c>
      <c r="BC119" s="2">
        <f t="shared" si="45"/>
        <v>0.11730974533527427</v>
      </c>
      <c r="BD119" s="2">
        <f t="shared" si="45"/>
        <v>0.11730974533527427</v>
      </c>
      <c r="BE119" s="2">
        <f t="shared" si="45"/>
        <v>0.11199813594387613</v>
      </c>
      <c r="BF119" s="2">
        <f t="shared" si="45"/>
        <v>0.10903829846138077</v>
      </c>
      <c r="BG119" s="2">
        <f t="shared" si="45"/>
        <v>0.10481543876183341</v>
      </c>
      <c r="BH119" s="2">
        <f t="shared" si="45"/>
        <v>9.9211107146639943E-2</v>
      </c>
      <c r="BI119" s="2">
        <f t="shared" si="45"/>
        <v>9.2446935185252613E-2</v>
      </c>
      <c r="BJ119" s="2">
        <f t="shared" si="45"/>
        <v>8.5158825428814949E-2</v>
      </c>
      <c r="BK119" s="2">
        <f t="shared" si="38"/>
        <v>7.8206496890182858E-2</v>
      </c>
      <c r="BL119" s="2">
        <f t="shared" si="38"/>
        <v>7.230365845187367E-2</v>
      </c>
      <c r="BM119" s="2">
        <f t="shared" si="38"/>
        <v>6.7767634662089599E-2</v>
      </c>
      <c r="BN119" s="2">
        <f t="shared" si="38"/>
        <v>6.4541919394105821E-2</v>
      </c>
      <c r="BO119" s="2">
        <f t="shared" si="38"/>
        <v>6.2372356225371489E-2</v>
      </c>
      <c r="BP119" s="2">
        <f t="shared" si="35"/>
        <v>6.096730714816511E-2</v>
      </c>
      <c r="BQ119" s="2">
        <f t="shared" si="35"/>
        <v>6.0079534868251586E-2</v>
      </c>
      <c r="BR119" s="2">
        <f t="shared" si="35"/>
        <v>5.9527311817640441E-2</v>
      </c>
      <c r="BS119" s="2">
        <f t="shared" si="35"/>
        <v>5.9187148911325475E-2</v>
      </c>
      <c r="BT119" s="2">
        <f t="shared" si="35"/>
        <v>5.8978871405914089E-2</v>
      </c>
      <c r="BU119" s="2">
        <f t="shared" si="35"/>
        <v>5.8851815882800654E-2</v>
      </c>
    </row>
    <row r="120" spans="1:73" x14ac:dyDescent="0.25">
      <c r="A120" t="s">
        <v>34</v>
      </c>
      <c r="B120" s="1" t="s">
        <v>5</v>
      </c>
      <c r="C120" t="s">
        <v>16</v>
      </c>
      <c r="D120" t="s">
        <v>16</v>
      </c>
      <c r="E120" s="97">
        <v>4.7121500000000003</v>
      </c>
      <c r="F120" s="5">
        <f t="shared" si="29"/>
        <v>1.1544767500000001E-2</v>
      </c>
      <c r="G120" s="1">
        <f>LOOKUP(RIGHT(D120,5),Ref!$C$4:$C$21,Ref!$E$4:$E$21)*$G$3</f>
        <v>3</v>
      </c>
      <c r="H120" s="36">
        <f t="shared" si="52"/>
        <v>4.7121500000000003</v>
      </c>
      <c r="I120" s="12">
        <f t="shared" si="52"/>
        <v>4.7121500000000003</v>
      </c>
      <c r="J120" s="12">
        <f t="shared" si="52"/>
        <v>4.7121500000000003</v>
      </c>
      <c r="K120" s="12">
        <f t="shared" si="52"/>
        <v>4.7121500000000003</v>
      </c>
      <c r="L120" s="12">
        <f t="shared" si="52"/>
        <v>4.7121500000000003</v>
      </c>
      <c r="M120" s="12">
        <f t="shared" si="51"/>
        <v>4.9356278282936712</v>
      </c>
      <c r="N120" s="12">
        <f t="shared" si="51"/>
        <v>5.0696051229871024</v>
      </c>
      <c r="O120" s="12">
        <f t="shared" si="51"/>
        <v>5.2738520490065213</v>
      </c>
      <c r="P120" s="12">
        <f t="shared" si="51"/>
        <v>5.5717664320041225</v>
      </c>
      <c r="Q120" s="12">
        <f t="shared" si="51"/>
        <v>5.9794423187086236</v>
      </c>
      <c r="R120" s="12">
        <f t="shared" si="51"/>
        <v>6.4911782624771819</v>
      </c>
      <c r="S120" s="12">
        <f t="shared" si="51"/>
        <v>7.068225</v>
      </c>
      <c r="T120" s="12">
        <f t="shared" si="51"/>
        <v>7.645271737522819</v>
      </c>
      <c r="U120" s="12">
        <f t="shared" si="51"/>
        <v>8.1570076812913772</v>
      </c>
      <c r="V120" s="12">
        <f t="shared" si="51"/>
        <v>8.5646835679958784</v>
      </c>
      <c r="W120" s="12">
        <f t="shared" si="51"/>
        <v>8.8625979509934787</v>
      </c>
      <c r="X120" s="12">
        <f t="shared" si="51"/>
        <v>9.0668448770128975</v>
      </c>
      <c r="Y120" s="12">
        <f t="shared" si="51"/>
        <v>9.2008221717063297</v>
      </c>
      <c r="Z120" s="12">
        <f t="shared" si="51"/>
        <v>9.2861763718649968</v>
      </c>
      <c r="AA120" s="12">
        <f t="shared" si="51"/>
        <v>9.3395462807271308</v>
      </c>
      <c r="AB120" s="12">
        <f t="shared" si="51"/>
        <v>9.3725278782832522</v>
      </c>
      <c r="AC120" s="12">
        <f t="shared" si="50"/>
        <v>9.3927622825171326</v>
      </c>
      <c r="AD120" s="300">
        <f t="shared" si="46"/>
        <v>2.9166297981875066E-3</v>
      </c>
      <c r="AE120" s="299">
        <f t="shared" si="47"/>
        <v>2.9166297981875066E-3</v>
      </c>
      <c r="AF120" s="299">
        <f t="shared" si="44"/>
        <v>2.9166297981875066E-3</v>
      </c>
      <c r="AG120" s="299">
        <f t="shared" si="44"/>
        <v>2.9166297981875066E-3</v>
      </c>
      <c r="AH120" s="299">
        <f t="shared" si="44"/>
        <v>2.9166297981875066E-3</v>
      </c>
      <c r="AI120" s="299">
        <f t="shared" si="44"/>
        <v>2.7845691737013829E-3</v>
      </c>
      <c r="AJ120" s="299">
        <f t="shared" si="44"/>
        <v>2.7109798041689065E-3</v>
      </c>
      <c r="AK120" s="299">
        <f t="shared" si="44"/>
        <v>2.6059883697568372E-3</v>
      </c>
      <c r="AL120" s="299">
        <f t="shared" si="44"/>
        <v>2.4666498984211352E-3</v>
      </c>
      <c r="AM120" s="299">
        <f t="shared" si="44"/>
        <v>2.2984747357672405E-3</v>
      </c>
      <c r="AN120" s="299">
        <f t="shared" si="44"/>
        <v>2.1172730970855187E-3</v>
      </c>
      <c r="AO120" s="299">
        <f t="shared" si="37"/>
        <v>1.9444198654583378E-3</v>
      </c>
      <c r="AP120" s="299">
        <f t="shared" si="37"/>
        <v>1.7976597268709233E-3</v>
      </c>
      <c r="AQ120" s="299">
        <f t="shared" si="37"/>
        <v>1.6848822068723909E-3</v>
      </c>
      <c r="AR120" s="299">
        <f t="shared" si="37"/>
        <v>1.6046824140573868E-3</v>
      </c>
      <c r="AS120" s="299">
        <f t="shared" si="37"/>
        <v>1.5507413491535663E-3</v>
      </c>
      <c r="AT120" s="299">
        <f t="shared" si="34"/>
        <v>1.5158081217837196E-3</v>
      </c>
      <c r="AU120" s="299">
        <f t="shared" si="34"/>
        <v>1.4937357604619865E-3</v>
      </c>
      <c r="AV120" s="299">
        <f t="shared" si="34"/>
        <v>1.4800060383484892E-3</v>
      </c>
      <c r="AW120" s="299">
        <f t="shared" si="34"/>
        <v>1.4715486909562432E-3</v>
      </c>
      <c r="AX120" s="299">
        <f t="shared" si="34"/>
        <v>1.4663703626183982E-3</v>
      </c>
      <c r="AY120" s="299">
        <f t="shared" si="34"/>
        <v>1.4632114270697971E-3</v>
      </c>
      <c r="AZ120" s="306">
        <f t="shared" si="48"/>
        <v>0.16146400672436526</v>
      </c>
      <c r="BA120" s="2">
        <f t="shared" si="49"/>
        <v>0.16146400672436526</v>
      </c>
      <c r="BB120" s="2">
        <f t="shared" si="45"/>
        <v>0.16146400672436526</v>
      </c>
      <c r="BC120" s="2">
        <f t="shared" si="45"/>
        <v>0.16146400672436526</v>
      </c>
      <c r="BD120" s="2">
        <f t="shared" si="45"/>
        <v>0.16146400672436526</v>
      </c>
      <c r="BE120" s="2">
        <f t="shared" si="45"/>
        <v>0.15415315857582676</v>
      </c>
      <c r="BF120" s="2">
        <f t="shared" si="45"/>
        <v>0.1500792666940331</v>
      </c>
      <c r="BG120" s="2">
        <f t="shared" si="45"/>
        <v>0.14426696316396359</v>
      </c>
      <c r="BH120" s="2">
        <f t="shared" si="45"/>
        <v>0.13655321495817771</v>
      </c>
      <c r="BI120" s="2">
        <f t="shared" si="45"/>
        <v>0.1272430736401077</v>
      </c>
      <c r="BJ120" s="2">
        <f t="shared" si="45"/>
        <v>0.11721178937333064</v>
      </c>
      <c r="BK120" s="2">
        <f t="shared" si="38"/>
        <v>0.10764267114957685</v>
      </c>
      <c r="BL120" s="2">
        <f t="shared" si="38"/>
        <v>9.9518061019599813E-2</v>
      </c>
      <c r="BM120" s="2">
        <f t="shared" si="38"/>
        <v>9.3274721443656269E-2</v>
      </c>
      <c r="BN120" s="2">
        <f t="shared" si="38"/>
        <v>8.883487793166113E-2</v>
      </c>
      <c r="BO120" s="2">
        <f t="shared" si="38"/>
        <v>8.5848712024776994E-2</v>
      </c>
      <c r="BP120" s="2">
        <f t="shared" si="35"/>
        <v>8.3914815970346668E-2</v>
      </c>
      <c r="BQ120" s="2">
        <f t="shared" si="35"/>
        <v>8.2692894731288616E-2</v>
      </c>
      <c r="BR120" s="2">
        <f t="shared" si="35"/>
        <v>8.1932820228506315E-2</v>
      </c>
      <c r="BS120" s="2">
        <f t="shared" si="35"/>
        <v>8.146462327150461E-2</v>
      </c>
      <c r="BT120" s="2">
        <f t="shared" si="35"/>
        <v>8.1177952113552942E-2</v>
      </c>
      <c r="BU120" s="2">
        <f t="shared" si="35"/>
        <v>8.1003074111902496E-2</v>
      </c>
    </row>
    <row r="121" spans="1:73" x14ac:dyDescent="0.25">
      <c r="A121" t="s">
        <v>34</v>
      </c>
      <c r="B121" s="1" t="s">
        <v>5</v>
      </c>
      <c r="C121" t="s">
        <v>17</v>
      </c>
      <c r="D121" t="s">
        <v>17</v>
      </c>
      <c r="E121" s="97">
        <v>4.8052250000000001</v>
      </c>
      <c r="F121" s="5">
        <f t="shared" si="29"/>
        <v>1.1772801250000001E-2</v>
      </c>
      <c r="G121" s="1">
        <f>LOOKUP(RIGHT(D121,5),Ref!$C$4:$C$21,Ref!$E$4:$E$21)*$G$3</f>
        <v>3</v>
      </c>
      <c r="H121" s="36">
        <f t="shared" si="52"/>
        <v>4.8052250000000001</v>
      </c>
      <c r="I121" s="12">
        <f t="shared" si="52"/>
        <v>4.8052250000000001</v>
      </c>
      <c r="J121" s="12">
        <f t="shared" si="52"/>
        <v>4.8052250000000001</v>
      </c>
      <c r="K121" s="12">
        <f t="shared" si="52"/>
        <v>4.8052250000000001</v>
      </c>
      <c r="L121" s="12">
        <f t="shared" si="52"/>
        <v>4.8052250000000001</v>
      </c>
      <c r="M121" s="12">
        <f t="shared" si="51"/>
        <v>5.0331169914396732</v>
      </c>
      <c r="N121" s="12">
        <f t="shared" si="51"/>
        <v>5.1697406230925793</v>
      </c>
      <c r="O121" s="12">
        <f t="shared" si="51"/>
        <v>5.37802186097373</v>
      </c>
      <c r="P121" s="12">
        <f t="shared" si="51"/>
        <v>5.6818206876323991</v>
      </c>
      <c r="Q121" s="12">
        <f t="shared" si="51"/>
        <v>6.097549041502635</v>
      </c>
      <c r="R121" s="12">
        <f t="shared" si="51"/>
        <v>6.6193928602255685</v>
      </c>
      <c r="S121" s="12">
        <f t="shared" si="51"/>
        <v>7.2078375000000001</v>
      </c>
      <c r="T121" s="12">
        <f t="shared" si="51"/>
        <v>7.7962821397744317</v>
      </c>
      <c r="U121" s="12">
        <f t="shared" si="51"/>
        <v>8.3181259584973652</v>
      </c>
      <c r="V121" s="12">
        <f t="shared" si="51"/>
        <v>8.7338543123676011</v>
      </c>
      <c r="W121" s="12">
        <f t="shared" si="51"/>
        <v>9.0376531390262684</v>
      </c>
      <c r="X121" s="12">
        <f t="shared" si="51"/>
        <v>9.2459343769074209</v>
      </c>
      <c r="Y121" s="12">
        <f t="shared" si="51"/>
        <v>9.3825580085603271</v>
      </c>
      <c r="Z121" s="12">
        <f t="shared" si="51"/>
        <v>9.4695981359878143</v>
      </c>
      <c r="AA121" s="12">
        <f t="shared" si="51"/>
        <v>9.5240222142349094</v>
      </c>
      <c r="AB121" s="12">
        <f t="shared" si="51"/>
        <v>9.5576552685979088</v>
      </c>
      <c r="AC121" s="12">
        <f t="shared" si="50"/>
        <v>9.5782893454173532</v>
      </c>
      <c r="AD121" s="300">
        <f t="shared" si="46"/>
        <v>2.8601360193392109E-3</v>
      </c>
      <c r="AE121" s="299">
        <f t="shared" si="47"/>
        <v>2.8601360193392109E-3</v>
      </c>
      <c r="AF121" s="299">
        <f t="shared" si="44"/>
        <v>2.8601360193392109E-3</v>
      </c>
      <c r="AG121" s="299">
        <f t="shared" si="44"/>
        <v>2.8601360193392109E-3</v>
      </c>
      <c r="AH121" s="299">
        <f t="shared" si="44"/>
        <v>2.8601360193392109E-3</v>
      </c>
      <c r="AI121" s="299">
        <f t="shared" si="44"/>
        <v>2.7306333484606801E-3</v>
      </c>
      <c r="AJ121" s="299">
        <f t="shared" si="44"/>
        <v>2.6584693711979176E-3</v>
      </c>
      <c r="AK121" s="299">
        <f t="shared" si="44"/>
        <v>2.5555115726214029E-3</v>
      </c>
      <c r="AL121" s="299">
        <f t="shared" si="44"/>
        <v>2.418872023442222E-3</v>
      </c>
      <c r="AM121" s="299">
        <f t="shared" si="44"/>
        <v>2.2539543364037281E-3</v>
      </c>
      <c r="AN121" s="299">
        <f t="shared" si="44"/>
        <v>2.0762624901917242E-3</v>
      </c>
      <c r="AO121" s="299">
        <f t="shared" si="37"/>
        <v>1.9067573462261404E-3</v>
      </c>
      <c r="AP121" s="299">
        <f t="shared" si="37"/>
        <v>1.7628398840792722E-3</v>
      </c>
      <c r="AQ121" s="299">
        <f t="shared" si="37"/>
        <v>1.6522468128159944E-3</v>
      </c>
      <c r="AR121" s="299">
        <f t="shared" si="37"/>
        <v>1.5736004531318546E-3</v>
      </c>
      <c r="AS121" s="299">
        <f t="shared" si="37"/>
        <v>1.5207042018665054E-3</v>
      </c>
      <c r="AT121" s="299">
        <f t="shared" si="34"/>
        <v>1.4864476150571833E-3</v>
      </c>
      <c r="AU121" s="299">
        <f t="shared" si="34"/>
        <v>1.4648027852308581E-3</v>
      </c>
      <c r="AV121" s="299">
        <f t="shared" si="34"/>
        <v>1.45133900152518E-3</v>
      </c>
      <c r="AW121" s="299">
        <f t="shared" si="34"/>
        <v>1.4430454690653324E-3</v>
      </c>
      <c r="AX121" s="299">
        <f t="shared" si="34"/>
        <v>1.4379674425676814E-3</v>
      </c>
      <c r="AY121" s="299">
        <f t="shared" si="34"/>
        <v>1.4348696941489621E-3</v>
      </c>
      <c r="AZ121" s="306">
        <f t="shared" si="48"/>
        <v>0.158336523115196</v>
      </c>
      <c r="BA121" s="2">
        <f t="shared" si="49"/>
        <v>0.158336523115196</v>
      </c>
      <c r="BB121" s="2">
        <f t="shared" si="45"/>
        <v>0.158336523115196</v>
      </c>
      <c r="BC121" s="2">
        <f t="shared" si="45"/>
        <v>0.158336523115196</v>
      </c>
      <c r="BD121" s="2">
        <f t="shared" si="45"/>
        <v>0.158336523115196</v>
      </c>
      <c r="BE121" s="2">
        <f t="shared" si="45"/>
        <v>0.15116728273558097</v>
      </c>
      <c r="BF121" s="2">
        <f t="shared" si="45"/>
        <v>0.14717230026737313</v>
      </c>
      <c r="BG121" s="2">
        <f t="shared" si="45"/>
        <v>0.1414725783856263</v>
      </c>
      <c r="BH121" s="2">
        <f t="shared" si="45"/>
        <v>0.13390824193771927</v>
      </c>
      <c r="BI121" s="2">
        <f t="shared" si="45"/>
        <v>0.12477843377848771</v>
      </c>
      <c r="BJ121" s="2">
        <f t="shared" si="45"/>
        <v>0.11494145087806294</v>
      </c>
      <c r="BK121" s="2">
        <f t="shared" si="38"/>
        <v>0.10555768207679735</v>
      </c>
      <c r="BL121" s="2">
        <f t="shared" si="38"/>
        <v>9.7590441911358419E-2</v>
      </c>
      <c r="BM121" s="2">
        <f t="shared" si="38"/>
        <v>9.1468032953862702E-2</v>
      </c>
      <c r="BN121" s="2">
        <f t="shared" si="38"/>
        <v>8.7114187170356655E-2</v>
      </c>
      <c r="BO121" s="2">
        <f t="shared" si="38"/>
        <v>8.4185861924790814E-2</v>
      </c>
      <c r="BP121" s="2">
        <f t="shared" si="35"/>
        <v>8.2289424548209297E-2</v>
      </c>
      <c r="BQ121" s="2">
        <f t="shared" si="35"/>
        <v>8.1091171362015643E-2</v>
      </c>
      <c r="BR121" s="2">
        <f t="shared" si="35"/>
        <v>8.0345819153058606E-2</v>
      </c>
      <c r="BS121" s="2">
        <f t="shared" si="35"/>
        <v>7.9886690955953243E-2</v>
      </c>
      <c r="BT121" s="2">
        <f t="shared" si="35"/>
        <v>7.960557248659085E-2</v>
      </c>
      <c r="BU121" s="2">
        <f t="shared" si="35"/>
        <v>7.9434081791466882E-2</v>
      </c>
    </row>
    <row r="122" spans="1:73" x14ac:dyDescent="0.25">
      <c r="A122" t="s">
        <v>34</v>
      </c>
      <c r="B122" s="1" t="s">
        <v>5</v>
      </c>
      <c r="C122" t="s">
        <v>18</v>
      </c>
      <c r="D122" t="s">
        <v>18</v>
      </c>
      <c r="E122" s="97">
        <v>5.5235450000000004</v>
      </c>
      <c r="F122" s="5">
        <f t="shared" si="29"/>
        <v>1.3532685250000002E-2</v>
      </c>
      <c r="G122" s="1">
        <f>LOOKUP(RIGHT(D122,5),Ref!$C$4:$C$21,Ref!$E$4:$E$21)*$G$3</f>
        <v>3</v>
      </c>
      <c r="H122" s="36">
        <f t="shared" si="52"/>
        <v>5.5235450000000004</v>
      </c>
      <c r="I122" s="12">
        <f t="shared" si="52"/>
        <v>5.5235450000000004</v>
      </c>
      <c r="J122" s="12">
        <f t="shared" si="52"/>
        <v>5.5235450000000004</v>
      </c>
      <c r="K122" s="12">
        <f t="shared" si="52"/>
        <v>5.5235450000000004</v>
      </c>
      <c r="L122" s="12">
        <f t="shared" si="52"/>
        <v>5.5235450000000004</v>
      </c>
      <c r="M122" s="12">
        <f t="shared" si="51"/>
        <v>5.7855039446605829</v>
      </c>
      <c r="N122" s="12">
        <f t="shared" si="51"/>
        <v>5.9425510709654397</v>
      </c>
      <c r="O122" s="12">
        <f t="shared" si="51"/>
        <v>6.181967703920658</v>
      </c>
      <c r="P122" s="12">
        <f t="shared" si="51"/>
        <v>6.5311805898929807</v>
      </c>
      <c r="Q122" s="12">
        <f t="shared" si="51"/>
        <v>7.0090550433011307</v>
      </c>
      <c r="R122" s="12">
        <f t="shared" si="51"/>
        <v>7.6089078734366531</v>
      </c>
      <c r="S122" s="12">
        <f t="shared" si="51"/>
        <v>8.2853175000000014</v>
      </c>
      <c r="T122" s="12">
        <f t="shared" si="51"/>
        <v>8.961727126563348</v>
      </c>
      <c r="U122" s="12">
        <f t="shared" si="51"/>
        <v>9.5615799566988713</v>
      </c>
      <c r="V122" s="12">
        <f t="shared" si="51"/>
        <v>10.03945441010702</v>
      </c>
      <c r="W122" s="12">
        <f t="shared" si="51"/>
        <v>10.388667296079342</v>
      </c>
      <c r="X122" s="12">
        <f t="shared" si="51"/>
        <v>10.628083929034561</v>
      </c>
      <c r="Y122" s="12">
        <f t="shared" si="51"/>
        <v>10.785131055339418</v>
      </c>
      <c r="Z122" s="12">
        <f t="shared" si="51"/>
        <v>10.8851825743945</v>
      </c>
      <c r="AA122" s="12">
        <f t="shared" si="51"/>
        <v>10.94774235989494</v>
      </c>
      <c r="AB122" s="12">
        <f t="shared" si="51"/>
        <v>10.986403127967501</v>
      </c>
      <c r="AC122" s="12">
        <f t="shared" si="50"/>
        <v>11.010121736741423</v>
      </c>
      <c r="AD122" s="300">
        <f t="shared" si="46"/>
        <v>2.4881841468711234E-3</v>
      </c>
      <c r="AE122" s="299">
        <f t="shared" si="47"/>
        <v>2.4881841468711234E-3</v>
      </c>
      <c r="AF122" s="299">
        <f t="shared" si="44"/>
        <v>2.4881841468711234E-3</v>
      </c>
      <c r="AG122" s="299">
        <f t="shared" si="44"/>
        <v>2.4881841468711234E-3</v>
      </c>
      <c r="AH122" s="299">
        <f t="shared" si="44"/>
        <v>2.4881841468711234E-3</v>
      </c>
      <c r="AI122" s="299">
        <f t="shared" si="44"/>
        <v>2.3755228991267333E-3</v>
      </c>
      <c r="AJ122" s="299">
        <f t="shared" si="44"/>
        <v>2.3127436246494801E-3</v>
      </c>
      <c r="AK122" s="299">
        <f t="shared" si="44"/>
        <v>2.2231751703932308E-3</v>
      </c>
      <c r="AL122" s="299">
        <f t="shared" si="44"/>
        <v>2.1043051733705713E-3</v>
      </c>
      <c r="AM122" s="299">
        <f t="shared" si="44"/>
        <v>1.9608345231451182E-3</v>
      </c>
      <c r="AN122" s="299">
        <f t="shared" si="44"/>
        <v>1.8062509537681919E-3</v>
      </c>
      <c r="AO122" s="299">
        <f t="shared" si="37"/>
        <v>1.6587894312474153E-3</v>
      </c>
      <c r="AP122" s="299">
        <f t="shared" si="37"/>
        <v>1.5335879914031335E-3</v>
      </c>
      <c r="AQ122" s="299">
        <f t="shared" si="37"/>
        <v>1.4373772081360313E-3</v>
      </c>
      <c r="AR122" s="299">
        <f t="shared" si="37"/>
        <v>1.368958565088275E-3</v>
      </c>
      <c r="AS122" s="299">
        <f t="shared" si="37"/>
        <v>1.3229413082384552E-3</v>
      </c>
      <c r="AT122" s="299">
        <f t="shared" si="34"/>
        <v>1.2931396849420352E-3</v>
      </c>
      <c r="AU122" s="299">
        <f t="shared" si="34"/>
        <v>1.2743096985108203E-3</v>
      </c>
      <c r="AV122" s="299">
        <f t="shared" si="34"/>
        <v>1.2625968383717038E-3</v>
      </c>
      <c r="AW122" s="299">
        <f t="shared" si="34"/>
        <v>1.2553818542420604E-3</v>
      </c>
      <c r="AX122" s="299">
        <f t="shared" si="34"/>
        <v>1.250964209436564E-3</v>
      </c>
      <c r="AY122" s="299">
        <f t="shared" si="34"/>
        <v>1.2482693136503722E-3</v>
      </c>
      <c r="AZ122" s="306">
        <f t="shared" si="48"/>
        <v>0.1377453463828425</v>
      </c>
      <c r="BA122" s="2">
        <f t="shared" si="49"/>
        <v>0.1377453463828425</v>
      </c>
      <c r="BB122" s="2">
        <f t="shared" si="45"/>
        <v>0.1377453463828425</v>
      </c>
      <c r="BC122" s="2">
        <f t="shared" si="45"/>
        <v>0.1377453463828425</v>
      </c>
      <c r="BD122" s="2">
        <f t="shared" si="45"/>
        <v>0.1377453463828425</v>
      </c>
      <c r="BE122" s="2">
        <f t="shared" si="45"/>
        <v>0.13150844361421551</v>
      </c>
      <c r="BF122" s="2">
        <f t="shared" si="45"/>
        <v>0.1280329963007974</v>
      </c>
      <c r="BG122" s="2">
        <f t="shared" si="45"/>
        <v>0.12307450567942707</v>
      </c>
      <c r="BH122" s="2">
        <f t="shared" si="45"/>
        <v>0.11649388786823989</v>
      </c>
      <c r="BI122" s="2">
        <f t="shared" si="45"/>
        <v>0.10855138311595788</v>
      </c>
      <c r="BJ122" s="2">
        <f t="shared" si="45"/>
        <v>9.9993669517590603E-2</v>
      </c>
      <c r="BK122" s="2">
        <f t="shared" si="38"/>
        <v>9.183023092189499E-2</v>
      </c>
      <c r="BL122" s="2">
        <f t="shared" si="38"/>
        <v>8.489910577962291E-2</v>
      </c>
      <c r="BM122" s="2">
        <f t="shared" si="38"/>
        <v>7.957289723370134E-2</v>
      </c>
      <c r="BN122" s="2">
        <f t="shared" si="38"/>
        <v>7.5785255672883453E-2</v>
      </c>
      <c r="BO122" s="2">
        <f t="shared" si="38"/>
        <v>7.3237750098451793E-2</v>
      </c>
      <c r="BP122" s="2">
        <f t="shared" si="35"/>
        <v>7.1587938556609748E-2</v>
      </c>
      <c r="BQ122" s="2">
        <f t="shared" si="35"/>
        <v>7.0545514503465009E-2</v>
      </c>
      <c r="BR122" s="2">
        <f t="shared" si="35"/>
        <v>6.9897093051610154E-2</v>
      </c>
      <c r="BS122" s="2">
        <f t="shared" si="35"/>
        <v>6.9497673061199E-2</v>
      </c>
      <c r="BT122" s="2">
        <f t="shared" si="35"/>
        <v>6.9253113182182552E-2</v>
      </c>
      <c r="BU122" s="2">
        <f t="shared" si="35"/>
        <v>6.9103924323310723E-2</v>
      </c>
    </row>
    <row r="123" spans="1:73" x14ac:dyDescent="0.25">
      <c r="A123" t="s">
        <v>35</v>
      </c>
      <c r="B123" s="1" t="s">
        <v>5</v>
      </c>
      <c r="C123" t="s">
        <v>9</v>
      </c>
      <c r="D123" t="s">
        <v>9</v>
      </c>
      <c r="E123" s="97">
        <v>4.5924300000000002</v>
      </c>
      <c r="F123" s="5">
        <f t="shared" si="29"/>
        <v>1.12514535E-2</v>
      </c>
      <c r="G123" s="1">
        <f>LOOKUP(RIGHT(D123,5),Ref!$C$4:$C$21,Ref!$E$4:$E$21)*$G$3</f>
        <v>4.5</v>
      </c>
      <c r="H123" s="36">
        <f t="shared" si="52"/>
        <v>4.5924300000000002</v>
      </c>
      <c r="I123" s="12">
        <f t="shared" si="52"/>
        <v>4.5924300000000002</v>
      </c>
      <c r="J123" s="12">
        <f t="shared" si="52"/>
        <v>4.5924300000000002</v>
      </c>
      <c r="K123" s="12">
        <f t="shared" si="52"/>
        <v>4.5924300000000002</v>
      </c>
      <c r="L123" s="12">
        <f t="shared" si="52"/>
        <v>4.5924300000000002</v>
      </c>
      <c r="M123" s="12">
        <f t="shared" si="51"/>
        <v>4.8102300027568532</v>
      </c>
      <c r="N123" s="12">
        <f t="shared" si="51"/>
        <v>4.940803381674959</v>
      </c>
      <c r="O123" s="12">
        <f t="shared" si="51"/>
        <v>5.1398610751820337</v>
      </c>
      <c r="P123" s="12">
        <f t="shared" si="51"/>
        <v>5.4302064482940251</v>
      </c>
      <c r="Q123" s="12">
        <f t="shared" si="51"/>
        <v>5.8275246517422072</v>
      </c>
      <c r="R123" s="12">
        <f t="shared" si="51"/>
        <v>6.3262590936086678</v>
      </c>
      <c r="S123" s="12">
        <f t="shared" si="51"/>
        <v>6.8886450000000004</v>
      </c>
      <c r="T123" s="12">
        <f t="shared" si="51"/>
        <v>7.4510309063913329</v>
      </c>
      <c r="U123" s="12">
        <f t="shared" si="51"/>
        <v>7.9497653482577935</v>
      </c>
      <c r="V123" s="12">
        <f t="shared" si="51"/>
        <v>8.3470835517059747</v>
      </c>
      <c r="W123" s="12">
        <f t="shared" si="51"/>
        <v>8.6374289248179661</v>
      </c>
      <c r="X123" s="12">
        <f t="shared" si="51"/>
        <v>8.8364866183250417</v>
      </c>
      <c r="Y123" s="12">
        <f t="shared" si="51"/>
        <v>8.9670599972431475</v>
      </c>
      <c r="Z123" s="12">
        <f t="shared" si="51"/>
        <v>9.0502456321305491</v>
      </c>
      <c r="AA123" s="12">
        <f t="shared" si="51"/>
        <v>9.1022595897837917</v>
      </c>
      <c r="AB123" s="12">
        <f t="shared" si="51"/>
        <v>9.134403235054986</v>
      </c>
      <c r="AC123" s="12">
        <f t="shared" si="50"/>
        <v>9.1541235506297873</v>
      </c>
      <c r="AD123" s="300">
        <f t="shared" si="46"/>
        <v>2.9926633837705223E-3</v>
      </c>
      <c r="AE123" s="299">
        <f t="shared" si="47"/>
        <v>2.9926633837705223E-3</v>
      </c>
      <c r="AF123" s="299">
        <f t="shared" si="44"/>
        <v>2.9926633837705223E-3</v>
      </c>
      <c r="AG123" s="299">
        <f t="shared" si="44"/>
        <v>2.9926633837705223E-3</v>
      </c>
      <c r="AH123" s="299">
        <f t="shared" si="44"/>
        <v>2.9926633837705223E-3</v>
      </c>
      <c r="AI123" s="299">
        <f t="shared" si="44"/>
        <v>2.8571600725230371E-3</v>
      </c>
      <c r="AJ123" s="299">
        <f t="shared" si="44"/>
        <v>2.7816523026403259E-3</v>
      </c>
      <c r="AK123" s="299">
        <f t="shared" si="44"/>
        <v>2.673923847843011E-3</v>
      </c>
      <c r="AL123" s="299">
        <f t="shared" si="44"/>
        <v>2.530952963647819E-3</v>
      </c>
      <c r="AM123" s="299">
        <f t="shared" si="44"/>
        <v>2.3583936447905802E-3</v>
      </c>
      <c r="AN123" s="299">
        <f t="shared" si="44"/>
        <v>2.1724682628655261E-3</v>
      </c>
      <c r="AO123" s="299">
        <f t="shared" si="37"/>
        <v>1.9951089225136815E-3</v>
      </c>
      <c r="AP123" s="299">
        <f t="shared" si="37"/>
        <v>1.8445228957163901E-3</v>
      </c>
      <c r="AQ123" s="299">
        <f t="shared" si="37"/>
        <v>1.7288053799652332E-3</v>
      </c>
      <c r="AR123" s="299">
        <f t="shared" si="37"/>
        <v>1.6465148597584538E-3</v>
      </c>
      <c r="AS123" s="299">
        <f t="shared" si="37"/>
        <v>1.591167605911027E-3</v>
      </c>
      <c r="AT123" s="299">
        <f t="shared" si="34"/>
        <v>1.5553237046755538E-3</v>
      </c>
      <c r="AU123" s="299">
        <f t="shared" si="34"/>
        <v>1.5326759392437009E-3</v>
      </c>
      <c r="AV123" s="299">
        <f t="shared" si="34"/>
        <v>1.5185882971768395E-3</v>
      </c>
      <c r="AW123" s="299">
        <f t="shared" si="34"/>
        <v>1.5099104753016294E-3</v>
      </c>
      <c r="AX123" s="299">
        <f t="shared" si="34"/>
        <v>1.5045971531873726E-3</v>
      </c>
      <c r="AY123" s="299">
        <f t="shared" si="34"/>
        <v>1.501355867387624E-3</v>
      </c>
      <c r="AZ123" s="306">
        <f t="shared" si="48"/>
        <v>0.16567320988805878</v>
      </c>
      <c r="BA123" s="2">
        <f t="shared" si="49"/>
        <v>0.16567320988805878</v>
      </c>
      <c r="BB123" s="2">
        <f t="shared" si="45"/>
        <v>0.16567320988805878</v>
      </c>
      <c r="BC123" s="2">
        <f t="shared" si="45"/>
        <v>0.16567320988805878</v>
      </c>
      <c r="BD123" s="2">
        <f t="shared" si="45"/>
        <v>0.16567320988805878</v>
      </c>
      <c r="BE123" s="2">
        <f t="shared" si="45"/>
        <v>0.1581717753309429</v>
      </c>
      <c r="BF123" s="2">
        <f t="shared" si="45"/>
        <v>0.15399168121284115</v>
      </c>
      <c r="BG123" s="2">
        <f t="shared" si="45"/>
        <v>0.14802785681503497</v>
      </c>
      <c r="BH123" s="2">
        <f t="shared" si="45"/>
        <v>0.14011301900413881</v>
      </c>
      <c r="BI123" s="2">
        <f t="shared" si="45"/>
        <v>0.13056017172896126</v>
      </c>
      <c r="BJ123" s="2">
        <f t="shared" si="45"/>
        <v>0.12026738203860265</v>
      </c>
      <c r="BK123" s="2">
        <f t="shared" si="38"/>
        <v>0.11044880659203918</v>
      </c>
      <c r="BL123" s="2">
        <f t="shared" si="38"/>
        <v>0.10211239610260957</v>
      </c>
      <c r="BM123" s="2">
        <f t="shared" si="38"/>
        <v>9.5706298985662255E-2</v>
      </c>
      <c r="BN123" s="2">
        <f t="shared" si="38"/>
        <v>9.1150713248906792E-2</v>
      </c>
      <c r="BO123" s="2">
        <f t="shared" si="38"/>
        <v>8.8086701020495234E-2</v>
      </c>
      <c r="BP123" s="2">
        <f t="shared" si="35"/>
        <v>8.6102390254107083E-2</v>
      </c>
      <c r="BQ123" s="2">
        <f t="shared" si="35"/>
        <v>8.4848614765612465E-2</v>
      </c>
      <c r="BR123" s="2">
        <f t="shared" si="35"/>
        <v>8.4068725890161858E-2</v>
      </c>
      <c r="BS123" s="2">
        <f t="shared" si="35"/>
        <v>8.3588323512567522E-2</v>
      </c>
      <c r="BT123" s="2">
        <f t="shared" si="35"/>
        <v>8.3294179127799114E-2</v>
      </c>
      <c r="BU123" s="2">
        <f t="shared" si="35"/>
        <v>8.3114742233719702E-2</v>
      </c>
    </row>
    <row r="124" spans="1:73" x14ac:dyDescent="0.25">
      <c r="A124" t="s">
        <v>35</v>
      </c>
      <c r="B124" s="1" t="s">
        <v>5</v>
      </c>
      <c r="C124" t="s">
        <v>10</v>
      </c>
      <c r="D124" t="s">
        <v>10</v>
      </c>
      <c r="E124" s="97">
        <v>4.2832020000000002</v>
      </c>
      <c r="F124" s="5">
        <f t="shared" si="29"/>
        <v>1.04938449E-2</v>
      </c>
      <c r="G124" s="1">
        <f>LOOKUP(RIGHT(D124,5),Ref!$C$4:$C$21,Ref!$E$4:$E$21)*$G$3</f>
        <v>4.5</v>
      </c>
      <c r="H124" s="36">
        <f t="shared" si="52"/>
        <v>4.2832020000000002</v>
      </c>
      <c r="I124" s="12">
        <f t="shared" si="52"/>
        <v>4.2832020000000002</v>
      </c>
      <c r="J124" s="12">
        <f t="shared" si="52"/>
        <v>4.2832020000000002</v>
      </c>
      <c r="K124" s="12">
        <f t="shared" si="52"/>
        <v>4.2832020000000002</v>
      </c>
      <c r="L124" s="12">
        <f t="shared" si="52"/>
        <v>4.2832020000000002</v>
      </c>
      <c r="M124" s="12">
        <f t="shared" si="51"/>
        <v>4.4863365948459002</v>
      </c>
      <c r="N124" s="12">
        <f t="shared" si="51"/>
        <v>4.6081179083833499</v>
      </c>
      <c r="O124" s="12">
        <f t="shared" si="51"/>
        <v>4.7937721940109785</v>
      </c>
      <c r="P124" s="12">
        <f t="shared" si="51"/>
        <v>5.0645673684184329</v>
      </c>
      <c r="Q124" s="12">
        <f t="shared" si="51"/>
        <v>5.4351324338948066</v>
      </c>
      <c r="R124" s="12">
        <f t="shared" si="51"/>
        <v>5.9002849476775543</v>
      </c>
      <c r="S124" s="12">
        <f t="shared" si="51"/>
        <v>6.4248030000000007</v>
      </c>
      <c r="T124" s="12">
        <f t="shared" si="51"/>
        <v>6.9493210523224462</v>
      </c>
      <c r="U124" s="12">
        <f t="shared" si="51"/>
        <v>7.4144735661051939</v>
      </c>
      <c r="V124" s="12">
        <f t="shared" si="51"/>
        <v>7.7850386315815676</v>
      </c>
      <c r="W124" s="12">
        <f t="shared" si="51"/>
        <v>8.0558338059890211</v>
      </c>
      <c r="X124" s="12">
        <f t="shared" si="51"/>
        <v>8.2414880916166506</v>
      </c>
      <c r="Y124" s="12">
        <f t="shared" si="51"/>
        <v>8.3632694051540994</v>
      </c>
      <c r="Z124" s="12">
        <f t="shared" si="51"/>
        <v>8.4408537946213293</v>
      </c>
      <c r="AA124" s="12">
        <f t="shared" si="51"/>
        <v>8.4893654295179495</v>
      </c>
      <c r="AB124" s="12">
        <f t="shared" si="51"/>
        <v>8.5193447053507594</v>
      </c>
      <c r="AC124" s="12">
        <f t="shared" si="50"/>
        <v>8.5377371675354023</v>
      </c>
      <c r="AD124" s="300">
        <f t="shared" si="46"/>
        <v>3.2087202759826083E-3</v>
      </c>
      <c r="AE124" s="299">
        <f t="shared" si="47"/>
        <v>3.2087202759826083E-3</v>
      </c>
      <c r="AF124" s="299">
        <f t="shared" si="44"/>
        <v>3.2087202759826083E-3</v>
      </c>
      <c r="AG124" s="299">
        <f t="shared" si="44"/>
        <v>3.2087202759826083E-3</v>
      </c>
      <c r="AH124" s="299">
        <f t="shared" si="44"/>
        <v>3.2087202759826083E-3</v>
      </c>
      <c r="AI124" s="299">
        <f t="shared" si="44"/>
        <v>3.0634342325804322E-3</v>
      </c>
      <c r="AJ124" s="299">
        <f t="shared" si="44"/>
        <v>2.9824751399104019E-3</v>
      </c>
      <c r="AK124" s="299">
        <f t="shared" si="44"/>
        <v>2.8669691731909161E-3</v>
      </c>
      <c r="AL124" s="299">
        <f t="shared" si="44"/>
        <v>2.7136764315213602E-3</v>
      </c>
      <c r="AM124" s="299">
        <f t="shared" si="44"/>
        <v>2.5286591027333296E-3</v>
      </c>
      <c r="AN124" s="299">
        <f t="shared" si="44"/>
        <v>2.3293107409903917E-3</v>
      </c>
      <c r="AO124" s="299">
        <f t="shared" si="37"/>
        <v>2.1391468506550717E-3</v>
      </c>
      <c r="AP124" s="299">
        <f t="shared" si="37"/>
        <v>1.9776891871956591E-3</v>
      </c>
      <c r="AQ124" s="299">
        <f t="shared" si="37"/>
        <v>1.8536173851043535E-3</v>
      </c>
      <c r="AR124" s="299">
        <f t="shared" si="37"/>
        <v>1.7653858579166977E-3</v>
      </c>
      <c r="AS124" s="299">
        <f t="shared" si="37"/>
        <v>1.7060427802410389E-3</v>
      </c>
      <c r="AT124" s="299">
        <f t="shared" si="34"/>
        <v>1.6676111098806812E-3</v>
      </c>
      <c r="AU124" s="299">
        <f t="shared" si="34"/>
        <v>1.6433282772236636E-3</v>
      </c>
      <c r="AV124" s="299">
        <f t="shared" si="34"/>
        <v>1.6282235704979202E-3</v>
      </c>
      <c r="AW124" s="299">
        <f t="shared" si="34"/>
        <v>1.6189192487511591E-3</v>
      </c>
      <c r="AX124" s="299">
        <f t="shared" si="34"/>
        <v>1.613222328578546E-3</v>
      </c>
      <c r="AY124" s="299">
        <f t="shared" si="34"/>
        <v>1.6097470364617276E-3</v>
      </c>
      <c r="AZ124" s="306">
        <f t="shared" si="48"/>
        <v>0.17763407359405831</v>
      </c>
      <c r="BA124" s="2">
        <f t="shared" si="49"/>
        <v>0.17763407359405831</v>
      </c>
      <c r="BB124" s="2">
        <f t="shared" si="45"/>
        <v>0.17763407359405831</v>
      </c>
      <c r="BC124" s="2">
        <f t="shared" si="45"/>
        <v>0.17763407359405831</v>
      </c>
      <c r="BD124" s="2">
        <f t="shared" si="45"/>
        <v>0.17763407359405831</v>
      </c>
      <c r="BE124" s="2">
        <f t="shared" si="45"/>
        <v>0.1695910690607359</v>
      </c>
      <c r="BF124" s="2">
        <f t="shared" si="45"/>
        <v>0.16510919086988848</v>
      </c>
      <c r="BG124" s="2">
        <f t="shared" si="45"/>
        <v>0.15871480506244418</v>
      </c>
      <c r="BH124" s="2">
        <f t="shared" si="45"/>
        <v>0.15022855141204575</v>
      </c>
      <c r="BI124" s="2">
        <f t="shared" si="45"/>
        <v>0.13998603135066559</v>
      </c>
      <c r="BJ124" s="2">
        <f t="shared" si="45"/>
        <v>0.12895014834591972</v>
      </c>
      <c r="BK124" s="2">
        <f t="shared" si="38"/>
        <v>0.1184227157293722</v>
      </c>
      <c r="BL124" s="2">
        <f t="shared" si="38"/>
        <v>0.10948445374126815</v>
      </c>
      <c r="BM124" s="2">
        <f t="shared" si="38"/>
        <v>0.10261586510529387</v>
      </c>
      <c r="BN124" s="2">
        <f t="shared" si="38"/>
        <v>9.7731386482747484E-2</v>
      </c>
      <c r="BO124" s="2">
        <f t="shared" si="38"/>
        <v>9.4446166295111211E-2</v>
      </c>
      <c r="BP124" s="2">
        <f t="shared" si="35"/>
        <v>9.2318597179089149E-2</v>
      </c>
      <c r="BQ124" s="2">
        <f t="shared" si="35"/>
        <v>9.0974304715967555E-2</v>
      </c>
      <c r="BR124" s="2">
        <f t="shared" si="35"/>
        <v>9.0138111356820441E-2</v>
      </c>
      <c r="BS124" s="2">
        <f t="shared" si="35"/>
        <v>8.9623026079279119E-2</v>
      </c>
      <c r="BT124" s="2">
        <f t="shared" si="35"/>
        <v>8.9307645787398887E-2</v>
      </c>
      <c r="BU124" s="2">
        <f t="shared" si="35"/>
        <v>8.9115254353262202E-2</v>
      </c>
    </row>
    <row r="125" spans="1:73" x14ac:dyDescent="0.25">
      <c r="A125" t="s">
        <v>35</v>
      </c>
      <c r="B125" s="1" t="s">
        <v>5</v>
      </c>
      <c r="C125" t="s">
        <v>11</v>
      </c>
      <c r="D125" t="s">
        <v>11</v>
      </c>
      <c r="E125" s="97">
        <v>5.2398122499999999</v>
      </c>
      <c r="F125" s="5">
        <f t="shared" si="29"/>
        <v>1.2837540012499999E-2</v>
      </c>
      <c r="G125" s="1">
        <f>LOOKUP(RIGHT(D125,5),Ref!$C$4:$C$21,Ref!$E$4:$E$21)*$G$3</f>
        <v>4.5</v>
      </c>
      <c r="H125" s="36">
        <f t="shared" si="52"/>
        <v>5.2398122499999999</v>
      </c>
      <c r="I125" s="12">
        <f t="shared" si="52"/>
        <v>5.2398122499999999</v>
      </c>
      <c r="J125" s="12">
        <f t="shared" si="52"/>
        <v>5.2398122499999999</v>
      </c>
      <c r="K125" s="12">
        <f t="shared" si="52"/>
        <v>5.2398122499999999</v>
      </c>
      <c r="L125" s="12">
        <f t="shared" si="52"/>
        <v>5.2398122499999999</v>
      </c>
      <c r="M125" s="12">
        <f t="shared" si="51"/>
        <v>5.4883149212427602</v>
      </c>
      <c r="N125" s="12">
        <f t="shared" si="51"/>
        <v>5.6372948709380166</v>
      </c>
      <c r="O125" s="12">
        <f t="shared" si="51"/>
        <v>5.8644131810472864</v>
      </c>
      <c r="P125" s="12">
        <f t="shared" si="51"/>
        <v>6.1956877443532123</v>
      </c>
      <c r="Q125" s="12">
        <f t="shared" si="51"/>
        <v>6.6490148042269128</v>
      </c>
      <c r="R125" s="12">
        <f t="shared" si="51"/>
        <v>7.2180544712417154</v>
      </c>
      <c r="S125" s="12">
        <f t="shared" si="51"/>
        <v>7.8597183749999999</v>
      </c>
      <c r="T125" s="12">
        <f t="shared" si="51"/>
        <v>8.5013822787582836</v>
      </c>
      <c r="U125" s="12">
        <f t="shared" si="51"/>
        <v>9.0704219457730879</v>
      </c>
      <c r="V125" s="12">
        <f t="shared" si="51"/>
        <v>9.5237490056467866</v>
      </c>
      <c r="W125" s="12">
        <f t="shared" si="51"/>
        <v>9.8550235689527117</v>
      </c>
      <c r="X125" s="12">
        <f t="shared" si="51"/>
        <v>10.082141879061982</v>
      </c>
      <c r="Y125" s="12">
        <f t="shared" si="51"/>
        <v>10.231121828757239</v>
      </c>
      <c r="Z125" s="12">
        <f t="shared" si="51"/>
        <v>10.326033914234216</v>
      </c>
      <c r="AA125" s="12">
        <f t="shared" si="51"/>
        <v>10.385380136709561</v>
      </c>
      <c r="AB125" s="12">
        <f t="shared" si="51"/>
        <v>10.422054983414171</v>
      </c>
      <c r="AC125" s="12">
        <f t="shared" si="50"/>
        <v>10.444555217739509</v>
      </c>
      <c r="AD125" s="300">
        <f t="shared" si="46"/>
        <v>2.6229178542664881E-3</v>
      </c>
      <c r="AE125" s="299">
        <f t="shared" si="47"/>
        <v>2.6229178542664881E-3</v>
      </c>
      <c r="AF125" s="299">
        <f t="shared" si="44"/>
        <v>2.6229178542664881E-3</v>
      </c>
      <c r="AG125" s="299">
        <f t="shared" si="44"/>
        <v>2.6229178542664881E-3</v>
      </c>
      <c r="AH125" s="299">
        <f t="shared" si="44"/>
        <v>2.6229178542664881E-3</v>
      </c>
      <c r="AI125" s="299">
        <f t="shared" si="44"/>
        <v>2.5041560662516053E-3</v>
      </c>
      <c r="AJ125" s="299">
        <f t="shared" si="44"/>
        <v>2.4379773310035133E-3</v>
      </c>
      <c r="AK125" s="299">
        <f t="shared" si="44"/>
        <v>2.3435587976553319E-3</v>
      </c>
      <c r="AL125" s="299">
        <f t="shared" si="44"/>
        <v>2.2182520602422643E-3</v>
      </c>
      <c r="AM125" s="299">
        <f t="shared" si="44"/>
        <v>2.0670125587315849E-3</v>
      </c>
      <c r="AN125" s="299">
        <f t="shared" si="44"/>
        <v>1.9040583800367138E-3</v>
      </c>
      <c r="AO125" s="299">
        <f t="shared" si="37"/>
        <v>1.7486119028443255E-3</v>
      </c>
      <c r="AP125" s="299">
        <f t="shared" si="37"/>
        <v>1.6166308787065457E-3</v>
      </c>
      <c r="AQ125" s="299">
        <f t="shared" si="37"/>
        <v>1.5152103381402141E-3</v>
      </c>
      <c r="AR125" s="299">
        <f t="shared" si="37"/>
        <v>1.4430868658319802E-3</v>
      </c>
      <c r="AS125" s="299">
        <f t="shared" si="37"/>
        <v>1.3945778016023339E-3</v>
      </c>
      <c r="AT125" s="299">
        <f t="shared" si="34"/>
        <v>1.3631624379410073E-3</v>
      </c>
      <c r="AU125" s="299">
        <f t="shared" si="34"/>
        <v>1.3433128188249399E-3</v>
      </c>
      <c r="AV125" s="299">
        <f t="shared" si="34"/>
        <v>1.3309657142016554E-3</v>
      </c>
      <c r="AW125" s="299">
        <f t="shared" si="34"/>
        <v>1.3233600429270079E-3</v>
      </c>
      <c r="AX125" s="299">
        <f t="shared" si="34"/>
        <v>1.3187031852548317E-3</v>
      </c>
      <c r="AY125" s="299">
        <f t="shared" si="34"/>
        <v>1.3158623624476135E-3</v>
      </c>
      <c r="AZ125" s="306">
        <f t="shared" si="48"/>
        <v>0.14520417583401349</v>
      </c>
      <c r="BA125" s="2">
        <f t="shared" si="49"/>
        <v>0.14520417583401349</v>
      </c>
      <c r="BB125" s="2">
        <f t="shared" si="45"/>
        <v>0.14520417583401349</v>
      </c>
      <c r="BC125" s="2">
        <f t="shared" si="45"/>
        <v>0.14520417583401349</v>
      </c>
      <c r="BD125" s="2">
        <f t="shared" si="45"/>
        <v>0.14520417583401349</v>
      </c>
      <c r="BE125" s="2">
        <f t="shared" si="45"/>
        <v>0.13862954845053507</v>
      </c>
      <c r="BF125" s="2">
        <f t="shared" si="45"/>
        <v>0.13496590771020242</v>
      </c>
      <c r="BG125" s="2">
        <f t="shared" si="45"/>
        <v>0.12973891773948029</v>
      </c>
      <c r="BH125" s="2">
        <f t="shared" si="45"/>
        <v>0.12280196334614416</v>
      </c>
      <c r="BI125" s="2">
        <f t="shared" si="45"/>
        <v>0.11442937663524749</v>
      </c>
      <c r="BJ125" s="2">
        <f t="shared" si="45"/>
        <v>0.10540826788126617</v>
      </c>
      <c r="BK125" s="2">
        <f t="shared" si="38"/>
        <v>9.6802783889342311E-2</v>
      </c>
      <c r="BL125" s="2">
        <f t="shared" si="38"/>
        <v>8.9496342399197099E-2</v>
      </c>
      <c r="BM125" s="2">
        <f t="shared" si="38"/>
        <v>8.3881722794690763E-2</v>
      </c>
      <c r="BN125" s="2">
        <f t="shared" si="38"/>
        <v>7.9888982672170566E-2</v>
      </c>
      <c r="BO125" s="2">
        <f t="shared" si="38"/>
        <v>7.7203531169948492E-2</v>
      </c>
      <c r="BP125" s="2">
        <f t="shared" si="35"/>
        <v>7.5464383303937857E-2</v>
      </c>
      <c r="BQ125" s="2">
        <f t="shared" si="35"/>
        <v>7.4365512601723791E-2</v>
      </c>
      <c r="BR125" s="2">
        <f t="shared" si="35"/>
        <v>7.3681979509810883E-2</v>
      </c>
      <c r="BS125" s="2">
        <f t="shared" si="35"/>
        <v>7.3260931161955367E-2</v>
      </c>
      <c r="BT125" s="2">
        <f t="shared" si="35"/>
        <v>7.3003128509400037E-2</v>
      </c>
      <c r="BU125" s="2">
        <f t="shared" si="35"/>
        <v>7.2845861161609626E-2</v>
      </c>
    </row>
    <row r="126" spans="1:73" x14ac:dyDescent="0.25">
      <c r="A126" t="s">
        <v>36</v>
      </c>
      <c r="B126" s="1" t="s">
        <v>5</v>
      </c>
      <c r="C126" t="s">
        <v>13</v>
      </c>
      <c r="D126" t="s">
        <v>13</v>
      </c>
      <c r="E126" s="97">
        <v>7.7960897500000002</v>
      </c>
      <c r="F126" s="5">
        <f t="shared" si="29"/>
        <v>1.9100419887500001E-2</v>
      </c>
      <c r="G126" s="1">
        <f>LOOKUP(RIGHT(D126,5),Ref!$C$4:$C$21,Ref!$E$4:$E$21)*$G$3</f>
        <v>1.5</v>
      </c>
      <c r="H126" s="36">
        <f t="shared" si="52"/>
        <v>7.7960897500000002</v>
      </c>
      <c r="I126" s="12">
        <f t="shared" si="52"/>
        <v>7.7960897500000002</v>
      </c>
      <c r="J126" s="12">
        <f t="shared" si="52"/>
        <v>7.7960897500000002</v>
      </c>
      <c r="K126" s="12">
        <f t="shared" si="52"/>
        <v>7.7960897500000002</v>
      </c>
      <c r="L126" s="12">
        <f t="shared" si="52"/>
        <v>7.7960897500000002</v>
      </c>
      <c r="M126" s="12">
        <f t="shared" si="51"/>
        <v>8.1658261137644281</v>
      </c>
      <c r="N126" s="12">
        <f t="shared" si="51"/>
        <v>8.3874869297172712</v>
      </c>
      <c r="O126" s="12">
        <f t="shared" si="51"/>
        <v>8.7254064285466804</v>
      </c>
      <c r="P126" s="12">
        <f t="shared" si="51"/>
        <v>9.2182955062851164</v>
      </c>
      <c r="Q126" s="12">
        <f t="shared" si="51"/>
        <v>9.8927812084930515</v>
      </c>
      <c r="R126" s="12">
        <f t="shared" si="51"/>
        <v>10.739430688225367</v>
      </c>
      <c r="S126" s="12">
        <f t="shared" si="51"/>
        <v>11.694134625</v>
      </c>
      <c r="T126" s="12">
        <f t="shared" si="51"/>
        <v>12.648838561774634</v>
      </c>
      <c r="U126" s="12">
        <f t="shared" si="51"/>
        <v>13.495488041506949</v>
      </c>
      <c r="V126" s="12">
        <f t="shared" si="51"/>
        <v>14.169973743714884</v>
      </c>
      <c r="W126" s="12">
        <f t="shared" si="51"/>
        <v>14.662862821453318</v>
      </c>
      <c r="X126" s="12">
        <f t="shared" si="51"/>
        <v>15.000782320282729</v>
      </c>
      <c r="Y126" s="12">
        <f t="shared" si="51"/>
        <v>15.222443136235572</v>
      </c>
      <c r="Z126" s="12">
        <f t="shared" si="51"/>
        <v>15.363658718289717</v>
      </c>
      <c r="AA126" s="12">
        <f t="shared" si="51"/>
        <v>15.45195739287319</v>
      </c>
      <c r="AB126" s="12">
        <f t="shared" si="51"/>
        <v>15.506524309173795</v>
      </c>
      <c r="AC126" s="12">
        <f t="shared" si="50"/>
        <v>15.540001433510906</v>
      </c>
      <c r="AD126" s="300">
        <f t="shared" si="46"/>
        <v>1.7628833869606567E-3</v>
      </c>
      <c r="AE126" s="299">
        <f t="shared" si="47"/>
        <v>1.7628833869606567E-3</v>
      </c>
      <c r="AF126" s="299">
        <f t="shared" si="44"/>
        <v>1.7628833869606567E-3</v>
      </c>
      <c r="AG126" s="299">
        <f t="shared" si="44"/>
        <v>1.7628833869606567E-3</v>
      </c>
      <c r="AH126" s="299">
        <f t="shared" si="44"/>
        <v>1.7628833869606567E-3</v>
      </c>
      <c r="AI126" s="299">
        <f t="shared" si="44"/>
        <v>1.6830626702132273E-3</v>
      </c>
      <c r="AJ126" s="299">
        <f t="shared" si="44"/>
        <v>1.6385834301374624E-3</v>
      </c>
      <c r="AK126" s="299">
        <f t="shared" si="44"/>
        <v>1.5751240032286287E-3</v>
      </c>
      <c r="AL126" s="299">
        <f t="shared" si="44"/>
        <v>1.4909043753434409E-3</v>
      </c>
      <c r="AM126" s="299">
        <f t="shared" si="44"/>
        <v>1.3892551360309318E-3</v>
      </c>
      <c r="AN126" s="299">
        <f t="shared" si="44"/>
        <v>1.2797323715304238E-3</v>
      </c>
      <c r="AO126" s="299">
        <f t="shared" si="37"/>
        <v>1.1752555913071045E-3</v>
      </c>
      <c r="AP126" s="299">
        <f t="shared" si="37"/>
        <v>1.0865501236661393E-3</v>
      </c>
      <c r="AQ126" s="299">
        <f t="shared" si="37"/>
        <v>1.0183845935218662E-3</v>
      </c>
      <c r="AR126" s="299">
        <f t="shared" si="37"/>
        <v>9.6990984966540642E-4</v>
      </c>
      <c r="AS126" s="299">
        <f t="shared" si="37"/>
        <v>9.3730653221558644E-4</v>
      </c>
      <c r="AT126" s="299">
        <f t="shared" si="34"/>
        <v>9.1619202319510927E-4</v>
      </c>
      <c r="AU126" s="299">
        <f t="shared" si="34"/>
        <v>9.028509405835085E-4</v>
      </c>
      <c r="AV126" s="299">
        <f t="shared" si="34"/>
        <v>8.9455235601973839E-4</v>
      </c>
      <c r="AW126" s="299">
        <f t="shared" si="34"/>
        <v>8.894405255005513E-4</v>
      </c>
      <c r="AX126" s="299">
        <f t="shared" si="34"/>
        <v>8.8631061542259523E-4</v>
      </c>
      <c r="AY126" s="299">
        <f t="shared" si="34"/>
        <v>8.8440127643052673E-4</v>
      </c>
      <c r="AZ126" s="306">
        <f t="shared" si="48"/>
        <v>9.7592850221640631E-2</v>
      </c>
      <c r="BA126" s="2">
        <f t="shared" si="49"/>
        <v>9.7592850221640631E-2</v>
      </c>
      <c r="BB126" s="2">
        <f t="shared" si="45"/>
        <v>9.7592850221640631E-2</v>
      </c>
      <c r="BC126" s="2">
        <f t="shared" si="45"/>
        <v>9.7592850221640631E-2</v>
      </c>
      <c r="BD126" s="2">
        <f t="shared" si="45"/>
        <v>9.7592850221640631E-2</v>
      </c>
      <c r="BE126" s="2">
        <f t="shared" si="45"/>
        <v>9.3173992280307205E-2</v>
      </c>
      <c r="BF126" s="2">
        <f t="shared" si="45"/>
        <v>9.0711630988122988E-2</v>
      </c>
      <c r="BG126" s="2">
        <f t="shared" si="45"/>
        <v>8.7198530580419639E-2</v>
      </c>
      <c r="BH126" s="2">
        <f t="shared" si="45"/>
        <v>8.2536149851940466E-2</v>
      </c>
      <c r="BI126" s="2">
        <f t="shared" si="45"/>
        <v>7.6908869533375182E-2</v>
      </c>
      <c r="BJ126" s="2">
        <f t="shared" si="45"/>
        <v>7.0845712531149352E-2</v>
      </c>
      <c r="BK126" s="2">
        <f t="shared" si="38"/>
        <v>6.5061900147760421E-2</v>
      </c>
      <c r="BL126" s="2">
        <f t="shared" si="38"/>
        <v>6.0151184282288085E-2</v>
      </c>
      <c r="BM126" s="2">
        <f t="shared" si="38"/>
        <v>5.6377554998096956E-2</v>
      </c>
      <c r="BN126" s="2">
        <f t="shared" si="38"/>
        <v>5.369400346445178E-2</v>
      </c>
      <c r="BO126" s="2">
        <f t="shared" si="38"/>
        <v>5.1889090728791692E-2</v>
      </c>
      <c r="BP126" s="2">
        <f t="shared" si="35"/>
        <v>5.0720195989876725E-2</v>
      </c>
      <c r="BQ126" s="2">
        <f t="shared" si="35"/>
        <v>4.998163648745086E-2</v>
      </c>
      <c r="BR126" s="2">
        <f t="shared" si="35"/>
        <v>4.9522228606944399E-2</v>
      </c>
      <c r="BS126" s="2">
        <f t="shared" si="35"/>
        <v>4.9239238754122922E-2</v>
      </c>
      <c r="BT126" s="2">
        <f t="shared" si="35"/>
        <v>4.9065967596368235E-2</v>
      </c>
      <c r="BU126" s="2">
        <f t="shared" si="35"/>
        <v>4.8960266994925422E-2</v>
      </c>
    </row>
    <row r="127" spans="1:73" x14ac:dyDescent="0.25">
      <c r="A127" t="s">
        <v>36</v>
      </c>
      <c r="B127" s="1" t="s">
        <v>5</v>
      </c>
      <c r="C127" t="s">
        <v>14</v>
      </c>
      <c r="D127" t="s">
        <v>14</v>
      </c>
      <c r="E127" s="97">
        <v>7.1039037499999997</v>
      </c>
      <c r="F127" s="5">
        <f t="shared" si="29"/>
        <v>1.7404564187499999E-2</v>
      </c>
      <c r="G127" s="1">
        <f>LOOKUP(RIGHT(D127,5),Ref!$C$4:$C$21,Ref!$E$4:$E$21)*$G$3</f>
        <v>2</v>
      </c>
      <c r="H127" s="36">
        <f t="shared" si="52"/>
        <v>7.1039037499999997</v>
      </c>
      <c r="I127" s="12">
        <f t="shared" si="52"/>
        <v>7.1039037499999997</v>
      </c>
      <c r="J127" s="12">
        <f t="shared" si="52"/>
        <v>7.1039037499999997</v>
      </c>
      <c r="K127" s="12">
        <f t="shared" si="52"/>
        <v>7.1039037499999997</v>
      </c>
      <c r="L127" s="12">
        <f t="shared" si="52"/>
        <v>7.1039037499999997</v>
      </c>
      <c r="M127" s="12">
        <f t="shared" si="51"/>
        <v>7.4408125883131406</v>
      </c>
      <c r="N127" s="12">
        <f t="shared" si="51"/>
        <v>7.6427929595210857</v>
      </c>
      <c r="O127" s="12">
        <f t="shared" si="51"/>
        <v>7.9507098347638783</v>
      </c>
      <c r="P127" s="12">
        <f t="shared" si="51"/>
        <v>8.3998371126636897</v>
      </c>
      <c r="Q127" s="12">
        <f t="shared" si="51"/>
        <v>9.014437721800638</v>
      </c>
      <c r="R127" s="12">
        <f t="shared" si="51"/>
        <v>9.7859163228526533</v>
      </c>
      <c r="S127" s="12">
        <f t="shared" si="51"/>
        <v>10.655855624999999</v>
      </c>
      <c r="T127" s="12">
        <f t="shared" si="51"/>
        <v>11.525794927147345</v>
      </c>
      <c r="U127" s="12">
        <f t="shared" si="51"/>
        <v>12.29727352819936</v>
      </c>
      <c r="V127" s="12">
        <f t="shared" si="51"/>
        <v>12.91187413733631</v>
      </c>
      <c r="W127" s="12">
        <f t="shared" si="51"/>
        <v>13.361001415236119</v>
      </c>
      <c r="X127" s="12">
        <f t="shared" si="51"/>
        <v>13.668918290478913</v>
      </c>
      <c r="Y127" s="12">
        <f t="shared" si="51"/>
        <v>13.870898661686859</v>
      </c>
      <c r="Z127" s="12">
        <f t="shared" si="51"/>
        <v>13.999576234044575</v>
      </c>
      <c r="AA127" s="12">
        <f t="shared" si="51"/>
        <v>14.08003519560201</v>
      </c>
      <c r="AB127" s="12">
        <f t="shared" si="51"/>
        <v>14.129757317045495</v>
      </c>
      <c r="AC127" s="12">
        <f t="shared" si="50"/>
        <v>14.160262131220783</v>
      </c>
      <c r="AD127" s="300">
        <f t="shared" si="46"/>
        <v>1.934654182713168E-3</v>
      </c>
      <c r="AE127" s="299">
        <f t="shared" si="47"/>
        <v>1.934654182713168E-3</v>
      </c>
      <c r="AF127" s="299">
        <f t="shared" si="44"/>
        <v>1.934654182713168E-3</v>
      </c>
      <c r="AG127" s="299">
        <f t="shared" si="44"/>
        <v>1.934654182713168E-3</v>
      </c>
      <c r="AH127" s="299">
        <f t="shared" si="44"/>
        <v>1.934654182713168E-3</v>
      </c>
      <c r="AI127" s="299">
        <f t="shared" si="44"/>
        <v>1.8470559418625248E-3</v>
      </c>
      <c r="AJ127" s="299">
        <f t="shared" si="44"/>
        <v>1.7982427597241185E-3</v>
      </c>
      <c r="AK127" s="299">
        <f t="shared" si="44"/>
        <v>1.7286000104589931E-3</v>
      </c>
      <c r="AL127" s="299">
        <f t="shared" si="44"/>
        <v>1.6361742399515411E-3</v>
      </c>
      <c r="AM127" s="299">
        <f t="shared" si="44"/>
        <v>1.5246205617785299E-3</v>
      </c>
      <c r="AN127" s="299">
        <f t="shared" si="44"/>
        <v>1.4044261824960015E-3</v>
      </c>
      <c r="AO127" s="299">
        <f t="shared" si="37"/>
        <v>1.2897694551421122E-3</v>
      </c>
      <c r="AP127" s="299">
        <f t="shared" si="37"/>
        <v>1.1924207562602214E-3</v>
      </c>
      <c r="AQ127" s="299">
        <f t="shared" si="37"/>
        <v>1.1176133532374698E-3</v>
      </c>
      <c r="AR127" s="299">
        <f t="shared" si="37"/>
        <v>1.0644153557683711E-3</v>
      </c>
      <c r="AS127" s="299">
        <f t="shared" si="37"/>
        <v>1.0286352554275497E-3</v>
      </c>
      <c r="AT127" s="299">
        <f t="shared" si="34"/>
        <v>1.0054634032820552E-3</v>
      </c>
      <c r="AU127" s="299">
        <f t="shared" si="34"/>
        <v>9.9082240010092346E-4</v>
      </c>
      <c r="AV127" s="299">
        <f t="shared" si="34"/>
        <v>9.8171522292990433E-4</v>
      </c>
      <c r="AW127" s="299">
        <f t="shared" si="34"/>
        <v>9.761053088718245E-4</v>
      </c>
      <c r="AX127" s="299">
        <f t="shared" si="34"/>
        <v>9.726704284545362E-4</v>
      </c>
      <c r="AY127" s="299">
        <f t="shared" si="34"/>
        <v>9.7057504841150831E-4</v>
      </c>
      <c r="AZ127" s="306">
        <f t="shared" si="48"/>
        <v>0.10710204502506356</v>
      </c>
      <c r="BA127" s="2">
        <f t="shared" si="49"/>
        <v>0.10710204502506356</v>
      </c>
      <c r="BB127" s="2">
        <f t="shared" si="45"/>
        <v>0.10710204502506356</v>
      </c>
      <c r="BC127" s="2">
        <f t="shared" si="45"/>
        <v>0.10710204502506356</v>
      </c>
      <c r="BD127" s="2">
        <f t="shared" si="45"/>
        <v>0.10710204502506356</v>
      </c>
      <c r="BE127" s="2">
        <f t="shared" si="45"/>
        <v>0.10225262499975202</v>
      </c>
      <c r="BF127" s="2">
        <f t="shared" si="45"/>
        <v>9.9550337594634233E-2</v>
      </c>
      <c r="BG127" s="2">
        <f t="shared" si="45"/>
        <v>9.569492977337582E-2</v>
      </c>
      <c r="BH127" s="2">
        <f t="shared" si="45"/>
        <v>9.0578258730655961E-2</v>
      </c>
      <c r="BI127" s="2">
        <f t="shared" si="45"/>
        <v>8.4402670778476366E-2</v>
      </c>
      <c r="BJ127" s="2">
        <f t="shared" si="45"/>
        <v>7.7748735446414238E-2</v>
      </c>
      <c r="BK127" s="2">
        <f t="shared" si="38"/>
        <v>7.1401363350042366E-2</v>
      </c>
      <c r="BL127" s="2">
        <f t="shared" si="38"/>
        <v>6.6012160037149617E-2</v>
      </c>
      <c r="BM127" s="2">
        <f t="shared" si="38"/>
        <v>6.1870838079798721E-2</v>
      </c>
      <c r="BN127" s="2">
        <f t="shared" si="38"/>
        <v>5.8925808228423283E-2</v>
      </c>
      <c r="BO127" s="2">
        <f t="shared" si="38"/>
        <v>5.6945029466024644E-2</v>
      </c>
      <c r="BP127" s="2">
        <f t="shared" si="35"/>
        <v>5.5662240648273006E-2</v>
      </c>
      <c r="BQ127" s="2">
        <f t="shared" si="35"/>
        <v>5.4851717818958576E-2</v>
      </c>
      <c r="BR127" s="2">
        <f t="shared" si="35"/>
        <v>5.434754642329663E-2</v>
      </c>
      <c r="BS127" s="2">
        <f t="shared" si="35"/>
        <v>5.4036982771454425E-2</v>
      </c>
      <c r="BT127" s="2">
        <f t="shared" si="35"/>
        <v>5.3846828520428436E-2</v>
      </c>
      <c r="BU127" s="2">
        <f t="shared" si="35"/>
        <v>5.3730828725882071E-2</v>
      </c>
    </row>
    <row r="128" spans="1:73" x14ac:dyDescent="0.25">
      <c r="A128" t="s">
        <v>36</v>
      </c>
      <c r="B128" s="1" t="s">
        <v>5</v>
      </c>
      <c r="C128" t="s">
        <v>15</v>
      </c>
      <c r="D128" t="s">
        <v>15</v>
      </c>
      <c r="E128" s="97">
        <v>7.4616949999999997</v>
      </c>
      <c r="F128" s="5">
        <f t="shared" si="29"/>
        <v>1.8281152749999998E-2</v>
      </c>
      <c r="G128" s="1">
        <f>LOOKUP(RIGHT(D128,5),Ref!$C$4:$C$21,Ref!$E$4:$E$21)*$G$3</f>
        <v>2.5</v>
      </c>
      <c r="H128" s="36">
        <f t="shared" si="52"/>
        <v>7.4616949999999997</v>
      </c>
      <c r="I128" s="12">
        <f t="shared" si="52"/>
        <v>7.4616949999999997</v>
      </c>
      <c r="J128" s="12">
        <f t="shared" si="52"/>
        <v>7.4616949999999997</v>
      </c>
      <c r="K128" s="12">
        <f t="shared" si="52"/>
        <v>7.4616949999999997</v>
      </c>
      <c r="L128" s="12">
        <f t="shared" si="52"/>
        <v>7.4616949999999997</v>
      </c>
      <c r="M128" s="12">
        <f t="shared" si="51"/>
        <v>7.8155724007596836</v>
      </c>
      <c r="N128" s="12">
        <f t="shared" si="51"/>
        <v>8.0277256025736126</v>
      </c>
      <c r="O128" s="12">
        <f t="shared" si="51"/>
        <v>8.3511508472378235</v>
      </c>
      <c r="P128" s="12">
        <f t="shared" si="51"/>
        <v>8.8228986188582699</v>
      </c>
      <c r="Q128" s="12">
        <f t="shared" si="51"/>
        <v>9.4684538591293865</v>
      </c>
      <c r="R128" s="12">
        <f t="shared" si="51"/>
        <v>10.278788320667777</v>
      </c>
      <c r="S128" s="12">
        <f t="shared" si="51"/>
        <v>11.1925425</v>
      </c>
      <c r="T128" s="12">
        <f t="shared" si="51"/>
        <v>12.106296679332221</v>
      </c>
      <c r="U128" s="12">
        <f t="shared" si="51"/>
        <v>12.916631140870614</v>
      </c>
      <c r="V128" s="12">
        <f t="shared" si="51"/>
        <v>13.56218638114173</v>
      </c>
      <c r="W128" s="12">
        <f t="shared" si="51"/>
        <v>14.033934152762173</v>
      </c>
      <c r="X128" s="12">
        <f t="shared" si="51"/>
        <v>14.357359397426388</v>
      </c>
      <c r="Y128" s="12">
        <f t="shared" si="51"/>
        <v>14.569512599240316</v>
      </c>
      <c r="Z128" s="12">
        <f t="shared" si="51"/>
        <v>14.704671074363759</v>
      </c>
      <c r="AA128" s="12">
        <f t="shared" si="51"/>
        <v>14.789182387056911</v>
      </c>
      <c r="AB128" s="12">
        <f t="shared" si="51"/>
        <v>14.841408785108015</v>
      </c>
      <c r="AC128" s="12">
        <f t="shared" si="50"/>
        <v>14.873449987722518</v>
      </c>
      <c r="AD128" s="300">
        <f t="shared" si="46"/>
        <v>1.8418867433645117E-3</v>
      </c>
      <c r="AE128" s="299">
        <f t="shared" si="47"/>
        <v>1.8418867433645117E-3</v>
      </c>
      <c r="AF128" s="299">
        <f t="shared" si="44"/>
        <v>1.8418867433645117E-3</v>
      </c>
      <c r="AG128" s="299">
        <f t="shared" si="44"/>
        <v>1.8418867433645117E-3</v>
      </c>
      <c r="AH128" s="299">
        <f t="shared" si="44"/>
        <v>1.8418867433645117E-3</v>
      </c>
      <c r="AI128" s="299">
        <f t="shared" si="44"/>
        <v>1.7584888730854012E-3</v>
      </c>
      <c r="AJ128" s="299">
        <f t="shared" si="44"/>
        <v>1.7120163024908566E-3</v>
      </c>
      <c r="AK128" s="299">
        <f t="shared" si="44"/>
        <v>1.6457129508174325E-3</v>
      </c>
      <c r="AL128" s="299">
        <f t="shared" si="44"/>
        <v>1.5577190328531457E-3</v>
      </c>
      <c r="AM128" s="299">
        <f t="shared" si="44"/>
        <v>1.4515143980215761E-3</v>
      </c>
      <c r="AN128" s="299">
        <f t="shared" si="44"/>
        <v>1.3370833871434746E-3</v>
      </c>
      <c r="AO128" s="299">
        <f t="shared" si="37"/>
        <v>1.2279244955763411E-3</v>
      </c>
      <c r="AP128" s="299">
        <f t="shared" si="37"/>
        <v>1.1352437056157912E-3</v>
      </c>
      <c r="AQ128" s="299">
        <f t="shared" si="37"/>
        <v>1.0640233473914087E-3</v>
      </c>
      <c r="AR128" s="299">
        <f t="shared" si="37"/>
        <v>1.0133762151093707E-3</v>
      </c>
      <c r="AS128" s="299">
        <f t="shared" si="37"/>
        <v>9.7931178484432545E-4</v>
      </c>
      <c r="AT128" s="299">
        <f t="shared" si="34"/>
        <v>9.572510322471173E-4</v>
      </c>
      <c r="AU128" s="299">
        <f t="shared" si="34"/>
        <v>9.4331207100544184E-4</v>
      </c>
      <c r="AV128" s="299">
        <f t="shared" si="34"/>
        <v>9.3464158661052659E-4</v>
      </c>
      <c r="AW128" s="299">
        <f t="shared" si="34"/>
        <v>9.2930067016803314E-4</v>
      </c>
      <c r="AX128" s="299">
        <f t="shared" si="34"/>
        <v>9.2603049363613587E-4</v>
      </c>
      <c r="AY128" s="299">
        <f t="shared" si="34"/>
        <v>9.2403558790153531E-4</v>
      </c>
      <c r="AZ128" s="306">
        <f t="shared" si="48"/>
        <v>0.1019664592677961</v>
      </c>
      <c r="BA128" s="2">
        <f t="shared" si="49"/>
        <v>0.1019664592677961</v>
      </c>
      <c r="BB128" s="2">
        <f t="shared" si="45"/>
        <v>0.1019664592677961</v>
      </c>
      <c r="BC128" s="2">
        <f t="shared" si="45"/>
        <v>0.1019664592677961</v>
      </c>
      <c r="BD128" s="2">
        <f t="shared" si="45"/>
        <v>0.1019664592677961</v>
      </c>
      <c r="BE128" s="2">
        <f t="shared" si="45"/>
        <v>9.7349570866013965E-2</v>
      </c>
      <c r="BF128" s="2">
        <f t="shared" si="45"/>
        <v>9.4776859219291062E-2</v>
      </c>
      <c r="BG128" s="2">
        <f t="shared" si="45"/>
        <v>9.1106319740095407E-2</v>
      </c>
      <c r="BH128" s="2">
        <f t="shared" si="45"/>
        <v>8.6234995113734503E-2</v>
      </c>
      <c r="BI128" s="2">
        <f t="shared" si="45"/>
        <v>8.0355529065880282E-2</v>
      </c>
      <c r="BJ128" s="2">
        <f t="shared" si="45"/>
        <v>7.402065258571143E-2</v>
      </c>
      <c r="BK128" s="2">
        <f t="shared" si="38"/>
        <v>6.7977639511864058E-2</v>
      </c>
      <c r="BL128" s="2">
        <f t="shared" si="38"/>
        <v>6.2846850646335356E-2</v>
      </c>
      <c r="BM128" s="2">
        <f t="shared" si="38"/>
        <v>5.890410672785807E-2</v>
      </c>
      <c r="BN128" s="2">
        <f t="shared" si="38"/>
        <v>5.6100292231949581E-2</v>
      </c>
      <c r="BO128" s="2">
        <f t="shared" si="38"/>
        <v>5.4214492600883978E-2</v>
      </c>
      <c r="BP128" s="2">
        <f t="shared" si="35"/>
        <v>5.2993214018352275E-2</v>
      </c>
      <c r="BQ128" s="2">
        <f t="shared" si="35"/>
        <v>5.2221556081834174E-2</v>
      </c>
      <c r="BR128" s="2">
        <f t="shared" si="35"/>
        <v>5.1741559905591962E-2</v>
      </c>
      <c r="BS128" s="2">
        <f t="shared" si="35"/>
        <v>5.1445887904667836E-2</v>
      </c>
      <c r="BT128" s="2">
        <f t="shared" si="35"/>
        <v>5.1264851625787249E-2</v>
      </c>
      <c r="BU128" s="2">
        <f t="shared" si="35"/>
        <v>5.1154414067634955E-2</v>
      </c>
    </row>
    <row r="129" spans="1:73" x14ac:dyDescent="0.25">
      <c r="A129" t="s">
        <v>36</v>
      </c>
      <c r="B129" s="1" t="s">
        <v>5</v>
      </c>
      <c r="C129" t="s">
        <v>16</v>
      </c>
      <c r="D129" t="s">
        <v>16</v>
      </c>
      <c r="E129" s="97">
        <v>7.6746724999999998</v>
      </c>
      <c r="F129" s="5">
        <f t="shared" si="29"/>
        <v>1.8802947624999997E-2</v>
      </c>
      <c r="G129" s="1">
        <f>LOOKUP(RIGHT(D129,5),Ref!$C$4:$C$21,Ref!$E$4:$E$21)*$G$3</f>
        <v>3</v>
      </c>
      <c r="H129" s="36">
        <f t="shared" si="52"/>
        <v>7.6746724999999998</v>
      </c>
      <c r="I129" s="12">
        <f t="shared" si="52"/>
        <v>7.6746724999999998</v>
      </c>
      <c r="J129" s="12">
        <f t="shared" si="52"/>
        <v>7.6746724999999998</v>
      </c>
      <c r="K129" s="12">
        <f t="shared" si="52"/>
        <v>7.6746724999999998</v>
      </c>
      <c r="L129" s="12">
        <f t="shared" si="52"/>
        <v>7.6746724999999998</v>
      </c>
      <c r="M129" s="12">
        <f t="shared" si="51"/>
        <v>8.0386505446643586</v>
      </c>
      <c r="N129" s="12">
        <f t="shared" si="51"/>
        <v>8.256859188109086</v>
      </c>
      <c r="O129" s="12">
        <f t="shared" si="51"/>
        <v>8.5895158875627899</v>
      </c>
      <c r="P129" s="12">
        <f t="shared" si="51"/>
        <v>9.0747286508547376</v>
      </c>
      <c r="Q129" s="12">
        <f t="shared" si="51"/>
        <v>9.7387098306992144</v>
      </c>
      <c r="R129" s="12">
        <f t="shared" si="51"/>
        <v>10.572173488456736</v>
      </c>
      <c r="S129" s="12">
        <f t="shared" si="51"/>
        <v>11.51200875</v>
      </c>
      <c r="T129" s="12">
        <f t="shared" si="51"/>
        <v>12.451844011543264</v>
      </c>
      <c r="U129" s="12">
        <f t="shared" si="51"/>
        <v>13.285307669300785</v>
      </c>
      <c r="V129" s="12">
        <f t="shared" si="51"/>
        <v>13.949288849145262</v>
      </c>
      <c r="W129" s="12">
        <f t="shared" si="51"/>
        <v>14.434501612437208</v>
      </c>
      <c r="X129" s="12">
        <f t="shared" si="51"/>
        <v>14.767158311890913</v>
      </c>
      <c r="Y129" s="12">
        <f t="shared" si="51"/>
        <v>14.985366955335641</v>
      </c>
      <c r="Z129" s="12">
        <f t="shared" si="51"/>
        <v>15.124383228738912</v>
      </c>
      <c r="AA129" s="12">
        <f t="shared" si="51"/>
        <v>15.211306729024709</v>
      </c>
      <c r="AB129" s="12">
        <f t="shared" si="51"/>
        <v>15.26502381353391</v>
      </c>
      <c r="AC129" s="12">
        <f t="shared" si="50"/>
        <v>15.297979561064793</v>
      </c>
      <c r="AD129" s="300">
        <f t="shared" si="46"/>
        <v>1.7907731051102519E-3</v>
      </c>
      <c r="AE129" s="299">
        <f t="shared" si="47"/>
        <v>1.7907731051102519E-3</v>
      </c>
      <c r="AF129" s="299">
        <f t="shared" si="44"/>
        <v>1.7907731051102519E-3</v>
      </c>
      <c r="AG129" s="299">
        <f t="shared" si="44"/>
        <v>1.7907731051102519E-3</v>
      </c>
      <c r="AH129" s="299">
        <f t="shared" si="44"/>
        <v>1.7907731051102519E-3</v>
      </c>
      <c r="AI129" s="299">
        <f t="shared" si="44"/>
        <v>1.7096895837388467E-3</v>
      </c>
      <c r="AJ129" s="299">
        <f t="shared" si="44"/>
        <v>1.6645066593023367E-3</v>
      </c>
      <c r="AK129" s="299">
        <f t="shared" si="44"/>
        <v>1.6000432717552025E-3</v>
      </c>
      <c r="AL129" s="299">
        <f t="shared" si="44"/>
        <v>1.5144912462186698E-3</v>
      </c>
      <c r="AM129" s="299">
        <f t="shared" si="44"/>
        <v>1.4112338638744004E-3</v>
      </c>
      <c r="AN129" s="299">
        <f t="shared" si="44"/>
        <v>1.2999783931407533E-3</v>
      </c>
      <c r="AO129" s="299">
        <f t="shared" si="37"/>
        <v>1.193848736740168E-3</v>
      </c>
      <c r="AP129" s="299">
        <f t="shared" si="37"/>
        <v>1.1037399031652258E-3</v>
      </c>
      <c r="AQ129" s="299">
        <f t="shared" si="37"/>
        <v>1.0344959594189506E-3</v>
      </c>
      <c r="AR129" s="299">
        <f t="shared" si="37"/>
        <v>9.8525432028539529E-4</v>
      </c>
      <c r="AS129" s="299">
        <f t="shared" si="37"/>
        <v>9.5213520165374861E-4</v>
      </c>
      <c r="AT129" s="299">
        <f t="shared" si="34"/>
        <v>9.3068665028548823E-4</v>
      </c>
      <c r="AU129" s="299">
        <f t="shared" si="34"/>
        <v>9.171345049135256E-4</v>
      </c>
      <c r="AV129" s="299">
        <f t="shared" si="34"/>
        <v>9.0870463249133207E-4</v>
      </c>
      <c r="AW129" s="299">
        <f t="shared" si="34"/>
        <v>9.0351193019499684E-4</v>
      </c>
      <c r="AX129" s="299">
        <f t="shared" si="34"/>
        <v>9.0033250333643373E-4</v>
      </c>
      <c r="AY129" s="299">
        <f t="shared" si="34"/>
        <v>8.9839295762352673E-4</v>
      </c>
      <c r="AZ129" s="306">
        <f t="shared" si="48"/>
        <v>9.9136819100257081E-2</v>
      </c>
      <c r="BA129" s="2">
        <f t="shared" si="49"/>
        <v>9.9136819100257081E-2</v>
      </c>
      <c r="BB129" s="2">
        <f t="shared" si="45"/>
        <v>9.9136819100257081E-2</v>
      </c>
      <c r="BC129" s="2">
        <f t="shared" si="45"/>
        <v>9.9136819100257081E-2</v>
      </c>
      <c r="BD129" s="2">
        <f t="shared" si="45"/>
        <v>9.9136819100257081E-2</v>
      </c>
      <c r="BE129" s="2">
        <f t="shared" si="45"/>
        <v>9.464805256290508E-2</v>
      </c>
      <c r="BF129" s="2">
        <f t="shared" si="45"/>
        <v>9.2146735453830522E-2</v>
      </c>
      <c r="BG129" s="2">
        <f t="shared" si="45"/>
        <v>8.8578055998229377E-2</v>
      </c>
      <c r="BH129" s="2">
        <f t="shared" si="45"/>
        <v>8.3841914018504007E-2</v>
      </c>
      <c r="BI129" s="2">
        <f t="shared" si="45"/>
        <v>7.8125607242945358E-2</v>
      </c>
      <c r="BJ129" s="2">
        <f t="shared" si="45"/>
        <v>7.1966527991329923E-2</v>
      </c>
      <c r="BK129" s="2">
        <f t="shared" si="38"/>
        <v>6.6091212733504726E-2</v>
      </c>
      <c r="BL129" s="2">
        <f t="shared" si="38"/>
        <v>6.1102806827719007E-2</v>
      </c>
      <c r="BM129" s="2">
        <f t="shared" si="38"/>
        <v>5.7269476795358362E-2</v>
      </c>
      <c r="BN129" s="2">
        <f t="shared" si="38"/>
        <v>5.4543470101906889E-2</v>
      </c>
      <c r="BO129" s="2">
        <f t="shared" si="38"/>
        <v>5.27100027222729E-2</v>
      </c>
      <c r="BP129" s="2">
        <f t="shared" si="35"/>
        <v>5.1522615469867812E-2</v>
      </c>
      <c r="BQ129" s="2">
        <f t="shared" si="35"/>
        <v>5.0772371577815424E-2</v>
      </c>
      <c r="BR129" s="2">
        <f t="shared" si="35"/>
        <v>5.0305695629325686E-2</v>
      </c>
      <c r="BS129" s="2">
        <f t="shared" si="35"/>
        <v>5.0018228732082115E-2</v>
      </c>
      <c r="BT129" s="2">
        <f t="shared" si="35"/>
        <v>4.9842216335860397E-2</v>
      </c>
      <c r="BU129" s="2">
        <f t="shared" si="35"/>
        <v>4.9734843496761771E-2</v>
      </c>
    </row>
    <row r="130" spans="1:73" x14ac:dyDescent="0.25">
      <c r="A130" t="s">
        <v>36</v>
      </c>
      <c r="B130" s="1" t="s">
        <v>5</v>
      </c>
      <c r="C130" t="s">
        <v>17</v>
      </c>
      <c r="D130" t="s">
        <v>17</v>
      </c>
      <c r="E130" s="97">
        <v>7.0724772500000004</v>
      </c>
      <c r="F130" s="5">
        <f t="shared" si="29"/>
        <v>1.7327569262499998E-2</v>
      </c>
      <c r="G130" s="1">
        <f>LOOKUP(RIGHT(D130,5),Ref!$C$4:$C$21,Ref!$E$4:$E$21)*$G$3</f>
        <v>3</v>
      </c>
      <c r="H130" s="36">
        <f t="shared" si="52"/>
        <v>7.0724772500000004</v>
      </c>
      <c r="I130" s="12">
        <f t="shared" si="52"/>
        <v>7.0724772500000004</v>
      </c>
      <c r="J130" s="12">
        <f t="shared" si="52"/>
        <v>7.0724772500000004</v>
      </c>
      <c r="K130" s="12">
        <f t="shared" si="52"/>
        <v>7.0724772500000004</v>
      </c>
      <c r="L130" s="12">
        <f t="shared" si="52"/>
        <v>7.0724772500000004</v>
      </c>
      <c r="M130" s="12">
        <f t="shared" si="51"/>
        <v>7.4078956591097267</v>
      </c>
      <c r="N130" s="12">
        <f t="shared" si="51"/>
        <v>7.6089825024266489</v>
      </c>
      <c r="O130" s="12">
        <f t="shared" si="51"/>
        <v>7.9155372041349512</v>
      </c>
      <c r="P130" s="12">
        <f t="shared" si="51"/>
        <v>8.3626776169397896</v>
      </c>
      <c r="Q130" s="12">
        <f t="shared" si="51"/>
        <v>8.9745593342219561</v>
      </c>
      <c r="R130" s="12">
        <f t="shared" si="51"/>
        <v>9.7426250410246702</v>
      </c>
      <c r="S130" s="12">
        <f t="shared" si="51"/>
        <v>10.608715875000001</v>
      </c>
      <c r="T130" s="12">
        <f t="shared" si="51"/>
        <v>11.474806708975331</v>
      </c>
      <c r="U130" s="12">
        <f t="shared" si="51"/>
        <v>12.242872415778045</v>
      </c>
      <c r="V130" s="12">
        <f t="shared" si="51"/>
        <v>12.854754133060212</v>
      </c>
      <c r="W130" s="12">
        <f t="shared" si="51"/>
        <v>13.301894545865048</v>
      </c>
      <c r="X130" s="12">
        <f t="shared" si="51"/>
        <v>13.608449247573352</v>
      </c>
      <c r="Y130" s="12">
        <f t="shared" si="51"/>
        <v>13.809536090890274</v>
      </c>
      <c r="Z130" s="12">
        <f t="shared" si="51"/>
        <v>13.937644414864284</v>
      </c>
      <c r="AA130" s="12">
        <f t="shared" si="51"/>
        <v>14.017747439229385</v>
      </c>
      <c r="AB130" s="12">
        <f t="shared" si="51"/>
        <v>14.067249598198076</v>
      </c>
      <c r="AC130" s="12">
        <f t="shared" si="50"/>
        <v>14.097619464100356</v>
      </c>
      <c r="AD130" s="300">
        <f t="shared" si="46"/>
        <v>1.943250804168972E-3</v>
      </c>
      <c r="AE130" s="299">
        <f t="shared" si="47"/>
        <v>1.943250804168972E-3</v>
      </c>
      <c r="AF130" s="299">
        <f t="shared" si="44"/>
        <v>1.943250804168972E-3</v>
      </c>
      <c r="AG130" s="299">
        <f t="shared" si="44"/>
        <v>1.943250804168972E-3</v>
      </c>
      <c r="AH130" s="299">
        <f t="shared" si="44"/>
        <v>1.943250804168972E-3</v>
      </c>
      <c r="AI130" s="299">
        <f t="shared" si="44"/>
        <v>1.8552633211873493E-3</v>
      </c>
      <c r="AJ130" s="299">
        <f t="shared" si="44"/>
        <v>1.8062332380375649E-3</v>
      </c>
      <c r="AK130" s="299">
        <f t="shared" si="44"/>
        <v>1.7362810317346272E-3</v>
      </c>
      <c r="AL130" s="299">
        <f t="shared" si="44"/>
        <v>1.6434445680041107E-3</v>
      </c>
      <c r="AM130" s="299">
        <f t="shared" si="44"/>
        <v>1.5313952018927459E-3</v>
      </c>
      <c r="AN130" s="299">
        <f t="shared" si="44"/>
        <v>1.4106667397808211E-3</v>
      </c>
      <c r="AO130" s="299">
        <f t="shared" si="37"/>
        <v>1.2955005361126478E-3</v>
      </c>
      <c r="AP130" s="299">
        <f t="shared" si="37"/>
        <v>1.1977192690121161E-3</v>
      </c>
      <c r="AQ130" s="299">
        <f t="shared" si="37"/>
        <v>1.1225794598510356E-3</v>
      </c>
      <c r="AR130" s="299">
        <f t="shared" si="37"/>
        <v>1.0691450774762854E-3</v>
      </c>
      <c r="AS130" s="299">
        <f t="shared" si="37"/>
        <v>1.0332059885260116E-3</v>
      </c>
      <c r="AT130" s="299">
        <f t="shared" si="34"/>
        <v>1.0099311724280418E-3</v>
      </c>
      <c r="AU130" s="299">
        <f t="shared" si="34"/>
        <v>9.9522511205828905E-4</v>
      </c>
      <c r="AV130" s="299">
        <f t="shared" si="34"/>
        <v>9.8607746721332068E-4</v>
      </c>
      <c r="AW130" s="299">
        <f t="shared" si="34"/>
        <v>9.8044262554389423E-4</v>
      </c>
      <c r="AX130" s="299">
        <f t="shared" si="34"/>
        <v>9.7699248226104738E-4</v>
      </c>
      <c r="AY130" s="299">
        <f t="shared" si="34"/>
        <v>9.7488779141240004E-4</v>
      </c>
      <c r="AZ130" s="306">
        <f t="shared" si="48"/>
        <v>0.10757795216467013</v>
      </c>
      <c r="BA130" s="2">
        <f t="shared" si="49"/>
        <v>0.10757795216467013</v>
      </c>
      <c r="BB130" s="2">
        <f t="shared" si="45"/>
        <v>0.10757795216467013</v>
      </c>
      <c r="BC130" s="2">
        <f t="shared" si="45"/>
        <v>0.10757795216467013</v>
      </c>
      <c r="BD130" s="2">
        <f t="shared" si="45"/>
        <v>0.10757795216467013</v>
      </c>
      <c r="BE130" s="2">
        <f t="shared" si="45"/>
        <v>0.10270698377758401</v>
      </c>
      <c r="BF130" s="2">
        <f t="shared" si="45"/>
        <v>9.9992688778502328E-2</v>
      </c>
      <c r="BG130" s="2">
        <f t="shared" si="45"/>
        <v>9.612014948129681E-2</v>
      </c>
      <c r="BH130" s="2">
        <f t="shared" si="45"/>
        <v>9.0980742548896432E-2</v>
      </c>
      <c r="BI130" s="2">
        <f t="shared" si="45"/>
        <v>8.4777713417633613E-2</v>
      </c>
      <c r="BJ130" s="2">
        <f t="shared" si="45"/>
        <v>7.8094211373467476E-2</v>
      </c>
      <c r="BK130" s="2">
        <f t="shared" si="38"/>
        <v>7.1718634776446744E-2</v>
      </c>
      <c r="BL130" s="2">
        <f t="shared" si="38"/>
        <v>6.630548457876019E-2</v>
      </c>
      <c r="BM130" s="2">
        <f t="shared" si="38"/>
        <v>6.2145760688127334E-2</v>
      </c>
      <c r="BN130" s="2">
        <f t="shared" si="38"/>
        <v>5.9187644618535463E-2</v>
      </c>
      <c r="BO130" s="2">
        <f t="shared" si="38"/>
        <v>5.7198064280454625E-2</v>
      </c>
      <c r="BP130" s="2">
        <f t="shared" si="35"/>
        <v>5.5909575400142721E-2</v>
      </c>
      <c r="BQ130" s="2">
        <f t="shared" si="35"/>
        <v>5.5095451018671235E-2</v>
      </c>
      <c r="BR130" s="2">
        <f t="shared" si="35"/>
        <v>5.4589039341166629E-2</v>
      </c>
      <c r="BS130" s="2">
        <f t="shared" si="35"/>
        <v>5.4277095702049867E-2</v>
      </c>
      <c r="BT130" s="2">
        <f t="shared" si="35"/>
        <v>5.4086096502025297E-2</v>
      </c>
      <c r="BU130" s="2">
        <f t="shared" si="35"/>
        <v>5.396958126325558E-2</v>
      </c>
    </row>
    <row r="131" spans="1:73" x14ac:dyDescent="0.25">
      <c r="A131" t="s">
        <v>36</v>
      </c>
      <c r="B131" s="1" t="s">
        <v>5</v>
      </c>
      <c r="C131" t="s">
        <v>18</v>
      </c>
      <c r="D131" t="s">
        <v>18</v>
      </c>
      <c r="E131" s="97">
        <v>6.1279849999999998</v>
      </c>
      <c r="F131" s="5">
        <f t="shared" si="29"/>
        <v>1.501356325E-2</v>
      </c>
      <c r="G131" s="1">
        <f>LOOKUP(RIGHT(D131,5),Ref!$C$4:$C$21,Ref!$E$4:$E$21)*$G$3</f>
        <v>3</v>
      </c>
      <c r="H131" s="36">
        <f t="shared" si="52"/>
        <v>6.1279849999999998</v>
      </c>
      <c r="I131" s="12">
        <f t="shared" si="52"/>
        <v>6.1279849999999998</v>
      </c>
      <c r="J131" s="12">
        <f t="shared" si="52"/>
        <v>6.1279849999999998</v>
      </c>
      <c r="K131" s="12">
        <f t="shared" si="52"/>
        <v>6.1279849999999998</v>
      </c>
      <c r="L131" s="12">
        <f t="shared" si="52"/>
        <v>6.1279849999999998</v>
      </c>
      <c r="M131" s="12">
        <f t="shared" si="51"/>
        <v>6.4186100394440313</v>
      </c>
      <c r="N131" s="12">
        <f t="shared" si="51"/>
        <v>6.592842789297479</v>
      </c>
      <c r="O131" s="12">
        <f t="shared" si="51"/>
        <v>6.8584587181077064</v>
      </c>
      <c r="P131" s="12">
        <f t="shared" si="51"/>
        <v>7.2458858735024947</v>
      </c>
      <c r="Q131" s="12">
        <f t="shared" si="51"/>
        <v>7.77605399603401</v>
      </c>
      <c r="R131" s="12">
        <f t="shared" si="51"/>
        <v>8.4415485552850029</v>
      </c>
      <c r="S131" s="12">
        <f t="shared" si="51"/>
        <v>9.1919775000000001</v>
      </c>
      <c r="T131" s="12">
        <f t="shared" si="51"/>
        <v>9.9424064447149956</v>
      </c>
      <c r="U131" s="12">
        <f t="shared" si="51"/>
        <v>10.60790100396599</v>
      </c>
      <c r="V131" s="12">
        <f t="shared" si="51"/>
        <v>11.138069126497506</v>
      </c>
      <c r="W131" s="12">
        <f t="shared" si="51"/>
        <v>11.525496281892291</v>
      </c>
      <c r="X131" s="12">
        <f t="shared" si="51"/>
        <v>11.79111221070252</v>
      </c>
      <c r="Y131" s="12">
        <f t="shared" si="51"/>
        <v>11.965344960555969</v>
      </c>
      <c r="Z131" s="12">
        <f t="shared" si="51"/>
        <v>12.076345089639149</v>
      </c>
      <c r="AA131" s="12">
        <f t="shared" si="51"/>
        <v>12.145750775145451</v>
      </c>
      <c r="AB131" s="12">
        <f t="shared" si="51"/>
        <v>12.188642180363864</v>
      </c>
      <c r="AC131" s="12">
        <f t="shared" si="50"/>
        <v>12.214956309928747</v>
      </c>
      <c r="AD131" s="300">
        <f t="shared" si="46"/>
        <v>2.2427595863125089E-3</v>
      </c>
      <c r="AE131" s="299">
        <f t="shared" si="47"/>
        <v>2.2427595863125089E-3</v>
      </c>
      <c r="AF131" s="299">
        <f t="shared" si="44"/>
        <v>2.2427595863125089E-3</v>
      </c>
      <c r="AG131" s="299">
        <f t="shared" si="44"/>
        <v>2.2427595863125089E-3</v>
      </c>
      <c r="AH131" s="299">
        <f t="shared" si="44"/>
        <v>2.2427595863125089E-3</v>
      </c>
      <c r="AI131" s="299">
        <f t="shared" si="44"/>
        <v>2.1412107947158766E-3</v>
      </c>
      <c r="AJ131" s="299">
        <f t="shared" si="44"/>
        <v>2.0846238174888668E-3</v>
      </c>
      <c r="AK131" s="299">
        <f t="shared" si="44"/>
        <v>2.0038900383322869E-3</v>
      </c>
      <c r="AL131" s="299">
        <f t="shared" si="44"/>
        <v>1.8967449037236796E-3</v>
      </c>
      <c r="AM131" s="299">
        <f t="shared" si="44"/>
        <v>1.7674256262287854E-3</v>
      </c>
      <c r="AN131" s="299">
        <f t="shared" si="44"/>
        <v>1.6280895636055781E-3</v>
      </c>
      <c r="AO131" s="299">
        <f t="shared" si="37"/>
        <v>1.4951730575416726E-3</v>
      </c>
      <c r="AP131" s="299">
        <f t="shared" si="37"/>
        <v>1.3823209883795117E-3</v>
      </c>
      <c r="AQ131" s="299">
        <f t="shared" si="37"/>
        <v>1.295600053053938E-3</v>
      </c>
      <c r="AR131" s="299">
        <f t="shared" si="37"/>
        <v>1.2339299520805805E-3</v>
      </c>
      <c r="AS131" s="299">
        <f t="shared" si="37"/>
        <v>1.1924516539146195E-3</v>
      </c>
      <c r="AT131" s="299">
        <f t="shared" si="34"/>
        <v>1.1655895438815783E-3</v>
      </c>
      <c r="AU131" s="299">
        <f t="shared" si="34"/>
        <v>1.14861687221182E-3</v>
      </c>
      <c r="AV131" s="299">
        <f t="shared" si="34"/>
        <v>1.138059321882125E-3</v>
      </c>
      <c r="AW131" s="299">
        <f t="shared" si="34"/>
        <v>1.1315559950113231E-3</v>
      </c>
      <c r="AX131" s="299">
        <f t="shared" si="34"/>
        <v>1.1275740890704345E-3</v>
      </c>
      <c r="AY131" s="299">
        <f t="shared" si="34"/>
        <v>1.1251450070564706E-3</v>
      </c>
      <c r="AZ131" s="306">
        <f t="shared" si="48"/>
        <v>0.12415869478894249</v>
      </c>
      <c r="BA131" s="2">
        <f t="shared" si="49"/>
        <v>0.12415869478894249</v>
      </c>
      <c r="BB131" s="2">
        <f t="shared" si="45"/>
        <v>0.12415869478894249</v>
      </c>
      <c r="BC131" s="2">
        <f t="shared" si="45"/>
        <v>0.12415869478894249</v>
      </c>
      <c r="BD131" s="2">
        <f t="shared" si="45"/>
        <v>0.12415869478894249</v>
      </c>
      <c r="BE131" s="2">
        <f t="shared" si="45"/>
        <v>0.11853697523461335</v>
      </c>
      <c r="BF131" s="2">
        <f t="shared" si="45"/>
        <v>0.11540433218297501</v>
      </c>
      <c r="BG131" s="2">
        <f t="shared" si="45"/>
        <v>0.11093492730042111</v>
      </c>
      <c r="BH131" s="2">
        <f t="shared" si="45"/>
        <v>0.10500339538448236</v>
      </c>
      <c r="BI131" s="2">
        <f t="shared" si="45"/>
        <v>9.7844307623669705E-2</v>
      </c>
      <c r="BJ131" s="2">
        <f t="shared" si="45"/>
        <v>9.0130692763696396E-2</v>
      </c>
      <c r="BK131" s="2">
        <f t="shared" si="38"/>
        <v>8.2772463192628334E-2</v>
      </c>
      <c r="BL131" s="2">
        <f t="shared" si="38"/>
        <v>7.6524996590805514E-2</v>
      </c>
      <c r="BM131" s="2">
        <f t="shared" si="38"/>
        <v>7.1724144013199265E-2</v>
      </c>
      <c r="BN131" s="2">
        <f t="shared" si="38"/>
        <v>6.8310100309592309E-2</v>
      </c>
      <c r="BO131" s="2">
        <f t="shared" si="38"/>
        <v>6.601387052474067E-2</v>
      </c>
      <c r="BP131" s="2">
        <f t="shared" si="35"/>
        <v>6.4526789813400168E-2</v>
      </c>
      <c r="BQ131" s="2">
        <f t="shared" si="35"/>
        <v>6.3587186311330993E-2</v>
      </c>
      <c r="BR131" s="2">
        <f t="shared" si="35"/>
        <v>6.3002722565371178E-2</v>
      </c>
      <c r="BS131" s="2">
        <f t="shared" si="35"/>
        <v>6.2642699769797167E-2</v>
      </c>
      <c r="BT131" s="2">
        <f t="shared" si="35"/>
        <v>6.2422262301862451E-2</v>
      </c>
      <c r="BU131" s="2">
        <f t="shared" si="35"/>
        <v>6.2287788837015988E-2</v>
      </c>
    </row>
    <row r="132" spans="1:73" x14ac:dyDescent="0.25">
      <c r="A132" t="s">
        <v>36</v>
      </c>
      <c r="B132" s="1" t="s">
        <v>5</v>
      </c>
      <c r="C132" t="s">
        <v>6</v>
      </c>
      <c r="D132" t="s">
        <v>6</v>
      </c>
      <c r="E132" s="97">
        <v>7.3835850000000001</v>
      </c>
      <c r="F132" s="5">
        <f t="shared" si="29"/>
        <v>1.8089783250000002E-2</v>
      </c>
      <c r="G132" s="1">
        <f>LOOKUP(RIGHT(D132,5),Ref!$C$4:$C$21,Ref!$E$4:$E$21)*$G$3</f>
        <v>3</v>
      </c>
      <c r="H132" s="36">
        <f t="shared" si="52"/>
        <v>7.3835850000000001</v>
      </c>
      <c r="I132" s="12">
        <f t="shared" si="52"/>
        <v>7.3835850000000001</v>
      </c>
      <c r="J132" s="12">
        <f t="shared" si="52"/>
        <v>7.3835850000000001</v>
      </c>
      <c r="K132" s="12">
        <f t="shared" si="52"/>
        <v>7.3835850000000001</v>
      </c>
      <c r="L132" s="12">
        <f t="shared" si="52"/>
        <v>7.3835850000000001</v>
      </c>
      <c r="M132" s="12">
        <f t="shared" si="51"/>
        <v>7.7337579658057845</v>
      </c>
      <c r="N132" s="12">
        <f t="shared" si="51"/>
        <v>7.9436903201321529</v>
      </c>
      <c r="O132" s="12">
        <f t="shared" si="51"/>
        <v>8.2637299069986767</v>
      </c>
      <c r="P132" s="12">
        <f t="shared" si="51"/>
        <v>8.7305393611937561</v>
      </c>
      <c r="Q132" s="12">
        <f t="shared" si="51"/>
        <v>9.3693368447061758</v>
      </c>
      <c r="R132" s="12">
        <f t="shared" si="51"/>
        <v>10.171188619027955</v>
      </c>
      <c r="S132" s="12">
        <f t="shared" si="51"/>
        <v>11.0753775</v>
      </c>
      <c r="T132" s="12">
        <f t="shared" si="51"/>
        <v>11.979566380972045</v>
      </c>
      <c r="U132" s="12">
        <f t="shared" si="51"/>
        <v>12.781418155293824</v>
      </c>
      <c r="V132" s="12">
        <f t="shared" si="51"/>
        <v>13.420215638806244</v>
      </c>
      <c r="W132" s="12">
        <f t="shared" si="51"/>
        <v>13.887025093001322</v>
      </c>
      <c r="X132" s="12">
        <f t="shared" si="51"/>
        <v>14.207064679867848</v>
      </c>
      <c r="Y132" s="12">
        <f t="shared" si="51"/>
        <v>14.416997034194216</v>
      </c>
      <c r="Z132" s="12">
        <f t="shared" si="51"/>
        <v>14.550740652707747</v>
      </c>
      <c r="AA132" s="12">
        <f t="shared" si="51"/>
        <v>14.63436728991705</v>
      </c>
      <c r="AB132" s="12">
        <f t="shared" ref="AB132:AC147" si="53">AB$3*$E132</f>
        <v>14.686046975196893</v>
      </c>
      <c r="AC132" s="12">
        <f t="shared" si="53"/>
        <v>14.717752766308216</v>
      </c>
      <c r="AD132" s="300">
        <f t="shared" si="46"/>
        <v>1.8613718273073662E-3</v>
      </c>
      <c r="AE132" s="299">
        <f t="shared" si="47"/>
        <v>1.8613718273073662E-3</v>
      </c>
      <c r="AF132" s="299">
        <f t="shared" si="44"/>
        <v>1.8613718273073662E-3</v>
      </c>
      <c r="AG132" s="299">
        <f t="shared" si="44"/>
        <v>1.8613718273073662E-3</v>
      </c>
      <c r="AH132" s="299">
        <f t="shared" si="44"/>
        <v>1.8613718273073662E-3</v>
      </c>
      <c r="AI132" s="299">
        <f t="shared" si="44"/>
        <v>1.7770917016404594E-3</v>
      </c>
      <c r="AJ132" s="299">
        <f t="shared" si="44"/>
        <v>1.7301275036739623E-3</v>
      </c>
      <c r="AK132" s="299">
        <f t="shared" si="44"/>
        <v>1.6631227373355463E-3</v>
      </c>
      <c r="AL132" s="299">
        <f t="shared" si="44"/>
        <v>1.5741979429836797E-3</v>
      </c>
      <c r="AM132" s="299">
        <f t="shared" si="44"/>
        <v>1.4668697829232824E-3</v>
      </c>
      <c r="AN132" s="299">
        <f t="shared" si="44"/>
        <v>1.3512282210378194E-3</v>
      </c>
      <c r="AO132" s="299">
        <f t="shared" si="37"/>
        <v>1.2409145515382442E-3</v>
      </c>
      <c r="AP132" s="299">
        <f t="shared" si="37"/>
        <v>1.1472533033715763E-3</v>
      </c>
      <c r="AQ132" s="299">
        <f t="shared" si="37"/>
        <v>1.0752795140996868E-3</v>
      </c>
      <c r="AR132" s="299">
        <f t="shared" si="37"/>
        <v>1.0240965922922965E-3</v>
      </c>
      <c r="AS132" s="299">
        <f t="shared" si="37"/>
        <v>9.8967179878256669E-4</v>
      </c>
      <c r="AT132" s="299">
        <f t="shared" si="34"/>
        <v>9.673776683092499E-4</v>
      </c>
      <c r="AU132" s="299">
        <f t="shared" si="34"/>
        <v>9.5329124858194896E-4</v>
      </c>
      <c r="AV132" s="299">
        <f t="shared" si="34"/>
        <v>9.4452904024316551E-4</v>
      </c>
      <c r="AW132" s="299">
        <f t="shared" si="34"/>
        <v>9.3913162292970994E-4</v>
      </c>
      <c r="AX132" s="299">
        <f t="shared" si="34"/>
        <v>9.3582685161913703E-4</v>
      </c>
      <c r="AY132" s="299">
        <f t="shared" si="34"/>
        <v>9.3381084203228448E-4</v>
      </c>
      <c r="AZ132" s="306">
        <f t="shared" si="48"/>
        <v>0.10304514938017477</v>
      </c>
      <c r="BA132" s="2">
        <f t="shared" si="49"/>
        <v>0.10304514938017477</v>
      </c>
      <c r="BB132" s="2">
        <f t="shared" si="45"/>
        <v>0.10304514938017477</v>
      </c>
      <c r="BC132" s="2">
        <f t="shared" si="45"/>
        <v>0.10304514938017477</v>
      </c>
      <c r="BD132" s="2">
        <f t="shared" si="45"/>
        <v>0.10304514938017477</v>
      </c>
      <c r="BE132" s="2">
        <f t="shared" si="45"/>
        <v>9.8379419507337168E-2</v>
      </c>
      <c r="BF132" s="2">
        <f t="shared" si="45"/>
        <v>9.5779491473625356E-2</v>
      </c>
      <c r="BG132" s="2">
        <f t="shared" si="45"/>
        <v>9.2070121827414614E-2</v>
      </c>
      <c r="BH132" s="2">
        <f t="shared" si="45"/>
        <v>8.714726408176747E-2</v>
      </c>
      <c r="BI132" s="2">
        <f t="shared" si="45"/>
        <v>8.1205599915655277E-2</v>
      </c>
      <c r="BJ132" s="2">
        <f t="shared" si="45"/>
        <v>7.4803707588595517E-2</v>
      </c>
      <c r="BK132" s="2">
        <f t="shared" si="38"/>
        <v>6.8696766253449851E-2</v>
      </c>
      <c r="BL132" s="2">
        <f t="shared" si="38"/>
        <v>6.3511699429681823E-2</v>
      </c>
      <c r="BM132" s="2">
        <f t="shared" si="38"/>
        <v>5.9527245728291191E-2</v>
      </c>
      <c r="BN132" s="2">
        <f t="shared" si="38"/>
        <v>5.6693770037952708E-2</v>
      </c>
      <c r="BO132" s="2">
        <f t="shared" si="38"/>
        <v>5.4788020774129767E-2</v>
      </c>
      <c r="BP132" s="2">
        <f t="shared" si="35"/>
        <v>5.3553822441899025E-2</v>
      </c>
      <c r="BQ132" s="2">
        <f t="shared" si="35"/>
        <v>5.2774001234907116E-2</v>
      </c>
      <c r="BR132" s="2">
        <f t="shared" si="35"/>
        <v>5.2288927240596E-2</v>
      </c>
      <c r="BS132" s="2">
        <f t="shared" si="35"/>
        <v>5.1990127363444792E-2</v>
      </c>
      <c r="BT132" s="2">
        <f t="shared" si="35"/>
        <v>5.1807175924957663E-2</v>
      </c>
      <c r="BU132" s="2">
        <f t="shared" si="35"/>
        <v>5.1695570062022904E-2</v>
      </c>
    </row>
    <row r="133" spans="1:73" x14ac:dyDescent="0.25">
      <c r="A133" t="s">
        <v>36</v>
      </c>
      <c r="B133" s="1" t="s">
        <v>5</v>
      </c>
      <c r="C133" t="s">
        <v>7</v>
      </c>
      <c r="D133" t="s">
        <v>7</v>
      </c>
      <c r="E133" s="97">
        <v>7.4376049999999996</v>
      </c>
      <c r="F133" s="5">
        <f t="shared" si="29"/>
        <v>1.8222132249999998E-2</v>
      </c>
      <c r="G133" s="1">
        <f>LOOKUP(RIGHT(D133,5),Ref!$C$4:$C$21,Ref!$E$4:$E$21)*$G$3</f>
        <v>3.5</v>
      </c>
      <c r="H133" s="36">
        <f t="shared" si="52"/>
        <v>7.4376049999999996</v>
      </c>
      <c r="I133" s="12">
        <f t="shared" si="52"/>
        <v>7.4376049999999996</v>
      </c>
      <c r="J133" s="12">
        <f t="shared" si="52"/>
        <v>7.4376049999999996</v>
      </c>
      <c r="K133" s="12">
        <f t="shared" si="52"/>
        <v>7.4376049999999996</v>
      </c>
      <c r="L133" s="12">
        <f t="shared" si="52"/>
        <v>7.4376049999999996</v>
      </c>
      <c r="M133" s="12">
        <f t="shared" ref="M133:AB148" si="54">M$3*$E133</f>
        <v>7.7903399114748355</v>
      </c>
      <c r="N133" s="12">
        <f t="shared" si="54"/>
        <v>8.0018081790168996</v>
      </c>
      <c r="O133" s="12">
        <f t="shared" si="54"/>
        <v>8.3241892488463112</v>
      </c>
      <c r="P133" s="12">
        <f t="shared" si="54"/>
        <v>8.794413987989774</v>
      </c>
      <c r="Q133" s="12">
        <f t="shared" si="54"/>
        <v>9.4378850602885827</v>
      </c>
      <c r="R133" s="12">
        <f t="shared" si="54"/>
        <v>10.245603365956431</v>
      </c>
      <c r="S133" s="12">
        <f t="shared" si="54"/>
        <v>11.1564075</v>
      </c>
      <c r="T133" s="12">
        <f t="shared" si="54"/>
        <v>12.067211634043568</v>
      </c>
      <c r="U133" s="12">
        <f t="shared" si="54"/>
        <v>12.874929939711416</v>
      </c>
      <c r="V133" s="12">
        <f t="shared" si="54"/>
        <v>13.518401012010225</v>
      </c>
      <c r="W133" s="12">
        <f t="shared" si="54"/>
        <v>13.988625751153686</v>
      </c>
      <c r="X133" s="12">
        <f t="shared" si="54"/>
        <v>14.311006820983099</v>
      </c>
      <c r="Y133" s="12">
        <f t="shared" si="54"/>
        <v>14.522475088525162</v>
      </c>
      <c r="Z133" s="12">
        <f t="shared" si="54"/>
        <v>14.657197206002559</v>
      </c>
      <c r="AA133" s="12">
        <f t="shared" si="54"/>
        <v>14.741435674854896</v>
      </c>
      <c r="AB133" s="12">
        <f t="shared" si="54"/>
        <v>14.793493460555988</v>
      </c>
      <c r="AC133" s="12">
        <f t="shared" si="53"/>
        <v>14.825431218501285</v>
      </c>
      <c r="AD133" s="300">
        <f t="shared" si="46"/>
        <v>1.8478525148255735E-3</v>
      </c>
      <c r="AE133" s="299">
        <f t="shared" si="47"/>
        <v>1.8478525148255735E-3</v>
      </c>
      <c r="AF133" s="299">
        <f t="shared" si="44"/>
        <v>1.8478525148255735E-3</v>
      </c>
      <c r="AG133" s="299">
        <f t="shared" si="44"/>
        <v>1.8478525148255735E-3</v>
      </c>
      <c r="AH133" s="299">
        <f t="shared" si="44"/>
        <v>1.8478525148255735E-3</v>
      </c>
      <c r="AI133" s="299">
        <f t="shared" si="44"/>
        <v>1.7641845233589272E-3</v>
      </c>
      <c r="AJ133" s="299">
        <f t="shared" si="44"/>
        <v>1.7175614306237713E-3</v>
      </c>
      <c r="AK133" s="299">
        <f t="shared" si="44"/>
        <v>1.6510433259832541E-3</v>
      </c>
      <c r="AL133" s="299">
        <f t="shared" si="44"/>
        <v>1.5627644004817618E-3</v>
      </c>
      <c r="AM133" s="299">
        <f t="shared" si="44"/>
        <v>1.456215774586793E-3</v>
      </c>
      <c r="AN133" s="299">
        <f t="shared" si="44"/>
        <v>1.3414141278585685E-3</v>
      </c>
      <c r="AO133" s="299">
        <f t="shared" si="37"/>
        <v>1.2319016765503822E-3</v>
      </c>
      <c r="AP133" s="299">
        <f t="shared" si="37"/>
        <v>1.1389206985279296E-3</v>
      </c>
      <c r="AQ133" s="299">
        <f t="shared" si="37"/>
        <v>1.0674696614183918E-3</v>
      </c>
      <c r="AR133" s="299">
        <f t="shared" si="37"/>
        <v>1.0166584858164042E-3</v>
      </c>
      <c r="AS133" s="299">
        <f t="shared" si="37"/>
        <v>9.8248372270562617E-4</v>
      </c>
      <c r="AT133" s="299">
        <f t="shared" si="34"/>
        <v>9.6035151652489666E-4</v>
      </c>
      <c r="AU133" s="299">
        <f t="shared" si="34"/>
        <v>9.4636740774227054E-4</v>
      </c>
      <c r="AV133" s="299">
        <f t="shared" si="34"/>
        <v>9.3766884011773049E-4</v>
      </c>
      <c r="AW133" s="299">
        <f t="shared" si="34"/>
        <v>9.3231062473598191E-4</v>
      </c>
      <c r="AX133" s="299">
        <f t="shared" si="34"/>
        <v>9.2902985627931118E-4</v>
      </c>
      <c r="AY133" s="299">
        <f t="shared" si="34"/>
        <v>9.2702848915301984E-4</v>
      </c>
      <c r="AZ133" s="306">
        <f t="shared" si="48"/>
        <v>0.10229672310995513</v>
      </c>
      <c r="BA133" s="2">
        <f t="shared" si="49"/>
        <v>0.10229672310995513</v>
      </c>
      <c r="BB133" s="2">
        <f t="shared" si="45"/>
        <v>0.10229672310995513</v>
      </c>
      <c r="BC133" s="2">
        <f t="shared" si="45"/>
        <v>0.10229672310995513</v>
      </c>
      <c r="BD133" s="2">
        <f t="shared" si="45"/>
        <v>0.10229672310995513</v>
      </c>
      <c r="BE133" s="2">
        <f t="shared" si="45"/>
        <v>9.7664880856550215E-2</v>
      </c>
      <c r="BF133" s="2">
        <f t="shared" si="45"/>
        <v>9.5083836336063571E-2</v>
      </c>
      <c r="BG133" s="2">
        <f t="shared" si="45"/>
        <v>9.1401408178179822E-2</v>
      </c>
      <c r="BH133" s="2">
        <f t="shared" si="45"/>
        <v>8.6514305595037269E-2</v>
      </c>
      <c r="BI133" s="2">
        <f t="shared" si="45"/>
        <v>8.0615796274907531E-2</v>
      </c>
      <c r="BJ133" s="2">
        <f t="shared" si="45"/>
        <v>7.4260401472724086E-2</v>
      </c>
      <c r="BK133" s="2">
        <f t="shared" si="38"/>
        <v>6.8197815406636747E-2</v>
      </c>
      <c r="BL133" s="2">
        <f t="shared" si="38"/>
        <v>6.3050408193700433E-2</v>
      </c>
      <c r="BM133" s="2">
        <f t="shared" si="38"/>
        <v>5.9094893941090569E-2</v>
      </c>
      <c r="BN133" s="2">
        <f t="shared" si="38"/>
        <v>5.6281998041799348E-2</v>
      </c>
      <c r="BO133" s="2">
        <f t="shared" si="38"/>
        <v>5.4390090407806409E-2</v>
      </c>
      <c r="BP133" s="2">
        <f t="shared" si="35"/>
        <v>5.3164856170053273E-2</v>
      </c>
      <c r="BQ133" s="2">
        <f t="shared" si="35"/>
        <v>5.2390698875248373E-2</v>
      </c>
      <c r="BR133" s="2">
        <f t="shared" si="35"/>
        <v>5.1909148017373341E-2</v>
      </c>
      <c r="BS133" s="2">
        <f t="shared" si="35"/>
        <v>5.1612518350842851E-2</v>
      </c>
      <c r="BT133" s="2">
        <f t="shared" si="35"/>
        <v>5.1430895705254387E-2</v>
      </c>
      <c r="BU133" s="2">
        <f t="shared" si="35"/>
        <v>5.1320100445829193E-2</v>
      </c>
    </row>
    <row r="134" spans="1:73" x14ac:dyDescent="0.25">
      <c r="A134" t="s">
        <v>36</v>
      </c>
      <c r="B134" s="1" t="s">
        <v>5</v>
      </c>
      <c r="C134" t="s">
        <v>8</v>
      </c>
      <c r="D134" t="s">
        <v>8</v>
      </c>
      <c r="E134" s="97">
        <v>7.6496700000000004</v>
      </c>
      <c r="F134" s="5">
        <f t="shared" si="29"/>
        <v>1.8741691500000001E-2</v>
      </c>
      <c r="G134" s="1">
        <f>LOOKUP(RIGHT(D134,5),Ref!$C$4:$C$21,Ref!$E$4:$E$21)*$G$3</f>
        <v>4</v>
      </c>
      <c r="H134" s="36">
        <f t="shared" ref="H134:L149" si="55">$E134</f>
        <v>7.6496700000000004</v>
      </c>
      <c r="I134" s="12">
        <f t="shared" si="55"/>
        <v>7.6496700000000004</v>
      </c>
      <c r="J134" s="12">
        <f t="shared" si="55"/>
        <v>7.6496700000000004</v>
      </c>
      <c r="K134" s="12">
        <f t="shared" si="55"/>
        <v>7.6496700000000004</v>
      </c>
      <c r="L134" s="12">
        <f t="shared" si="55"/>
        <v>7.6496700000000004</v>
      </c>
      <c r="M134" s="12">
        <f t="shared" si="54"/>
        <v>8.0124622792702382</v>
      </c>
      <c r="N134" s="12">
        <f t="shared" si="54"/>
        <v>8.2299600439631053</v>
      </c>
      <c r="O134" s="12">
        <f t="shared" si="54"/>
        <v>8.5615330165049333</v>
      </c>
      <c r="P134" s="12">
        <f t="shared" si="54"/>
        <v>9.0451650566957706</v>
      </c>
      <c r="Q134" s="12">
        <f t="shared" si="54"/>
        <v>9.7069831228114118</v>
      </c>
      <c r="R134" s="12">
        <f t="shared" si="54"/>
        <v>10.537731527885111</v>
      </c>
      <c r="S134" s="12">
        <f t="shared" si="54"/>
        <v>11.474505000000001</v>
      </c>
      <c r="T134" s="12">
        <f t="shared" si="54"/>
        <v>12.411278472114891</v>
      </c>
      <c r="U134" s="12">
        <f t="shared" si="54"/>
        <v>13.242026877188589</v>
      </c>
      <c r="V134" s="12">
        <f t="shared" si="54"/>
        <v>13.903844943304231</v>
      </c>
      <c r="W134" s="12">
        <f t="shared" si="54"/>
        <v>14.387476983495066</v>
      </c>
      <c r="X134" s="12">
        <f t="shared" si="54"/>
        <v>14.719049956036896</v>
      </c>
      <c r="Y134" s="12">
        <f t="shared" si="54"/>
        <v>14.936547720729763</v>
      </c>
      <c r="Z134" s="12">
        <f t="shared" si="54"/>
        <v>15.075111107788274</v>
      </c>
      <c r="AA134" s="12">
        <f t="shared" si="54"/>
        <v>15.161751429239288</v>
      </c>
      <c r="AB134" s="12">
        <f t="shared" si="54"/>
        <v>15.215293514567032</v>
      </c>
      <c r="AC134" s="12">
        <f t="shared" si="53"/>
        <v>15.248141899070028</v>
      </c>
      <c r="AD134" s="300">
        <f t="shared" si="46"/>
        <v>1.7966261425040896E-3</v>
      </c>
      <c r="AE134" s="299">
        <f t="shared" si="47"/>
        <v>1.7966261425040896E-3</v>
      </c>
      <c r="AF134" s="299">
        <f t="shared" si="44"/>
        <v>1.7966261425040896E-3</v>
      </c>
      <c r="AG134" s="299">
        <f t="shared" si="44"/>
        <v>1.7966261425040896E-3</v>
      </c>
      <c r="AH134" s="299">
        <f t="shared" si="44"/>
        <v>1.7966261425040896E-3</v>
      </c>
      <c r="AI134" s="299">
        <f t="shared" si="44"/>
        <v>1.7152776043746947E-3</v>
      </c>
      <c r="AJ134" s="299">
        <f t="shared" si="44"/>
        <v>1.6699470021863051E-3</v>
      </c>
      <c r="AK134" s="299">
        <f t="shared" si="44"/>
        <v>1.6052729198187214E-3</v>
      </c>
      <c r="AL134" s="299">
        <f t="shared" si="44"/>
        <v>1.5194412724790943E-3</v>
      </c>
      <c r="AM134" s="299">
        <f t="shared" si="44"/>
        <v>1.415846399406197E-3</v>
      </c>
      <c r="AN134" s="299">
        <f t="shared" si="44"/>
        <v>1.3042272966587484E-3</v>
      </c>
      <c r="AO134" s="299">
        <f t="shared" si="37"/>
        <v>1.197750761669393E-3</v>
      </c>
      <c r="AP134" s="299">
        <f t="shared" si="37"/>
        <v>1.1073474126301946E-3</v>
      </c>
      <c r="AQ134" s="299">
        <f t="shared" si="37"/>
        <v>1.0378771490945017E-3</v>
      </c>
      <c r="AR134" s="299">
        <f t="shared" si="37"/>
        <v>9.8847456653692461E-4</v>
      </c>
      <c r="AS134" s="299">
        <f t="shared" si="37"/>
        <v>9.5524719999868992E-4</v>
      </c>
      <c r="AT134" s="299">
        <f t="shared" si="34"/>
        <v>9.337285452919084E-4</v>
      </c>
      <c r="AU134" s="299">
        <f t="shared" si="34"/>
        <v>9.2013210552363046E-4</v>
      </c>
      <c r="AV134" s="299">
        <f t="shared" si="34"/>
        <v>9.1167468055534842E-4</v>
      </c>
      <c r="AW134" s="299">
        <f t="shared" si="34"/>
        <v>9.0646500621457677E-4</v>
      </c>
      <c r="AX134" s="299">
        <f t="shared" si="34"/>
        <v>9.0327518758486131E-4</v>
      </c>
      <c r="AY134" s="299">
        <f t="shared" si="34"/>
        <v>9.0132930257997342E-4</v>
      </c>
      <c r="AZ134" s="306">
        <f t="shared" si="48"/>
        <v>9.9460842008376529E-2</v>
      </c>
      <c r="BA134" s="2">
        <f t="shared" si="49"/>
        <v>9.9460842008376529E-2</v>
      </c>
      <c r="BB134" s="2">
        <f t="shared" si="45"/>
        <v>9.9460842008376529E-2</v>
      </c>
      <c r="BC134" s="2">
        <f t="shared" si="45"/>
        <v>9.9460842008376529E-2</v>
      </c>
      <c r="BD134" s="2">
        <f t="shared" si="45"/>
        <v>9.9460842008376529E-2</v>
      </c>
      <c r="BE134" s="2">
        <f t="shared" si="45"/>
        <v>9.4957404199538284E-2</v>
      </c>
      <c r="BF134" s="2">
        <f t="shared" si="45"/>
        <v>9.2447911681456593E-2</v>
      </c>
      <c r="BG134" s="2">
        <f t="shared" si="45"/>
        <v>8.8867568205304406E-2</v>
      </c>
      <c r="BH134" s="2">
        <f t="shared" si="45"/>
        <v>8.4115946421894947E-2</v>
      </c>
      <c r="BI134" s="2">
        <f t="shared" si="45"/>
        <v>7.8380956231214355E-2</v>
      </c>
      <c r="BJ134" s="2">
        <f t="shared" si="45"/>
        <v>7.2201746388476887E-2</v>
      </c>
      <c r="BK134" s="2">
        <f t="shared" si="38"/>
        <v>6.6307228005584362E-2</v>
      </c>
      <c r="BL134" s="2">
        <f t="shared" si="38"/>
        <v>6.1302517786193035E-2</v>
      </c>
      <c r="BM134" s="2">
        <f t="shared" si="38"/>
        <v>5.7456658738314841E-2</v>
      </c>
      <c r="BN134" s="2">
        <f t="shared" si="38"/>
        <v>5.4721742251061418E-2</v>
      </c>
      <c r="BO134" s="2">
        <f t="shared" si="38"/>
        <v>5.2882282290288726E-2</v>
      </c>
      <c r="BP134" s="2">
        <f t="shared" si="35"/>
        <v>5.1691014131938898E-2</v>
      </c>
      <c r="BQ134" s="2">
        <f t="shared" si="35"/>
        <v>5.0938318111505683E-2</v>
      </c>
      <c r="BR134" s="2">
        <f t="shared" si="35"/>
        <v>5.0470116859911082E-2</v>
      </c>
      <c r="BS134" s="2">
        <f t="shared" si="35"/>
        <v>5.0181710393888947E-2</v>
      </c>
      <c r="BT134" s="2">
        <f t="shared" si="35"/>
        <v>5.0005122711421345E-2</v>
      </c>
      <c r="BU134" s="2">
        <f t="shared" si="35"/>
        <v>4.9897398930463847E-2</v>
      </c>
    </row>
    <row r="135" spans="1:73" x14ac:dyDescent="0.25">
      <c r="A135" t="s">
        <v>36</v>
      </c>
      <c r="B135" s="1" t="s">
        <v>5</v>
      </c>
      <c r="C135" t="s">
        <v>9</v>
      </c>
      <c r="D135" t="s">
        <v>9</v>
      </c>
      <c r="E135" s="97">
        <v>7.6821549999999998</v>
      </c>
      <c r="F135" s="5">
        <f t="shared" ref="F135:F195" si="56">E135/$B$2*$F$3/1000</f>
        <v>1.8821279749999999E-2</v>
      </c>
      <c r="G135" s="1">
        <f>LOOKUP(RIGHT(D135,5),Ref!$C$4:$C$21,Ref!$E$4:$E$21)*$G$3</f>
        <v>4.5</v>
      </c>
      <c r="H135" s="36">
        <f t="shared" si="55"/>
        <v>7.6821549999999998</v>
      </c>
      <c r="I135" s="12">
        <f t="shared" si="55"/>
        <v>7.6821549999999998</v>
      </c>
      <c r="J135" s="12">
        <f t="shared" si="55"/>
        <v>7.6821549999999998</v>
      </c>
      <c r="K135" s="12">
        <f t="shared" si="55"/>
        <v>7.6821549999999998</v>
      </c>
      <c r="L135" s="12">
        <f t="shared" si="55"/>
        <v>7.6821549999999998</v>
      </c>
      <c r="M135" s="12">
        <f t="shared" si="54"/>
        <v>8.04648790876041</v>
      </c>
      <c r="N135" s="12">
        <f t="shared" si="54"/>
        <v>8.2649092969410951</v>
      </c>
      <c r="O135" s="12">
        <f t="shared" si="54"/>
        <v>8.5978903234268209</v>
      </c>
      <c r="P135" s="12">
        <f t="shared" si="54"/>
        <v>9.0835761498366185</v>
      </c>
      <c r="Q135" s="12">
        <f t="shared" si="54"/>
        <v>9.748204684884616</v>
      </c>
      <c r="R135" s="12">
        <f t="shared" si="54"/>
        <v>10.582480936511017</v>
      </c>
      <c r="S135" s="12">
        <f t="shared" si="54"/>
        <v>11.523232499999999</v>
      </c>
      <c r="T135" s="12">
        <f t="shared" si="54"/>
        <v>12.463984063488983</v>
      </c>
      <c r="U135" s="12">
        <f t="shared" si="54"/>
        <v>13.298260315115384</v>
      </c>
      <c r="V135" s="12">
        <f t="shared" si="54"/>
        <v>13.962888850163381</v>
      </c>
      <c r="W135" s="12">
        <f t="shared" si="54"/>
        <v>14.448574676573177</v>
      </c>
      <c r="X135" s="12">
        <f t="shared" si="54"/>
        <v>14.781555703058904</v>
      </c>
      <c r="Y135" s="12">
        <f t="shared" si="54"/>
        <v>14.99997709123959</v>
      </c>
      <c r="Z135" s="12">
        <f t="shared" si="54"/>
        <v>15.139128899972315</v>
      </c>
      <c r="AA135" s="12">
        <f t="shared" si="54"/>
        <v>15.226137147208668</v>
      </c>
      <c r="AB135" s="12">
        <f t="shared" si="54"/>
        <v>15.279906603735675</v>
      </c>
      <c r="AC135" s="12">
        <f t="shared" si="53"/>
        <v>15.312894481807751</v>
      </c>
      <c r="AD135" s="300">
        <f t="shared" si="46"/>
        <v>1.7890288732171193E-3</v>
      </c>
      <c r="AE135" s="299">
        <f t="shared" si="47"/>
        <v>1.7890288732171193E-3</v>
      </c>
      <c r="AF135" s="299">
        <f t="shared" si="44"/>
        <v>1.7890288732171193E-3</v>
      </c>
      <c r="AG135" s="299">
        <f t="shared" si="44"/>
        <v>1.7890288732171193E-3</v>
      </c>
      <c r="AH135" s="299">
        <f t="shared" si="44"/>
        <v>1.7890288732171193E-3</v>
      </c>
      <c r="AI135" s="299">
        <f t="shared" si="44"/>
        <v>1.7080243280507843E-3</v>
      </c>
      <c r="AJ135" s="299">
        <f t="shared" si="44"/>
        <v>1.6628854122592571E-3</v>
      </c>
      <c r="AK135" s="299">
        <f t="shared" si="44"/>
        <v>1.5984848127315421E-3</v>
      </c>
      <c r="AL135" s="299">
        <f t="shared" si="44"/>
        <v>1.5130161157702695E-3</v>
      </c>
      <c r="AM135" s="299">
        <f t="shared" si="44"/>
        <v>1.4098593072055436E-3</v>
      </c>
      <c r="AN135" s="299">
        <f t="shared" si="44"/>
        <v>1.2987122004738943E-3</v>
      </c>
      <c r="AO135" s="299">
        <f t="shared" si="37"/>
        <v>1.1926859154780796E-3</v>
      </c>
      <c r="AP135" s="299">
        <f t="shared" si="37"/>
        <v>1.1026648488574914E-3</v>
      </c>
      <c r="AQ135" s="299">
        <f t="shared" si="37"/>
        <v>1.033488349442798E-3</v>
      </c>
      <c r="AR135" s="299">
        <f t="shared" si="37"/>
        <v>9.8429467218515056E-4</v>
      </c>
      <c r="AS135" s="299">
        <f t="shared" si="37"/>
        <v>9.5120781192438561E-4</v>
      </c>
      <c r="AT135" s="299">
        <f t="shared" si="34"/>
        <v>9.2978015167139349E-4</v>
      </c>
      <c r="AU135" s="299">
        <f t="shared" si="34"/>
        <v>9.1624120623196872E-4</v>
      </c>
      <c r="AV135" s="299">
        <f t="shared" si="34"/>
        <v>9.0781954459443121E-4</v>
      </c>
      <c r="AW135" s="299">
        <f t="shared" si="34"/>
        <v>9.0263190004490437E-4</v>
      </c>
      <c r="AX135" s="299">
        <f t="shared" si="34"/>
        <v>8.9945556998163759E-4</v>
      </c>
      <c r="AY135" s="299">
        <f t="shared" si="34"/>
        <v>8.9751791340671281E-4</v>
      </c>
      <c r="AZ135" s="306">
        <f t="shared" si="48"/>
        <v>9.9040258792775962E-2</v>
      </c>
      <c r="BA135" s="2">
        <f t="shared" si="49"/>
        <v>9.9040258792775962E-2</v>
      </c>
      <c r="BB135" s="2">
        <f t="shared" si="45"/>
        <v>9.9040258792775962E-2</v>
      </c>
      <c r="BC135" s="2">
        <f t="shared" si="45"/>
        <v>9.9040258792775962E-2</v>
      </c>
      <c r="BD135" s="2">
        <f t="shared" si="45"/>
        <v>9.9040258792775962E-2</v>
      </c>
      <c r="BE135" s="2">
        <f t="shared" si="45"/>
        <v>9.4555864361378042E-2</v>
      </c>
      <c r="BF135" s="2">
        <f t="shared" si="45"/>
        <v>9.2056983561551162E-2</v>
      </c>
      <c r="BG135" s="2">
        <f t="shared" si="45"/>
        <v>8.8491780037381576E-2</v>
      </c>
      <c r="BH135" s="2">
        <f t="shared" si="45"/>
        <v>8.3760251109900444E-2</v>
      </c>
      <c r="BI135" s="2">
        <f t="shared" si="45"/>
        <v>7.8049512077435768E-2</v>
      </c>
      <c r="BJ135" s="2">
        <f t="shared" si="45"/>
        <v>7.1896431833976274E-2</v>
      </c>
      <c r="BK135" s="2">
        <f t="shared" si="38"/>
        <v>6.602683919518397E-2</v>
      </c>
      <c r="BL135" s="2">
        <f t="shared" si="38"/>
        <v>6.1043292049367301E-2</v>
      </c>
      <c r="BM135" s="2">
        <f t="shared" si="38"/>
        <v>5.721369572089146E-2</v>
      </c>
      <c r="BN135" s="2">
        <f t="shared" si="38"/>
        <v>5.4490344186712843E-2</v>
      </c>
      <c r="BO135" s="2">
        <f t="shared" si="38"/>
        <v>5.2658662623645706E-2</v>
      </c>
      <c r="BP135" s="2">
        <f t="shared" si="35"/>
        <v>5.1472431898948803E-2</v>
      </c>
      <c r="BQ135" s="2">
        <f t="shared" si="35"/>
        <v>5.0722918752360721E-2</v>
      </c>
      <c r="BR135" s="2">
        <f t="shared" si="35"/>
        <v>5.0256697351167223E-2</v>
      </c>
      <c r="BS135" s="2">
        <f t="shared" si="35"/>
        <v>4.9969510449713719E-2</v>
      </c>
      <c r="BT135" s="2">
        <f t="shared" si="35"/>
        <v>4.9793669491422464E-2</v>
      </c>
      <c r="BU135" s="2">
        <f t="shared" si="35"/>
        <v>4.968640123460167E-2</v>
      </c>
    </row>
    <row r="136" spans="1:73" x14ac:dyDescent="0.25">
      <c r="A136" t="s">
        <v>36</v>
      </c>
      <c r="B136" s="1" t="s">
        <v>5</v>
      </c>
      <c r="C136" t="s">
        <v>10</v>
      </c>
      <c r="D136" t="s">
        <v>10</v>
      </c>
      <c r="E136" s="97">
        <v>7.2560174999999996</v>
      </c>
      <c r="F136" s="5">
        <f t="shared" si="56"/>
        <v>1.7777242874999998E-2</v>
      </c>
      <c r="G136" s="1">
        <f>LOOKUP(RIGHT(D136,5),Ref!$C$4:$C$21,Ref!$E$4:$E$21)*$G$3</f>
        <v>4.5</v>
      </c>
      <c r="H136" s="36">
        <f t="shared" si="55"/>
        <v>7.2560174999999996</v>
      </c>
      <c r="I136" s="12">
        <f t="shared" si="55"/>
        <v>7.2560174999999996</v>
      </c>
      <c r="J136" s="12">
        <f t="shared" si="55"/>
        <v>7.2560174999999996</v>
      </c>
      <c r="K136" s="12">
        <f t="shared" si="55"/>
        <v>7.2560174999999996</v>
      </c>
      <c r="L136" s="12">
        <f t="shared" si="55"/>
        <v>7.2560174999999996</v>
      </c>
      <c r="M136" s="12">
        <f t="shared" si="54"/>
        <v>7.6001404657292042</v>
      </c>
      <c r="N136" s="12">
        <f t="shared" si="54"/>
        <v>7.8064457817522923</v>
      </c>
      <c r="O136" s="12">
        <f t="shared" si="54"/>
        <v>8.1209559882436206</v>
      </c>
      <c r="P136" s="12">
        <f t="shared" si="54"/>
        <v>8.5797002931855886</v>
      </c>
      <c r="Q136" s="12">
        <f t="shared" si="54"/>
        <v>9.2074611599355585</v>
      </c>
      <c r="R136" s="12">
        <f t="shared" si="54"/>
        <v>9.9954591997610471</v>
      </c>
      <c r="S136" s="12">
        <f t="shared" si="54"/>
        <v>10.88402625</v>
      </c>
      <c r="T136" s="12">
        <f t="shared" si="54"/>
        <v>11.772593300238951</v>
      </c>
      <c r="U136" s="12">
        <f t="shared" si="54"/>
        <v>12.560591340064439</v>
      </c>
      <c r="V136" s="12">
        <f t="shared" si="54"/>
        <v>13.188352206814411</v>
      </c>
      <c r="W136" s="12">
        <f t="shared" si="54"/>
        <v>13.647096511756377</v>
      </c>
      <c r="X136" s="12">
        <f t="shared" si="54"/>
        <v>13.961606718247706</v>
      </c>
      <c r="Y136" s="12">
        <f t="shared" si="54"/>
        <v>14.167912034270794</v>
      </c>
      <c r="Z136" s="12">
        <f t="shared" si="54"/>
        <v>14.29934494070412</v>
      </c>
      <c r="AA136" s="12">
        <f t="shared" si="54"/>
        <v>14.381526745756389</v>
      </c>
      <c r="AB136" s="12">
        <f t="shared" si="54"/>
        <v>14.43231355200092</v>
      </c>
      <c r="AC136" s="12">
        <f t="shared" si="53"/>
        <v>14.463471556568498</v>
      </c>
      <c r="AD136" s="300">
        <f t="shared" si="46"/>
        <v>1.8940964659373079E-3</v>
      </c>
      <c r="AE136" s="299">
        <f t="shared" si="47"/>
        <v>1.8940964659373079E-3</v>
      </c>
      <c r="AF136" s="299">
        <f t="shared" si="44"/>
        <v>1.8940964659373079E-3</v>
      </c>
      <c r="AG136" s="299">
        <f t="shared" si="44"/>
        <v>1.8940964659373079E-3</v>
      </c>
      <c r="AH136" s="299">
        <f t="shared" si="44"/>
        <v>1.8940964659373079E-3</v>
      </c>
      <c r="AI136" s="299">
        <f t="shared" si="44"/>
        <v>1.8083346176958606E-3</v>
      </c>
      <c r="AJ136" s="299">
        <f t="shared" si="44"/>
        <v>1.760544745683774E-3</v>
      </c>
      <c r="AK136" s="299">
        <f t="shared" si="44"/>
        <v>1.6923619735687903E-3</v>
      </c>
      <c r="AL136" s="299">
        <f t="shared" si="44"/>
        <v>1.6018737990702409E-3</v>
      </c>
      <c r="AM136" s="299">
        <f t="shared" si="44"/>
        <v>1.492658710669538E-3</v>
      </c>
      <c r="AN136" s="299">
        <f t="shared" si="44"/>
        <v>1.3749840631491763E-3</v>
      </c>
      <c r="AO136" s="299">
        <f t="shared" si="37"/>
        <v>1.2627309772915386E-3</v>
      </c>
      <c r="AP136" s="299">
        <f t="shared" si="37"/>
        <v>1.1674230777385559E-3</v>
      </c>
      <c r="AQ136" s="299">
        <f t="shared" si="37"/>
        <v>1.0941839226702166E-3</v>
      </c>
      <c r="AR136" s="299">
        <f t="shared" si="37"/>
        <v>1.042101157749484E-3</v>
      </c>
      <c r="AS136" s="299">
        <f t="shared" si="37"/>
        <v>1.0070711445243866E-3</v>
      </c>
      <c r="AT136" s="299">
        <f t="shared" si="34"/>
        <v>9.8438506261363818E-4</v>
      </c>
      <c r="AU136" s="299">
        <f t="shared" si="34"/>
        <v>9.7005099059655668E-4</v>
      </c>
      <c r="AV136" s="299">
        <f t="shared" si="34"/>
        <v>9.6113473452948996E-4</v>
      </c>
      <c r="AW136" s="299">
        <f t="shared" si="34"/>
        <v>9.556424256266557E-4</v>
      </c>
      <c r="AX136" s="299">
        <f t="shared" si="34"/>
        <v>9.522795533792864E-4</v>
      </c>
      <c r="AY136" s="299">
        <f t="shared" si="34"/>
        <v>9.5022810047893985E-4</v>
      </c>
      <c r="AZ136" s="306">
        <f t="shared" si="48"/>
        <v>0.10485677843062229</v>
      </c>
      <c r="BA136" s="2">
        <f t="shared" si="49"/>
        <v>0.10485677843062229</v>
      </c>
      <c r="BB136" s="2">
        <f t="shared" si="45"/>
        <v>0.10485677843062229</v>
      </c>
      <c r="BC136" s="2">
        <f t="shared" si="45"/>
        <v>0.10485677843062229</v>
      </c>
      <c r="BD136" s="2">
        <f t="shared" si="45"/>
        <v>0.10485677843062229</v>
      </c>
      <c r="BE136" s="2">
        <f t="shared" si="45"/>
        <v>0.10010902071047681</v>
      </c>
      <c r="BF136" s="2">
        <f t="shared" si="45"/>
        <v>9.7463383536807641E-2</v>
      </c>
      <c r="BG136" s="2">
        <f t="shared" si="45"/>
        <v>9.3688799740776679E-2</v>
      </c>
      <c r="BH136" s="2">
        <f t="shared" si="45"/>
        <v>8.8679393601955495E-2</v>
      </c>
      <c r="BI136" s="2">
        <f t="shared" si="45"/>
        <v>8.2633269483326582E-2</v>
      </c>
      <c r="BJ136" s="2">
        <f t="shared" si="45"/>
        <v>7.6118825966935727E-2</v>
      </c>
      <c r="BK136" s="2">
        <f t="shared" si="38"/>
        <v>6.990451895374819E-2</v>
      </c>
      <c r="BL136" s="2">
        <f t="shared" si="38"/>
        <v>6.4628293858650057E-2</v>
      </c>
      <c r="BM136" s="2">
        <f t="shared" si="38"/>
        <v>6.0573789775276173E-2</v>
      </c>
      <c r="BN136" s="2">
        <f t="shared" si="38"/>
        <v>5.7690498961128066E-2</v>
      </c>
      <c r="BO136" s="2">
        <f t="shared" si="38"/>
        <v>5.575124486228885E-2</v>
      </c>
      <c r="BP136" s="2">
        <f t="shared" si="35"/>
        <v>5.449534818165324E-2</v>
      </c>
      <c r="BQ136" s="2">
        <f t="shared" si="35"/>
        <v>5.3701816996450422E-2</v>
      </c>
      <c r="BR136" s="2">
        <f t="shared" si="35"/>
        <v>5.3208214952590184E-2</v>
      </c>
      <c r="BS136" s="2">
        <f t="shared" si="35"/>
        <v>5.2904161897186781E-2</v>
      </c>
      <c r="BT136" s="2">
        <f t="shared" si="35"/>
        <v>5.2717994003167512E-2</v>
      </c>
      <c r="BU136" s="2">
        <f t="shared" si="35"/>
        <v>5.2604426005918734E-2</v>
      </c>
    </row>
    <row r="137" spans="1:73" x14ac:dyDescent="0.25">
      <c r="A137" t="s">
        <v>37</v>
      </c>
      <c r="B137" s="1" t="s">
        <v>5</v>
      </c>
      <c r="C137" t="s">
        <v>13</v>
      </c>
      <c r="D137" t="s">
        <v>13</v>
      </c>
      <c r="E137" s="97">
        <v>7.5773270000000004</v>
      </c>
      <c r="F137" s="5">
        <f t="shared" si="56"/>
        <v>1.8564451150000001E-2</v>
      </c>
      <c r="G137" s="1">
        <f>LOOKUP(RIGHT(D137,5),Ref!$C$4:$C$21,Ref!$E$4:$E$21)*$G$3</f>
        <v>1.5</v>
      </c>
      <c r="H137" s="36">
        <f t="shared" si="55"/>
        <v>7.5773270000000004</v>
      </c>
      <c r="I137" s="12">
        <f t="shared" si="55"/>
        <v>7.5773270000000004</v>
      </c>
      <c r="J137" s="12">
        <f t="shared" si="55"/>
        <v>7.5773270000000004</v>
      </c>
      <c r="K137" s="12">
        <f t="shared" si="55"/>
        <v>7.5773270000000004</v>
      </c>
      <c r="L137" s="12">
        <f t="shared" si="55"/>
        <v>7.5773270000000004</v>
      </c>
      <c r="M137" s="12">
        <f t="shared" si="54"/>
        <v>7.9366883493269524</v>
      </c>
      <c r="N137" s="12">
        <f t="shared" si="54"/>
        <v>8.1521292356458286</v>
      </c>
      <c r="O137" s="12">
        <f t="shared" si="54"/>
        <v>8.4805665195170867</v>
      </c>
      <c r="P137" s="12">
        <f t="shared" si="54"/>
        <v>8.9596248470270474</v>
      </c>
      <c r="Q137" s="12">
        <f t="shared" si="54"/>
        <v>9.615184093565242</v>
      </c>
      <c r="R137" s="12">
        <f t="shared" si="54"/>
        <v>10.438076103282246</v>
      </c>
      <c r="S137" s="12">
        <f t="shared" si="54"/>
        <v>11.365990500000001</v>
      </c>
      <c r="T137" s="12">
        <f t="shared" si="54"/>
        <v>12.293904896717756</v>
      </c>
      <c r="U137" s="12">
        <f t="shared" si="54"/>
        <v>13.116796906434759</v>
      </c>
      <c r="V137" s="12">
        <f t="shared" si="54"/>
        <v>13.772356152972954</v>
      </c>
      <c r="W137" s="12">
        <f t="shared" si="54"/>
        <v>14.251414480482913</v>
      </c>
      <c r="X137" s="12">
        <f t="shared" si="54"/>
        <v>14.579851764354173</v>
      </c>
      <c r="Y137" s="12">
        <f t="shared" si="54"/>
        <v>14.795292650673048</v>
      </c>
      <c r="Z137" s="12">
        <f t="shared" si="54"/>
        <v>14.932545642497519</v>
      </c>
      <c r="AA137" s="12">
        <f t="shared" si="54"/>
        <v>15.018366605626575</v>
      </c>
      <c r="AB137" s="12">
        <f t="shared" si="54"/>
        <v>15.071402342957757</v>
      </c>
      <c r="AC137" s="12">
        <f t="shared" si="53"/>
        <v>15.103940079984444</v>
      </c>
      <c r="AD137" s="300">
        <f t="shared" si="46"/>
        <v>1.8137790679390317E-3</v>
      </c>
      <c r="AE137" s="299">
        <f t="shared" si="47"/>
        <v>1.8137790679390317E-3</v>
      </c>
      <c r="AF137" s="299">
        <f t="shared" si="44"/>
        <v>1.8137790679390317E-3</v>
      </c>
      <c r="AG137" s="299">
        <f t="shared" si="44"/>
        <v>1.8137790679390317E-3</v>
      </c>
      <c r="AH137" s="299">
        <f t="shared" si="44"/>
        <v>1.8137790679390317E-3</v>
      </c>
      <c r="AI137" s="299">
        <f t="shared" si="44"/>
        <v>1.7316538710625755E-3</v>
      </c>
      <c r="AJ137" s="299">
        <f t="shared" si="44"/>
        <v>1.6858904841000675E-3</v>
      </c>
      <c r="AK137" s="299">
        <f t="shared" si="44"/>
        <v>1.6205989389859615E-3</v>
      </c>
      <c r="AL137" s="299">
        <f t="shared" si="44"/>
        <v>1.5339478313190326E-3</v>
      </c>
      <c r="AM137" s="299">
        <f t="shared" si="44"/>
        <v>1.4293639071067679E-3</v>
      </c>
      <c r="AN137" s="299">
        <f t="shared" si="44"/>
        <v>1.3166791435068762E-3</v>
      </c>
      <c r="AO137" s="299">
        <f t="shared" si="37"/>
        <v>1.2091860452926877E-3</v>
      </c>
      <c r="AP137" s="299">
        <f t="shared" si="37"/>
        <v>1.1179195885270387E-3</v>
      </c>
      <c r="AQ137" s="299">
        <f t="shared" si="37"/>
        <v>1.0477860716732611E-3</v>
      </c>
      <c r="AR137" s="299">
        <f t="shared" si="37"/>
        <v>9.9791182793094665E-4</v>
      </c>
      <c r="AS137" s="299">
        <f t="shared" si="37"/>
        <v>9.6436722981784709E-4</v>
      </c>
      <c r="AT137" s="299">
        <f t="shared" si="34"/>
        <v>9.4264313009893245E-4</v>
      </c>
      <c r="AU137" s="299">
        <f t="shared" si="34"/>
        <v>9.2891688106649614E-4</v>
      </c>
      <c r="AV137" s="299">
        <f t="shared" si="34"/>
        <v>9.2037871054051544E-4</v>
      </c>
      <c r="AW137" s="299">
        <f t="shared" si="34"/>
        <v>9.1511929788558181E-4</v>
      </c>
      <c r="AX137" s="299">
        <f t="shared" si="34"/>
        <v>9.1189902510638461E-4</v>
      </c>
      <c r="AY137" s="299">
        <f t="shared" si="34"/>
        <v>9.0993456215720202E-4</v>
      </c>
      <c r="AZ137" s="306">
        <f t="shared" si="48"/>
        <v>0.10041042432063678</v>
      </c>
      <c r="BA137" s="2">
        <f t="shared" si="49"/>
        <v>0.10041042432063678</v>
      </c>
      <c r="BB137" s="2">
        <f t="shared" si="45"/>
        <v>0.10041042432063678</v>
      </c>
      <c r="BC137" s="2">
        <f t="shared" si="45"/>
        <v>0.10041042432063678</v>
      </c>
      <c r="BD137" s="2">
        <f t="shared" si="45"/>
        <v>0.10041042432063678</v>
      </c>
      <c r="BE137" s="2">
        <f t="shared" si="45"/>
        <v>9.586399084836672E-2</v>
      </c>
      <c r="BF137" s="2">
        <f t="shared" si="45"/>
        <v>9.3330539457025949E-2</v>
      </c>
      <c r="BG137" s="2">
        <f t="shared" si="45"/>
        <v>8.9716013374250711E-2</v>
      </c>
      <c r="BH137" s="2">
        <f t="shared" si="45"/>
        <v>8.4919026441009751E-2</v>
      </c>
      <c r="BI137" s="2">
        <f t="shared" si="45"/>
        <v>7.9129282589128533E-2</v>
      </c>
      <c r="BJ137" s="2">
        <f t="shared" si="45"/>
        <v>7.2891077987731034E-2</v>
      </c>
      <c r="BK137" s="2">
        <f t="shared" si="38"/>
        <v>6.6940282880424515E-2</v>
      </c>
      <c r="BL137" s="2">
        <f t="shared" si="38"/>
        <v>6.1887791200446705E-2</v>
      </c>
      <c r="BM137" s="2">
        <f t="shared" si="38"/>
        <v>5.8005214589620442E-2</v>
      </c>
      <c r="BN137" s="2">
        <f t="shared" si="38"/>
        <v>5.5244187039265563E-2</v>
      </c>
      <c r="BO137" s="2">
        <f t="shared" si="38"/>
        <v>5.3387165205824288E-2</v>
      </c>
      <c r="BP137" s="2">
        <f t="shared" si="35"/>
        <v>5.2184523655197802E-2</v>
      </c>
      <c r="BQ137" s="2">
        <f t="shared" si="35"/>
        <v>5.1424641421446066E-2</v>
      </c>
      <c r="BR137" s="2">
        <f t="shared" si="35"/>
        <v>5.0951970112911318E-2</v>
      </c>
      <c r="BS137" s="2">
        <f t="shared" si="35"/>
        <v>5.0660810144371557E-2</v>
      </c>
      <c r="BT137" s="2">
        <f t="shared" si="35"/>
        <v>5.0482536526650953E-2</v>
      </c>
      <c r="BU137" s="2">
        <f t="shared" si="35"/>
        <v>5.037378427463951E-2</v>
      </c>
    </row>
    <row r="138" spans="1:73" x14ac:dyDescent="0.25">
      <c r="A138" t="s">
        <v>37</v>
      </c>
      <c r="B138" s="1" t="s">
        <v>5</v>
      </c>
      <c r="C138" t="s">
        <v>15</v>
      </c>
      <c r="D138" t="s">
        <v>15</v>
      </c>
      <c r="E138" s="97">
        <v>5.5848649999999997</v>
      </c>
      <c r="F138" s="5">
        <f t="shared" si="56"/>
        <v>1.368291925E-2</v>
      </c>
      <c r="G138" s="1">
        <f>LOOKUP(RIGHT(D138,5),Ref!$C$4:$C$21,Ref!$E$4:$E$21)*$G$3</f>
        <v>2.5</v>
      </c>
      <c r="H138" s="36">
        <f t="shared" si="55"/>
        <v>5.5848649999999997</v>
      </c>
      <c r="I138" s="12">
        <f t="shared" si="55"/>
        <v>5.5848649999999997</v>
      </c>
      <c r="J138" s="12">
        <f t="shared" si="55"/>
        <v>5.5848649999999997</v>
      </c>
      <c r="K138" s="12">
        <f t="shared" si="55"/>
        <v>5.5848649999999997</v>
      </c>
      <c r="L138" s="12">
        <f t="shared" si="55"/>
        <v>5.5848649999999997</v>
      </c>
      <c r="M138" s="12">
        <f t="shared" si="54"/>
        <v>5.8497320992038313</v>
      </c>
      <c r="N138" s="12">
        <f t="shared" si="54"/>
        <v>6.0085226945643413</v>
      </c>
      <c r="O138" s="12">
        <f t="shared" si="54"/>
        <v>6.2505972270990533</v>
      </c>
      <c r="P138" s="12">
        <f t="shared" si="54"/>
        <v>6.6036869230127859</v>
      </c>
      <c r="Q138" s="12">
        <f t="shared" si="54"/>
        <v>7.0868665312595382</v>
      </c>
      <c r="R138" s="12">
        <f t="shared" si="54"/>
        <v>7.6933786672473543</v>
      </c>
      <c r="S138" s="12">
        <f t="shared" si="54"/>
        <v>8.3772974999999992</v>
      </c>
      <c r="T138" s="12">
        <f t="shared" si="54"/>
        <v>9.0612163327526449</v>
      </c>
      <c r="U138" s="12">
        <f t="shared" si="54"/>
        <v>9.6677284687404619</v>
      </c>
      <c r="V138" s="12">
        <f t="shared" si="54"/>
        <v>10.150908076987212</v>
      </c>
      <c r="W138" s="12">
        <f t="shared" si="54"/>
        <v>10.503997772900945</v>
      </c>
      <c r="X138" s="12">
        <f t="shared" si="54"/>
        <v>10.746072305435657</v>
      </c>
      <c r="Y138" s="12">
        <f t="shared" si="54"/>
        <v>10.904862900796168</v>
      </c>
      <c r="Z138" s="12">
        <f t="shared" si="54"/>
        <v>11.006025148404825</v>
      </c>
      <c r="AA138" s="12">
        <f t="shared" si="54"/>
        <v>11.069279445500063</v>
      </c>
      <c r="AB138" s="12">
        <f t="shared" si="54"/>
        <v>11.108369408645393</v>
      </c>
      <c r="AC138" s="12">
        <f t="shared" si="53"/>
        <v>11.132351331122743</v>
      </c>
      <c r="AD138" s="300">
        <f t="shared" si="46"/>
        <v>2.4608646947650945E-3</v>
      </c>
      <c r="AE138" s="299">
        <f t="shared" si="47"/>
        <v>2.4608646947650945E-3</v>
      </c>
      <c r="AF138" s="299">
        <f t="shared" si="44"/>
        <v>2.4608646947650945E-3</v>
      </c>
      <c r="AG138" s="299">
        <f t="shared" si="44"/>
        <v>2.4608646947650945E-3</v>
      </c>
      <c r="AH138" s="299">
        <f t="shared" si="44"/>
        <v>2.4608646947650945E-3</v>
      </c>
      <c r="AI138" s="299">
        <f t="shared" si="44"/>
        <v>2.3494404308532029E-3</v>
      </c>
      <c r="AJ138" s="299">
        <f t="shared" si="44"/>
        <v>2.287350452377007E-3</v>
      </c>
      <c r="AK138" s="299">
        <f t="shared" si="44"/>
        <v>2.1987654305967433E-3</v>
      </c>
      <c r="AL138" s="299">
        <f t="shared" si="44"/>
        <v>2.0812005874529024E-3</v>
      </c>
      <c r="AM138" s="299">
        <f t="shared" si="44"/>
        <v>1.9393051982716867E-3</v>
      </c>
      <c r="AN138" s="299">
        <f t="shared" si="44"/>
        <v>1.7864189061743711E-3</v>
      </c>
      <c r="AO138" s="299">
        <f t="shared" si="37"/>
        <v>1.6405764631767298E-3</v>
      </c>
      <c r="AP138" s="299">
        <f t="shared" si="37"/>
        <v>1.5167496943927601E-3</v>
      </c>
      <c r="AQ138" s="299">
        <f t="shared" si="37"/>
        <v>1.4215952742123107E-3</v>
      </c>
      <c r="AR138" s="299">
        <f t="shared" si="37"/>
        <v>1.3539278455970765E-3</v>
      </c>
      <c r="AS138" s="299">
        <f t="shared" si="37"/>
        <v>1.3084158432502806E-3</v>
      </c>
      <c r="AT138" s="299">
        <f t="shared" si="34"/>
        <v>1.278941432078153E-3</v>
      </c>
      <c r="AU138" s="299">
        <f t="shared" si="34"/>
        <v>1.2603181927693776E-3</v>
      </c>
      <c r="AV138" s="299">
        <f t="shared" si="34"/>
        <v>1.2487339360224166E-3</v>
      </c>
      <c r="AW138" s="299">
        <f t="shared" si="34"/>
        <v>1.2415981700702634E-3</v>
      </c>
      <c r="AX138" s="299">
        <f t="shared" si="34"/>
        <v>1.2372290295669254E-3</v>
      </c>
      <c r="AY138" s="299">
        <f t="shared" si="34"/>
        <v>1.2345637228593613E-3</v>
      </c>
      <c r="AZ138" s="306">
        <f t="shared" si="48"/>
        <v>0.13623294731138852</v>
      </c>
      <c r="BA138" s="2">
        <f t="shared" si="49"/>
        <v>0.13623294731138852</v>
      </c>
      <c r="BB138" s="2">
        <f t="shared" si="45"/>
        <v>0.13623294731138852</v>
      </c>
      <c r="BC138" s="2">
        <f t="shared" si="45"/>
        <v>0.13623294731138852</v>
      </c>
      <c r="BD138" s="2">
        <f t="shared" si="45"/>
        <v>0.13623294731138852</v>
      </c>
      <c r="BE138" s="2">
        <f t="shared" si="45"/>
        <v>0.13006452370524302</v>
      </c>
      <c r="BF138" s="2">
        <f t="shared" si="45"/>
        <v>0.12662723567217615</v>
      </c>
      <c r="BG138" s="2">
        <f t="shared" si="45"/>
        <v>0.12172318766399387</v>
      </c>
      <c r="BH138" s="2">
        <f t="shared" si="45"/>
        <v>0.11521482289458691</v>
      </c>
      <c r="BI138" s="2">
        <f t="shared" si="45"/>
        <v>0.10735952425944649</v>
      </c>
      <c r="BJ138" s="2">
        <f t="shared" si="45"/>
        <v>9.8895771571119451E-2</v>
      </c>
      <c r="BK138" s="2">
        <f t="shared" si="38"/>
        <v>9.0821964874259017E-2</v>
      </c>
      <c r="BL138" s="2">
        <f t="shared" si="38"/>
        <v>8.3966941230183237E-2</v>
      </c>
      <c r="BM138" s="2">
        <f t="shared" si="38"/>
        <v>7.8699212720580516E-2</v>
      </c>
      <c r="BN138" s="2">
        <f t="shared" si="38"/>
        <v>7.4953158231340786E-2</v>
      </c>
      <c r="BO138" s="2">
        <f t="shared" si="38"/>
        <v>7.2433623438982492E-2</v>
      </c>
      <c r="BP138" s="2">
        <f t="shared" si="35"/>
        <v>7.0801926290907494E-2</v>
      </c>
      <c r="BQ138" s="2">
        <f t="shared" si="35"/>
        <v>6.9770947714589637E-2</v>
      </c>
      <c r="BR138" s="2">
        <f t="shared" si="35"/>
        <v>6.9129645719235119E-2</v>
      </c>
      <c r="BS138" s="2">
        <f t="shared" si="35"/>
        <v>6.8734611230319889E-2</v>
      </c>
      <c r="BT138" s="2">
        <f t="shared" si="35"/>
        <v>6.8492736539178395E-2</v>
      </c>
      <c r="BU138" s="2">
        <f t="shared" si="35"/>
        <v>6.8345185725420657E-2</v>
      </c>
    </row>
    <row r="139" spans="1:73" x14ac:dyDescent="0.25">
      <c r="A139" t="s">
        <v>37</v>
      </c>
      <c r="B139" s="1" t="s">
        <v>5</v>
      </c>
      <c r="C139" t="s">
        <v>6</v>
      </c>
      <c r="D139" t="s">
        <v>6</v>
      </c>
      <c r="E139" s="97">
        <v>6.9280650000000001</v>
      </c>
      <c r="F139" s="5">
        <f t="shared" si="56"/>
        <v>1.6973759250000001E-2</v>
      </c>
      <c r="G139" s="1">
        <f>LOOKUP(RIGHT(D139,5),Ref!$C$4:$C$21,Ref!$E$4:$E$21)*$G$3</f>
        <v>3</v>
      </c>
      <c r="H139" s="36">
        <f t="shared" si="55"/>
        <v>6.9280650000000001</v>
      </c>
      <c r="I139" s="12">
        <f t="shared" si="55"/>
        <v>6.9280650000000001</v>
      </c>
      <c r="J139" s="12">
        <f t="shared" si="55"/>
        <v>6.9280650000000001</v>
      </c>
      <c r="K139" s="12">
        <f t="shared" si="55"/>
        <v>6.9280650000000001</v>
      </c>
      <c r="L139" s="12">
        <f t="shared" si="55"/>
        <v>6.9280650000000001</v>
      </c>
      <c r="M139" s="12">
        <f t="shared" si="54"/>
        <v>7.2566345320559389</v>
      </c>
      <c r="N139" s="12">
        <f t="shared" si="54"/>
        <v>7.4536154019688761</v>
      </c>
      <c r="O139" s="12">
        <f t="shared" si="54"/>
        <v>7.753910591959162</v>
      </c>
      <c r="P139" s="12">
        <f t="shared" si="54"/>
        <v>8.1919208865894841</v>
      </c>
      <c r="Q139" s="12">
        <f t="shared" si="54"/>
        <v>8.7913086484437155</v>
      </c>
      <c r="R139" s="12">
        <f t="shared" si="54"/>
        <v>9.5436912935770248</v>
      </c>
      <c r="S139" s="12">
        <f t="shared" si="54"/>
        <v>10.3920975</v>
      </c>
      <c r="T139" s="12">
        <f t="shared" si="54"/>
        <v>11.240503706422976</v>
      </c>
      <c r="U139" s="12">
        <f t="shared" si="54"/>
        <v>11.992886351556285</v>
      </c>
      <c r="V139" s="12">
        <f t="shared" si="54"/>
        <v>12.592274113410516</v>
      </c>
      <c r="W139" s="12">
        <f t="shared" si="54"/>
        <v>13.030284408040837</v>
      </c>
      <c r="X139" s="12">
        <f t="shared" si="54"/>
        <v>13.330579598031123</v>
      </c>
      <c r="Y139" s="12">
        <f t="shared" si="54"/>
        <v>13.527560467944062</v>
      </c>
      <c r="Z139" s="12">
        <f t="shared" si="54"/>
        <v>13.653052960059606</v>
      </c>
      <c r="AA139" s="12">
        <f t="shared" si="54"/>
        <v>13.731520368278982</v>
      </c>
      <c r="AB139" s="12">
        <f t="shared" si="54"/>
        <v>13.78001174730398</v>
      </c>
      <c r="AC139" s="12">
        <f t="shared" si="53"/>
        <v>13.809761493761245</v>
      </c>
      <c r="AD139" s="300">
        <f t="shared" si="46"/>
        <v>1.9837569514040729E-3</v>
      </c>
      <c r="AE139" s="299">
        <f t="shared" si="47"/>
        <v>1.9837569514040729E-3</v>
      </c>
      <c r="AF139" s="299">
        <f t="shared" si="44"/>
        <v>1.9837569514040729E-3</v>
      </c>
      <c r="AG139" s="299">
        <f t="shared" si="44"/>
        <v>1.9837569514040729E-3</v>
      </c>
      <c r="AH139" s="299">
        <f t="shared" si="44"/>
        <v>1.9837569514040729E-3</v>
      </c>
      <c r="AI139" s="299">
        <f t="shared" si="44"/>
        <v>1.8939354108047444E-3</v>
      </c>
      <c r="AJ139" s="299">
        <f t="shared" si="44"/>
        <v>1.8438833186776556E-3</v>
      </c>
      <c r="AK139" s="299">
        <f t="shared" si="44"/>
        <v>1.7724729916000616E-3</v>
      </c>
      <c r="AL139" s="299">
        <f t="shared" si="44"/>
        <v>1.6777013955332626E-3</v>
      </c>
      <c r="AM139" s="299">
        <f t="shared" si="44"/>
        <v>1.5633164131897729E-3</v>
      </c>
      <c r="AN139" s="299">
        <f t="shared" si="44"/>
        <v>1.4400714231797085E-3</v>
      </c>
      <c r="AO139" s="299">
        <f t="shared" si="37"/>
        <v>1.322504634269382E-3</v>
      </c>
      <c r="AP139" s="299">
        <f t="shared" si="37"/>
        <v>1.2226851627366113E-3</v>
      </c>
      <c r="AQ139" s="299">
        <f t="shared" si="37"/>
        <v>1.1459790996640096E-3</v>
      </c>
      <c r="AR139" s="299">
        <f t="shared" si="37"/>
        <v>1.0914309027701841E-3</v>
      </c>
      <c r="AS139" s="299">
        <f t="shared" si="37"/>
        <v>1.0547426804474235E-3</v>
      </c>
      <c r="AT139" s="299">
        <f t="shared" si="34"/>
        <v>1.0309827117763984E-3</v>
      </c>
      <c r="AU139" s="299">
        <f t="shared" si="34"/>
        <v>1.0159701105086267E-3</v>
      </c>
      <c r="AV139" s="299">
        <f t="shared" si="34"/>
        <v>1.0066317873177911E-3</v>
      </c>
      <c r="AW139" s="299">
        <f t="shared" si="34"/>
        <v>1.0008794900292451E-3</v>
      </c>
      <c r="AX139" s="299">
        <f t="shared" si="34"/>
        <v>9.973574301355842E-4</v>
      </c>
      <c r="AY139" s="299">
        <f t="shared" si="34"/>
        <v>9.9520886799805519E-4</v>
      </c>
      <c r="AZ139" s="306">
        <f t="shared" si="48"/>
        <v>0.10982036388027794</v>
      </c>
      <c r="BA139" s="2">
        <f t="shared" si="49"/>
        <v>0.10982036388027794</v>
      </c>
      <c r="BB139" s="2">
        <f t="shared" si="45"/>
        <v>0.10982036388027794</v>
      </c>
      <c r="BC139" s="2">
        <f t="shared" si="45"/>
        <v>0.10982036388027794</v>
      </c>
      <c r="BD139" s="2">
        <f t="shared" si="45"/>
        <v>0.10982036388027794</v>
      </c>
      <c r="BE139" s="2">
        <f t="shared" si="45"/>
        <v>0.10484786245265916</v>
      </c>
      <c r="BF139" s="2">
        <f t="shared" si="45"/>
        <v>0.10207698925346226</v>
      </c>
      <c r="BG139" s="2">
        <f t="shared" si="45"/>
        <v>9.8123728699582219E-2</v>
      </c>
      <c r="BH139" s="2">
        <f t="shared" si="45"/>
        <v>9.2877193251676649E-2</v>
      </c>
      <c r="BI139" s="2">
        <f t="shared" si="45"/>
        <v>8.6544864901416718E-2</v>
      </c>
      <c r="BJ139" s="2">
        <f t="shared" si="45"/>
        <v>7.9722048406811991E-2</v>
      </c>
      <c r="BK139" s="2">
        <f t="shared" si="38"/>
        <v>7.3213575920185292E-2</v>
      </c>
      <c r="BL139" s="2">
        <f t="shared" si="38"/>
        <v>6.7687591157633092E-2</v>
      </c>
      <c r="BM139" s="2">
        <f t="shared" si="38"/>
        <v>6.3441159782814519E-2</v>
      </c>
      <c r="BN139" s="2">
        <f t="shared" si="38"/>
        <v>6.0421383177795968E-2</v>
      </c>
      <c r="BO139" s="2">
        <f t="shared" si="38"/>
        <v>5.8390330975178921E-2</v>
      </c>
      <c r="BP139" s="2">
        <f t="shared" si="35"/>
        <v>5.7074984151371133E-2</v>
      </c>
      <c r="BQ139" s="2">
        <f t="shared" si="35"/>
        <v>5.6243889730832726E-2</v>
      </c>
      <c r="BR139" s="2">
        <f t="shared" si="35"/>
        <v>5.5726922140562483E-2</v>
      </c>
      <c r="BS139" s="2">
        <f t="shared" si="35"/>
        <v>5.5408476183295113E-2</v>
      </c>
      <c r="BT139" s="2">
        <f t="shared" si="35"/>
        <v>5.5213495694956462E-2</v>
      </c>
      <c r="BU139" s="2">
        <f t="shared" si="35"/>
        <v>5.5094551750943646E-2</v>
      </c>
    </row>
    <row r="140" spans="1:73" x14ac:dyDescent="0.25">
      <c r="A140" t="s">
        <v>37</v>
      </c>
      <c r="B140" s="1" t="s">
        <v>5</v>
      </c>
      <c r="C140" t="s">
        <v>7</v>
      </c>
      <c r="D140" t="s">
        <v>7</v>
      </c>
      <c r="E140" s="97">
        <v>6.6111537499999997</v>
      </c>
      <c r="F140" s="5">
        <f t="shared" si="56"/>
        <v>1.6197326687499999E-2</v>
      </c>
      <c r="G140" s="1">
        <f>LOOKUP(RIGHT(D140,5),Ref!$C$4:$C$21,Ref!$E$4:$E$21)*$G$3</f>
        <v>3.5</v>
      </c>
      <c r="H140" s="36">
        <f t="shared" si="55"/>
        <v>6.6111537499999997</v>
      </c>
      <c r="I140" s="12">
        <f t="shared" si="55"/>
        <v>6.6111537499999997</v>
      </c>
      <c r="J140" s="12">
        <f t="shared" si="55"/>
        <v>6.6111537499999997</v>
      </c>
      <c r="K140" s="12">
        <f t="shared" si="55"/>
        <v>6.6111537499999997</v>
      </c>
      <c r="L140" s="12">
        <f t="shared" si="55"/>
        <v>6.6111537499999997</v>
      </c>
      <c r="M140" s="12">
        <f t="shared" si="54"/>
        <v>6.9246934893048948</v>
      </c>
      <c r="N140" s="12">
        <f t="shared" si="54"/>
        <v>7.1126638413156185</v>
      </c>
      <c r="O140" s="12">
        <f t="shared" si="54"/>
        <v>7.3992225949374797</v>
      </c>
      <c r="P140" s="12">
        <f t="shared" si="54"/>
        <v>7.8171969358081066</v>
      </c>
      <c r="Q140" s="12">
        <f t="shared" si="54"/>
        <v>8.3891668364205731</v>
      </c>
      <c r="R140" s="12">
        <f t="shared" si="54"/>
        <v>9.1071331583023678</v>
      </c>
      <c r="S140" s="12">
        <f t="shared" si="54"/>
        <v>9.9167306249999996</v>
      </c>
      <c r="T140" s="12">
        <f t="shared" si="54"/>
        <v>10.726328091697631</v>
      </c>
      <c r="U140" s="12">
        <f t="shared" si="54"/>
        <v>11.444294413579426</v>
      </c>
      <c r="V140" s="12">
        <f t="shared" si="54"/>
        <v>12.016264314191892</v>
      </c>
      <c r="W140" s="12">
        <f t="shared" si="54"/>
        <v>12.434238655062519</v>
      </c>
      <c r="X140" s="12">
        <f t="shared" si="54"/>
        <v>12.720797408684382</v>
      </c>
      <c r="Y140" s="12">
        <f t="shared" si="54"/>
        <v>12.908767760695104</v>
      </c>
      <c r="Z140" s="12">
        <f t="shared" si="54"/>
        <v>13.028519835747305</v>
      </c>
      <c r="AA140" s="12">
        <f t="shared" si="54"/>
        <v>13.103397900560831</v>
      </c>
      <c r="AB140" s="12">
        <f t="shared" si="54"/>
        <v>13.14967113302672</v>
      </c>
      <c r="AC140" s="12">
        <f t="shared" si="53"/>
        <v>13.178060033513724</v>
      </c>
      <c r="AD140" s="300">
        <f t="shared" si="46"/>
        <v>2.0788500197154334E-3</v>
      </c>
      <c r="AE140" s="299">
        <f t="shared" si="47"/>
        <v>2.0788500197154334E-3</v>
      </c>
      <c r="AF140" s="299">
        <f t="shared" si="44"/>
        <v>2.0788500197154334E-3</v>
      </c>
      <c r="AG140" s="299">
        <f t="shared" si="44"/>
        <v>2.0788500197154334E-3</v>
      </c>
      <c r="AH140" s="299">
        <f t="shared" si="44"/>
        <v>2.0788500197154334E-3</v>
      </c>
      <c r="AI140" s="299">
        <f t="shared" si="44"/>
        <v>1.9847228075518548E-3</v>
      </c>
      <c r="AJ140" s="299">
        <f t="shared" si="44"/>
        <v>1.9322714260297626E-3</v>
      </c>
      <c r="AK140" s="299">
        <f t="shared" si="44"/>
        <v>1.8574379844894216E-3</v>
      </c>
      <c r="AL140" s="299">
        <f t="shared" si="44"/>
        <v>1.7581234317603268E-3</v>
      </c>
      <c r="AM140" s="299">
        <f t="shared" si="44"/>
        <v>1.6382553084846355E-3</v>
      </c>
      <c r="AN140" s="299">
        <f t="shared" si="44"/>
        <v>1.5091024655766823E-3</v>
      </c>
      <c r="AO140" s="299">
        <f t="shared" si="44"/>
        <v>1.3859000131436221E-3</v>
      </c>
      <c r="AP140" s="299">
        <f t="shared" si="44"/>
        <v>1.281295610766097E-3</v>
      </c>
      <c r="AQ140" s="299">
        <f t="shared" si="44"/>
        <v>1.2009125776440666E-3</v>
      </c>
      <c r="AR140" s="299">
        <f t="shared" ref="AR140:AY172" si="57">Algae_electricity_factor/V140</f>
        <v>1.1437495667682084E-3</v>
      </c>
      <c r="AS140" s="299">
        <f t="shared" si="57"/>
        <v>1.105302663459306E-3</v>
      </c>
      <c r="AT140" s="299">
        <f t="shared" si="34"/>
        <v>1.0804037405820661E-3</v>
      </c>
      <c r="AU140" s="299">
        <f t="shared" si="34"/>
        <v>1.0646714975674179E-3</v>
      </c>
      <c r="AV140" s="299">
        <f t="shared" si="34"/>
        <v>1.0548855339514427E-3</v>
      </c>
      <c r="AW140" s="299">
        <f t="shared" si="34"/>
        <v>1.0488574954242234E-3</v>
      </c>
      <c r="AX140" s="299">
        <f t="shared" si="34"/>
        <v>1.0451666026088542E-3</v>
      </c>
      <c r="AY140" s="299">
        <f t="shared" si="34"/>
        <v>1.0429150473269429E-3</v>
      </c>
      <c r="AZ140" s="306">
        <f t="shared" si="48"/>
        <v>0.11508469596342663</v>
      </c>
      <c r="BA140" s="2">
        <f t="shared" si="49"/>
        <v>0.11508469596342663</v>
      </c>
      <c r="BB140" s="2">
        <f t="shared" si="45"/>
        <v>0.11508469596342663</v>
      </c>
      <c r="BC140" s="2">
        <f t="shared" si="45"/>
        <v>0.11508469596342663</v>
      </c>
      <c r="BD140" s="2">
        <f t="shared" si="45"/>
        <v>0.11508469596342663</v>
      </c>
      <c r="BE140" s="2">
        <f t="shared" si="45"/>
        <v>0.10987383347166629</v>
      </c>
      <c r="BF140" s="2">
        <f t="shared" si="45"/>
        <v>0.10697013612068666</v>
      </c>
      <c r="BG140" s="2">
        <f t="shared" si="45"/>
        <v>0.10282737267652732</v>
      </c>
      <c r="BH140" s="2">
        <f t="shared" si="45"/>
        <v>9.7329340111803803E-2</v>
      </c>
      <c r="BI140" s="2">
        <f t="shared" si="45"/>
        <v>9.0693466243049276E-2</v>
      </c>
      <c r="BJ140" s="2">
        <f t="shared" si="45"/>
        <v>8.3543592265652569E-2</v>
      </c>
      <c r="BK140" s="2">
        <f t="shared" si="45"/>
        <v>7.6723130642284421E-2</v>
      </c>
      <c r="BL140" s="2">
        <f t="shared" si="45"/>
        <v>7.093225312351982E-2</v>
      </c>
      <c r="BM140" s="2">
        <f t="shared" si="45"/>
        <v>6.6482265467010943E-2</v>
      </c>
      <c r="BN140" s="2">
        <f t="shared" ref="BN140:BU172" si="58">Algae_yield_cost_factor/V140</f>
        <v>6.3317733314805613E-2</v>
      </c>
      <c r="BO140" s="2">
        <f t="shared" si="58"/>
        <v>6.1189320905984515E-2</v>
      </c>
      <c r="BP140" s="2">
        <f t="shared" si="35"/>
        <v>5.9810921819004596E-2</v>
      </c>
      <c r="BQ140" s="2">
        <f t="shared" si="35"/>
        <v>5.8939988184065706E-2</v>
      </c>
      <c r="BR140" s="2">
        <f t="shared" si="35"/>
        <v>5.8398239314848187E-2</v>
      </c>
      <c r="BS140" s="2">
        <f t="shared" si="35"/>
        <v>5.8064528381119633E-2</v>
      </c>
      <c r="BT140" s="2">
        <f t="shared" si="35"/>
        <v>5.7860201338061232E-2</v>
      </c>
      <c r="BU140" s="2">
        <f t="shared" si="35"/>
        <v>5.7735555715430369E-2</v>
      </c>
    </row>
    <row r="141" spans="1:73" x14ac:dyDescent="0.25">
      <c r="A141" t="s">
        <v>37</v>
      </c>
      <c r="B141" s="1" t="s">
        <v>5</v>
      </c>
      <c r="C141" t="s">
        <v>8</v>
      </c>
      <c r="D141" t="s">
        <v>8</v>
      </c>
      <c r="E141" s="97">
        <v>6.2398575000000003</v>
      </c>
      <c r="F141" s="5">
        <f t="shared" si="56"/>
        <v>1.5287650875000001E-2</v>
      </c>
      <c r="G141" s="1">
        <f>LOOKUP(RIGHT(D141,5),Ref!$C$4:$C$21,Ref!$E$4:$E$21)*$G$3</f>
        <v>4</v>
      </c>
      <c r="H141" s="36">
        <f t="shared" si="55"/>
        <v>6.2398575000000003</v>
      </c>
      <c r="I141" s="12">
        <f t="shared" si="55"/>
        <v>6.2398575000000003</v>
      </c>
      <c r="J141" s="12">
        <f t="shared" si="55"/>
        <v>6.2398575000000003</v>
      </c>
      <c r="K141" s="12">
        <f t="shared" si="55"/>
        <v>6.2398575000000003</v>
      </c>
      <c r="L141" s="12">
        <f t="shared" si="55"/>
        <v>6.2398575000000003</v>
      </c>
      <c r="M141" s="12">
        <f t="shared" si="54"/>
        <v>6.5357881904410888</v>
      </c>
      <c r="N141" s="12">
        <f t="shared" si="54"/>
        <v>6.7132017335419061</v>
      </c>
      <c r="O141" s="12">
        <f t="shared" si="54"/>
        <v>6.9836667470016263</v>
      </c>
      <c r="P141" s="12">
        <f t="shared" si="54"/>
        <v>7.3781667729145219</v>
      </c>
      <c r="Q141" s="12">
        <f t="shared" si="54"/>
        <v>7.9180136451962255</v>
      </c>
      <c r="R141" s="12">
        <f t="shared" si="54"/>
        <v>8.595657473755125</v>
      </c>
      <c r="S141" s="12">
        <f t="shared" si="54"/>
        <v>9.3597862500000009</v>
      </c>
      <c r="T141" s="12">
        <f t="shared" si="54"/>
        <v>10.123915026244877</v>
      </c>
      <c r="U141" s="12">
        <f t="shared" si="54"/>
        <v>10.801558854803776</v>
      </c>
      <c r="V141" s="12">
        <f t="shared" si="54"/>
        <v>11.34140572708548</v>
      </c>
      <c r="W141" s="12">
        <f t="shared" si="54"/>
        <v>11.735905752998374</v>
      </c>
      <c r="X141" s="12">
        <f t="shared" si="54"/>
        <v>12.006370766458094</v>
      </c>
      <c r="Y141" s="12">
        <f t="shared" si="54"/>
        <v>12.183784309558911</v>
      </c>
      <c r="Z141" s="12">
        <f t="shared" si="54"/>
        <v>12.29681085710442</v>
      </c>
      <c r="AA141" s="12">
        <f t="shared" si="54"/>
        <v>12.367483612871469</v>
      </c>
      <c r="AB141" s="12">
        <f t="shared" si="54"/>
        <v>12.411158043624425</v>
      </c>
      <c r="AC141" s="12">
        <f t="shared" si="53"/>
        <v>12.437952563963721</v>
      </c>
      <c r="AD141" s="300">
        <f t="shared" si="46"/>
        <v>2.2025498344360041E-3</v>
      </c>
      <c r="AE141" s="299">
        <f t="shared" si="47"/>
        <v>2.2025498344360041E-3</v>
      </c>
      <c r="AF141" s="299">
        <f t="shared" ref="AF141:AF154" si="59">Algae_electricity_factor/J141</f>
        <v>2.2025498344360041E-3</v>
      </c>
      <c r="AG141" s="299">
        <f t="shared" ref="AG141:AG154" si="60">Algae_electricity_factor/K141</f>
        <v>2.2025498344360041E-3</v>
      </c>
      <c r="AH141" s="299">
        <f t="shared" ref="AH141:AH154" si="61">Algae_electricity_factor/L141</f>
        <v>2.2025498344360041E-3</v>
      </c>
      <c r="AI141" s="299">
        <f t="shared" ref="AI141:AI154" si="62">Algae_electricity_factor/M141</f>
        <v>2.1028216801196138E-3</v>
      </c>
      <c r="AJ141" s="299">
        <f t="shared" ref="AJ141:AJ154" si="63">Algae_electricity_factor/N141</f>
        <v>2.0472492335304954E-3</v>
      </c>
      <c r="AK141" s="299">
        <f t="shared" ref="AK141:AK154" si="64">Algae_electricity_factor/O141</f>
        <v>1.9679629056512395E-3</v>
      </c>
      <c r="AL141" s="299">
        <f t="shared" ref="AL141:AL154" si="65">Algae_electricity_factor/P141</f>
        <v>1.8627387434480918E-3</v>
      </c>
      <c r="AM141" s="299">
        <f t="shared" ref="AM141:AM154" si="66">Algae_electricity_factor/Q141</f>
        <v>1.7357379917963835E-3</v>
      </c>
      <c r="AN141" s="299">
        <f t="shared" ref="AN141:AN154" si="67">Algae_electricity_factor/R141</f>
        <v>1.5989000428986604E-3</v>
      </c>
      <c r="AO141" s="299">
        <f t="shared" ref="AO141:AO154" si="68">Algae_electricity_factor/S141</f>
        <v>1.4683665562906694E-3</v>
      </c>
      <c r="AP141" s="299">
        <f t="shared" ref="AP141:AP154" si="69">Algae_electricity_factor/T141</f>
        <v>1.3575377774211704E-3</v>
      </c>
      <c r="AQ141" s="299">
        <f t="shared" ref="AQ141:AQ154" si="70">Algae_electricity_factor/U141</f>
        <v>1.2723716352679105E-3</v>
      </c>
      <c r="AR141" s="299">
        <f t="shared" si="57"/>
        <v>1.2118071987061428E-3</v>
      </c>
      <c r="AS141" s="299">
        <f t="shared" si="57"/>
        <v>1.171072552284083E-3</v>
      </c>
      <c r="AT141" s="299">
        <f t="shared" si="57"/>
        <v>1.1446920448204391E-3</v>
      </c>
      <c r="AU141" s="299">
        <f t="shared" si="57"/>
        <v>1.1280236709990492E-3</v>
      </c>
      <c r="AV141" s="299">
        <f t="shared" si="57"/>
        <v>1.1176554037658443E-3</v>
      </c>
      <c r="AW141" s="299">
        <f t="shared" si="57"/>
        <v>1.1112686730569506E-3</v>
      </c>
      <c r="AX141" s="299">
        <f t="shared" si="57"/>
        <v>1.1073581574919437E-3</v>
      </c>
      <c r="AY141" s="299">
        <f t="shared" si="57"/>
        <v>1.1049726257477746E-3</v>
      </c>
      <c r="AZ141" s="306">
        <f t="shared" si="48"/>
        <v>0.12193269145749205</v>
      </c>
      <c r="BA141" s="2">
        <f t="shared" si="49"/>
        <v>0.12193269145749205</v>
      </c>
      <c r="BB141" s="2">
        <f t="shared" ref="BB141:BB154" si="71">Algae_yield_cost_factor/J141</f>
        <v>0.12193269145749205</v>
      </c>
      <c r="BC141" s="2">
        <f t="shared" ref="BC141:BC154" si="72">Algae_yield_cost_factor/K141</f>
        <v>0.12193269145749205</v>
      </c>
      <c r="BD141" s="2">
        <f t="shared" ref="BD141:BD154" si="73">Algae_yield_cost_factor/L141</f>
        <v>0.12193269145749205</v>
      </c>
      <c r="BE141" s="2">
        <f t="shared" ref="BE141:BE154" si="74">Algae_yield_cost_factor/M141</f>
        <v>0.11641176199666131</v>
      </c>
      <c r="BF141" s="2">
        <f t="shared" ref="BF141:BF154" si="75">Algae_yield_cost_factor/N141</f>
        <v>0.11333528314585518</v>
      </c>
      <c r="BG141" s="2">
        <f t="shared" ref="BG141:BG154" si="76">Algae_yield_cost_factor/O141</f>
        <v>0.10894600885886753</v>
      </c>
      <c r="BH141" s="2">
        <f t="shared" ref="BH141:BH154" si="77">Algae_yield_cost_factor/P141</f>
        <v>0.10312082156766834</v>
      </c>
      <c r="BI141" s="2">
        <f t="shared" ref="BI141:BI154" si="78">Algae_yield_cost_factor/Q141</f>
        <v>9.6090086905547697E-2</v>
      </c>
      <c r="BJ141" s="2">
        <f t="shared" ref="BJ141:BJ154" si="79">Algae_yield_cost_factor/R141</f>
        <v>8.8514767091322194E-2</v>
      </c>
      <c r="BK141" s="2">
        <f t="shared" ref="BK141:BK154" si="80">Algae_yield_cost_factor/S141</f>
        <v>8.1288460971661369E-2</v>
      </c>
      <c r="BL141" s="2">
        <f t="shared" ref="BL141:BL154" si="81">Algae_yield_cost_factor/T141</f>
        <v>7.5153003291101958E-2</v>
      </c>
      <c r="BM141" s="2">
        <f t="shared" ref="BM141:BM154" si="82">Algae_yield_cost_factor/U141</f>
        <v>7.0438223733590849E-2</v>
      </c>
      <c r="BN141" s="2">
        <f t="shared" si="58"/>
        <v>6.7085389377189622E-2</v>
      </c>
      <c r="BO141" s="2">
        <f t="shared" si="58"/>
        <v>6.4830327995078887E-2</v>
      </c>
      <c r="BP141" s="2">
        <f t="shared" si="58"/>
        <v>6.3369908699785066E-2</v>
      </c>
      <c r="BQ141" s="2">
        <f t="shared" si="58"/>
        <v>6.244715106203013E-2</v>
      </c>
      <c r="BR141" s="2">
        <f t="shared" si="58"/>
        <v>6.1873165988126491E-2</v>
      </c>
      <c r="BS141" s="2">
        <f t="shared" si="58"/>
        <v>6.1519597931334241E-2</v>
      </c>
      <c r="BT141" s="2">
        <f t="shared" si="58"/>
        <v>6.1303112619459421E-2</v>
      </c>
      <c r="BU141" s="2">
        <f t="shared" si="58"/>
        <v>6.1171050088307526E-2</v>
      </c>
    </row>
    <row r="142" spans="1:73" x14ac:dyDescent="0.25">
      <c r="A142" t="s">
        <v>37</v>
      </c>
      <c r="B142" s="1" t="s">
        <v>5</v>
      </c>
      <c r="C142" t="s">
        <v>9</v>
      </c>
      <c r="D142" t="s">
        <v>9</v>
      </c>
      <c r="E142" s="97">
        <v>5.330095</v>
      </c>
      <c r="F142" s="5">
        <f t="shared" si="56"/>
        <v>1.3058732750000001E-2</v>
      </c>
      <c r="G142" s="1">
        <f>LOOKUP(RIGHT(D142,5),Ref!$C$4:$C$21,Ref!$E$4:$E$21)*$G$3</f>
        <v>4.5</v>
      </c>
      <c r="H142" s="36">
        <f t="shared" si="55"/>
        <v>5.330095</v>
      </c>
      <c r="I142" s="12">
        <f t="shared" si="55"/>
        <v>5.330095</v>
      </c>
      <c r="J142" s="12">
        <f t="shared" si="55"/>
        <v>5.330095</v>
      </c>
      <c r="K142" s="12">
        <f t="shared" si="55"/>
        <v>5.330095</v>
      </c>
      <c r="L142" s="12">
        <f t="shared" si="55"/>
        <v>5.330095</v>
      </c>
      <c r="M142" s="12">
        <f t="shared" si="54"/>
        <v>5.5828794094943825</v>
      </c>
      <c r="N142" s="12">
        <f t="shared" si="54"/>
        <v>5.73442630604033</v>
      </c>
      <c r="O142" s="12">
        <f t="shared" si="54"/>
        <v>5.9654578986554787</v>
      </c>
      <c r="P142" s="12">
        <f t="shared" si="54"/>
        <v>6.302440372312641</v>
      </c>
      <c r="Q142" s="12">
        <f t="shared" si="54"/>
        <v>6.7635783253371047</v>
      </c>
      <c r="R142" s="12">
        <f t="shared" si="54"/>
        <v>7.3424226310576515</v>
      </c>
      <c r="S142" s="12">
        <f t="shared" si="54"/>
        <v>7.9951425</v>
      </c>
      <c r="T142" s="12">
        <f t="shared" si="54"/>
        <v>8.6478623689423486</v>
      </c>
      <c r="U142" s="12">
        <f t="shared" si="54"/>
        <v>9.2267066746628963</v>
      </c>
      <c r="V142" s="12">
        <f t="shared" si="54"/>
        <v>9.68784462768736</v>
      </c>
      <c r="W142" s="12">
        <f t="shared" si="54"/>
        <v>10.02482710134452</v>
      </c>
      <c r="X142" s="12">
        <f t="shared" si="54"/>
        <v>10.25585869395967</v>
      </c>
      <c r="Y142" s="12">
        <f t="shared" si="54"/>
        <v>10.407405590505617</v>
      </c>
      <c r="Z142" s="12">
        <f t="shared" si="54"/>
        <v>10.503953025433351</v>
      </c>
      <c r="AA142" s="12">
        <f t="shared" si="54"/>
        <v>10.564321792212105</v>
      </c>
      <c r="AB142" s="12">
        <f t="shared" si="54"/>
        <v>10.601628552019388</v>
      </c>
      <c r="AC142" s="12">
        <f t="shared" si="53"/>
        <v>10.624516468752725</v>
      </c>
      <c r="AD142" s="300">
        <f t="shared" si="46"/>
        <v>2.5784900838595297E-3</v>
      </c>
      <c r="AE142" s="299">
        <f t="shared" si="47"/>
        <v>2.5784900838595297E-3</v>
      </c>
      <c r="AF142" s="299">
        <f t="shared" si="59"/>
        <v>2.5784900838595297E-3</v>
      </c>
      <c r="AG142" s="299">
        <f t="shared" si="60"/>
        <v>2.5784900838595297E-3</v>
      </c>
      <c r="AH142" s="299">
        <f t="shared" si="61"/>
        <v>2.5784900838595297E-3</v>
      </c>
      <c r="AI142" s="299">
        <f t="shared" si="62"/>
        <v>2.4617399186800558E-3</v>
      </c>
      <c r="AJ142" s="299">
        <f t="shared" si="63"/>
        <v>2.3966821387263288E-3</v>
      </c>
      <c r="AK142" s="299">
        <f t="shared" si="64"/>
        <v>2.3038628948545345E-3</v>
      </c>
      <c r="AL142" s="299">
        <f t="shared" si="65"/>
        <v>2.1806786405955529E-3</v>
      </c>
      <c r="AM142" s="299">
        <f t="shared" si="66"/>
        <v>2.0320008791861314E-3</v>
      </c>
      <c r="AN142" s="299">
        <f t="shared" si="67"/>
        <v>1.8718068673131583E-3</v>
      </c>
      <c r="AO142" s="299">
        <f t="shared" si="68"/>
        <v>1.7189933892396863E-3</v>
      </c>
      <c r="AP142" s="299">
        <f t="shared" si="69"/>
        <v>1.5892478993291528E-3</v>
      </c>
      <c r="AQ142" s="299">
        <f t="shared" si="70"/>
        <v>1.4895452503405167E-3</v>
      </c>
      <c r="AR142" s="299">
        <f t="shared" si="57"/>
        <v>1.4186434270684698E-3</v>
      </c>
      <c r="AS142" s="299">
        <f t="shared" si="57"/>
        <v>1.3709560239384059E-3</v>
      </c>
      <c r="AT142" s="299">
        <f t="shared" si="57"/>
        <v>1.3400727831423555E-3</v>
      </c>
      <c r="AU142" s="299">
        <f t="shared" si="57"/>
        <v>1.3205593828366944E-3</v>
      </c>
      <c r="AV142" s="299">
        <f t="shared" si="57"/>
        <v>1.3084214171799626E-3</v>
      </c>
      <c r="AW142" s="299">
        <f t="shared" si="57"/>
        <v>1.3009445730497228E-3</v>
      </c>
      <c r="AX142" s="299">
        <f t="shared" si="57"/>
        <v>1.2963665946314816E-3</v>
      </c>
      <c r="AY142" s="299">
        <f t="shared" si="57"/>
        <v>1.2935738905342109E-3</v>
      </c>
      <c r="AZ142" s="306">
        <f t="shared" si="48"/>
        <v>0.14274466389177262</v>
      </c>
      <c r="BA142" s="2">
        <f t="shared" si="49"/>
        <v>0.14274466389177262</v>
      </c>
      <c r="BB142" s="2">
        <f t="shared" si="71"/>
        <v>0.14274466389177262</v>
      </c>
      <c r="BC142" s="2">
        <f t="shared" si="72"/>
        <v>0.14274466389177262</v>
      </c>
      <c r="BD142" s="2">
        <f t="shared" si="73"/>
        <v>0.14274466389177262</v>
      </c>
      <c r="BE142" s="2">
        <f t="shared" si="74"/>
        <v>0.13628139952159993</v>
      </c>
      <c r="BF142" s="2">
        <f t="shared" si="75"/>
        <v>0.13267981462849873</v>
      </c>
      <c r="BG142" s="2">
        <f t="shared" si="76"/>
        <v>0.12754136098382318</v>
      </c>
      <c r="BH142" s="2">
        <f t="shared" si="77"/>
        <v>0.1207219068075104</v>
      </c>
      <c r="BI142" s="2">
        <f t="shared" si="78"/>
        <v>0.11249113748502299</v>
      </c>
      <c r="BJ142" s="2">
        <f t="shared" si="79"/>
        <v>0.10362283098059978</v>
      </c>
      <c r="BK142" s="2">
        <f t="shared" si="80"/>
        <v>9.5163109261181739E-2</v>
      </c>
      <c r="BL142" s="2">
        <f t="shared" si="81"/>
        <v>8.7980426471480772E-2</v>
      </c>
      <c r="BM142" s="2">
        <f t="shared" si="82"/>
        <v>8.2460908980182324E-2</v>
      </c>
      <c r="BN142" s="2">
        <f t="shared" si="58"/>
        <v>7.8535799089073835E-2</v>
      </c>
      <c r="BO142" s="2">
        <f t="shared" si="58"/>
        <v>7.5895834570969739E-2</v>
      </c>
      <c r="BP142" s="2">
        <f t="shared" si="58"/>
        <v>7.418614491386534E-2</v>
      </c>
      <c r="BQ142" s="2">
        <f t="shared" si="58"/>
        <v>7.3105887213650356E-2</v>
      </c>
      <c r="BR142" s="2">
        <f t="shared" si="58"/>
        <v>7.2433932010546903E-2</v>
      </c>
      <c r="BS142" s="2">
        <f t="shared" si="58"/>
        <v>7.202001550606893E-2</v>
      </c>
      <c r="BT142" s="2">
        <f t="shared" si="58"/>
        <v>7.1766579592273408E-2</v>
      </c>
      <c r="BU142" s="2">
        <f t="shared" si="58"/>
        <v>7.1611976086055004E-2</v>
      </c>
    </row>
    <row r="143" spans="1:73" x14ac:dyDescent="0.25">
      <c r="A143" t="s">
        <v>38</v>
      </c>
      <c r="B143" s="1" t="s">
        <v>5</v>
      </c>
      <c r="C143" t="s">
        <v>13</v>
      </c>
      <c r="D143" t="s">
        <v>13</v>
      </c>
      <c r="E143" s="97">
        <v>6.9276999999999997</v>
      </c>
      <c r="F143" s="5">
        <f t="shared" si="56"/>
        <v>1.6972865E-2</v>
      </c>
      <c r="G143" s="1">
        <f>LOOKUP(RIGHT(D143,5),Ref!$C$4:$C$21,Ref!$E$4:$E$21)*$G$3</f>
        <v>1.5</v>
      </c>
      <c r="H143" s="36">
        <f t="shared" si="55"/>
        <v>6.9276999999999997</v>
      </c>
      <c r="I143" s="12">
        <f t="shared" si="55"/>
        <v>6.9276999999999997</v>
      </c>
      <c r="J143" s="12">
        <f t="shared" si="55"/>
        <v>6.9276999999999997</v>
      </c>
      <c r="K143" s="12">
        <f t="shared" si="55"/>
        <v>6.9276999999999997</v>
      </c>
      <c r="L143" s="12">
        <f t="shared" si="55"/>
        <v>6.9276999999999997</v>
      </c>
      <c r="M143" s="12">
        <f t="shared" si="54"/>
        <v>7.2562522216122289</v>
      </c>
      <c r="N143" s="12">
        <f t="shared" si="54"/>
        <v>7.4532227137331679</v>
      </c>
      <c r="O143" s="12">
        <f t="shared" si="54"/>
        <v>7.7535020828926235</v>
      </c>
      <c r="P143" s="12">
        <f t="shared" si="54"/>
        <v>8.191489301273295</v>
      </c>
      <c r="Q143" s="12">
        <f t="shared" si="54"/>
        <v>8.7908454848249153</v>
      </c>
      <c r="R143" s="12">
        <f t="shared" si="54"/>
        <v>9.5431884912329128</v>
      </c>
      <c r="S143" s="12">
        <f t="shared" si="54"/>
        <v>10.391549999999999</v>
      </c>
      <c r="T143" s="12">
        <f t="shared" si="54"/>
        <v>11.239911508767086</v>
      </c>
      <c r="U143" s="12">
        <f t="shared" si="54"/>
        <v>11.992254515175084</v>
      </c>
      <c r="V143" s="12">
        <f t="shared" si="54"/>
        <v>12.591610698726704</v>
      </c>
      <c r="W143" s="12">
        <f t="shared" si="54"/>
        <v>13.029597917107374</v>
      </c>
      <c r="X143" s="12">
        <f t="shared" si="54"/>
        <v>13.32987728626683</v>
      </c>
      <c r="Y143" s="12">
        <f t="shared" si="54"/>
        <v>13.52684777838777</v>
      </c>
      <c r="Z143" s="12">
        <f t="shared" si="54"/>
        <v>13.652333659023828</v>
      </c>
      <c r="AA143" s="12">
        <f t="shared" si="54"/>
        <v>13.730796933245617</v>
      </c>
      <c r="AB143" s="12">
        <f t="shared" si="54"/>
        <v>13.779285757538039</v>
      </c>
      <c r="AC143" s="12">
        <f t="shared" si="53"/>
        <v>13.809033936651833</v>
      </c>
      <c r="AD143" s="300">
        <f t="shared" si="46"/>
        <v>1.9838614696839154E-3</v>
      </c>
      <c r="AE143" s="299">
        <f t="shared" si="47"/>
        <v>1.9838614696839154E-3</v>
      </c>
      <c r="AF143" s="299">
        <f t="shared" si="59"/>
        <v>1.9838614696839154E-3</v>
      </c>
      <c r="AG143" s="299">
        <f t="shared" si="60"/>
        <v>1.9838614696839154E-3</v>
      </c>
      <c r="AH143" s="299">
        <f t="shared" si="61"/>
        <v>1.9838614696839154E-3</v>
      </c>
      <c r="AI143" s="299">
        <f t="shared" si="62"/>
        <v>1.8940351966535752E-3</v>
      </c>
      <c r="AJ143" s="299">
        <f t="shared" si="63"/>
        <v>1.843980467429957E-3</v>
      </c>
      <c r="AK143" s="299">
        <f t="shared" si="64"/>
        <v>1.7725663779536759E-3</v>
      </c>
      <c r="AL143" s="299">
        <f t="shared" si="65"/>
        <v>1.6777897886521001E-3</v>
      </c>
      <c r="AM143" s="299">
        <f t="shared" si="66"/>
        <v>1.5633987797025858E-3</v>
      </c>
      <c r="AN143" s="299">
        <f t="shared" si="67"/>
        <v>1.4401472962789277E-3</v>
      </c>
      <c r="AO143" s="299">
        <f t="shared" si="68"/>
        <v>1.3225743131226103E-3</v>
      </c>
      <c r="AP143" s="299">
        <f t="shared" si="69"/>
        <v>1.2227495823974512E-3</v>
      </c>
      <c r="AQ143" s="299">
        <f t="shared" si="70"/>
        <v>1.1460394779095136E-3</v>
      </c>
      <c r="AR143" s="299">
        <f t="shared" si="57"/>
        <v>1.0914884070327116E-3</v>
      </c>
      <c r="AS143" s="299">
        <f t="shared" si="57"/>
        <v>1.054798251716151E-3</v>
      </c>
      <c r="AT143" s="299">
        <f t="shared" si="57"/>
        <v>1.0310370312027303E-3</v>
      </c>
      <c r="AU143" s="299">
        <f t="shared" si="57"/>
        <v>1.0160236389654502E-3</v>
      </c>
      <c r="AV143" s="299">
        <f t="shared" si="57"/>
        <v>1.0066848237660166E-3</v>
      </c>
      <c r="AW143" s="299">
        <f t="shared" si="57"/>
        <v>1.000932223405959E-3</v>
      </c>
      <c r="AX143" s="299">
        <f t="shared" si="57"/>
        <v>9.9740997794539122E-4</v>
      </c>
      <c r="AY143" s="299">
        <f t="shared" si="57"/>
        <v>9.952613026064849E-4</v>
      </c>
      <c r="AZ143" s="306">
        <f t="shared" si="48"/>
        <v>0.10982614999007143</v>
      </c>
      <c r="BA143" s="2">
        <f t="shared" si="49"/>
        <v>0.10982614999007143</v>
      </c>
      <c r="BB143" s="2">
        <f t="shared" si="71"/>
        <v>0.10982614999007143</v>
      </c>
      <c r="BC143" s="2">
        <f t="shared" si="72"/>
        <v>0.10982614999007143</v>
      </c>
      <c r="BD143" s="2">
        <f t="shared" si="73"/>
        <v>0.10982614999007143</v>
      </c>
      <c r="BE143" s="2">
        <f t="shared" si="74"/>
        <v>0.10485338657607605</v>
      </c>
      <c r="BF143" s="2">
        <f t="shared" si="75"/>
        <v>0.10208236738777489</v>
      </c>
      <c r="BG143" s="2">
        <f t="shared" si="76"/>
        <v>9.812889854830191E-2</v>
      </c>
      <c r="BH143" s="2">
        <f t="shared" si="77"/>
        <v>9.2882086675978623E-2</v>
      </c>
      <c r="BI143" s="2">
        <f t="shared" si="78"/>
        <v>8.6549424694088023E-2</v>
      </c>
      <c r="BJ143" s="2">
        <f t="shared" si="79"/>
        <v>7.9726248725484644E-2</v>
      </c>
      <c r="BK143" s="2">
        <f t="shared" si="80"/>
        <v>7.3217433326714293E-2</v>
      </c>
      <c r="BL143" s="2">
        <f t="shared" si="81"/>
        <v>6.769115741638744E-2</v>
      </c>
      <c r="BM143" s="2">
        <f t="shared" si="82"/>
        <v>6.3444502309673481E-2</v>
      </c>
      <c r="BN143" s="2">
        <f t="shared" si="58"/>
        <v>6.0424566601567191E-2</v>
      </c>
      <c r="BO143" s="2">
        <f t="shared" si="58"/>
        <v>5.8393407388823558E-2</v>
      </c>
      <c r="BP143" s="2">
        <f t="shared" si="58"/>
        <v>5.7077991263286387E-2</v>
      </c>
      <c r="BQ143" s="2">
        <f t="shared" si="58"/>
        <v>5.6246853054843837E-2</v>
      </c>
      <c r="BR143" s="2">
        <f t="shared" si="58"/>
        <v>5.5729858227082013E-2</v>
      </c>
      <c r="BS143" s="2">
        <f t="shared" si="58"/>
        <v>5.5411395491840078E-2</v>
      </c>
      <c r="BT143" s="2">
        <f t="shared" si="58"/>
        <v>5.5216404730556834E-2</v>
      </c>
      <c r="BU143" s="2">
        <f t="shared" si="58"/>
        <v>5.5097454519739797E-2</v>
      </c>
    </row>
    <row r="144" spans="1:73" x14ac:dyDescent="0.25">
      <c r="A144" t="s">
        <v>38</v>
      </c>
      <c r="B144" s="1" t="s">
        <v>5</v>
      </c>
      <c r="C144" t="s">
        <v>6</v>
      </c>
      <c r="D144" t="s">
        <v>6</v>
      </c>
      <c r="E144" s="97">
        <v>6.7508575000000004</v>
      </c>
      <c r="F144" s="5">
        <f t="shared" si="56"/>
        <v>1.6539600875000001E-2</v>
      </c>
      <c r="G144" s="1">
        <f>LOOKUP(RIGHT(D144,5),Ref!$C$4:$C$21,Ref!$E$4:$E$21)*$G$3</f>
        <v>3</v>
      </c>
      <c r="H144" s="36">
        <f t="shared" si="55"/>
        <v>6.7508575000000004</v>
      </c>
      <c r="I144" s="12">
        <f t="shared" si="55"/>
        <v>6.7508575000000004</v>
      </c>
      <c r="J144" s="12">
        <f t="shared" si="55"/>
        <v>6.7508575000000004</v>
      </c>
      <c r="K144" s="12">
        <f t="shared" si="55"/>
        <v>6.7508575000000004</v>
      </c>
      <c r="L144" s="12">
        <f t="shared" si="55"/>
        <v>6.7508575000000004</v>
      </c>
      <c r="M144" s="12">
        <f t="shared" si="54"/>
        <v>7.0710228116348262</v>
      </c>
      <c r="N144" s="12">
        <f t="shared" si="54"/>
        <v>7.2629652635327622</v>
      </c>
      <c r="O144" s="12">
        <f t="shared" si="54"/>
        <v>7.5555794401549283</v>
      </c>
      <c r="P144" s="12">
        <f t="shared" si="54"/>
        <v>7.9823862155795702</v>
      </c>
      <c r="Q144" s="12">
        <f t="shared" si="54"/>
        <v>8.5664427115162933</v>
      </c>
      <c r="R144" s="12">
        <f t="shared" si="54"/>
        <v>9.2995807555109771</v>
      </c>
      <c r="S144" s="12">
        <f t="shared" si="54"/>
        <v>10.12628625</v>
      </c>
      <c r="T144" s="12">
        <f t="shared" si="54"/>
        <v>10.952991744489024</v>
      </c>
      <c r="U144" s="12">
        <f t="shared" si="54"/>
        <v>11.686129788483708</v>
      </c>
      <c r="V144" s="12">
        <f t="shared" si="54"/>
        <v>12.270186284420431</v>
      </c>
      <c r="W144" s="12">
        <f t="shared" si="54"/>
        <v>12.696993059845072</v>
      </c>
      <c r="X144" s="12">
        <f t="shared" si="54"/>
        <v>12.98960723646724</v>
      </c>
      <c r="Y144" s="12">
        <f t="shared" si="54"/>
        <v>13.181549688365175</v>
      </c>
      <c r="Z144" s="12">
        <f t="shared" si="54"/>
        <v>13.303832307190477</v>
      </c>
      <c r="AA144" s="12">
        <f t="shared" si="54"/>
        <v>13.38029265958084</v>
      </c>
      <c r="AB144" s="12">
        <f t="shared" si="54"/>
        <v>13.427543715940192</v>
      </c>
      <c r="AC144" s="12">
        <f t="shared" si="53"/>
        <v>13.456532517141412</v>
      </c>
      <c r="AD144" s="300">
        <f t="shared" si="46"/>
        <v>2.0358298339920905E-3</v>
      </c>
      <c r="AE144" s="299">
        <f t="shared" si="47"/>
        <v>2.0358298339920905E-3</v>
      </c>
      <c r="AF144" s="299">
        <f t="shared" si="59"/>
        <v>2.0358298339920905E-3</v>
      </c>
      <c r="AG144" s="299">
        <f t="shared" si="60"/>
        <v>2.0358298339920905E-3</v>
      </c>
      <c r="AH144" s="299">
        <f t="shared" si="61"/>
        <v>2.0358298339920905E-3</v>
      </c>
      <c r="AI144" s="299">
        <f t="shared" si="62"/>
        <v>1.9436505113397773E-3</v>
      </c>
      <c r="AJ144" s="299">
        <f t="shared" si="63"/>
        <v>1.8922845703993176E-3</v>
      </c>
      <c r="AK144" s="299">
        <f t="shared" si="64"/>
        <v>1.8189997487800147E-3</v>
      </c>
      <c r="AL144" s="299">
        <f t="shared" si="65"/>
        <v>1.7217404335442056E-3</v>
      </c>
      <c r="AM144" s="299">
        <f t="shared" si="66"/>
        <v>1.6043528879324742E-3</v>
      </c>
      <c r="AN144" s="299">
        <f t="shared" si="67"/>
        <v>1.4778727627462922E-3</v>
      </c>
      <c r="AO144" s="299">
        <f t="shared" si="68"/>
        <v>1.3572198893280604E-3</v>
      </c>
      <c r="AP144" s="299">
        <f t="shared" si="69"/>
        <v>1.2547801937716535E-3</v>
      </c>
      <c r="AQ144" s="299">
        <f t="shared" si="70"/>
        <v>1.1760606250559632E-3</v>
      </c>
      <c r="AR144" s="299">
        <f t="shared" si="57"/>
        <v>1.1200805582698961E-3</v>
      </c>
      <c r="AS144" s="299">
        <f t="shared" si="57"/>
        <v>1.0824292837486168E-3</v>
      </c>
      <c r="AT144" s="299">
        <f t="shared" si="57"/>
        <v>1.0580456247318438E-3</v>
      </c>
      <c r="AU144" s="299">
        <f t="shared" si="57"/>
        <v>1.042638948261158E-3</v>
      </c>
      <c r="AV144" s="299">
        <f t="shared" si="57"/>
        <v>1.0330554975577298E-3</v>
      </c>
      <c r="AW144" s="299">
        <f t="shared" si="57"/>
        <v>1.0271522046035575E-3</v>
      </c>
      <c r="AX144" s="299">
        <f t="shared" si="57"/>
        <v>1.0235376919468801E-3</v>
      </c>
      <c r="AY144" s="299">
        <f t="shared" si="57"/>
        <v>1.0213327308518873E-3</v>
      </c>
      <c r="AZ144" s="306">
        <f t="shared" si="48"/>
        <v>0.11270310761058394</v>
      </c>
      <c r="BA144" s="2">
        <f t="shared" si="49"/>
        <v>0.11270310761058394</v>
      </c>
      <c r="BB144" s="2">
        <f t="shared" si="71"/>
        <v>0.11270310761058394</v>
      </c>
      <c r="BC144" s="2">
        <f t="shared" si="72"/>
        <v>0.11270310761058394</v>
      </c>
      <c r="BD144" s="2">
        <f t="shared" si="73"/>
        <v>0.11270310761058394</v>
      </c>
      <c r="BE144" s="2">
        <f t="shared" si="74"/>
        <v>0.10760007986882882</v>
      </c>
      <c r="BF144" s="2">
        <f t="shared" si="75"/>
        <v>0.10475647227811992</v>
      </c>
      <c r="BG144" s="2">
        <f t="shared" si="76"/>
        <v>0.10069944010417506</v>
      </c>
      <c r="BH144" s="2">
        <f t="shared" si="77"/>
        <v>9.5315185050962356E-2</v>
      </c>
      <c r="BI144" s="2">
        <f t="shared" si="78"/>
        <v>8.8816635435310778E-2</v>
      </c>
      <c r="BJ144" s="2">
        <f t="shared" si="79"/>
        <v>8.1814722543845725E-2</v>
      </c>
      <c r="BK144" s="2">
        <f t="shared" si="80"/>
        <v>7.5135405073722641E-2</v>
      </c>
      <c r="BL144" s="2">
        <f t="shared" si="81"/>
        <v>6.9464365265228492E-2</v>
      </c>
      <c r="BM144" s="2">
        <f t="shared" si="82"/>
        <v>6.5106466645270603E-2</v>
      </c>
      <c r="BN144" s="2">
        <f t="shared" si="58"/>
        <v>6.2007422026857627E-2</v>
      </c>
      <c r="BO144" s="2">
        <f t="shared" si="58"/>
        <v>5.992305545888843E-2</v>
      </c>
      <c r="BP144" s="2">
        <f t="shared" si="58"/>
        <v>5.8573181269885935E-2</v>
      </c>
      <c r="BQ144" s="2">
        <f t="shared" si="58"/>
        <v>5.7720270929736209E-2</v>
      </c>
      <c r="BR144" s="2">
        <f t="shared" si="58"/>
        <v>5.7189733132384443E-2</v>
      </c>
      <c r="BS144" s="2">
        <f t="shared" si="58"/>
        <v>5.6862928087109001E-2</v>
      </c>
      <c r="BT144" s="2">
        <f t="shared" si="58"/>
        <v>5.6662829433428048E-2</v>
      </c>
      <c r="BU144" s="2">
        <f t="shared" si="58"/>
        <v>5.6540763255097798E-2</v>
      </c>
    </row>
    <row r="145" spans="1:73" x14ac:dyDescent="0.25">
      <c r="A145" t="s">
        <v>38</v>
      </c>
      <c r="B145" s="1" t="s">
        <v>5</v>
      </c>
      <c r="C145" t="s">
        <v>7</v>
      </c>
      <c r="D145" t="s">
        <v>7</v>
      </c>
      <c r="E145" s="97">
        <v>5.5797549999999996</v>
      </c>
      <c r="F145" s="5">
        <f t="shared" si="56"/>
        <v>1.3670399749999999E-2</v>
      </c>
      <c r="G145" s="1">
        <f>LOOKUP(RIGHT(D145,5),Ref!$C$4:$C$21,Ref!$E$4:$E$21)*$G$3</f>
        <v>3.5</v>
      </c>
      <c r="H145" s="36">
        <f t="shared" si="55"/>
        <v>5.5797549999999996</v>
      </c>
      <c r="I145" s="12">
        <f t="shared" si="55"/>
        <v>5.5797549999999996</v>
      </c>
      <c r="J145" s="12">
        <f t="shared" si="55"/>
        <v>5.5797549999999996</v>
      </c>
      <c r="K145" s="12">
        <f t="shared" si="55"/>
        <v>5.5797549999999996</v>
      </c>
      <c r="L145" s="12">
        <f t="shared" si="55"/>
        <v>5.5797549999999996</v>
      </c>
      <c r="M145" s="12">
        <f t="shared" si="54"/>
        <v>5.8443797529918937</v>
      </c>
      <c r="N145" s="12">
        <f t="shared" si="54"/>
        <v>6.0030250592644325</v>
      </c>
      <c r="O145" s="12">
        <f t="shared" si="54"/>
        <v>6.2448781001675204</v>
      </c>
      <c r="P145" s="12">
        <f t="shared" si="54"/>
        <v>6.5976447285861353</v>
      </c>
      <c r="Q145" s="12">
        <f t="shared" si="54"/>
        <v>7.0803822405963368</v>
      </c>
      <c r="R145" s="12">
        <f t="shared" si="54"/>
        <v>7.6863394344297955</v>
      </c>
      <c r="S145" s="12">
        <f t="shared" si="54"/>
        <v>8.3696324999999998</v>
      </c>
      <c r="T145" s="12">
        <f t="shared" si="54"/>
        <v>9.0529255655702023</v>
      </c>
      <c r="U145" s="12">
        <f t="shared" si="54"/>
        <v>9.6588827594036619</v>
      </c>
      <c r="V145" s="12">
        <f t="shared" si="54"/>
        <v>10.141620271413863</v>
      </c>
      <c r="W145" s="12">
        <f t="shared" si="54"/>
        <v>10.494386899832477</v>
      </c>
      <c r="X145" s="12">
        <f t="shared" si="54"/>
        <v>10.736239940735565</v>
      </c>
      <c r="Y145" s="12">
        <f t="shared" si="54"/>
        <v>10.894885247008105</v>
      </c>
      <c r="Z145" s="12">
        <f t="shared" si="54"/>
        <v>10.995954933903965</v>
      </c>
      <c r="AA145" s="12">
        <f t="shared" si="54"/>
        <v>11.059151355032968</v>
      </c>
      <c r="AB145" s="12">
        <f t="shared" si="54"/>
        <v>11.098205551922234</v>
      </c>
      <c r="AC145" s="12">
        <f t="shared" si="53"/>
        <v>11.122165531590968</v>
      </c>
      <c r="AD145" s="300">
        <f t="shared" si="46"/>
        <v>2.463118381278257E-3</v>
      </c>
      <c r="AE145" s="299">
        <f t="shared" si="47"/>
        <v>2.463118381278257E-3</v>
      </c>
      <c r="AF145" s="299">
        <f t="shared" si="59"/>
        <v>2.463118381278257E-3</v>
      </c>
      <c r="AG145" s="299">
        <f t="shared" si="60"/>
        <v>2.463118381278257E-3</v>
      </c>
      <c r="AH145" s="299">
        <f t="shared" si="61"/>
        <v>2.463118381278257E-3</v>
      </c>
      <c r="AI145" s="299">
        <f t="shared" si="62"/>
        <v>2.3515920738199029E-3</v>
      </c>
      <c r="AJ145" s="299">
        <f t="shared" si="63"/>
        <v>2.2894452326696268E-3</v>
      </c>
      <c r="AK145" s="299">
        <f t="shared" si="64"/>
        <v>2.2007790837679578E-3</v>
      </c>
      <c r="AL145" s="299">
        <f t="shared" si="65"/>
        <v>2.0831065734687551E-3</v>
      </c>
      <c r="AM145" s="299">
        <f t="shared" si="66"/>
        <v>1.941081234954869E-3</v>
      </c>
      <c r="AN145" s="299">
        <f t="shared" si="67"/>
        <v>1.7880549279370743E-3</v>
      </c>
      <c r="AO145" s="299">
        <f t="shared" si="68"/>
        <v>1.6420789208521711E-3</v>
      </c>
      <c r="AP145" s="299">
        <f t="shared" si="69"/>
        <v>1.5181387501735869E-3</v>
      </c>
      <c r="AQ145" s="299">
        <f t="shared" si="70"/>
        <v>1.4228971865455986E-3</v>
      </c>
      <c r="AR145" s="299">
        <f t="shared" si="57"/>
        <v>1.3551677873671006E-3</v>
      </c>
      <c r="AS145" s="299">
        <f t="shared" si="57"/>
        <v>1.3096141046361318E-3</v>
      </c>
      <c r="AT145" s="299">
        <f t="shared" si="57"/>
        <v>1.2801127004793498E-3</v>
      </c>
      <c r="AU145" s="299">
        <f t="shared" si="57"/>
        <v>1.2614724058065184E-3</v>
      </c>
      <c r="AV145" s="299">
        <f t="shared" si="57"/>
        <v>1.249877540071891E-3</v>
      </c>
      <c r="AW145" s="299">
        <f t="shared" si="57"/>
        <v>1.2427352391080726E-3</v>
      </c>
      <c r="AX145" s="299">
        <f t="shared" si="57"/>
        <v>1.2383620972985887E-3</v>
      </c>
      <c r="AY145" s="299">
        <f t="shared" si="57"/>
        <v>1.2356943496743039E-3</v>
      </c>
      <c r="AZ145" s="306">
        <f t="shared" si="48"/>
        <v>0.13635771091852919</v>
      </c>
      <c r="BA145" s="2">
        <f t="shared" si="49"/>
        <v>0.13635771091852919</v>
      </c>
      <c r="BB145" s="2">
        <f t="shared" si="71"/>
        <v>0.13635771091852919</v>
      </c>
      <c r="BC145" s="2">
        <f t="shared" si="72"/>
        <v>0.13635771091852919</v>
      </c>
      <c r="BD145" s="2">
        <f t="shared" si="73"/>
        <v>0.13635771091852919</v>
      </c>
      <c r="BE145" s="2">
        <f t="shared" si="74"/>
        <v>0.130183638203305</v>
      </c>
      <c r="BF145" s="2">
        <f t="shared" si="75"/>
        <v>0.1267432022646672</v>
      </c>
      <c r="BG145" s="2">
        <f t="shared" si="76"/>
        <v>0.12183466307625893</v>
      </c>
      <c r="BH145" s="2">
        <f t="shared" si="77"/>
        <v>0.11532033787597792</v>
      </c>
      <c r="BI145" s="2">
        <f t="shared" si="78"/>
        <v>0.10745784527335585</v>
      </c>
      <c r="BJ145" s="2">
        <f t="shared" si="79"/>
        <v>9.8986341388741989E-2</v>
      </c>
      <c r="BK145" s="2">
        <f t="shared" si="80"/>
        <v>9.0905140612352789E-2</v>
      </c>
      <c r="BL145" s="2">
        <f t="shared" si="81"/>
        <v>8.404383906345482E-2</v>
      </c>
      <c r="BM145" s="2">
        <f t="shared" si="82"/>
        <v>7.8771286311088026E-2</v>
      </c>
      <c r="BN145" s="2">
        <f t="shared" si="58"/>
        <v>7.502180114461604E-2</v>
      </c>
      <c r="BO145" s="2">
        <f t="shared" si="58"/>
        <v>7.2499958935034414E-2</v>
      </c>
      <c r="BP145" s="2">
        <f t="shared" si="58"/>
        <v>7.0866767461056815E-2</v>
      </c>
      <c r="BQ145" s="2">
        <f t="shared" si="58"/>
        <v>6.9834844703403953E-2</v>
      </c>
      <c r="BR145" s="2">
        <f t="shared" si="58"/>
        <v>6.9192955396743416E-2</v>
      </c>
      <c r="BS145" s="2">
        <f t="shared" si="58"/>
        <v>6.8797559130969105E-2</v>
      </c>
      <c r="BT145" s="2">
        <f t="shared" si="58"/>
        <v>6.8555462928368463E-2</v>
      </c>
      <c r="BU145" s="2">
        <f t="shared" si="58"/>
        <v>6.8407776985979024E-2</v>
      </c>
    </row>
    <row r="146" spans="1:73" x14ac:dyDescent="0.25">
      <c r="A146" t="s">
        <v>38</v>
      </c>
      <c r="B146" s="1" t="s">
        <v>5</v>
      </c>
      <c r="C146" t="s">
        <v>8</v>
      </c>
      <c r="D146" t="s">
        <v>8</v>
      </c>
      <c r="E146" s="97">
        <v>5.6366949999999996</v>
      </c>
      <c r="F146" s="5">
        <f t="shared" si="56"/>
        <v>1.3809902749999999E-2</v>
      </c>
      <c r="G146" s="1">
        <f>LOOKUP(RIGHT(D146,5),Ref!$C$4:$C$21,Ref!$E$4:$E$21)*$G$3</f>
        <v>4</v>
      </c>
      <c r="H146" s="36">
        <f t="shared" si="55"/>
        <v>5.6366949999999996</v>
      </c>
      <c r="I146" s="12">
        <f t="shared" si="55"/>
        <v>5.6366949999999996</v>
      </c>
      <c r="J146" s="12">
        <f t="shared" si="55"/>
        <v>5.6366949999999996</v>
      </c>
      <c r="K146" s="12">
        <f t="shared" si="55"/>
        <v>5.6366949999999996</v>
      </c>
      <c r="L146" s="12">
        <f t="shared" si="55"/>
        <v>5.6366949999999996</v>
      </c>
      <c r="M146" s="12">
        <f t="shared" si="54"/>
        <v>5.9040201822106244</v>
      </c>
      <c r="N146" s="12">
        <f t="shared" si="54"/>
        <v>6.0642844240348426</v>
      </c>
      <c r="O146" s="12">
        <f t="shared" si="54"/>
        <v>6.3086055145474598</v>
      </c>
      <c r="P146" s="12">
        <f t="shared" si="54"/>
        <v>6.664972037911669</v>
      </c>
      <c r="Q146" s="12">
        <f t="shared" si="54"/>
        <v>7.152635765129145</v>
      </c>
      <c r="R146" s="12">
        <f t="shared" si="54"/>
        <v>7.764776600111162</v>
      </c>
      <c r="S146" s="12">
        <f t="shared" si="54"/>
        <v>8.4550424999999994</v>
      </c>
      <c r="T146" s="12">
        <f t="shared" si="54"/>
        <v>9.1453083998888367</v>
      </c>
      <c r="U146" s="12">
        <f t="shared" si="54"/>
        <v>9.7574492348708546</v>
      </c>
      <c r="V146" s="12">
        <f t="shared" si="54"/>
        <v>10.24511296208833</v>
      </c>
      <c r="W146" s="12">
        <f t="shared" si="54"/>
        <v>10.601479485452538</v>
      </c>
      <c r="X146" s="12">
        <f t="shared" si="54"/>
        <v>10.845800575965157</v>
      </c>
      <c r="Y146" s="12">
        <f t="shared" si="54"/>
        <v>11.006064817789374</v>
      </c>
      <c r="Z146" s="12">
        <f t="shared" si="54"/>
        <v>11.108165895484984</v>
      </c>
      <c r="AA146" s="12">
        <f t="shared" si="54"/>
        <v>11.172007220237727</v>
      </c>
      <c r="AB146" s="12">
        <f t="shared" si="54"/>
        <v>11.211459955408849</v>
      </c>
      <c r="AC146" s="12">
        <f t="shared" si="53"/>
        <v>11.235664440659338</v>
      </c>
      <c r="AD146" s="300">
        <f t="shared" si="46"/>
        <v>2.4382367865441114E-3</v>
      </c>
      <c r="AE146" s="299">
        <f t="shared" si="47"/>
        <v>2.4382367865441114E-3</v>
      </c>
      <c r="AF146" s="299">
        <f t="shared" si="59"/>
        <v>2.4382367865441114E-3</v>
      </c>
      <c r="AG146" s="299">
        <f t="shared" si="60"/>
        <v>2.4382367865441114E-3</v>
      </c>
      <c r="AH146" s="299">
        <f t="shared" si="61"/>
        <v>2.4382367865441114E-3</v>
      </c>
      <c r="AI146" s="299">
        <f t="shared" si="62"/>
        <v>2.3278370803914302E-3</v>
      </c>
      <c r="AJ146" s="299">
        <f t="shared" si="63"/>
        <v>2.2663180257605766E-3</v>
      </c>
      <c r="AK146" s="299">
        <f t="shared" si="64"/>
        <v>2.178547552519638E-3</v>
      </c>
      <c r="AL146" s="299">
        <f t="shared" si="65"/>
        <v>2.0620637304032156E-3</v>
      </c>
      <c r="AM146" s="299">
        <f t="shared" si="66"/>
        <v>1.9214730841646752E-3</v>
      </c>
      <c r="AN146" s="299">
        <f t="shared" si="67"/>
        <v>1.7699925975117564E-3</v>
      </c>
      <c r="AO146" s="299">
        <f t="shared" si="68"/>
        <v>1.6254911910294077E-3</v>
      </c>
      <c r="AP146" s="299">
        <f t="shared" si="69"/>
        <v>1.502803022333978E-3</v>
      </c>
      <c r="AQ146" s="299">
        <f t="shared" si="70"/>
        <v>1.4085235569981588E-3</v>
      </c>
      <c r="AR146" s="299">
        <f t="shared" si="57"/>
        <v>1.3414783374655745E-3</v>
      </c>
      <c r="AS146" s="299">
        <f t="shared" si="57"/>
        <v>1.2963848227399175E-3</v>
      </c>
      <c r="AT146" s="299">
        <f t="shared" si="57"/>
        <v>1.267181431860896E-3</v>
      </c>
      <c r="AU146" s="299">
        <f t="shared" si="57"/>
        <v>1.2487294351851484E-3</v>
      </c>
      <c r="AV146" s="299">
        <f t="shared" si="57"/>
        <v>1.2372516968904355E-3</v>
      </c>
      <c r="AW146" s="299">
        <f t="shared" si="57"/>
        <v>1.2301815450524577E-3</v>
      </c>
      <c r="AX146" s="299">
        <f t="shared" si="57"/>
        <v>1.2258525792529641E-3</v>
      </c>
      <c r="AY146" s="299">
        <f t="shared" si="57"/>
        <v>1.2232117803193088E-3</v>
      </c>
      <c r="AZ146" s="306">
        <f t="shared" si="48"/>
        <v>0.13498027111387398</v>
      </c>
      <c r="BA146" s="2">
        <f t="shared" si="49"/>
        <v>0.13498027111387398</v>
      </c>
      <c r="BB146" s="2">
        <f t="shared" si="71"/>
        <v>0.13498027111387398</v>
      </c>
      <c r="BC146" s="2">
        <f t="shared" si="72"/>
        <v>0.13498027111387398</v>
      </c>
      <c r="BD146" s="2">
        <f t="shared" si="73"/>
        <v>0.13498027111387398</v>
      </c>
      <c r="BE146" s="2">
        <f t="shared" si="74"/>
        <v>0.12886856680786918</v>
      </c>
      <c r="BF146" s="2">
        <f t="shared" si="75"/>
        <v>0.12546288499773148</v>
      </c>
      <c r="BG146" s="2">
        <f t="shared" si="76"/>
        <v>0.12060393022384058</v>
      </c>
      <c r="BH146" s="2">
        <f t="shared" si="77"/>
        <v>0.11415541054912093</v>
      </c>
      <c r="BI146" s="2">
        <f t="shared" si="78"/>
        <v>0.10637234220642303</v>
      </c>
      <c r="BJ146" s="2">
        <f t="shared" si="79"/>
        <v>9.7986414609188555E-2</v>
      </c>
      <c r="BK146" s="2">
        <f t="shared" si="80"/>
        <v>8.998684740924931E-2</v>
      </c>
      <c r="BL146" s="2">
        <f t="shared" si="81"/>
        <v>8.3194856424466335E-2</v>
      </c>
      <c r="BM146" s="2">
        <f t="shared" si="82"/>
        <v>7.7975565229398594E-2</v>
      </c>
      <c r="BN146" s="2">
        <f t="shared" si="58"/>
        <v>7.4263956102942771E-2</v>
      </c>
      <c r="BO146" s="2">
        <f t="shared" si="58"/>
        <v>7.1767588696488457E-2</v>
      </c>
      <c r="BP146" s="2">
        <f t="shared" si="58"/>
        <v>7.0150895174329819E-2</v>
      </c>
      <c r="BQ146" s="2">
        <f t="shared" si="58"/>
        <v>6.9129396553839026E-2</v>
      </c>
      <c r="BR146" s="2">
        <f t="shared" si="58"/>
        <v>6.8493991397397952E-2</v>
      </c>
      <c r="BS146" s="2">
        <f t="shared" si="58"/>
        <v>6.8102589291920271E-2</v>
      </c>
      <c r="BT146" s="2">
        <f t="shared" si="58"/>
        <v>6.7862938663858619E-2</v>
      </c>
      <c r="BU146" s="2">
        <f t="shared" si="58"/>
        <v>6.7716744595263972E-2</v>
      </c>
    </row>
    <row r="147" spans="1:73" x14ac:dyDescent="0.25">
      <c r="A147" t="s">
        <v>38</v>
      </c>
      <c r="B147" s="1" t="s">
        <v>5</v>
      </c>
      <c r="C147" t="s">
        <v>9</v>
      </c>
      <c r="D147" t="s">
        <v>9</v>
      </c>
      <c r="E147" s="97">
        <v>5.0771499999999996</v>
      </c>
      <c r="F147" s="5">
        <f t="shared" si="56"/>
        <v>1.2439017499999998E-2</v>
      </c>
      <c r="G147" s="1">
        <f>LOOKUP(RIGHT(D147,5),Ref!$C$4:$C$21,Ref!$E$4:$E$21)*$G$3</f>
        <v>4.5</v>
      </c>
      <c r="H147" s="36">
        <f t="shared" si="55"/>
        <v>5.0771499999999996</v>
      </c>
      <c r="I147" s="12">
        <f t="shared" si="55"/>
        <v>5.0771499999999996</v>
      </c>
      <c r="J147" s="12">
        <f t="shared" si="55"/>
        <v>5.0771499999999996</v>
      </c>
      <c r="K147" s="12">
        <f t="shared" si="55"/>
        <v>5.0771499999999996</v>
      </c>
      <c r="L147" s="12">
        <f t="shared" si="55"/>
        <v>5.0771499999999996</v>
      </c>
      <c r="M147" s="12">
        <f t="shared" si="54"/>
        <v>5.3179382720034827</v>
      </c>
      <c r="N147" s="12">
        <f t="shared" si="54"/>
        <v>5.4622933586948559</v>
      </c>
      <c r="O147" s="12">
        <f t="shared" si="54"/>
        <v>5.6823611155445937</v>
      </c>
      <c r="P147" s="12">
        <f t="shared" si="54"/>
        <v>6.0033517481934418</v>
      </c>
      <c r="Q147" s="12">
        <f t="shared" si="54"/>
        <v>6.4426059375086711</v>
      </c>
      <c r="R147" s="12">
        <f t="shared" si="54"/>
        <v>6.9939806065885044</v>
      </c>
      <c r="S147" s="12">
        <f t="shared" si="54"/>
        <v>7.6157249999999994</v>
      </c>
      <c r="T147" s="12">
        <f t="shared" si="54"/>
        <v>8.2374693934114944</v>
      </c>
      <c r="U147" s="12">
        <f t="shared" si="54"/>
        <v>8.7888440624913287</v>
      </c>
      <c r="V147" s="12">
        <f t="shared" si="54"/>
        <v>9.2280982518065571</v>
      </c>
      <c r="W147" s="12">
        <f t="shared" si="54"/>
        <v>9.5490888844554043</v>
      </c>
      <c r="X147" s="12">
        <f t="shared" si="54"/>
        <v>9.7691566413051429</v>
      </c>
      <c r="Y147" s="12">
        <f t="shared" si="54"/>
        <v>9.9135117279965161</v>
      </c>
      <c r="Z147" s="12">
        <f t="shared" si="54"/>
        <v>10.00547740764075</v>
      </c>
      <c r="AA147" s="12">
        <f t="shared" si="54"/>
        <v>10.062981314090965</v>
      </c>
      <c r="AB147" s="12">
        <f t="shared" si="54"/>
        <v>10.098517644223083</v>
      </c>
      <c r="AC147" s="12">
        <f t="shared" si="53"/>
        <v>10.120319391929767</v>
      </c>
      <c r="AD147" s="300">
        <f t="shared" si="46"/>
        <v>2.7069511642416042E-3</v>
      </c>
      <c r="AE147" s="299">
        <f t="shared" si="47"/>
        <v>2.7069511642416042E-3</v>
      </c>
      <c r="AF147" s="299">
        <f t="shared" si="59"/>
        <v>2.7069511642416042E-3</v>
      </c>
      <c r="AG147" s="299">
        <f t="shared" si="60"/>
        <v>2.7069511642416042E-3</v>
      </c>
      <c r="AH147" s="299">
        <f t="shared" si="61"/>
        <v>2.7069511642416042E-3</v>
      </c>
      <c r="AI147" s="299">
        <f t="shared" si="62"/>
        <v>2.5843844739385233E-3</v>
      </c>
      <c r="AJ147" s="299">
        <f t="shared" si="63"/>
        <v>2.5160854976147076E-3</v>
      </c>
      <c r="AK147" s="299">
        <f t="shared" si="64"/>
        <v>2.4186419736564177E-3</v>
      </c>
      <c r="AL147" s="299">
        <f t="shared" si="65"/>
        <v>2.2893206461981927E-3</v>
      </c>
      <c r="AM147" s="299">
        <f t="shared" si="66"/>
        <v>2.1332357180988554E-3</v>
      </c>
      <c r="AN147" s="299">
        <f t="shared" si="67"/>
        <v>1.9650607967918081E-3</v>
      </c>
      <c r="AO147" s="299">
        <f t="shared" si="68"/>
        <v>1.8046341094944027E-3</v>
      </c>
      <c r="AP147" s="299">
        <f t="shared" si="69"/>
        <v>1.6684246638320362E-3</v>
      </c>
      <c r="AQ147" s="299">
        <f t="shared" si="70"/>
        <v>1.5637548016335418E-3</v>
      </c>
      <c r="AR147" s="299">
        <f t="shared" si="57"/>
        <v>1.4893206301567841E-3</v>
      </c>
      <c r="AS147" s="299">
        <f t="shared" si="57"/>
        <v>1.4392574275753087E-3</v>
      </c>
      <c r="AT147" s="299">
        <f t="shared" si="57"/>
        <v>1.4068355752859683E-3</v>
      </c>
      <c r="AU147" s="299">
        <f t="shared" si="57"/>
        <v>1.3863500120463155E-3</v>
      </c>
      <c r="AV147" s="299">
        <f t="shared" si="57"/>
        <v>1.3736073296246583E-3</v>
      </c>
      <c r="AW147" s="299">
        <f t="shared" si="57"/>
        <v>1.3657579870772899E-3</v>
      </c>
      <c r="AX147" s="299">
        <f t="shared" si="57"/>
        <v>1.360951932523618E-3</v>
      </c>
      <c r="AY147" s="299">
        <f t="shared" si="57"/>
        <v>1.3580200951452974E-3</v>
      </c>
      <c r="AZ147" s="306">
        <f t="shared" si="48"/>
        <v>0.14985624204252737</v>
      </c>
      <c r="BA147" s="2">
        <f t="shared" si="49"/>
        <v>0.14985624204252737</v>
      </c>
      <c r="BB147" s="2">
        <f t="shared" si="71"/>
        <v>0.14985624204252737</v>
      </c>
      <c r="BC147" s="2">
        <f t="shared" si="72"/>
        <v>0.14985624204252737</v>
      </c>
      <c r="BD147" s="2">
        <f t="shared" si="73"/>
        <v>0.14985624204252737</v>
      </c>
      <c r="BE147" s="2">
        <f t="shared" si="74"/>
        <v>0.14307097607576733</v>
      </c>
      <c r="BF147" s="2">
        <f t="shared" si="75"/>
        <v>0.13928995923939377</v>
      </c>
      <c r="BG147" s="2">
        <f t="shared" si="76"/>
        <v>0.13389550643039327</v>
      </c>
      <c r="BH147" s="2">
        <f t="shared" si="77"/>
        <v>0.12673630518404561</v>
      </c>
      <c r="BI147" s="2">
        <f t="shared" si="78"/>
        <v>0.11809547668539114</v>
      </c>
      <c r="BJ147" s="2">
        <f t="shared" si="79"/>
        <v>0.1087853487282314</v>
      </c>
      <c r="BK147" s="2">
        <f t="shared" si="80"/>
        <v>9.9904161361684909E-2</v>
      </c>
      <c r="BL147" s="2">
        <f t="shared" si="81"/>
        <v>9.2363635353201565E-2</v>
      </c>
      <c r="BM147" s="2">
        <f t="shared" si="82"/>
        <v>8.6569133992638575E-2</v>
      </c>
      <c r="BN147" s="2">
        <f t="shared" si="58"/>
        <v>8.2448474054474863E-2</v>
      </c>
      <c r="BO147" s="2">
        <f t="shared" si="58"/>
        <v>7.9676985782880738E-2</v>
      </c>
      <c r="BP147" s="2">
        <f t="shared" si="58"/>
        <v>7.7882118919998244E-2</v>
      </c>
      <c r="BQ147" s="2">
        <f t="shared" si="58"/>
        <v>7.6748042486048607E-2</v>
      </c>
      <c r="BR147" s="2">
        <f t="shared" si="58"/>
        <v>7.6042610291158635E-2</v>
      </c>
      <c r="BS147" s="2">
        <f t="shared" si="58"/>
        <v>7.5608072353351888E-2</v>
      </c>
      <c r="BT147" s="2">
        <f t="shared" si="58"/>
        <v>7.5342010193096248E-2</v>
      </c>
      <c r="BU147" s="2">
        <f t="shared" si="58"/>
        <v>7.5179704297962724E-2</v>
      </c>
    </row>
    <row r="148" spans="1:73" x14ac:dyDescent="0.25">
      <c r="A148" t="s">
        <v>38</v>
      </c>
      <c r="B148" s="1" t="s">
        <v>5</v>
      </c>
      <c r="C148" t="s">
        <v>10</v>
      </c>
      <c r="D148" t="s">
        <v>10</v>
      </c>
      <c r="E148" s="97">
        <v>5.248335</v>
      </c>
      <c r="F148" s="5">
        <f t="shared" si="56"/>
        <v>1.2858420749999998E-2</v>
      </c>
      <c r="G148" s="1">
        <f>LOOKUP(RIGHT(D148,5),Ref!$C$4:$C$21,Ref!$E$4:$E$21)*$G$3</f>
        <v>4.5</v>
      </c>
      <c r="H148" s="36">
        <f t="shared" si="55"/>
        <v>5.248335</v>
      </c>
      <c r="I148" s="12">
        <f t="shared" si="55"/>
        <v>5.248335</v>
      </c>
      <c r="J148" s="12">
        <f t="shared" si="55"/>
        <v>5.248335</v>
      </c>
      <c r="K148" s="12">
        <f t="shared" si="55"/>
        <v>5.248335</v>
      </c>
      <c r="L148" s="12">
        <f t="shared" si="55"/>
        <v>5.248335</v>
      </c>
      <c r="M148" s="12">
        <f t="shared" si="54"/>
        <v>5.4972418701033847</v>
      </c>
      <c r="N148" s="12">
        <f t="shared" si="54"/>
        <v>5.6464641412417924</v>
      </c>
      <c r="O148" s="12">
        <f t="shared" si="54"/>
        <v>5.8739518677509501</v>
      </c>
      <c r="P148" s="12">
        <f t="shared" si="54"/>
        <v>6.2057652614862331</v>
      </c>
      <c r="Q148" s="12">
        <f t="shared" si="54"/>
        <v>6.659829674725894</v>
      </c>
      <c r="R148" s="12">
        <f t="shared" si="54"/>
        <v>7.229794905976715</v>
      </c>
      <c r="S148" s="12">
        <f t="shared" si="54"/>
        <v>7.8725024999999995</v>
      </c>
      <c r="T148" s="12">
        <f t="shared" si="54"/>
        <v>8.5152100940232849</v>
      </c>
      <c r="U148" s="12">
        <f t="shared" si="54"/>
        <v>9.0851753252741059</v>
      </c>
      <c r="V148" s="12">
        <f t="shared" si="54"/>
        <v>9.5392397385137659</v>
      </c>
      <c r="W148" s="12">
        <f t="shared" si="54"/>
        <v>9.8710531322490489</v>
      </c>
      <c r="X148" s="12">
        <f t="shared" si="54"/>
        <v>10.098540858758208</v>
      </c>
      <c r="Y148" s="12">
        <f t="shared" si="54"/>
        <v>10.247763129896615</v>
      </c>
      <c r="Z148" s="12">
        <f t="shared" si="54"/>
        <v>10.34282959341958</v>
      </c>
      <c r="AA148" s="12">
        <f t="shared" si="54"/>
        <v>10.402272344738606</v>
      </c>
      <c r="AB148" s="12">
        <f t="shared" ref="AB148:AC163" si="83">AB$3*$E148</f>
        <v>10.439006844448866</v>
      </c>
      <c r="AC148" s="12">
        <f t="shared" si="83"/>
        <v>10.461543676244293</v>
      </c>
      <c r="AD148" s="300">
        <f t="shared" si="46"/>
        <v>2.6186585085611457E-3</v>
      </c>
      <c r="AE148" s="299">
        <f t="shared" si="47"/>
        <v>2.6186585085611457E-3</v>
      </c>
      <c r="AF148" s="299">
        <f t="shared" si="59"/>
        <v>2.6186585085611457E-3</v>
      </c>
      <c r="AG148" s="299">
        <f t="shared" si="60"/>
        <v>2.6186585085611457E-3</v>
      </c>
      <c r="AH148" s="299">
        <f t="shared" si="61"/>
        <v>2.6186585085611457E-3</v>
      </c>
      <c r="AI148" s="299">
        <f t="shared" si="62"/>
        <v>2.5000895773339494E-3</v>
      </c>
      <c r="AJ148" s="299">
        <f t="shared" si="63"/>
        <v>2.4340183094666238E-3</v>
      </c>
      <c r="AK148" s="299">
        <f t="shared" si="64"/>
        <v>2.339753101993238E-3</v>
      </c>
      <c r="AL148" s="299">
        <f t="shared" si="65"/>
        <v>2.2146498496847388E-3</v>
      </c>
      <c r="AM148" s="299">
        <f t="shared" si="66"/>
        <v>2.0636559453894622E-3</v>
      </c>
      <c r="AN148" s="299">
        <f t="shared" si="67"/>
        <v>1.9009663873269386E-3</v>
      </c>
      <c r="AO148" s="299">
        <f t="shared" si="68"/>
        <v>1.7457723390407638E-3</v>
      </c>
      <c r="AP148" s="299">
        <f t="shared" si="69"/>
        <v>1.6140056383547967E-3</v>
      </c>
      <c r="AQ148" s="299">
        <f t="shared" si="70"/>
        <v>1.5127497941944898E-3</v>
      </c>
      <c r="AR148" s="299">
        <f t="shared" si="57"/>
        <v>1.4407434429015138E-3</v>
      </c>
      <c r="AS148" s="299">
        <f t="shared" si="57"/>
        <v>1.3923131523452634E-3</v>
      </c>
      <c r="AT148" s="299">
        <f t="shared" si="57"/>
        <v>1.360948803966049E-3</v>
      </c>
      <c r="AU148" s="299">
        <f t="shared" si="57"/>
        <v>1.3411314185662595E-3</v>
      </c>
      <c r="AV148" s="299">
        <f t="shared" si="57"/>
        <v>1.328804364356283E-3</v>
      </c>
      <c r="AW148" s="299">
        <f t="shared" si="57"/>
        <v>1.3212110439004871E-3</v>
      </c>
      <c r="AX148" s="299">
        <f t="shared" si="57"/>
        <v>1.316561748480668E-3</v>
      </c>
      <c r="AY148" s="299">
        <f t="shared" si="57"/>
        <v>1.313725538874128E-3</v>
      </c>
      <c r="AZ148" s="306">
        <f t="shared" si="48"/>
        <v>0.14496837935959075</v>
      </c>
      <c r="BA148" s="2">
        <f t="shared" si="49"/>
        <v>0.14496837935959075</v>
      </c>
      <c r="BB148" s="2">
        <f t="shared" si="71"/>
        <v>0.14496837935959075</v>
      </c>
      <c r="BC148" s="2">
        <f t="shared" si="72"/>
        <v>0.14496837935959075</v>
      </c>
      <c r="BD148" s="2">
        <f t="shared" si="73"/>
        <v>0.14496837935959075</v>
      </c>
      <c r="BE148" s="2">
        <f t="shared" si="74"/>
        <v>0.13840442848695483</v>
      </c>
      <c r="BF148" s="2">
        <f t="shared" si="75"/>
        <v>0.13474673711801707</v>
      </c>
      <c r="BG148" s="2">
        <f t="shared" si="76"/>
        <v>0.12952823523518814</v>
      </c>
      <c r="BH148" s="2">
        <f t="shared" si="77"/>
        <v>0.12260254573406178</v>
      </c>
      <c r="BI148" s="2">
        <f t="shared" si="78"/>
        <v>0.11424355523289455</v>
      </c>
      <c r="BJ148" s="2">
        <f t="shared" si="79"/>
        <v>0.10523709582096798</v>
      </c>
      <c r="BK148" s="2">
        <f t="shared" si="80"/>
        <v>9.6645586239727174E-2</v>
      </c>
      <c r="BL148" s="2">
        <f t="shared" si="81"/>
        <v>8.9351009650395274E-2</v>
      </c>
      <c r="BM148" s="2">
        <f t="shared" si="82"/>
        <v>8.3745507603978198E-2</v>
      </c>
      <c r="BN148" s="2">
        <f t="shared" si="58"/>
        <v>7.9759251276009829E-2</v>
      </c>
      <c r="BO148" s="2">
        <f t="shared" si="58"/>
        <v>7.7078160667631346E-2</v>
      </c>
      <c r="BP148" s="2">
        <f t="shared" si="58"/>
        <v>7.5341836996813086E-2</v>
      </c>
      <c r="BQ148" s="2">
        <f t="shared" si="58"/>
        <v>7.4244750746292235E-2</v>
      </c>
      <c r="BR148" s="2">
        <f t="shared" si="58"/>
        <v>7.3562327641005398E-2</v>
      </c>
      <c r="BS148" s="2">
        <f t="shared" si="58"/>
        <v>7.3141963031860671E-2</v>
      </c>
      <c r="BT148" s="2">
        <f t="shared" si="58"/>
        <v>7.2884579023991147E-2</v>
      </c>
      <c r="BU148" s="2">
        <f t="shared" si="58"/>
        <v>7.2727567062011361E-2</v>
      </c>
    </row>
    <row r="149" spans="1:73" x14ac:dyDescent="0.25">
      <c r="A149" t="s">
        <v>38</v>
      </c>
      <c r="B149" s="1" t="s">
        <v>5</v>
      </c>
      <c r="C149" t="s">
        <v>11</v>
      </c>
      <c r="D149" t="s">
        <v>11</v>
      </c>
      <c r="E149" s="97">
        <v>5.1994249999999997</v>
      </c>
      <c r="F149" s="5">
        <f t="shared" si="56"/>
        <v>1.2738591249999999E-2</v>
      </c>
      <c r="G149" s="1">
        <f>LOOKUP(RIGHT(D149,5),Ref!$C$4:$C$21,Ref!$E$4:$E$21)*$G$3</f>
        <v>4.5</v>
      </c>
      <c r="H149" s="36">
        <f t="shared" si="55"/>
        <v>5.1994249999999997</v>
      </c>
      <c r="I149" s="12">
        <f t="shared" si="55"/>
        <v>5.1994249999999997</v>
      </c>
      <c r="J149" s="12">
        <f t="shared" si="55"/>
        <v>5.1994249999999997</v>
      </c>
      <c r="K149" s="12">
        <f t="shared" si="55"/>
        <v>5.1994249999999997</v>
      </c>
      <c r="L149" s="12">
        <f t="shared" si="55"/>
        <v>5.1994249999999997</v>
      </c>
      <c r="M149" s="12">
        <f t="shared" ref="M149:AB164" si="84">M$3*$E149</f>
        <v>5.4460122706462695</v>
      </c>
      <c r="N149" s="12">
        <f t="shared" si="84"/>
        <v>5.5938439176569537</v>
      </c>
      <c r="O149" s="12">
        <f t="shared" si="84"/>
        <v>5.8192116528348485</v>
      </c>
      <c r="P149" s="12">
        <f t="shared" si="84"/>
        <v>6.147932829116864</v>
      </c>
      <c r="Q149" s="12">
        <f t="shared" si="84"/>
        <v>6.5977657498066868</v>
      </c>
      <c r="R149" s="12">
        <f t="shared" si="84"/>
        <v>7.1624193918657975</v>
      </c>
      <c r="S149" s="12">
        <f t="shared" si="84"/>
        <v>7.7991374999999996</v>
      </c>
      <c r="T149" s="12">
        <f t="shared" si="84"/>
        <v>8.4358556081342027</v>
      </c>
      <c r="U149" s="12">
        <f t="shared" si="84"/>
        <v>9.0005092501933124</v>
      </c>
      <c r="V149" s="12">
        <f t="shared" si="84"/>
        <v>9.4503421708831343</v>
      </c>
      <c r="W149" s="12">
        <f t="shared" si="84"/>
        <v>9.7790633471651489</v>
      </c>
      <c r="X149" s="12">
        <f t="shared" si="84"/>
        <v>10.004431082343046</v>
      </c>
      <c r="Y149" s="12">
        <f t="shared" si="84"/>
        <v>10.15226272935373</v>
      </c>
      <c r="Z149" s="12">
        <f t="shared" si="84"/>
        <v>10.246443254625628</v>
      </c>
      <c r="AA149" s="12">
        <f t="shared" si="84"/>
        <v>10.305332050267852</v>
      </c>
      <c r="AB149" s="12">
        <f t="shared" si="84"/>
        <v>10.341724215812928</v>
      </c>
      <c r="AC149" s="12">
        <f t="shared" si="83"/>
        <v>10.364051023583</v>
      </c>
      <c r="AD149" s="300">
        <f t="shared" si="46"/>
        <v>2.6432917300527E-3</v>
      </c>
      <c r="AE149" s="299">
        <f t="shared" si="47"/>
        <v>2.6432917300527E-3</v>
      </c>
      <c r="AF149" s="299">
        <f t="shared" si="59"/>
        <v>2.6432917300527E-3</v>
      </c>
      <c r="AG149" s="299">
        <f t="shared" si="60"/>
        <v>2.6432917300527E-3</v>
      </c>
      <c r="AH149" s="299">
        <f t="shared" si="61"/>
        <v>2.6432917300527E-3</v>
      </c>
      <c r="AI149" s="299">
        <f t="shared" si="62"/>
        <v>2.5236074434878807E-3</v>
      </c>
      <c r="AJ149" s="299">
        <f t="shared" si="63"/>
        <v>2.4569146557964607E-3</v>
      </c>
      <c r="AK149" s="299">
        <f t="shared" si="64"/>
        <v>2.3617627134826795E-3</v>
      </c>
      <c r="AL149" s="299">
        <f t="shared" si="65"/>
        <v>2.2354826387235424E-3</v>
      </c>
      <c r="AM149" s="299">
        <f t="shared" si="66"/>
        <v>2.08306836354897E-3</v>
      </c>
      <c r="AN149" s="299">
        <f t="shared" si="67"/>
        <v>1.9188484158212742E-3</v>
      </c>
      <c r="AO149" s="299">
        <f t="shared" si="68"/>
        <v>1.7621944867018001E-3</v>
      </c>
      <c r="AP149" s="299">
        <f t="shared" si="69"/>
        <v>1.6291882817763158E-3</v>
      </c>
      <c r="AQ149" s="299">
        <f t="shared" si="70"/>
        <v>1.5269799431886675E-3</v>
      </c>
      <c r="AR149" s="299">
        <f t="shared" si="57"/>
        <v>1.4542962418729987E-3</v>
      </c>
      <c r="AS149" s="299">
        <f t="shared" si="57"/>
        <v>1.4054103768039695E-3</v>
      </c>
      <c r="AT149" s="299">
        <f t="shared" si="57"/>
        <v>1.3737509899773828E-3</v>
      </c>
      <c r="AU149" s="299">
        <f t="shared" si="57"/>
        <v>1.3537471862101963E-3</v>
      </c>
      <c r="AV149" s="299">
        <f t="shared" si="57"/>
        <v>1.3413041737507193E-3</v>
      </c>
      <c r="AW149" s="299">
        <f t="shared" si="57"/>
        <v>1.3336394243766306E-3</v>
      </c>
      <c r="AX149" s="299">
        <f t="shared" si="57"/>
        <v>1.3289463939209214E-3</v>
      </c>
      <c r="AY149" s="299">
        <f t="shared" si="57"/>
        <v>1.3260835046311748E-3</v>
      </c>
      <c r="AZ149" s="306">
        <f t="shared" si="48"/>
        <v>0.14633206927424047</v>
      </c>
      <c r="BA149" s="2">
        <f t="shared" si="49"/>
        <v>0.14633206927424047</v>
      </c>
      <c r="BB149" s="2">
        <f t="shared" si="71"/>
        <v>0.14633206927424047</v>
      </c>
      <c r="BC149" s="2">
        <f t="shared" si="72"/>
        <v>0.14633206927424047</v>
      </c>
      <c r="BD149" s="2">
        <f t="shared" si="73"/>
        <v>0.14633206927424047</v>
      </c>
      <c r="BE149" s="2">
        <f t="shared" si="74"/>
        <v>0.13970637256679003</v>
      </c>
      <c r="BF149" s="2">
        <f t="shared" si="75"/>
        <v>0.1360142739922757</v>
      </c>
      <c r="BG149" s="2">
        <f t="shared" si="76"/>
        <v>0.13074668265684591</v>
      </c>
      <c r="BH149" s="2">
        <f t="shared" si="77"/>
        <v>0.12375584451457174</v>
      </c>
      <c r="BI149" s="2">
        <f t="shared" si="78"/>
        <v>0.11531822258292669</v>
      </c>
      <c r="BJ149" s="2">
        <f t="shared" si="79"/>
        <v>0.10622704112388197</v>
      </c>
      <c r="BK149" s="2">
        <f t="shared" si="80"/>
        <v>9.7554712849493658E-2</v>
      </c>
      <c r="BL149" s="2">
        <f t="shared" si="81"/>
        <v>9.0191517568482524E-2</v>
      </c>
      <c r="BM149" s="2">
        <f t="shared" si="82"/>
        <v>8.4533285632685334E-2</v>
      </c>
      <c r="BN149" s="2">
        <f t="shared" si="58"/>
        <v>8.0509531351193084E-2</v>
      </c>
      <c r="BO149" s="2">
        <f t="shared" si="58"/>
        <v>7.7803220234459194E-2</v>
      </c>
      <c r="BP149" s="2">
        <f t="shared" si="58"/>
        <v>7.6050563297801022E-2</v>
      </c>
      <c r="BQ149" s="2">
        <f t="shared" si="58"/>
        <v>7.4943156966018679E-2</v>
      </c>
      <c r="BR149" s="2">
        <f t="shared" si="58"/>
        <v>7.425431443664561E-2</v>
      </c>
      <c r="BS149" s="2">
        <f t="shared" si="58"/>
        <v>7.3829995537741291E-2</v>
      </c>
      <c r="BT149" s="2">
        <f t="shared" si="58"/>
        <v>7.3570190367565375E-2</v>
      </c>
      <c r="BU149" s="2">
        <f t="shared" si="58"/>
        <v>7.3411701423984649E-2</v>
      </c>
    </row>
    <row r="150" spans="1:73" x14ac:dyDescent="0.25">
      <c r="A150" t="s">
        <v>40</v>
      </c>
      <c r="B150" s="1" t="s">
        <v>5</v>
      </c>
      <c r="C150" t="s">
        <v>13</v>
      </c>
      <c r="D150" t="s">
        <v>13</v>
      </c>
      <c r="E150" s="97">
        <v>6.8724755000000002</v>
      </c>
      <c r="F150" s="5">
        <f t="shared" si="56"/>
        <v>1.6837564975E-2</v>
      </c>
      <c r="G150" s="1">
        <f>LOOKUP(RIGHT(D150,5),Ref!$C$4:$C$21,Ref!$E$4:$E$21)*$G$3</f>
        <v>1.5</v>
      </c>
      <c r="H150" s="36">
        <f t="shared" ref="H150:L165" si="85">$E150</f>
        <v>6.8724755000000002</v>
      </c>
      <c r="I150" s="12">
        <f t="shared" si="85"/>
        <v>6.8724755000000002</v>
      </c>
      <c r="J150" s="12">
        <f t="shared" si="85"/>
        <v>6.8724755000000002</v>
      </c>
      <c r="K150" s="12">
        <f t="shared" si="85"/>
        <v>6.8724755000000002</v>
      </c>
      <c r="L150" s="12">
        <f t="shared" si="85"/>
        <v>6.8724755000000002</v>
      </c>
      <c r="M150" s="12">
        <f t="shared" si="84"/>
        <v>7.1984086514789345</v>
      </c>
      <c r="N150" s="12">
        <f t="shared" si="84"/>
        <v>7.3938089836705849</v>
      </c>
      <c r="O150" s="12">
        <f t="shared" si="84"/>
        <v>7.691694661125414</v>
      </c>
      <c r="P150" s="12">
        <f t="shared" si="84"/>
        <v>8.1261904429338507</v>
      </c>
      <c r="Q150" s="12">
        <f t="shared" si="84"/>
        <v>8.7207688293004679</v>
      </c>
      <c r="R150" s="12">
        <f t="shared" si="84"/>
        <v>9.4671144965688701</v>
      </c>
      <c r="S150" s="12">
        <f t="shared" si="84"/>
        <v>10.30871325</v>
      </c>
      <c r="T150" s="12">
        <f t="shared" si="84"/>
        <v>11.15031200343113</v>
      </c>
      <c r="U150" s="12">
        <f t="shared" si="84"/>
        <v>11.896657670699533</v>
      </c>
      <c r="V150" s="12">
        <f t="shared" si="84"/>
        <v>12.49123605706615</v>
      </c>
      <c r="W150" s="12">
        <f t="shared" si="84"/>
        <v>12.925731838874585</v>
      </c>
      <c r="X150" s="12">
        <f t="shared" si="84"/>
        <v>13.223617516329416</v>
      </c>
      <c r="Y150" s="12">
        <f t="shared" si="84"/>
        <v>13.419017848521065</v>
      </c>
      <c r="Z150" s="12">
        <f t="shared" si="84"/>
        <v>13.543503412310958</v>
      </c>
      <c r="AA150" s="12">
        <f t="shared" si="84"/>
        <v>13.62134121269767</v>
      </c>
      <c r="AB150" s="12">
        <f t="shared" si="84"/>
        <v>13.669443505951344</v>
      </c>
      <c r="AC150" s="12">
        <f t="shared" si="83"/>
        <v>13.698954545997701</v>
      </c>
      <c r="AD150" s="300">
        <f t="shared" si="46"/>
        <v>1.9998029972648516E-3</v>
      </c>
      <c r="AE150" s="299">
        <f t="shared" si="47"/>
        <v>1.9998029972648516E-3</v>
      </c>
      <c r="AF150" s="299">
        <f t="shared" si="59"/>
        <v>1.9998029972648516E-3</v>
      </c>
      <c r="AG150" s="299">
        <f t="shared" si="60"/>
        <v>1.9998029972648516E-3</v>
      </c>
      <c r="AH150" s="299">
        <f t="shared" si="61"/>
        <v>1.9998029972648516E-3</v>
      </c>
      <c r="AI150" s="299">
        <f t="shared" si="62"/>
        <v>1.9092549157660834E-3</v>
      </c>
      <c r="AJ150" s="299">
        <f t="shared" si="63"/>
        <v>1.8587979664990459E-3</v>
      </c>
      <c r="AK150" s="299">
        <f t="shared" si="64"/>
        <v>1.7868100215926094E-3</v>
      </c>
      <c r="AL150" s="299">
        <f t="shared" si="65"/>
        <v>1.6912718450353373E-3</v>
      </c>
      <c r="AM150" s="299">
        <f t="shared" si="66"/>
        <v>1.5759616350972229E-3</v>
      </c>
      <c r="AN150" s="299">
        <f t="shared" si="67"/>
        <v>1.451719751410031E-3</v>
      </c>
      <c r="AO150" s="299">
        <f t="shared" si="68"/>
        <v>1.3332019981765677E-3</v>
      </c>
      <c r="AP150" s="299">
        <f t="shared" si="69"/>
        <v>1.2325751153241392E-3</v>
      </c>
      <c r="AQ150" s="299">
        <f t="shared" si="70"/>
        <v>1.1552485987201752E-3</v>
      </c>
      <c r="AR150" s="299">
        <f t="shared" si="57"/>
        <v>1.1002591769734961E-3</v>
      </c>
      <c r="AS150" s="299">
        <f t="shared" si="57"/>
        <v>1.0632741940533623E-3</v>
      </c>
      <c r="AT150" s="299">
        <f t="shared" si="57"/>
        <v>1.0393220377523577E-3</v>
      </c>
      <c r="AU150" s="299">
        <f t="shared" si="57"/>
        <v>1.0241880038220506E-3</v>
      </c>
      <c r="AV150" s="299">
        <f t="shared" si="57"/>
        <v>1.0147741455904546E-3</v>
      </c>
      <c r="AW150" s="299">
        <f t="shared" si="57"/>
        <v>1.008975319604917E-3</v>
      </c>
      <c r="AX150" s="299">
        <f t="shared" si="57"/>
        <v>1.0054247707703412E-3</v>
      </c>
      <c r="AY150" s="299">
        <f t="shared" si="57"/>
        <v>1.0032588295246663E-3</v>
      </c>
      <c r="AZ150" s="306">
        <f t="shared" si="48"/>
        <v>0.11070866957419022</v>
      </c>
      <c r="BA150" s="2">
        <f t="shared" si="49"/>
        <v>0.11070866957419022</v>
      </c>
      <c r="BB150" s="2">
        <f t="shared" si="71"/>
        <v>0.11070866957419022</v>
      </c>
      <c r="BC150" s="2">
        <f t="shared" si="72"/>
        <v>0.11070866957419022</v>
      </c>
      <c r="BD150" s="2">
        <f t="shared" si="73"/>
        <v>0.11070866957419022</v>
      </c>
      <c r="BE150" s="2">
        <f t="shared" si="74"/>
        <v>0.10569594699654908</v>
      </c>
      <c r="BF150" s="2">
        <f t="shared" si="75"/>
        <v>0.10290266099199452</v>
      </c>
      <c r="BG150" s="2">
        <f t="shared" si="76"/>
        <v>9.8917423637679178E-2</v>
      </c>
      <c r="BH150" s="2">
        <f t="shared" si="77"/>
        <v>9.3628450456487933E-2</v>
      </c>
      <c r="BI150" s="2">
        <f t="shared" si="78"/>
        <v>8.724490170292111E-2</v>
      </c>
      <c r="BJ150" s="2">
        <f t="shared" si="79"/>
        <v>8.0366897385889549E-2</v>
      </c>
      <c r="BK150" s="2">
        <f t="shared" si="80"/>
        <v>7.3805779716126813E-2</v>
      </c>
      <c r="BL150" s="2">
        <f t="shared" si="81"/>
        <v>6.8235096834249498E-2</v>
      </c>
      <c r="BM150" s="2">
        <f t="shared" si="82"/>
        <v>6.3954317283593798E-2</v>
      </c>
      <c r="BN150" s="2">
        <f t="shared" si="58"/>
        <v>6.0910114564348319E-2</v>
      </c>
      <c r="BO150" s="2">
        <f t="shared" si="58"/>
        <v>5.8862633758032745E-2</v>
      </c>
      <c r="BP150" s="2">
        <f t="shared" si="58"/>
        <v>5.7536647467811126E-2</v>
      </c>
      <c r="BQ150" s="2">
        <f t="shared" si="58"/>
        <v>5.6698830560842545E-2</v>
      </c>
      <c r="BR150" s="2">
        <f t="shared" si="58"/>
        <v>5.6177681366744198E-2</v>
      </c>
      <c r="BS150" s="2">
        <f t="shared" si="58"/>
        <v>5.5856659590684678E-2</v>
      </c>
      <c r="BT150" s="2">
        <f t="shared" si="58"/>
        <v>5.5660101960622273E-2</v>
      </c>
      <c r="BU150" s="2">
        <f t="shared" si="58"/>
        <v>5.5540195912870315E-2</v>
      </c>
    </row>
    <row r="151" spans="1:73" x14ac:dyDescent="0.25">
      <c r="A151" t="s">
        <v>40</v>
      </c>
      <c r="B151" s="1" t="s">
        <v>5</v>
      </c>
      <c r="C151" t="s">
        <v>14</v>
      </c>
      <c r="D151" t="s">
        <v>14</v>
      </c>
      <c r="E151" s="97">
        <v>6.3918799999999996</v>
      </c>
      <c r="F151" s="5">
        <f t="shared" si="56"/>
        <v>1.5660106E-2</v>
      </c>
      <c r="G151" s="1">
        <f>LOOKUP(RIGHT(D151,5),Ref!$C$4:$C$21,Ref!$E$4:$E$21)*$G$3</f>
        <v>2</v>
      </c>
      <c r="H151" s="36">
        <f t="shared" si="85"/>
        <v>6.3918799999999996</v>
      </c>
      <c r="I151" s="12">
        <f t="shared" si="85"/>
        <v>6.3918799999999996</v>
      </c>
      <c r="J151" s="12">
        <f t="shared" si="85"/>
        <v>6.3918799999999996</v>
      </c>
      <c r="K151" s="12">
        <f t="shared" si="85"/>
        <v>6.3918799999999996</v>
      </c>
      <c r="L151" s="12">
        <f t="shared" si="85"/>
        <v>6.3918799999999996</v>
      </c>
      <c r="M151" s="12">
        <f t="shared" si="84"/>
        <v>6.6950204902462245</v>
      </c>
      <c r="N151" s="12">
        <f t="shared" si="84"/>
        <v>6.8767563837141852</v>
      </c>
      <c r="O151" s="12">
        <f t="shared" si="84"/>
        <v>7.1538107732147322</v>
      </c>
      <c r="P151" s="12">
        <f t="shared" si="84"/>
        <v>7.5579220571073726</v>
      </c>
      <c r="Q151" s="12">
        <f t="shared" si="84"/>
        <v>8.1109212924264451</v>
      </c>
      <c r="R151" s="12">
        <f t="shared" si="84"/>
        <v>8.8050746500774899</v>
      </c>
      <c r="S151" s="12">
        <f t="shared" si="84"/>
        <v>9.5878199999999989</v>
      </c>
      <c r="T151" s="12">
        <f t="shared" si="84"/>
        <v>10.37056534992251</v>
      </c>
      <c r="U151" s="12">
        <f t="shared" si="84"/>
        <v>11.064718707573554</v>
      </c>
      <c r="V151" s="12">
        <f t="shared" si="84"/>
        <v>11.617717942892627</v>
      </c>
      <c r="W151" s="12">
        <f t="shared" si="84"/>
        <v>12.021829226785265</v>
      </c>
      <c r="X151" s="12">
        <f t="shared" si="84"/>
        <v>12.298883616285814</v>
      </c>
      <c r="Y151" s="12">
        <f t="shared" si="84"/>
        <v>12.480619509753774</v>
      </c>
      <c r="Z151" s="12">
        <f t="shared" si="84"/>
        <v>12.596399738505021</v>
      </c>
      <c r="AA151" s="12">
        <f t="shared" si="84"/>
        <v>12.668794304267506</v>
      </c>
      <c r="AB151" s="12">
        <f t="shared" si="84"/>
        <v>12.713532781138364</v>
      </c>
      <c r="AC151" s="12">
        <f t="shared" si="83"/>
        <v>12.740980100034083</v>
      </c>
      <c r="AD151" s="300">
        <f t="shared" si="46"/>
        <v>2.1501650693581953E-3</v>
      </c>
      <c r="AE151" s="299">
        <f t="shared" si="47"/>
        <v>2.1501650693581953E-3</v>
      </c>
      <c r="AF151" s="299">
        <f t="shared" si="59"/>
        <v>2.1501650693581953E-3</v>
      </c>
      <c r="AG151" s="299">
        <f t="shared" si="60"/>
        <v>2.1501650693581953E-3</v>
      </c>
      <c r="AH151" s="299">
        <f t="shared" si="61"/>
        <v>2.1501650693581953E-3</v>
      </c>
      <c r="AI151" s="299">
        <f t="shared" si="62"/>
        <v>2.052808818666335E-3</v>
      </c>
      <c r="AJ151" s="299">
        <f t="shared" si="63"/>
        <v>1.9985580899851865E-3</v>
      </c>
      <c r="AK151" s="299">
        <f t="shared" si="64"/>
        <v>1.9211574836432601E-3</v>
      </c>
      <c r="AL151" s="299">
        <f t="shared" si="65"/>
        <v>1.8184359404189619E-3</v>
      </c>
      <c r="AM151" s="299">
        <f t="shared" si="66"/>
        <v>1.6944557354245705E-3</v>
      </c>
      <c r="AN151" s="299">
        <f t="shared" si="67"/>
        <v>1.5608722980455718E-3</v>
      </c>
      <c r="AO151" s="299">
        <f t="shared" si="68"/>
        <v>1.4334433795721302E-3</v>
      </c>
      <c r="AP151" s="299">
        <f t="shared" si="69"/>
        <v>1.3252505181534731E-3</v>
      </c>
      <c r="AQ151" s="299">
        <f t="shared" si="70"/>
        <v>1.2421099412244499E-3</v>
      </c>
      <c r="AR151" s="299">
        <f t="shared" si="57"/>
        <v>1.1829859505185509E-3</v>
      </c>
      <c r="AS151" s="299">
        <f t="shared" si="57"/>
        <v>1.14322012434745E-3</v>
      </c>
      <c r="AT151" s="299">
        <f t="shared" si="57"/>
        <v>1.1174670427265773E-3</v>
      </c>
      <c r="AU151" s="299">
        <f t="shared" si="57"/>
        <v>1.101195104360681E-3</v>
      </c>
      <c r="AV151" s="299">
        <f t="shared" si="57"/>
        <v>1.0910734327934557E-3</v>
      </c>
      <c r="AW151" s="299">
        <f t="shared" si="57"/>
        <v>1.0848386021154125E-3</v>
      </c>
      <c r="AX151" s="299">
        <f t="shared" si="57"/>
        <v>1.0810210930449708E-3</v>
      </c>
      <c r="AY151" s="299">
        <f t="shared" si="57"/>
        <v>1.0786922980511127E-3</v>
      </c>
      <c r="AZ151" s="306">
        <f t="shared" si="48"/>
        <v>0.11903268197873206</v>
      </c>
      <c r="BA151" s="2">
        <f t="shared" si="49"/>
        <v>0.11903268197873206</v>
      </c>
      <c r="BB151" s="2">
        <f t="shared" si="71"/>
        <v>0.11903268197873206</v>
      </c>
      <c r="BC151" s="2">
        <f t="shared" si="72"/>
        <v>0.11903268197873206</v>
      </c>
      <c r="BD151" s="2">
        <f t="shared" si="73"/>
        <v>0.11903268197873206</v>
      </c>
      <c r="BE151" s="2">
        <f t="shared" si="74"/>
        <v>0.11364306059924188</v>
      </c>
      <c r="BF151" s="2">
        <f t="shared" si="75"/>
        <v>0.11063975177135492</v>
      </c>
      <c r="BG151" s="2">
        <f t="shared" si="76"/>
        <v>0.1063548706285273</v>
      </c>
      <c r="BH151" s="2">
        <f t="shared" si="77"/>
        <v>0.10066822779294624</v>
      </c>
      <c r="BI151" s="2">
        <f t="shared" si="78"/>
        <v>9.3804709952820392E-2</v>
      </c>
      <c r="BJ151" s="2">
        <f t="shared" si="79"/>
        <v>8.6409559205670325E-2</v>
      </c>
      <c r="BK151" s="2">
        <f t="shared" si="80"/>
        <v>7.9355121319154703E-2</v>
      </c>
      <c r="BL151" s="2">
        <f t="shared" si="81"/>
        <v>7.3365587469337232E-2</v>
      </c>
      <c r="BM151" s="2">
        <f t="shared" si="82"/>
        <v>6.8762942772818789E-2</v>
      </c>
      <c r="BN151" s="2">
        <f t="shared" si="58"/>
        <v>6.5489851193338583E-2</v>
      </c>
      <c r="BO151" s="2">
        <f t="shared" si="58"/>
        <v>6.3288423494739107E-2</v>
      </c>
      <c r="BP151" s="2">
        <f t="shared" si="58"/>
        <v>6.1862738360962517E-2</v>
      </c>
      <c r="BQ151" s="2">
        <f t="shared" si="58"/>
        <v>6.0961927305900873E-2</v>
      </c>
      <c r="BR151" s="2">
        <f t="shared" si="58"/>
        <v>6.0401593715738722E-2</v>
      </c>
      <c r="BS151" s="2">
        <f t="shared" si="58"/>
        <v>6.0056434812421462E-2</v>
      </c>
      <c r="BT151" s="2">
        <f t="shared" si="58"/>
        <v>5.9845098320349968E-2</v>
      </c>
      <c r="BU151" s="2">
        <f t="shared" si="58"/>
        <v>5.971617672365586E-2</v>
      </c>
    </row>
    <row r="152" spans="1:73" x14ac:dyDescent="0.25">
      <c r="A152" t="s">
        <v>40</v>
      </c>
      <c r="B152" s="1" t="s">
        <v>5</v>
      </c>
      <c r="C152" t="s">
        <v>15</v>
      </c>
      <c r="D152" t="s">
        <v>15</v>
      </c>
      <c r="E152" s="97">
        <v>6.1986125000000003</v>
      </c>
      <c r="F152" s="5">
        <f t="shared" si="56"/>
        <v>1.5186600625000001E-2</v>
      </c>
      <c r="G152" s="1">
        <f>LOOKUP(RIGHT(D152,5),Ref!$C$4:$C$21,Ref!$E$4:$E$21)*$G$3</f>
        <v>2.5</v>
      </c>
      <c r="H152" s="36">
        <f t="shared" si="85"/>
        <v>6.1986125000000003</v>
      </c>
      <c r="I152" s="12">
        <f t="shared" si="85"/>
        <v>6.1986125000000003</v>
      </c>
      <c r="J152" s="12">
        <f t="shared" si="85"/>
        <v>6.1986125000000003</v>
      </c>
      <c r="K152" s="12">
        <f t="shared" si="85"/>
        <v>6.1986125000000003</v>
      </c>
      <c r="L152" s="12">
        <f t="shared" si="85"/>
        <v>6.1986125000000003</v>
      </c>
      <c r="M152" s="12">
        <f t="shared" si="84"/>
        <v>6.49258711030188</v>
      </c>
      <c r="N152" s="12">
        <f t="shared" si="84"/>
        <v>6.6688279629069305</v>
      </c>
      <c r="O152" s="12">
        <f t="shared" si="84"/>
        <v>6.937505222482824</v>
      </c>
      <c r="P152" s="12">
        <f t="shared" si="84"/>
        <v>7.3293976321851284</v>
      </c>
      <c r="Q152" s="12">
        <f t="shared" si="84"/>
        <v>7.86567615627182</v>
      </c>
      <c r="R152" s="12">
        <f t="shared" si="84"/>
        <v>8.5388408088705461</v>
      </c>
      <c r="S152" s="12">
        <f t="shared" si="84"/>
        <v>9.2979187500000009</v>
      </c>
      <c r="T152" s="12">
        <f t="shared" si="84"/>
        <v>10.056996691129456</v>
      </c>
      <c r="U152" s="12">
        <f t="shared" si="84"/>
        <v>10.730161343728181</v>
      </c>
      <c r="V152" s="12">
        <f t="shared" si="84"/>
        <v>11.266439867814872</v>
      </c>
      <c r="W152" s="12">
        <f t="shared" si="84"/>
        <v>11.658332277517175</v>
      </c>
      <c r="X152" s="12">
        <f t="shared" si="84"/>
        <v>11.92700953709307</v>
      </c>
      <c r="Y152" s="12">
        <f t="shared" si="84"/>
        <v>12.10325038969812</v>
      </c>
      <c r="Z152" s="12">
        <f t="shared" si="84"/>
        <v>12.215529840061759</v>
      </c>
      <c r="AA152" s="12">
        <f t="shared" si="84"/>
        <v>12.285735454101355</v>
      </c>
      <c r="AB152" s="12">
        <f t="shared" si="84"/>
        <v>12.329121200073223</v>
      </c>
      <c r="AC152" s="12">
        <f t="shared" si="83"/>
        <v>12.355738610600092</v>
      </c>
      <c r="AD152" s="300">
        <f t="shared" si="46"/>
        <v>2.2172053993582048E-3</v>
      </c>
      <c r="AE152" s="299">
        <f t="shared" si="47"/>
        <v>2.2172053993582048E-3</v>
      </c>
      <c r="AF152" s="299">
        <f t="shared" si="59"/>
        <v>2.2172053993582048E-3</v>
      </c>
      <c r="AG152" s="299">
        <f t="shared" si="60"/>
        <v>2.2172053993582048E-3</v>
      </c>
      <c r="AH152" s="299">
        <f t="shared" si="61"/>
        <v>2.2172053993582048E-3</v>
      </c>
      <c r="AI152" s="299">
        <f t="shared" si="62"/>
        <v>2.1168136630345859E-3</v>
      </c>
      <c r="AJ152" s="299">
        <f t="shared" si="63"/>
        <v>2.0608714424743459E-3</v>
      </c>
      <c r="AK152" s="299">
        <f t="shared" si="64"/>
        <v>1.9810575506292219E-3</v>
      </c>
      <c r="AL152" s="299">
        <f t="shared" si="65"/>
        <v>1.8751332364856091E-3</v>
      </c>
      <c r="AM152" s="299">
        <f t="shared" si="66"/>
        <v>1.7472874334612146E-3</v>
      </c>
      <c r="AN152" s="299">
        <f t="shared" si="67"/>
        <v>1.6095389773810715E-3</v>
      </c>
      <c r="AO152" s="299">
        <f t="shared" si="68"/>
        <v>1.4781369329054696E-3</v>
      </c>
      <c r="AP152" s="299">
        <f t="shared" si="69"/>
        <v>1.3665707094893931E-3</v>
      </c>
      <c r="AQ152" s="299">
        <f t="shared" si="70"/>
        <v>1.2808378796244702E-3</v>
      </c>
      <c r="AR152" s="299">
        <f t="shared" si="57"/>
        <v>1.2198704528473938E-3</v>
      </c>
      <c r="AS152" s="299">
        <f t="shared" si="57"/>
        <v>1.1788647618179034E-3</v>
      </c>
      <c r="AT152" s="299">
        <f t="shared" si="57"/>
        <v>1.1523087208731235E-3</v>
      </c>
      <c r="AU152" s="299">
        <f t="shared" si="57"/>
        <v>1.1355294372185629E-3</v>
      </c>
      <c r="AV152" s="299">
        <f t="shared" si="57"/>
        <v>1.1250921804845573E-3</v>
      </c>
      <c r="AW152" s="299">
        <f t="shared" si="57"/>
        <v>1.1186629530543265E-3</v>
      </c>
      <c r="AX152" s="299">
        <f t="shared" si="57"/>
        <v>1.1147264172768159E-3</v>
      </c>
      <c r="AY152" s="299">
        <f t="shared" si="57"/>
        <v>1.112325012422852E-3</v>
      </c>
      <c r="AZ152" s="306">
        <f t="shared" si="48"/>
        <v>0.12274402042170207</v>
      </c>
      <c r="BA152" s="2">
        <f t="shared" si="49"/>
        <v>0.12274402042170207</v>
      </c>
      <c r="BB152" s="2">
        <f t="shared" si="71"/>
        <v>0.12274402042170207</v>
      </c>
      <c r="BC152" s="2">
        <f t="shared" si="72"/>
        <v>0.12274402042170207</v>
      </c>
      <c r="BD152" s="2">
        <f t="shared" si="73"/>
        <v>0.12274402042170207</v>
      </c>
      <c r="BE152" s="2">
        <f t="shared" si="74"/>
        <v>0.11718635520176202</v>
      </c>
      <c r="BF152" s="2">
        <f t="shared" si="75"/>
        <v>0.11408940574237993</v>
      </c>
      <c r="BG152" s="2">
        <f t="shared" si="76"/>
        <v>0.10967092562618989</v>
      </c>
      <c r="BH152" s="2">
        <f t="shared" si="77"/>
        <v>0.10380697807213744</v>
      </c>
      <c r="BI152" s="2">
        <f t="shared" si="78"/>
        <v>9.6729461545343176E-2</v>
      </c>
      <c r="BJ152" s="2">
        <f t="shared" si="79"/>
        <v>8.9103736246706811E-2</v>
      </c>
      <c r="BK152" s="2">
        <f t="shared" si="80"/>
        <v>8.1829346947801376E-2</v>
      </c>
      <c r="BL152" s="2">
        <f t="shared" si="81"/>
        <v>7.565306449362777E-2</v>
      </c>
      <c r="BM152" s="2">
        <f t="shared" si="82"/>
        <v>7.0906913224649051E-2</v>
      </c>
      <c r="BN152" s="2">
        <f t="shared" si="58"/>
        <v>6.7531769415442089E-2</v>
      </c>
      <c r="BO152" s="2">
        <f t="shared" si="58"/>
        <v>6.5261703061379128E-2</v>
      </c>
      <c r="BP152" s="2">
        <f t="shared" si="58"/>
        <v>6.3791566269817482E-2</v>
      </c>
      <c r="BQ152" s="2">
        <f t="shared" si="58"/>
        <v>6.28626686872331E-2</v>
      </c>
      <c r="BR152" s="2">
        <f t="shared" si="58"/>
        <v>6.2284864369204565E-2</v>
      </c>
      <c r="BS152" s="2">
        <f t="shared" si="58"/>
        <v>6.1928943702936827E-2</v>
      </c>
      <c r="BT152" s="2">
        <f t="shared" si="58"/>
        <v>6.1711017917619231E-2</v>
      </c>
      <c r="BU152" s="2">
        <f t="shared" si="58"/>
        <v>6.1578076654477336E-2</v>
      </c>
    </row>
    <row r="153" spans="1:73" x14ac:dyDescent="0.25">
      <c r="A153" t="s">
        <v>40</v>
      </c>
      <c r="B153" s="1" t="s">
        <v>5</v>
      </c>
      <c r="C153" t="s">
        <v>16</v>
      </c>
      <c r="D153" t="s">
        <v>16</v>
      </c>
      <c r="E153" s="97">
        <v>6.085426</v>
      </c>
      <c r="F153" s="5">
        <f t="shared" si="56"/>
        <v>1.4909293700000001E-2</v>
      </c>
      <c r="G153" s="1">
        <f>LOOKUP(RIGHT(D153,5),Ref!$C$4:$C$21,Ref!$E$4:$E$21)*$G$3</f>
        <v>3</v>
      </c>
      <c r="H153" s="36">
        <f t="shared" si="85"/>
        <v>6.085426</v>
      </c>
      <c r="I153" s="12">
        <f t="shared" si="85"/>
        <v>6.085426</v>
      </c>
      <c r="J153" s="12">
        <f t="shared" si="85"/>
        <v>6.085426</v>
      </c>
      <c r="K153" s="12">
        <f t="shared" si="85"/>
        <v>6.085426</v>
      </c>
      <c r="L153" s="12">
        <f t="shared" si="85"/>
        <v>6.085426</v>
      </c>
      <c r="M153" s="12">
        <f t="shared" si="84"/>
        <v>6.3740326417074673</v>
      </c>
      <c r="N153" s="12">
        <f t="shared" si="84"/>
        <v>6.5470553410139551</v>
      </c>
      <c r="O153" s="12">
        <f t="shared" si="84"/>
        <v>6.8108265609493666</v>
      </c>
      <c r="P153" s="12">
        <f t="shared" si="84"/>
        <v>7.1955630256348195</v>
      </c>
      <c r="Q153" s="12">
        <f t="shared" si="84"/>
        <v>7.7220491180819248</v>
      </c>
      <c r="R153" s="12">
        <f t="shared" si="84"/>
        <v>8.3829218019616238</v>
      </c>
      <c r="S153" s="12">
        <f t="shared" si="84"/>
        <v>9.1281390000000009</v>
      </c>
      <c r="T153" s="12">
        <f t="shared" si="84"/>
        <v>9.8733561980383762</v>
      </c>
      <c r="U153" s="12">
        <f t="shared" si="84"/>
        <v>10.534228881918075</v>
      </c>
      <c r="V153" s="12">
        <f t="shared" si="84"/>
        <v>11.06071497436518</v>
      </c>
      <c r="W153" s="12">
        <f t="shared" si="84"/>
        <v>11.445451439050633</v>
      </c>
      <c r="X153" s="12">
        <f t="shared" si="84"/>
        <v>11.709222658986045</v>
      </c>
      <c r="Y153" s="12">
        <f t="shared" si="84"/>
        <v>11.882245358292533</v>
      </c>
      <c r="Z153" s="12">
        <f t="shared" si="84"/>
        <v>11.992474588867697</v>
      </c>
      <c r="AA153" s="12">
        <f t="shared" si="84"/>
        <v>12.061398250255229</v>
      </c>
      <c r="AB153" s="12">
        <f t="shared" si="84"/>
        <v>12.103991773655281</v>
      </c>
      <c r="AC153" s="12">
        <f t="shared" si="83"/>
        <v>12.130123150971233</v>
      </c>
      <c r="AD153" s="300">
        <f t="shared" si="46"/>
        <v>2.2584445367553989E-3</v>
      </c>
      <c r="AE153" s="299">
        <f t="shared" si="47"/>
        <v>2.2584445367553989E-3</v>
      </c>
      <c r="AF153" s="299">
        <f t="shared" si="59"/>
        <v>2.2584445367553989E-3</v>
      </c>
      <c r="AG153" s="299">
        <f t="shared" si="60"/>
        <v>2.2584445367553989E-3</v>
      </c>
      <c r="AH153" s="299">
        <f t="shared" si="61"/>
        <v>2.2584445367553989E-3</v>
      </c>
      <c r="AI153" s="299">
        <f t="shared" si="62"/>
        <v>2.1561855541184748E-3</v>
      </c>
      <c r="AJ153" s="299">
        <f t="shared" si="63"/>
        <v>2.0992028305355306E-3</v>
      </c>
      <c r="AK153" s="299">
        <f t="shared" si="64"/>
        <v>2.0179044320890074E-3</v>
      </c>
      <c r="AL153" s="299">
        <f t="shared" si="65"/>
        <v>1.9100099678880582E-3</v>
      </c>
      <c r="AM153" s="299">
        <f t="shared" si="66"/>
        <v>1.7797862838436623E-3</v>
      </c>
      <c r="AN153" s="299">
        <f t="shared" si="67"/>
        <v>1.6394757613405419E-3</v>
      </c>
      <c r="AO153" s="299">
        <f t="shared" si="68"/>
        <v>1.5056296911702656E-3</v>
      </c>
      <c r="AP153" s="299">
        <f t="shared" si="69"/>
        <v>1.3919883804313488E-3</v>
      </c>
      <c r="AQ153" s="299">
        <f t="shared" si="70"/>
        <v>1.3046609540751522E-3</v>
      </c>
      <c r="AR153" s="299">
        <f t="shared" si="57"/>
        <v>1.2425595574410923E-3</v>
      </c>
      <c r="AS153" s="299">
        <f t="shared" si="57"/>
        <v>1.2007911768895025E-3</v>
      </c>
      <c r="AT153" s="299">
        <f t="shared" si="57"/>
        <v>1.1737412041594383E-3</v>
      </c>
      <c r="AU153" s="299">
        <f t="shared" si="57"/>
        <v>1.1566498325114708E-3</v>
      </c>
      <c r="AV153" s="299">
        <f t="shared" si="57"/>
        <v>1.1460184469589858E-3</v>
      </c>
      <c r="AW153" s="299">
        <f t="shared" si="57"/>
        <v>1.1394696384590761E-3</v>
      </c>
      <c r="AX153" s="299">
        <f t="shared" si="57"/>
        <v>1.1354598846838801E-3</v>
      </c>
      <c r="AY153" s="299">
        <f t="shared" si="57"/>
        <v>1.1330138146560234E-3</v>
      </c>
      <c r="AZ153" s="306">
        <f t="shared" si="48"/>
        <v>0.12502701031714422</v>
      </c>
      <c r="BA153" s="2">
        <f t="shared" si="49"/>
        <v>0.12502701031714422</v>
      </c>
      <c r="BB153" s="2">
        <f t="shared" si="71"/>
        <v>0.12502701031714422</v>
      </c>
      <c r="BC153" s="2">
        <f t="shared" si="72"/>
        <v>0.12502701031714422</v>
      </c>
      <c r="BD153" s="2">
        <f t="shared" si="73"/>
        <v>0.12502701031714422</v>
      </c>
      <c r="BE153" s="2">
        <f t="shared" si="74"/>
        <v>0.11936597473752571</v>
      </c>
      <c r="BF153" s="2">
        <f t="shared" si="75"/>
        <v>0.11621142325159949</v>
      </c>
      <c r="BG153" s="2">
        <f t="shared" si="76"/>
        <v>0.11171076116496546</v>
      </c>
      <c r="BH153" s="2">
        <f t="shared" si="77"/>
        <v>0.10573774652180097</v>
      </c>
      <c r="BI153" s="2">
        <f t="shared" si="78"/>
        <v>9.8528591006321262E-2</v>
      </c>
      <c r="BJ153" s="2">
        <f t="shared" si="79"/>
        <v>9.076103025417448E-2</v>
      </c>
      <c r="BK153" s="2">
        <f t="shared" si="80"/>
        <v>8.3351340211429481E-2</v>
      </c>
      <c r="BL153" s="2">
        <f t="shared" si="81"/>
        <v>7.7060181363393015E-2</v>
      </c>
      <c r="BM153" s="2">
        <f t="shared" si="82"/>
        <v>7.2225753571027715E-2</v>
      </c>
      <c r="BN153" s="2">
        <f t="shared" si="58"/>
        <v>6.8787833431164402E-2</v>
      </c>
      <c r="BO153" s="2">
        <f t="shared" si="58"/>
        <v>6.6475544746999293E-2</v>
      </c>
      <c r="BP153" s="2">
        <f t="shared" si="58"/>
        <v>6.4978063996615695E-2</v>
      </c>
      <c r="BQ153" s="2">
        <f t="shared" si="58"/>
        <v>6.4031889288940769E-2</v>
      </c>
      <c r="BR153" s="2">
        <f t="shared" si="58"/>
        <v>6.3443338040714989E-2</v>
      </c>
      <c r="BS153" s="2">
        <f t="shared" si="58"/>
        <v>6.3080797391804694E-2</v>
      </c>
      <c r="BT153" s="2">
        <f t="shared" si="58"/>
        <v>6.2858818273671971E-2</v>
      </c>
      <c r="BU153" s="2">
        <f t="shared" si="58"/>
        <v>6.2723404355981227E-2</v>
      </c>
    </row>
    <row r="154" spans="1:73" x14ac:dyDescent="0.25">
      <c r="A154" t="s">
        <v>40</v>
      </c>
      <c r="B154" s="1" t="s">
        <v>5</v>
      </c>
      <c r="C154" t="s">
        <v>17</v>
      </c>
      <c r="D154" t="s">
        <v>17</v>
      </c>
      <c r="E154" s="97">
        <v>6.2761750000000003</v>
      </c>
      <c r="F154" s="5">
        <f t="shared" si="56"/>
        <v>1.5376628750000001E-2</v>
      </c>
      <c r="G154" s="1">
        <f>LOOKUP(RIGHT(D154,5),Ref!$C$4:$C$21,Ref!$E$4:$E$21)*$G$3</f>
        <v>3</v>
      </c>
      <c r="H154" s="36">
        <f t="shared" si="85"/>
        <v>6.2761750000000003</v>
      </c>
      <c r="I154" s="12">
        <f t="shared" si="85"/>
        <v>6.2761750000000003</v>
      </c>
      <c r="J154" s="12">
        <f t="shared" si="85"/>
        <v>6.2761750000000003</v>
      </c>
      <c r="K154" s="12">
        <f t="shared" si="85"/>
        <v>6.2761750000000003</v>
      </c>
      <c r="L154" s="12">
        <f t="shared" si="85"/>
        <v>6.2761750000000003</v>
      </c>
      <c r="M154" s="12">
        <f t="shared" si="84"/>
        <v>6.5738280795902151</v>
      </c>
      <c r="N154" s="12">
        <f t="shared" si="84"/>
        <v>6.7522742129948279</v>
      </c>
      <c r="O154" s="12">
        <f t="shared" si="84"/>
        <v>7.024313399122164</v>
      </c>
      <c r="P154" s="12">
        <f t="shared" si="84"/>
        <v>7.4211095118753585</v>
      </c>
      <c r="Q154" s="12">
        <f t="shared" si="84"/>
        <v>7.9640984252668297</v>
      </c>
      <c r="R154" s="12">
        <f t="shared" si="84"/>
        <v>8.645686306994202</v>
      </c>
      <c r="S154" s="12">
        <f t="shared" si="84"/>
        <v>9.4142624999999995</v>
      </c>
      <c r="T154" s="12">
        <f t="shared" si="84"/>
        <v>10.182838693005799</v>
      </c>
      <c r="U154" s="12">
        <f t="shared" si="84"/>
        <v>10.864426574733171</v>
      </c>
      <c r="V154" s="12">
        <f t="shared" si="84"/>
        <v>11.407415488124641</v>
      </c>
      <c r="W154" s="12">
        <f t="shared" si="84"/>
        <v>11.804211600877835</v>
      </c>
      <c r="X154" s="12">
        <f t="shared" si="84"/>
        <v>12.076250787005172</v>
      </c>
      <c r="Y154" s="12">
        <f t="shared" si="84"/>
        <v>12.254696920409785</v>
      </c>
      <c r="Z154" s="12">
        <f t="shared" si="84"/>
        <v>12.368381310164107</v>
      </c>
      <c r="AA154" s="12">
        <f t="shared" si="84"/>
        <v>12.439465398691171</v>
      </c>
      <c r="AB154" s="12">
        <f t="shared" si="84"/>
        <v>12.483394025335437</v>
      </c>
      <c r="AC154" s="12">
        <f t="shared" si="83"/>
        <v>12.510344496350278</v>
      </c>
      <c r="AD154" s="300">
        <f t="shared" si="46"/>
        <v>2.1898046347543303E-3</v>
      </c>
      <c r="AE154" s="299">
        <f t="shared" si="47"/>
        <v>2.1898046347543303E-3</v>
      </c>
      <c r="AF154" s="299">
        <f t="shared" si="59"/>
        <v>2.1898046347543303E-3</v>
      </c>
      <c r="AG154" s="299">
        <f t="shared" si="60"/>
        <v>2.1898046347543303E-3</v>
      </c>
      <c r="AH154" s="299">
        <f t="shared" si="61"/>
        <v>2.1898046347543303E-3</v>
      </c>
      <c r="AI154" s="299">
        <f t="shared" si="62"/>
        <v>2.090653563971204E-3</v>
      </c>
      <c r="AJ154" s="299">
        <f t="shared" si="63"/>
        <v>2.0354026910043956E-3</v>
      </c>
      <c r="AK154" s="299">
        <f t="shared" si="64"/>
        <v>1.9565751586833827E-3</v>
      </c>
      <c r="AL154" s="299">
        <f t="shared" si="65"/>
        <v>1.8519598830251153E-3</v>
      </c>
      <c r="AM154" s="299">
        <f t="shared" si="66"/>
        <v>1.7256940295873847E-3</v>
      </c>
      <c r="AN154" s="299">
        <f t="shared" si="67"/>
        <v>1.5896479024934019E-3</v>
      </c>
      <c r="AO154" s="299">
        <f t="shared" si="68"/>
        <v>1.459869756502887E-3</v>
      </c>
      <c r="AP154" s="299">
        <f t="shared" si="69"/>
        <v>1.3496822956617402E-3</v>
      </c>
      <c r="AQ154" s="299">
        <f t="shared" si="70"/>
        <v>1.2650089729992768E-3</v>
      </c>
      <c r="AR154" s="299">
        <f t="shared" si="57"/>
        <v>1.204794996538579E-3</v>
      </c>
      <c r="AS154" s="299">
        <f t="shared" si="57"/>
        <v>1.1642960638309126E-3</v>
      </c>
      <c r="AT154" s="299">
        <f t="shared" si="57"/>
        <v>1.1380682089111847E-3</v>
      </c>
      <c r="AU154" s="299">
        <f t="shared" si="57"/>
        <v>1.1214962877327272E-3</v>
      </c>
      <c r="AV154" s="299">
        <f t="shared" si="57"/>
        <v>1.1111880171607441E-3</v>
      </c>
      <c r="AW154" s="299">
        <f t="shared" si="57"/>
        <v>1.1048382436897413E-3</v>
      </c>
      <c r="AX154" s="299">
        <f t="shared" si="57"/>
        <v>1.1009503565806063E-3</v>
      </c>
      <c r="AY154" s="299">
        <f t="shared" si="57"/>
        <v>1.0985786288729912E-3</v>
      </c>
      <c r="AZ154" s="306">
        <f t="shared" si="48"/>
        <v>0.12122711990762172</v>
      </c>
      <c r="BA154" s="2">
        <f t="shared" si="49"/>
        <v>0.12122711990762172</v>
      </c>
      <c r="BB154" s="2">
        <f t="shared" si="71"/>
        <v>0.12122711990762172</v>
      </c>
      <c r="BC154" s="2">
        <f t="shared" si="72"/>
        <v>0.12122711990762172</v>
      </c>
      <c r="BD154" s="2">
        <f t="shared" si="73"/>
        <v>0.12122711990762172</v>
      </c>
      <c r="BE154" s="2">
        <f t="shared" si="74"/>
        <v>0.11573813766873646</v>
      </c>
      <c r="BF154" s="2">
        <f t="shared" si="75"/>
        <v>0.11267946106542409</v>
      </c>
      <c r="BG154" s="2">
        <f t="shared" si="76"/>
        <v>0.10831558560318523</v>
      </c>
      <c r="BH154" s="2">
        <f t="shared" si="77"/>
        <v>0.10252410614190603</v>
      </c>
      <c r="BI154" s="2">
        <f t="shared" si="78"/>
        <v>9.5534055288967176E-2</v>
      </c>
      <c r="BJ154" s="2">
        <f t="shared" si="79"/>
        <v>8.8002570561773685E-2</v>
      </c>
      <c r="BK154" s="2">
        <f t="shared" si="80"/>
        <v>8.0818079938414486E-2</v>
      </c>
      <c r="BL154" s="2">
        <f t="shared" si="81"/>
        <v>7.4718125487818185E-2</v>
      </c>
      <c r="BM154" s="2">
        <f t="shared" si="82"/>
        <v>7.0030628312742219E-2</v>
      </c>
      <c r="BN154" s="2">
        <f t="shared" si="58"/>
        <v>6.6697195353169245E-2</v>
      </c>
      <c r="BO154" s="2">
        <f t="shared" si="58"/>
        <v>6.4455183032269325E-2</v>
      </c>
      <c r="BP154" s="2">
        <f t="shared" si="58"/>
        <v>6.3003214549414099E-2</v>
      </c>
      <c r="BQ154" s="2">
        <f t="shared" si="58"/>
        <v>6.2085796509504861E-2</v>
      </c>
      <c r="BR154" s="2">
        <f t="shared" si="58"/>
        <v>6.1515132838035273E-2</v>
      </c>
      <c r="BS154" s="2">
        <f t="shared" si="58"/>
        <v>6.1163610726090403E-2</v>
      </c>
      <c r="BT154" s="2">
        <f t="shared" si="58"/>
        <v>6.0948378120730944E-2</v>
      </c>
      <c r="BU154" s="2">
        <f t="shared" si="58"/>
        <v>6.0817079778113479E-2</v>
      </c>
    </row>
    <row r="155" spans="1:73" x14ac:dyDescent="0.25">
      <c r="A155" t="s">
        <v>40</v>
      </c>
      <c r="B155" s="1" t="s">
        <v>5</v>
      </c>
      <c r="C155" t="s">
        <v>18</v>
      </c>
      <c r="D155" t="s">
        <v>18</v>
      </c>
      <c r="E155" s="97">
        <v>6.2915049999999999</v>
      </c>
      <c r="F155" s="5">
        <f t="shared" si="56"/>
        <v>1.5414187249999999E-2</v>
      </c>
      <c r="G155" s="1">
        <f>LOOKUP(RIGHT(D155,5),Ref!$C$4:$C$21,Ref!$E$4:$E$21)*$G$3</f>
        <v>3</v>
      </c>
      <c r="H155" s="36">
        <f t="shared" si="85"/>
        <v>6.2915049999999999</v>
      </c>
      <c r="I155" s="12">
        <f t="shared" si="85"/>
        <v>6.2915049999999999</v>
      </c>
      <c r="J155" s="12">
        <f t="shared" si="85"/>
        <v>6.2915049999999999</v>
      </c>
      <c r="K155" s="12">
        <f t="shared" si="85"/>
        <v>6.2915049999999999</v>
      </c>
      <c r="L155" s="12">
        <f t="shared" si="85"/>
        <v>6.2915049999999999</v>
      </c>
      <c r="M155" s="12">
        <f t="shared" si="84"/>
        <v>6.589885118226027</v>
      </c>
      <c r="N155" s="12">
        <f t="shared" si="84"/>
        <v>6.7687671188945533</v>
      </c>
      <c r="O155" s="12">
        <f t="shared" si="84"/>
        <v>7.0414707799167626</v>
      </c>
      <c r="P155" s="12">
        <f t="shared" si="84"/>
        <v>7.4392360951553096</v>
      </c>
      <c r="Q155" s="12">
        <f t="shared" si="84"/>
        <v>7.9835512972564313</v>
      </c>
      <c r="R155" s="12">
        <f t="shared" si="84"/>
        <v>8.6668040054468758</v>
      </c>
      <c r="S155" s="12">
        <f t="shared" si="84"/>
        <v>9.4372574999999994</v>
      </c>
      <c r="T155" s="12">
        <f t="shared" si="84"/>
        <v>10.207710994553123</v>
      </c>
      <c r="U155" s="12">
        <f t="shared" si="84"/>
        <v>10.890963702743568</v>
      </c>
      <c r="V155" s="12">
        <f t="shared" si="84"/>
        <v>11.43527890484469</v>
      </c>
      <c r="W155" s="12">
        <f t="shared" si="84"/>
        <v>11.833044220083236</v>
      </c>
      <c r="X155" s="12">
        <f t="shared" si="84"/>
        <v>12.105747881105447</v>
      </c>
      <c r="Y155" s="12">
        <f t="shared" si="84"/>
        <v>12.284629881773972</v>
      </c>
      <c r="Z155" s="12">
        <f t="shared" si="84"/>
        <v>12.398591953666688</v>
      </c>
      <c r="AA155" s="12">
        <f t="shared" si="84"/>
        <v>12.469849670092451</v>
      </c>
      <c r="AB155" s="12">
        <f t="shared" si="84"/>
        <v>12.51388559550491</v>
      </c>
      <c r="AC155" s="12">
        <f t="shared" si="83"/>
        <v>12.540901894945607</v>
      </c>
      <c r="AD155" s="300">
        <f t="shared" si="46"/>
        <v>2.1844689153913506E-3</v>
      </c>
      <c r="AE155" s="299">
        <f t="shared" si="47"/>
        <v>2.1844689153913506E-3</v>
      </c>
      <c r="AF155" s="299">
        <f>Algae_electricity_factor/J155</f>
        <v>2.1844689153913506E-3</v>
      </c>
      <c r="AG155" s="299">
        <f>Algae_electricity_factor/K155</f>
        <v>2.1844689153913506E-3</v>
      </c>
      <c r="AH155" s="299">
        <f>Algae_electricity_factor/L155</f>
        <v>2.1844689153913506E-3</v>
      </c>
      <c r="AI155" s="299">
        <f t="shared" ref="AI155:AV179" si="86">Algae_electricity_factor/M155</f>
        <v>2.0855594379813689E-3</v>
      </c>
      <c r="AJ155" s="299">
        <f t="shared" si="86"/>
        <v>2.0304431903359391E-3</v>
      </c>
      <c r="AK155" s="299">
        <f t="shared" si="86"/>
        <v>1.9518077306701148E-3</v>
      </c>
      <c r="AL155" s="299">
        <f t="shared" si="86"/>
        <v>1.8474473625698705E-3</v>
      </c>
      <c r="AM155" s="299">
        <f t="shared" si="86"/>
        <v>1.7214891708972025E-3</v>
      </c>
      <c r="AN155" s="299">
        <f t="shared" si="86"/>
        <v>1.5857745363679326E-3</v>
      </c>
      <c r="AO155" s="299">
        <f t="shared" si="86"/>
        <v>1.4563126102609006E-3</v>
      </c>
      <c r="AP155" s="299">
        <f t="shared" si="86"/>
        <v>1.3463936342695145E-3</v>
      </c>
      <c r="AQ155" s="299">
        <f t="shared" si="86"/>
        <v>1.2619266282254782E-3</v>
      </c>
      <c r="AR155" s="299">
        <f t="shared" si="57"/>
        <v>1.2018593702779407E-3</v>
      </c>
      <c r="AS155" s="299">
        <f t="shared" si="57"/>
        <v>1.1614591180351885E-3</v>
      </c>
      <c r="AT155" s="299">
        <f t="shared" si="57"/>
        <v>1.1352951704024956E-3</v>
      </c>
      <c r="AU155" s="299">
        <f t="shared" si="57"/>
        <v>1.1187636286804112E-3</v>
      </c>
      <c r="AV155" s="299">
        <f t="shared" si="57"/>
        <v>1.1084804754353421E-3</v>
      </c>
      <c r="AW155" s="299">
        <f t="shared" si="57"/>
        <v>1.1021461739423972E-3</v>
      </c>
      <c r="AX155" s="299">
        <f t="shared" si="57"/>
        <v>1.0982677601324782E-3</v>
      </c>
      <c r="AY155" s="299">
        <f t="shared" si="57"/>
        <v>1.095901811421424E-3</v>
      </c>
      <c r="AZ155" s="306">
        <f t="shared" si="48"/>
        <v>0.12093173561591666</v>
      </c>
      <c r="BA155" s="2">
        <f t="shared" si="49"/>
        <v>0.12093173561591666</v>
      </c>
      <c r="BB155" s="2">
        <f>Algae_yield_cost_factor/J155</f>
        <v>0.12093173561591666</v>
      </c>
      <c r="BC155" s="2">
        <f>Algae_yield_cost_factor/K155</f>
        <v>0.12093173561591666</v>
      </c>
      <c r="BD155" s="2">
        <f>Algae_yield_cost_factor/L155</f>
        <v>0.12093173561591666</v>
      </c>
      <c r="BE155" s="2">
        <f t="shared" ref="BE155:BR179" si="87">Algae_yield_cost_factor/M155</f>
        <v>0.11545612793490304</v>
      </c>
      <c r="BF155" s="2">
        <f t="shared" si="87"/>
        <v>0.11240490416081494</v>
      </c>
      <c r="BG155" s="2">
        <f t="shared" si="87"/>
        <v>0.10805166180000987</v>
      </c>
      <c r="BH155" s="2">
        <f t="shared" si="87"/>
        <v>0.10227429396705195</v>
      </c>
      <c r="BI155" s="2">
        <f t="shared" si="87"/>
        <v>9.5301275204141722E-2</v>
      </c>
      <c r="BJ155" s="2">
        <f t="shared" si="87"/>
        <v>8.778814183498862E-2</v>
      </c>
      <c r="BK155" s="2">
        <f t="shared" si="87"/>
        <v>8.062115707727778E-2</v>
      </c>
      <c r="BL155" s="2">
        <f t="shared" si="87"/>
        <v>7.4536065890992265E-2</v>
      </c>
      <c r="BM155" s="2">
        <f t="shared" si="87"/>
        <v>6.9859990360132421E-2</v>
      </c>
      <c r="BN155" s="2">
        <f t="shared" si="58"/>
        <v>6.6534679706314631E-2</v>
      </c>
      <c r="BO155" s="2">
        <f t="shared" si="58"/>
        <v>6.4298130315012539E-2</v>
      </c>
      <c r="BP155" s="2">
        <f t="shared" si="58"/>
        <v>6.2849699726006583E-2</v>
      </c>
      <c r="BQ155" s="2">
        <f t="shared" si="58"/>
        <v>6.1934517084233691E-2</v>
      </c>
      <c r="BR155" s="2">
        <f t="shared" si="58"/>
        <v>6.1365243902652231E-2</v>
      </c>
      <c r="BS155" s="2">
        <f t="shared" si="58"/>
        <v>6.1014578316129525E-2</v>
      </c>
      <c r="BT155" s="2">
        <f t="shared" si="58"/>
        <v>6.0799870150604438E-2</v>
      </c>
      <c r="BU155" s="2">
        <f t="shared" si="58"/>
        <v>6.0668891732010295E-2</v>
      </c>
    </row>
    <row r="156" spans="1:73" x14ac:dyDescent="0.25">
      <c r="A156" t="s">
        <v>40</v>
      </c>
      <c r="B156" s="1" t="s">
        <v>5</v>
      </c>
      <c r="C156" t="s">
        <v>6</v>
      </c>
      <c r="D156" t="s">
        <v>6</v>
      </c>
      <c r="E156" s="97">
        <v>6.5586849999999997</v>
      </c>
      <c r="F156" s="5">
        <f t="shared" si="56"/>
        <v>1.6068778249999999E-2</v>
      </c>
      <c r="G156" s="1">
        <f>LOOKUP(RIGHT(D156,5),Ref!$C$4:$C$21,Ref!$E$4:$E$21)*$G$3</f>
        <v>3</v>
      </c>
      <c r="H156" s="36">
        <f t="shared" si="85"/>
        <v>6.5586849999999997</v>
      </c>
      <c r="I156" s="12">
        <f t="shared" si="85"/>
        <v>6.5586849999999997</v>
      </c>
      <c r="J156" s="12">
        <f t="shared" si="85"/>
        <v>6.5586849999999997</v>
      </c>
      <c r="K156" s="12">
        <f t="shared" si="85"/>
        <v>6.5586849999999997</v>
      </c>
      <c r="L156" s="12">
        <f t="shared" si="85"/>
        <v>6.5586849999999997</v>
      </c>
      <c r="M156" s="12">
        <f t="shared" si="84"/>
        <v>6.8697363630216088</v>
      </c>
      <c r="N156" s="12">
        <f t="shared" si="84"/>
        <v>7.0562149074326284</v>
      </c>
      <c r="O156" s="12">
        <f t="shared" si="84"/>
        <v>7.3404994166226318</v>
      </c>
      <c r="P156" s="12">
        <f t="shared" si="84"/>
        <v>7.7551565466058916</v>
      </c>
      <c r="Q156" s="12">
        <f t="shared" si="84"/>
        <v>8.3225870662180661</v>
      </c>
      <c r="R156" s="12">
        <f t="shared" si="84"/>
        <v>9.034855321336364</v>
      </c>
      <c r="S156" s="12">
        <f t="shared" si="84"/>
        <v>9.838027499999999</v>
      </c>
      <c r="T156" s="12">
        <f t="shared" si="84"/>
        <v>10.641199678663634</v>
      </c>
      <c r="U156" s="12">
        <f t="shared" si="84"/>
        <v>11.353467933781932</v>
      </c>
      <c r="V156" s="12">
        <f t="shared" si="84"/>
        <v>11.920898453394107</v>
      </c>
      <c r="W156" s="12">
        <f t="shared" si="84"/>
        <v>12.335555583377365</v>
      </c>
      <c r="X156" s="12">
        <f t="shared" si="84"/>
        <v>12.619840092567371</v>
      </c>
      <c r="Y156" s="12">
        <f t="shared" si="84"/>
        <v>12.806318636978389</v>
      </c>
      <c r="Z156" s="12">
        <f t="shared" si="84"/>
        <v>12.92512031185454</v>
      </c>
      <c r="AA156" s="12">
        <f t="shared" si="84"/>
        <v>12.999404114514778</v>
      </c>
      <c r="AB156" s="12">
        <f t="shared" si="84"/>
        <v>13.045310104172868</v>
      </c>
      <c r="AC156" s="12">
        <f t="shared" si="83"/>
        <v>13.073473699035658</v>
      </c>
      <c r="AD156" s="300">
        <f t="shared" ref="AD156:AQ189" si="88">Algae_electricity_factor/H156</f>
        <v>2.0954805884913301E-3</v>
      </c>
      <c r="AE156" s="299">
        <f t="shared" si="88"/>
        <v>2.0954805884913301E-3</v>
      </c>
      <c r="AF156" s="299">
        <f t="shared" si="88"/>
        <v>2.0954805884913301E-3</v>
      </c>
      <c r="AG156" s="299">
        <f t="shared" si="88"/>
        <v>2.0954805884913301E-3</v>
      </c>
      <c r="AH156" s="299">
        <f t="shared" si="88"/>
        <v>2.0954805884913301E-3</v>
      </c>
      <c r="AI156" s="299">
        <f t="shared" si="86"/>
        <v>2.0006003691070652E-3</v>
      </c>
      <c r="AJ156" s="299">
        <f t="shared" si="86"/>
        <v>1.9477293823707822E-3</v>
      </c>
      <c r="AK156" s="299">
        <f t="shared" si="86"/>
        <v>1.8722972816272896E-3</v>
      </c>
      <c r="AL156" s="299">
        <f t="shared" si="86"/>
        <v>1.7721882235303501E-3</v>
      </c>
      <c r="AM156" s="299">
        <f t="shared" si="86"/>
        <v>1.6513611686101107E-3</v>
      </c>
      <c r="AN156" s="299">
        <f t="shared" si="86"/>
        <v>1.521175117333967E-3</v>
      </c>
      <c r="AO156" s="299">
        <f t="shared" si="86"/>
        <v>1.3969870589942202E-3</v>
      </c>
      <c r="AP156" s="299">
        <f t="shared" si="86"/>
        <v>1.2915458330404375E-3</v>
      </c>
      <c r="AQ156" s="299">
        <f t="shared" si="86"/>
        <v>1.2105197446002876E-3</v>
      </c>
      <c r="AR156" s="299">
        <f t="shared" si="57"/>
        <v>1.1528994359998256E-3</v>
      </c>
      <c r="AS156" s="299">
        <f t="shared" si="57"/>
        <v>1.1141449617436999E-3</v>
      </c>
      <c r="AT156" s="299">
        <f t="shared" si="57"/>
        <v>1.089046850254762E-3</v>
      </c>
      <c r="AU156" s="299">
        <f t="shared" si="57"/>
        <v>1.0731887510470393E-3</v>
      </c>
      <c r="AV156" s="299">
        <f t="shared" si="57"/>
        <v>1.0633245008113414E-3</v>
      </c>
      <c r="AW156" s="299">
        <f t="shared" si="57"/>
        <v>1.0572482386468419E-3</v>
      </c>
      <c r="AX156" s="299">
        <f t="shared" si="57"/>
        <v>1.0535278190997566E-3</v>
      </c>
      <c r="AY156" s="299">
        <f t="shared" si="57"/>
        <v>1.0512582516261943E-3</v>
      </c>
      <c r="AZ156" s="306">
        <f t="shared" ref="AZ156:BM189" si="89">Algae_yield_cost_factor/H156</f>
        <v>0.11600536072188522</v>
      </c>
      <c r="BA156" s="2">
        <f t="shared" si="89"/>
        <v>0.11600536072188522</v>
      </c>
      <c r="BB156" s="2">
        <f t="shared" si="89"/>
        <v>0.11600536072188522</v>
      </c>
      <c r="BC156" s="2">
        <f t="shared" si="89"/>
        <v>0.11600536072188522</v>
      </c>
      <c r="BD156" s="2">
        <f t="shared" si="89"/>
        <v>0.11600536072188522</v>
      </c>
      <c r="BE156" s="2">
        <f t="shared" si="87"/>
        <v>0.1107528119101744</v>
      </c>
      <c r="BF156" s="2">
        <f t="shared" si="87"/>
        <v>0.10782588530357658</v>
      </c>
      <c r="BG156" s="2">
        <f t="shared" si="87"/>
        <v>0.10364998021296512</v>
      </c>
      <c r="BH156" s="2">
        <f t="shared" si="87"/>
        <v>9.8107963999670242E-2</v>
      </c>
      <c r="BI156" s="2">
        <f t="shared" si="87"/>
        <v>9.1419003878557004E-2</v>
      </c>
      <c r="BJ156" s="2">
        <f t="shared" si="87"/>
        <v>8.4211931705142115E-2</v>
      </c>
      <c r="BK156" s="2">
        <f t="shared" si="87"/>
        <v>7.7336907147923489E-2</v>
      </c>
      <c r="BL156" s="2">
        <f t="shared" si="87"/>
        <v>7.1499703253549651E-2</v>
      </c>
      <c r="BM156" s="2">
        <f t="shared" si="87"/>
        <v>6.7014116191084785E-2</v>
      </c>
      <c r="BN156" s="2">
        <f t="shared" si="58"/>
        <v>6.3824268133883089E-2</v>
      </c>
      <c r="BO156" s="2">
        <f t="shared" si="58"/>
        <v>6.16788286626897E-2</v>
      </c>
      <c r="BP156" s="2">
        <f t="shared" si="58"/>
        <v>6.0289402536433605E-2</v>
      </c>
      <c r="BQ156" s="2">
        <f t="shared" si="58"/>
        <v>5.941150152935256E-2</v>
      </c>
      <c r="BR156" s="2">
        <f t="shared" si="58"/>
        <v>5.8865418729479473E-2</v>
      </c>
      <c r="BS156" s="2">
        <f t="shared" si="58"/>
        <v>5.8529038145424046E-2</v>
      </c>
      <c r="BT156" s="2">
        <f t="shared" si="58"/>
        <v>5.8323076508763345E-2</v>
      </c>
      <c r="BU156" s="2">
        <f t="shared" si="58"/>
        <v>5.8197433735024839E-2</v>
      </c>
    </row>
    <row r="157" spans="1:73" x14ac:dyDescent="0.25">
      <c r="A157" t="s">
        <v>40</v>
      </c>
      <c r="B157" s="1" t="s">
        <v>5</v>
      </c>
      <c r="C157" t="s">
        <v>7</v>
      </c>
      <c r="D157" t="s">
        <v>7</v>
      </c>
      <c r="E157" s="97">
        <v>6.4747349999999999</v>
      </c>
      <c r="F157" s="5">
        <f t="shared" si="56"/>
        <v>1.5863100750000001E-2</v>
      </c>
      <c r="G157" s="1">
        <f>LOOKUP(RIGHT(D157,5),Ref!$C$4:$C$21,Ref!$E$4:$E$21)*$G$3</f>
        <v>3.5</v>
      </c>
      <c r="H157" s="36">
        <f t="shared" si="85"/>
        <v>6.4747349999999999</v>
      </c>
      <c r="I157" s="12">
        <f t="shared" si="85"/>
        <v>6.4747349999999999</v>
      </c>
      <c r="J157" s="12">
        <f t="shared" si="85"/>
        <v>6.4747349999999999</v>
      </c>
      <c r="K157" s="12">
        <f t="shared" si="85"/>
        <v>6.4747349999999999</v>
      </c>
      <c r="L157" s="12">
        <f t="shared" si="85"/>
        <v>6.4747349999999999</v>
      </c>
      <c r="M157" s="12">
        <f t="shared" si="84"/>
        <v>6.7818049609683522</v>
      </c>
      <c r="N157" s="12">
        <f t="shared" si="84"/>
        <v>6.9658966132198454</v>
      </c>
      <c r="O157" s="12">
        <f t="shared" si="84"/>
        <v>7.2465423313188753</v>
      </c>
      <c r="P157" s="12">
        <f t="shared" si="84"/>
        <v>7.6558919238823488</v>
      </c>
      <c r="Q157" s="12">
        <f t="shared" si="84"/>
        <v>8.2160594338940562</v>
      </c>
      <c r="R157" s="12">
        <f t="shared" si="84"/>
        <v>8.9192107821907598</v>
      </c>
      <c r="S157" s="12">
        <f t="shared" si="84"/>
        <v>9.7121025000000003</v>
      </c>
      <c r="T157" s="12">
        <f t="shared" si="84"/>
        <v>10.504994217809239</v>
      </c>
      <c r="U157" s="12">
        <f t="shared" si="84"/>
        <v>11.208145566105944</v>
      </c>
      <c r="V157" s="12">
        <f t="shared" si="84"/>
        <v>11.768313076117652</v>
      </c>
      <c r="W157" s="12">
        <f t="shared" si="84"/>
        <v>12.177662668681123</v>
      </c>
      <c r="X157" s="12">
        <f t="shared" si="84"/>
        <v>12.458308386780153</v>
      </c>
      <c r="Y157" s="12">
        <f t="shared" si="84"/>
        <v>12.642400039031648</v>
      </c>
      <c r="Z157" s="12">
        <f t="shared" si="84"/>
        <v>12.759681073626117</v>
      </c>
      <c r="AA157" s="12">
        <f t="shared" si="84"/>
        <v>12.833014056841098</v>
      </c>
      <c r="AB157" s="12">
        <f t="shared" si="84"/>
        <v>12.878332458006707</v>
      </c>
      <c r="AC157" s="12">
        <f t="shared" si="83"/>
        <v>12.906135563870752</v>
      </c>
      <c r="AD157" s="300">
        <f t="shared" si="88"/>
        <v>2.1226501321720903E-3</v>
      </c>
      <c r="AE157" s="299">
        <f t="shared" si="88"/>
        <v>2.1226501321720903E-3</v>
      </c>
      <c r="AF157" s="299">
        <f t="shared" si="88"/>
        <v>2.1226501321720903E-3</v>
      </c>
      <c r="AG157" s="299">
        <f t="shared" si="88"/>
        <v>2.1226501321720903E-3</v>
      </c>
      <c r="AH157" s="299">
        <f t="shared" si="88"/>
        <v>2.1226501321720903E-3</v>
      </c>
      <c r="AI157" s="299">
        <f t="shared" si="86"/>
        <v>2.0265397165840724E-3</v>
      </c>
      <c r="AJ157" s="299">
        <f t="shared" si="86"/>
        <v>1.9729832161802011E-3</v>
      </c>
      <c r="AK157" s="299">
        <f t="shared" si="86"/>
        <v>1.8965730792919989E-3</v>
      </c>
      <c r="AL157" s="299">
        <f t="shared" si="86"/>
        <v>1.7951660290104773E-3</v>
      </c>
      <c r="AM157" s="299">
        <f t="shared" si="86"/>
        <v>1.672772356883425E-3</v>
      </c>
      <c r="AN157" s="299">
        <f t="shared" si="86"/>
        <v>1.5408983416976183E-3</v>
      </c>
      <c r="AO157" s="299">
        <f t="shared" si="86"/>
        <v>1.415100088114727E-3</v>
      </c>
      <c r="AP157" s="299">
        <f t="shared" si="86"/>
        <v>1.3082917342524167E-3</v>
      </c>
      <c r="AQ157" s="299">
        <f t="shared" si="86"/>
        <v>1.2262150792447469E-3</v>
      </c>
      <c r="AR157" s="299">
        <f t="shared" si="57"/>
        <v>1.167847678306605E-3</v>
      </c>
      <c r="AS157" s="299">
        <f t="shared" si="57"/>
        <v>1.1285907220008199E-3</v>
      </c>
      <c r="AT157" s="299">
        <f t="shared" si="57"/>
        <v>1.1031671938794645E-3</v>
      </c>
      <c r="AU157" s="299">
        <f t="shared" si="57"/>
        <v>1.0871034820206463E-3</v>
      </c>
      <c r="AV157" s="299">
        <f t="shared" si="57"/>
        <v>1.077111334070635E-3</v>
      </c>
      <c r="AW157" s="299">
        <f t="shared" si="57"/>
        <v>1.0709562884178984E-3</v>
      </c>
      <c r="AX157" s="299">
        <f t="shared" si="57"/>
        <v>1.0671876307234637E-3</v>
      </c>
      <c r="AY157" s="299">
        <f t="shared" si="57"/>
        <v>1.0648886365336875E-3</v>
      </c>
      <c r="AZ157" s="306">
        <f t="shared" si="89"/>
        <v>0.11750946089472662</v>
      </c>
      <c r="BA157" s="2">
        <f t="shared" si="89"/>
        <v>0.11750946089472662</v>
      </c>
      <c r="BB157" s="2">
        <f t="shared" si="89"/>
        <v>0.11750946089472662</v>
      </c>
      <c r="BC157" s="2">
        <f t="shared" si="89"/>
        <v>0.11750946089472662</v>
      </c>
      <c r="BD157" s="2">
        <f t="shared" si="89"/>
        <v>0.11750946089472662</v>
      </c>
      <c r="BE157" s="2">
        <f t="shared" si="87"/>
        <v>0.11218880868222131</v>
      </c>
      <c r="BF157" s="2">
        <f t="shared" si="87"/>
        <v>0.10922393218445049</v>
      </c>
      <c r="BG157" s="2">
        <f t="shared" si="87"/>
        <v>0.10499388322040533</v>
      </c>
      <c r="BH157" s="2">
        <f t="shared" si="87"/>
        <v>9.9380010435203461E-2</v>
      </c>
      <c r="BI157" s="2">
        <f t="shared" si="87"/>
        <v>9.2604322717954254E-2</v>
      </c>
      <c r="BJ157" s="2">
        <f t="shared" si="87"/>
        <v>8.5303805220683177E-2</v>
      </c>
      <c r="BK157" s="2">
        <f t="shared" si="87"/>
        <v>7.8339640596484406E-2</v>
      </c>
      <c r="BL157" s="2">
        <f t="shared" si="87"/>
        <v>7.2426752791196439E-2</v>
      </c>
      <c r="BM157" s="2">
        <f t="shared" si="87"/>
        <v>6.78830065864819E-2</v>
      </c>
      <c r="BN157" s="2">
        <f t="shared" si="58"/>
        <v>6.4651799655997808E-2</v>
      </c>
      <c r="BO157" s="2">
        <f t="shared" si="58"/>
        <v>6.2478542885161005E-2</v>
      </c>
      <c r="BP157" s="2">
        <f t="shared" si="58"/>
        <v>6.1071101763187079E-2</v>
      </c>
      <c r="BQ157" s="2">
        <f t="shared" si="58"/>
        <v>6.0181818083372009E-2</v>
      </c>
      <c r="BR157" s="2">
        <f t="shared" si="58"/>
        <v>5.9628654893174163E-2</v>
      </c>
      <c r="BS157" s="2">
        <f t="shared" si="58"/>
        <v>5.9287912871927646E-2</v>
      </c>
      <c r="BT157" s="2">
        <f t="shared" si="58"/>
        <v>5.9079280781665744E-2</v>
      </c>
      <c r="BU157" s="2">
        <f t="shared" si="58"/>
        <v>5.895200895116192E-2</v>
      </c>
    </row>
    <row r="158" spans="1:73" x14ac:dyDescent="0.25">
      <c r="A158" t="s">
        <v>40</v>
      </c>
      <c r="B158" s="1" t="s">
        <v>5</v>
      </c>
      <c r="C158" t="s">
        <v>8</v>
      </c>
      <c r="D158" t="s">
        <v>8</v>
      </c>
      <c r="E158" s="97">
        <v>6.2944250000000004</v>
      </c>
      <c r="F158" s="5">
        <f t="shared" si="56"/>
        <v>1.5421341250000001E-2</v>
      </c>
      <c r="G158" s="1">
        <f>LOOKUP(RIGHT(D158,5),Ref!$C$4:$C$21,Ref!$E$4:$E$21)*$G$3</f>
        <v>4</v>
      </c>
      <c r="H158" s="36">
        <f t="shared" si="85"/>
        <v>6.2944250000000004</v>
      </c>
      <c r="I158" s="12">
        <f t="shared" si="85"/>
        <v>6.2944250000000004</v>
      </c>
      <c r="J158" s="12">
        <f t="shared" si="85"/>
        <v>6.2944250000000004</v>
      </c>
      <c r="K158" s="12">
        <f t="shared" si="85"/>
        <v>6.2944250000000004</v>
      </c>
      <c r="L158" s="12">
        <f t="shared" si="85"/>
        <v>6.2944250000000004</v>
      </c>
      <c r="M158" s="12">
        <f t="shared" si="84"/>
        <v>6.5929436017757057</v>
      </c>
      <c r="N158" s="12">
        <f t="shared" si="84"/>
        <v>6.7719086247802158</v>
      </c>
      <c r="O158" s="12">
        <f t="shared" si="84"/>
        <v>7.0447388524490675</v>
      </c>
      <c r="P158" s="12">
        <f t="shared" si="84"/>
        <v>7.4426887776848254</v>
      </c>
      <c r="Q158" s="12">
        <f t="shared" si="84"/>
        <v>7.9872566062068326</v>
      </c>
      <c r="R158" s="12">
        <f t="shared" si="84"/>
        <v>8.6708264241997668</v>
      </c>
      <c r="S158" s="12">
        <f t="shared" si="84"/>
        <v>9.4416375000000006</v>
      </c>
      <c r="T158" s="12">
        <f t="shared" si="84"/>
        <v>10.212448575800234</v>
      </c>
      <c r="U158" s="12">
        <f t="shared" si="84"/>
        <v>10.896018393793168</v>
      </c>
      <c r="V158" s="12">
        <f t="shared" si="84"/>
        <v>11.440586222315176</v>
      </c>
      <c r="W158" s="12">
        <f t="shared" si="84"/>
        <v>11.838536147550933</v>
      </c>
      <c r="X158" s="12">
        <f t="shared" si="84"/>
        <v>12.111366375219786</v>
      </c>
      <c r="Y158" s="12">
        <f t="shared" si="84"/>
        <v>12.290331398224295</v>
      </c>
      <c r="Z158" s="12">
        <f t="shared" si="84"/>
        <v>12.404346361952895</v>
      </c>
      <c r="AA158" s="12">
        <f t="shared" si="84"/>
        <v>12.475637150359363</v>
      </c>
      <c r="AB158" s="12">
        <f t="shared" si="84"/>
        <v>12.519693513632429</v>
      </c>
      <c r="AC158" s="12">
        <f t="shared" si="83"/>
        <v>12.546722351820909</v>
      </c>
      <c r="AD158" s="300">
        <f t="shared" si="88"/>
        <v>2.1834555346245698E-3</v>
      </c>
      <c r="AE158" s="299">
        <f t="shared" si="88"/>
        <v>2.1834555346245698E-3</v>
      </c>
      <c r="AF158" s="299">
        <f t="shared" si="88"/>
        <v>2.1834555346245698E-3</v>
      </c>
      <c r="AG158" s="299">
        <f t="shared" si="88"/>
        <v>2.1834555346245698E-3</v>
      </c>
      <c r="AH158" s="299">
        <f t="shared" si="88"/>
        <v>2.1834555346245698E-3</v>
      </c>
      <c r="AI158" s="299">
        <f t="shared" si="86"/>
        <v>2.0845919415763904E-3</v>
      </c>
      <c r="AJ158" s="299">
        <f t="shared" si="86"/>
        <v>2.0295012625004684E-3</v>
      </c>
      <c r="AK158" s="299">
        <f t="shared" si="86"/>
        <v>1.9509022820272987E-3</v>
      </c>
      <c r="AL158" s="299">
        <f t="shared" si="86"/>
        <v>1.8465903269711135E-3</v>
      </c>
      <c r="AM158" s="299">
        <f t="shared" si="86"/>
        <v>1.7206905676285923E-3</v>
      </c>
      <c r="AN158" s="299">
        <f t="shared" si="86"/>
        <v>1.5850388914684865E-3</v>
      </c>
      <c r="AO158" s="299">
        <f t="shared" si="86"/>
        <v>1.4556370230830466E-3</v>
      </c>
      <c r="AP158" s="299">
        <f t="shared" si="86"/>
        <v>1.3457690387882642E-3</v>
      </c>
      <c r="AQ158" s="299">
        <f t="shared" si="86"/>
        <v>1.2613412172062955E-3</v>
      </c>
      <c r="AR158" s="299">
        <f t="shared" si="57"/>
        <v>1.201301824614721E-3</v>
      </c>
      <c r="AS158" s="299">
        <f t="shared" si="57"/>
        <v>1.1609203141532353E-3</v>
      </c>
      <c r="AT158" s="299">
        <f t="shared" si="57"/>
        <v>1.1347685040433643E-3</v>
      </c>
      <c r="AU158" s="299">
        <f t="shared" si="57"/>
        <v>1.1182446313461436E-3</v>
      </c>
      <c r="AV158" s="299">
        <f t="shared" si="57"/>
        <v>1.1079662484824004E-3</v>
      </c>
      <c r="AW158" s="299">
        <f t="shared" si="57"/>
        <v>1.1016348854882632E-3</v>
      </c>
      <c r="AX158" s="299">
        <f t="shared" si="57"/>
        <v>1.0977582708845187E-3</v>
      </c>
      <c r="AY158" s="299">
        <f t="shared" si="57"/>
        <v>1.0953934197431767E-3</v>
      </c>
      <c r="AZ158" s="306">
        <f t="shared" si="89"/>
        <v>0.12087563507170515</v>
      </c>
      <c r="BA158" s="2">
        <f t="shared" si="89"/>
        <v>0.12087563507170515</v>
      </c>
      <c r="BB158" s="2">
        <f t="shared" si="89"/>
        <v>0.12087563507170515</v>
      </c>
      <c r="BC158" s="2">
        <f t="shared" si="89"/>
        <v>0.12087563507170515</v>
      </c>
      <c r="BD158" s="2">
        <f t="shared" si="89"/>
        <v>0.12087563507170515</v>
      </c>
      <c r="BE158" s="2">
        <f t="shared" si="87"/>
        <v>0.11540256753922433</v>
      </c>
      <c r="BF158" s="2">
        <f t="shared" si="87"/>
        <v>0.11235275923571859</v>
      </c>
      <c r="BG158" s="2">
        <f t="shared" si="87"/>
        <v>0.10800153635527805</v>
      </c>
      <c r="BH158" s="2">
        <f t="shared" si="87"/>
        <v>0.10222684865816609</v>
      </c>
      <c r="BI158" s="2">
        <f t="shared" si="87"/>
        <v>9.5257064696653557E-2</v>
      </c>
      <c r="BJ158" s="2">
        <f t="shared" si="87"/>
        <v>8.7747416689457736E-2</v>
      </c>
      <c r="BK158" s="2">
        <f t="shared" si="87"/>
        <v>8.0583756714470101E-2</v>
      </c>
      <c r="BL158" s="2">
        <f t="shared" si="87"/>
        <v>7.4501488417688222E-2</v>
      </c>
      <c r="BM158" s="2">
        <f t="shared" si="87"/>
        <v>6.9827582130333576E-2</v>
      </c>
      <c r="BN158" s="2">
        <f t="shared" si="58"/>
        <v>6.6503814096708913E-2</v>
      </c>
      <c r="BO158" s="2">
        <f t="shared" si="58"/>
        <v>6.4268302246440756E-2</v>
      </c>
      <c r="BP158" s="2">
        <f t="shared" si="58"/>
        <v>6.2820543588122668E-2</v>
      </c>
      <c r="BQ158" s="2">
        <f t="shared" si="58"/>
        <v>6.1905785501938884E-2</v>
      </c>
      <c r="BR158" s="2">
        <f t="shared" si="58"/>
        <v>6.133677640765535E-2</v>
      </c>
      <c r="BS158" s="2">
        <f t="shared" si="58"/>
        <v>6.0986273495803101E-2</v>
      </c>
      <c r="BT158" s="2">
        <f t="shared" si="58"/>
        <v>6.0771664933950045E-2</v>
      </c>
      <c r="BU158" s="2">
        <f t="shared" si="58"/>
        <v>6.0640747276582273E-2</v>
      </c>
    </row>
    <row r="159" spans="1:73" x14ac:dyDescent="0.25">
      <c r="A159" t="s">
        <v>40</v>
      </c>
      <c r="B159" s="1" t="s">
        <v>5</v>
      </c>
      <c r="C159" t="s">
        <v>9</v>
      </c>
      <c r="D159" t="s">
        <v>9</v>
      </c>
      <c r="E159" s="97">
        <v>6.3969899999999997</v>
      </c>
      <c r="F159" s="5">
        <f t="shared" si="56"/>
        <v>1.5672625500000002E-2</v>
      </c>
      <c r="G159" s="1">
        <f>LOOKUP(RIGHT(D159,5),Ref!$C$4:$C$21,Ref!$E$4:$E$21)*$G$3</f>
        <v>4.5</v>
      </c>
      <c r="H159" s="36">
        <f t="shared" si="85"/>
        <v>6.3969899999999997</v>
      </c>
      <c r="I159" s="12">
        <f t="shared" si="85"/>
        <v>6.3969899999999997</v>
      </c>
      <c r="J159" s="12">
        <f t="shared" si="85"/>
        <v>6.3969899999999997</v>
      </c>
      <c r="K159" s="12">
        <f t="shared" si="85"/>
        <v>6.3969899999999997</v>
      </c>
      <c r="L159" s="12">
        <f t="shared" si="85"/>
        <v>6.3969899999999997</v>
      </c>
      <c r="M159" s="12">
        <f t="shared" si="84"/>
        <v>6.7003728364581621</v>
      </c>
      <c r="N159" s="12">
        <f t="shared" si="84"/>
        <v>6.8822540190140939</v>
      </c>
      <c r="O159" s="12">
        <f t="shared" si="84"/>
        <v>7.159529900146266</v>
      </c>
      <c r="P159" s="12">
        <f t="shared" si="84"/>
        <v>7.5639642515340233</v>
      </c>
      <c r="Q159" s="12">
        <f t="shared" si="84"/>
        <v>8.1174055830896457</v>
      </c>
      <c r="R159" s="12">
        <f t="shared" si="84"/>
        <v>8.8121138828950478</v>
      </c>
      <c r="S159" s="12">
        <f t="shared" si="84"/>
        <v>9.595485</v>
      </c>
      <c r="T159" s="12">
        <f t="shared" si="84"/>
        <v>10.37885611710495</v>
      </c>
      <c r="U159" s="12">
        <f t="shared" si="84"/>
        <v>11.073564416910354</v>
      </c>
      <c r="V159" s="12">
        <f t="shared" si="84"/>
        <v>11.627005748465976</v>
      </c>
      <c r="W159" s="12">
        <f t="shared" si="84"/>
        <v>12.031440099853732</v>
      </c>
      <c r="X159" s="12">
        <f t="shared" si="84"/>
        <v>12.308715980985905</v>
      </c>
      <c r="Y159" s="12">
        <f t="shared" si="84"/>
        <v>12.490597163541837</v>
      </c>
      <c r="Z159" s="12">
        <f t="shared" si="84"/>
        <v>12.606469953005881</v>
      </c>
      <c r="AA159" s="12">
        <f t="shared" si="84"/>
        <v>12.678922394734599</v>
      </c>
      <c r="AB159" s="12">
        <f t="shared" si="84"/>
        <v>12.723696637861522</v>
      </c>
      <c r="AC159" s="12">
        <f t="shared" si="83"/>
        <v>12.751165899565859</v>
      </c>
      <c r="AD159" s="300">
        <f t="shared" si="88"/>
        <v>2.1484474891361812E-3</v>
      </c>
      <c r="AE159" s="299">
        <f t="shared" si="88"/>
        <v>2.1484474891361812E-3</v>
      </c>
      <c r="AF159" s="299">
        <f t="shared" si="88"/>
        <v>2.1484474891361812E-3</v>
      </c>
      <c r="AG159" s="299">
        <f t="shared" si="88"/>
        <v>2.1484474891361812E-3</v>
      </c>
      <c r="AH159" s="299">
        <f t="shared" si="88"/>
        <v>2.1484474891361812E-3</v>
      </c>
      <c r="AI159" s="299">
        <f t="shared" si="86"/>
        <v>2.0511690079016809E-3</v>
      </c>
      <c r="AJ159" s="299">
        <f t="shared" si="86"/>
        <v>1.9969616154182691E-3</v>
      </c>
      <c r="AK159" s="299">
        <f t="shared" si="86"/>
        <v>1.9196228377017441E-3</v>
      </c>
      <c r="AL159" s="299">
        <f t="shared" si="86"/>
        <v>1.8169833498012586E-3</v>
      </c>
      <c r="AM159" s="299">
        <f t="shared" si="86"/>
        <v>1.6931021818301425E-3</v>
      </c>
      <c r="AN159" s="299">
        <f t="shared" si="86"/>
        <v>1.5596254526631321E-3</v>
      </c>
      <c r="AO159" s="299">
        <f t="shared" si="86"/>
        <v>1.4322983260907874E-3</v>
      </c>
      <c r="AP159" s="299">
        <f t="shared" si="86"/>
        <v>1.3241918905570935E-3</v>
      </c>
      <c r="AQ159" s="299">
        <f t="shared" si="86"/>
        <v>1.2411177274176974E-3</v>
      </c>
      <c r="AR159" s="299">
        <f t="shared" si="57"/>
        <v>1.1820409657355281E-3</v>
      </c>
      <c r="AS159" s="299">
        <f t="shared" si="57"/>
        <v>1.1423069050309565E-3</v>
      </c>
      <c r="AT159" s="299">
        <f t="shared" si="57"/>
        <v>1.1165743953114127E-3</v>
      </c>
      <c r="AU159" s="299">
        <f t="shared" si="57"/>
        <v>1.1003154551845399E-3</v>
      </c>
      <c r="AV159" s="299">
        <f t="shared" si="57"/>
        <v>1.0902018689420857E-3</v>
      </c>
      <c r="AW159" s="299">
        <f t="shared" si="57"/>
        <v>1.0839720187290371E-3</v>
      </c>
      <c r="AX159" s="299">
        <f t="shared" si="57"/>
        <v>1.0801575591352006E-3</v>
      </c>
      <c r="AY159" s="299">
        <f t="shared" si="57"/>
        <v>1.077830624413505E-3</v>
      </c>
      <c r="AZ159" s="306">
        <f t="shared" si="89"/>
        <v>0.11893759710210862</v>
      </c>
      <c r="BA159" s="2">
        <f t="shared" si="89"/>
        <v>0.11893759710210862</v>
      </c>
      <c r="BB159" s="2">
        <f t="shared" si="89"/>
        <v>0.11893759710210862</v>
      </c>
      <c r="BC159" s="2">
        <f t="shared" si="89"/>
        <v>0.11893759710210862</v>
      </c>
      <c r="BD159" s="2">
        <f t="shared" si="89"/>
        <v>0.11893759710210862</v>
      </c>
      <c r="BE159" s="2">
        <f t="shared" si="87"/>
        <v>0.11355228102327534</v>
      </c>
      <c r="BF159" s="2">
        <f t="shared" si="87"/>
        <v>0.11055137127809923</v>
      </c>
      <c r="BG159" s="2">
        <f t="shared" si="87"/>
        <v>0.10626991295485394</v>
      </c>
      <c r="BH159" s="2">
        <f t="shared" si="87"/>
        <v>0.10058781268458715</v>
      </c>
      <c r="BI159" s="2">
        <f t="shared" si="87"/>
        <v>9.3729777513054363E-2</v>
      </c>
      <c r="BJ159" s="2">
        <f t="shared" si="87"/>
        <v>8.6340534109876688E-2</v>
      </c>
      <c r="BK159" s="2">
        <f t="shared" si="87"/>
        <v>7.9291731401405746E-2</v>
      </c>
      <c r="BL159" s="2">
        <f t="shared" si="87"/>
        <v>7.3306982070240431E-2</v>
      </c>
      <c r="BM159" s="2">
        <f t="shared" si="87"/>
        <v>6.8708014027022854E-2</v>
      </c>
      <c r="BN159" s="2">
        <f t="shared" si="58"/>
        <v>6.5437537036274404E-2</v>
      </c>
      <c r="BO159" s="2">
        <f t="shared" si="58"/>
        <v>6.3237867867161429E-2</v>
      </c>
      <c r="BP159" s="2">
        <f t="shared" si="58"/>
        <v>6.181332158947709E-2</v>
      </c>
      <c r="BQ159" s="2">
        <f t="shared" si="58"/>
        <v>6.0913230114169582E-2</v>
      </c>
      <c r="BR159" s="2">
        <f t="shared" si="58"/>
        <v>6.0353344125871081E-2</v>
      </c>
      <c r="BS159" s="2">
        <f t="shared" si="58"/>
        <v>6.0008460940039067E-2</v>
      </c>
      <c r="BT159" s="2">
        <f t="shared" si="58"/>
        <v>5.979729326634535E-2</v>
      </c>
      <c r="BU159" s="2">
        <f t="shared" si="58"/>
        <v>5.9668474653923401E-2</v>
      </c>
    </row>
    <row r="160" spans="1:73" x14ac:dyDescent="0.25">
      <c r="A160" t="s">
        <v>40</v>
      </c>
      <c r="B160" s="1" t="s">
        <v>5</v>
      </c>
      <c r="C160" t="s">
        <v>10</v>
      </c>
      <c r="D160" t="s">
        <v>10</v>
      </c>
      <c r="E160" s="97">
        <v>6.2274475000000002</v>
      </c>
      <c r="F160" s="5">
        <f t="shared" si="56"/>
        <v>1.5257246375000002E-2</v>
      </c>
      <c r="G160" s="1">
        <f>LOOKUP(RIGHT(D160,5),Ref!$C$4:$C$21,Ref!$E$4:$E$21)*$G$3</f>
        <v>4.5</v>
      </c>
      <c r="H160" s="36">
        <f t="shared" si="85"/>
        <v>6.2274475000000002</v>
      </c>
      <c r="I160" s="12">
        <f t="shared" si="85"/>
        <v>6.2274475000000002</v>
      </c>
      <c r="J160" s="12">
        <f t="shared" si="85"/>
        <v>6.2274475000000002</v>
      </c>
      <c r="K160" s="12">
        <f t="shared" si="85"/>
        <v>6.2274475000000002</v>
      </c>
      <c r="L160" s="12">
        <f t="shared" si="85"/>
        <v>6.2274475000000002</v>
      </c>
      <c r="M160" s="12">
        <f t="shared" si="84"/>
        <v>6.5227896353549557</v>
      </c>
      <c r="N160" s="12">
        <f t="shared" si="84"/>
        <v>6.6998503335278423</v>
      </c>
      <c r="O160" s="12">
        <f t="shared" si="84"/>
        <v>6.9697774387393316</v>
      </c>
      <c r="P160" s="12">
        <f t="shared" si="84"/>
        <v>7.3634928721640849</v>
      </c>
      <c r="Q160" s="12">
        <f t="shared" si="84"/>
        <v>7.9022660821570234</v>
      </c>
      <c r="R160" s="12">
        <f t="shared" si="84"/>
        <v>8.5785621940553405</v>
      </c>
      <c r="S160" s="12">
        <f t="shared" si="84"/>
        <v>9.3411712500000004</v>
      </c>
      <c r="T160" s="12">
        <f t="shared" si="84"/>
        <v>10.10378030594466</v>
      </c>
      <c r="U160" s="12">
        <f t="shared" si="84"/>
        <v>10.780076417842977</v>
      </c>
      <c r="V160" s="12">
        <f t="shared" si="84"/>
        <v>11.318849627835917</v>
      </c>
      <c r="W160" s="12">
        <f t="shared" si="84"/>
        <v>11.712565061260667</v>
      </c>
      <c r="X160" s="12">
        <f t="shared" si="84"/>
        <v>11.982492166472158</v>
      </c>
      <c r="Y160" s="12">
        <f t="shared" si="84"/>
        <v>12.159552864645045</v>
      </c>
      <c r="Z160" s="12">
        <f t="shared" si="84"/>
        <v>12.272354621888043</v>
      </c>
      <c r="AA160" s="12">
        <f t="shared" si="84"/>
        <v>12.342886821737098</v>
      </c>
      <c r="AB160" s="12">
        <f t="shared" si="84"/>
        <v>12.386474391582469</v>
      </c>
      <c r="AC160" s="12">
        <f t="shared" si="83"/>
        <v>12.41321562224369</v>
      </c>
      <c r="AD160" s="300">
        <f t="shared" si="88"/>
        <v>2.206939055452376E-3</v>
      </c>
      <c r="AE160" s="299">
        <f t="shared" si="88"/>
        <v>2.206939055452376E-3</v>
      </c>
      <c r="AF160" s="299">
        <f t="shared" si="88"/>
        <v>2.206939055452376E-3</v>
      </c>
      <c r="AG160" s="299">
        <f t="shared" si="88"/>
        <v>2.206939055452376E-3</v>
      </c>
      <c r="AH160" s="299">
        <f t="shared" si="88"/>
        <v>2.206939055452376E-3</v>
      </c>
      <c r="AI160" s="299">
        <f t="shared" si="86"/>
        <v>2.1070121637889313E-3</v>
      </c>
      <c r="AJ160" s="299">
        <f t="shared" si="86"/>
        <v>2.0513289729402798E-3</v>
      </c>
      <c r="AK160" s="299">
        <f t="shared" si="86"/>
        <v>1.9718846439973486E-3</v>
      </c>
      <c r="AL160" s="299">
        <f t="shared" si="86"/>
        <v>1.8664507920532693E-3</v>
      </c>
      <c r="AM160" s="299">
        <f t="shared" si="86"/>
        <v>1.7391969544738198E-3</v>
      </c>
      <c r="AN160" s="299">
        <f t="shared" si="86"/>
        <v>1.6020863161723205E-3</v>
      </c>
      <c r="AO160" s="299">
        <f t="shared" si="86"/>
        <v>1.4712927036349172E-3</v>
      </c>
      <c r="AP160" s="299">
        <f t="shared" si="86"/>
        <v>1.3602430661960332E-3</v>
      </c>
      <c r="AQ160" s="299">
        <f t="shared" si="86"/>
        <v>1.2749072057393878E-3</v>
      </c>
      <c r="AR160" s="299">
        <f t="shared" si="57"/>
        <v>1.2142220769264639E-3</v>
      </c>
      <c r="AS160" s="299">
        <f t="shared" si="57"/>
        <v>1.1734062548763324E-3</v>
      </c>
      <c r="AT160" s="299">
        <f t="shared" si="57"/>
        <v>1.1469731765804776E-3</v>
      </c>
      <c r="AU160" s="299">
        <f t="shared" si="57"/>
        <v>1.1302715861773141E-3</v>
      </c>
      <c r="AV160" s="299">
        <f t="shared" si="57"/>
        <v>1.1198826571566975E-3</v>
      </c>
      <c r="AW160" s="299">
        <f t="shared" si="57"/>
        <v>1.1134831990296926E-3</v>
      </c>
      <c r="AX160" s="299">
        <f t="shared" si="57"/>
        <v>1.1095648906252983E-3</v>
      </c>
      <c r="AY160" s="299">
        <f t="shared" si="57"/>
        <v>1.107174605015449E-3</v>
      </c>
      <c r="AZ160" s="306">
        <f t="shared" si="89"/>
        <v>0.12217567780157404</v>
      </c>
      <c r="BA160" s="2">
        <f t="shared" si="89"/>
        <v>0.12217567780157404</v>
      </c>
      <c r="BB160" s="2">
        <f t="shared" si="89"/>
        <v>0.12217567780157404</v>
      </c>
      <c r="BC160" s="2">
        <f t="shared" si="89"/>
        <v>0.12217567780157404</v>
      </c>
      <c r="BD160" s="2">
        <f t="shared" si="89"/>
        <v>0.12217567780157404</v>
      </c>
      <c r="BE160" s="2">
        <f t="shared" si="87"/>
        <v>0.11664374628338207</v>
      </c>
      <c r="BF160" s="2">
        <f t="shared" si="87"/>
        <v>0.11356113665386791</v>
      </c>
      <c r="BG160" s="2">
        <f t="shared" si="87"/>
        <v>0.10916311546152273</v>
      </c>
      <c r="BH160" s="2">
        <f t="shared" si="87"/>
        <v>0.10332631979076132</v>
      </c>
      <c r="BI160" s="2">
        <f t="shared" si="87"/>
        <v>9.6281574345385257E-2</v>
      </c>
      <c r="BJ160" s="2">
        <f t="shared" si="87"/>
        <v>8.8691158503630893E-2</v>
      </c>
      <c r="BK160" s="2">
        <f t="shared" si="87"/>
        <v>8.1450451867716031E-2</v>
      </c>
      <c r="BL160" s="2">
        <f t="shared" si="87"/>
        <v>7.5302767503621235E-2</v>
      </c>
      <c r="BM160" s="2">
        <f t="shared" si="87"/>
        <v>7.0578592376848603E-2</v>
      </c>
      <c r="BN160" s="2">
        <f t="shared" si="58"/>
        <v>6.7219076523034035E-2</v>
      </c>
      <c r="BO160" s="2">
        <f t="shared" si="58"/>
        <v>6.4959521275378546E-2</v>
      </c>
      <c r="BP160" s="2">
        <f t="shared" si="58"/>
        <v>6.3496191669968963E-2</v>
      </c>
      <c r="BQ160" s="2">
        <f t="shared" si="58"/>
        <v>6.2571595169295544E-2</v>
      </c>
      <c r="BR160" s="2">
        <f t="shared" si="58"/>
        <v>6.1996466263225185E-2</v>
      </c>
      <c r="BS160" s="2">
        <f t="shared" si="58"/>
        <v>6.1642193619267038E-2</v>
      </c>
      <c r="BT160" s="2">
        <f t="shared" si="58"/>
        <v>6.1425276897457352E-2</v>
      </c>
      <c r="BU160" s="2">
        <f t="shared" si="58"/>
        <v>6.1292951193310165E-2</v>
      </c>
    </row>
    <row r="161" spans="1:73" x14ac:dyDescent="0.25">
      <c r="A161" t="s">
        <v>41</v>
      </c>
      <c r="B161" s="1" t="s">
        <v>5</v>
      </c>
      <c r="C161" t="s">
        <v>13</v>
      </c>
      <c r="D161" t="s">
        <v>13</v>
      </c>
      <c r="E161" s="97">
        <v>3.6284649999999998</v>
      </c>
      <c r="F161" s="5">
        <f t="shared" si="56"/>
        <v>8.8897392500000005E-3</v>
      </c>
      <c r="G161" s="1">
        <f>LOOKUP(RIGHT(D161,5),Ref!$C$4:$C$21,Ref!$E$4:$E$21)*$G$3</f>
        <v>1.5</v>
      </c>
      <c r="H161" s="36">
        <f t="shared" si="85"/>
        <v>3.6284649999999998</v>
      </c>
      <c r="I161" s="12">
        <f t="shared" si="85"/>
        <v>3.6284649999999998</v>
      </c>
      <c r="J161" s="12">
        <f t="shared" si="85"/>
        <v>3.6284649999999998</v>
      </c>
      <c r="K161" s="12">
        <f t="shared" si="85"/>
        <v>3.6284649999999998</v>
      </c>
      <c r="L161" s="12">
        <f t="shared" si="85"/>
        <v>3.6284649999999998</v>
      </c>
      <c r="M161" s="12">
        <f t="shared" si="84"/>
        <v>3.8005481209192395</v>
      </c>
      <c r="N161" s="12">
        <f t="shared" si="84"/>
        <v>3.9037137511707809</v>
      </c>
      <c r="O161" s="12">
        <f t="shared" si="84"/>
        <v>4.0609886304549825</v>
      </c>
      <c r="P161" s="12">
        <f t="shared" si="84"/>
        <v>4.2903896282380307</v>
      </c>
      <c r="Q161" s="12">
        <f t="shared" si="84"/>
        <v>4.6043095344912794</v>
      </c>
      <c r="R161" s="12">
        <f t="shared" si="84"/>
        <v>4.9983581028106627</v>
      </c>
      <c r="S161" s="12">
        <f t="shared" si="84"/>
        <v>5.4426974999999995</v>
      </c>
      <c r="T161" s="12">
        <f t="shared" si="84"/>
        <v>5.8870368971893363</v>
      </c>
      <c r="U161" s="12">
        <f t="shared" si="84"/>
        <v>6.2810854655087196</v>
      </c>
      <c r="V161" s="12">
        <f t="shared" si="84"/>
        <v>6.5950053717619692</v>
      </c>
      <c r="W161" s="12">
        <f t="shared" si="84"/>
        <v>6.8244063695450157</v>
      </c>
      <c r="X161" s="12">
        <f t="shared" si="84"/>
        <v>6.9816812488292186</v>
      </c>
      <c r="Y161" s="12">
        <f t="shared" si="84"/>
        <v>7.0848468790807599</v>
      </c>
      <c r="Z161" s="12">
        <f t="shared" si="84"/>
        <v>7.1505715966467802</v>
      </c>
      <c r="AA161" s="12">
        <f t="shared" si="84"/>
        <v>7.1916676666698995</v>
      </c>
      <c r="AB161" s="12">
        <f t="shared" si="84"/>
        <v>7.2170642632078845</v>
      </c>
      <c r="AC161" s="12">
        <f t="shared" si="83"/>
        <v>7.2326452246710149</v>
      </c>
      <c r="AD161" s="300">
        <f t="shared" si="88"/>
        <v>3.7877165973846409E-3</v>
      </c>
      <c r="AE161" s="299">
        <f t="shared" si="88"/>
        <v>3.7877165973846409E-3</v>
      </c>
      <c r="AF161" s="299">
        <f t="shared" si="88"/>
        <v>3.7877165973846409E-3</v>
      </c>
      <c r="AG161" s="299">
        <f t="shared" si="88"/>
        <v>3.7877165973846409E-3</v>
      </c>
      <c r="AH161" s="299">
        <f t="shared" si="88"/>
        <v>3.7877165973846409E-3</v>
      </c>
      <c r="AI161" s="299">
        <f t="shared" si="86"/>
        <v>3.6162144686133044E-3</v>
      </c>
      <c r="AJ161" s="299">
        <f t="shared" si="86"/>
        <v>3.5206467429655551E-3</v>
      </c>
      <c r="AK161" s="299">
        <f t="shared" si="86"/>
        <v>3.3842983455950881E-3</v>
      </c>
      <c r="AL161" s="299">
        <f t="shared" si="86"/>
        <v>3.2033447529038182E-3</v>
      </c>
      <c r="AM161" s="299">
        <f t="shared" si="86"/>
        <v>2.9849420419228528E-3</v>
      </c>
      <c r="AN161" s="299">
        <f t="shared" si="86"/>
        <v>2.7496223401442563E-3</v>
      </c>
      <c r="AO161" s="299">
        <f t="shared" si="86"/>
        <v>2.5251443982564274E-3</v>
      </c>
      <c r="AP161" s="299">
        <f t="shared" si="86"/>
        <v>2.3345525675388416E-3</v>
      </c>
      <c r="AQ161" s="299">
        <f t="shared" si="86"/>
        <v>2.1880926758598299E-3</v>
      </c>
      <c r="AR161" s="299">
        <f t="shared" si="57"/>
        <v>2.0839402439876134E-3</v>
      </c>
      <c r="AS161" s="299">
        <f t="shared" si="57"/>
        <v>2.0138890270166528E-3</v>
      </c>
      <c r="AT161" s="299">
        <f t="shared" si="57"/>
        <v>1.9685225683762015E-3</v>
      </c>
      <c r="AU161" s="299">
        <f t="shared" si="57"/>
        <v>1.9398580291282816E-3</v>
      </c>
      <c r="AV161" s="299">
        <f t="shared" si="57"/>
        <v>1.9220277592876967E-3</v>
      </c>
      <c r="AW161" s="299">
        <f t="shared" si="57"/>
        <v>1.9110445227084902E-3</v>
      </c>
      <c r="AX161" s="299">
        <f t="shared" si="57"/>
        <v>1.9043196239214894E-3</v>
      </c>
      <c r="AY161" s="299">
        <f t="shared" si="57"/>
        <v>1.9002172340278729E-3</v>
      </c>
      <c r="AZ161" s="306">
        <f t="shared" si="89"/>
        <v>0.20968718708495682</v>
      </c>
      <c r="BA161" s="2">
        <f t="shared" si="89"/>
        <v>0.20968718708495682</v>
      </c>
      <c r="BB161" s="2">
        <f t="shared" si="89"/>
        <v>0.20968718708495682</v>
      </c>
      <c r="BC161" s="2">
        <f t="shared" si="89"/>
        <v>0.20968718708495682</v>
      </c>
      <c r="BD161" s="2">
        <f t="shared" si="89"/>
        <v>0.20968718708495682</v>
      </c>
      <c r="BE161" s="2">
        <f t="shared" si="87"/>
        <v>0.20019286562860111</v>
      </c>
      <c r="BF161" s="2">
        <f t="shared" si="87"/>
        <v>0.19490225661603131</v>
      </c>
      <c r="BG161" s="2">
        <f t="shared" si="87"/>
        <v>0.18735403827047281</v>
      </c>
      <c r="BH161" s="2">
        <f t="shared" si="87"/>
        <v>0.17733648577709227</v>
      </c>
      <c r="BI161" s="2">
        <f t="shared" si="87"/>
        <v>0.16524575804182584</v>
      </c>
      <c r="BJ161" s="2">
        <f t="shared" si="87"/>
        <v>0.15221850928575584</v>
      </c>
      <c r="BK161" s="2">
        <f t="shared" si="87"/>
        <v>0.13979145805663787</v>
      </c>
      <c r="BL161" s="2">
        <f t="shared" si="87"/>
        <v>0.12924033475133626</v>
      </c>
      <c r="BM161" s="2">
        <f t="shared" si="87"/>
        <v>0.1211323462264966</v>
      </c>
      <c r="BN161" s="2">
        <f t="shared" si="58"/>
        <v>0.11536648969899861</v>
      </c>
      <c r="BO161" s="2">
        <f t="shared" si="58"/>
        <v>0.11148846919222122</v>
      </c>
      <c r="BP161" s="2">
        <f t="shared" si="58"/>
        <v>0.10897699166856206</v>
      </c>
      <c r="BQ161" s="2">
        <f t="shared" si="58"/>
        <v>0.10739012885835793</v>
      </c>
      <c r="BR161" s="2">
        <f t="shared" si="58"/>
        <v>0.1064030489035325</v>
      </c>
      <c r="BS161" s="2">
        <f t="shared" si="58"/>
        <v>0.10579501925712953</v>
      </c>
      <c r="BT161" s="2">
        <f t="shared" si="58"/>
        <v>0.10542273028729189</v>
      </c>
      <c r="BU161" s="2">
        <f t="shared" si="58"/>
        <v>0.10519562285330061</v>
      </c>
    </row>
    <row r="162" spans="1:73" x14ac:dyDescent="0.25">
      <c r="A162" t="s">
        <v>41</v>
      </c>
      <c r="B162" s="1" t="s">
        <v>5</v>
      </c>
      <c r="C162" t="s">
        <v>14</v>
      </c>
      <c r="D162" t="s">
        <v>14</v>
      </c>
      <c r="E162" s="97">
        <v>4.7845659999999999</v>
      </c>
      <c r="F162" s="5">
        <f t="shared" si="56"/>
        <v>1.17221867E-2</v>
      </c>
      <c r="G162" s="1">
        <f>LOOKUP(RIGHT(D162,5),Ref!$C$4:$C$21,Ref!$E$4:$E$21)*$G$3</f>
        <v>2</v>
      </c>
      <c r="H162" s="36">
        <f t="shared" si="85"/>
        <v>4.7845659999999999</v>
      </c>
      <c r="I162" s="12">
        <f t="shared" si="85"/>
        <v>4.7845659999999999</v>
      </c>
      <c r="J162" s="12">
        <f t="shared" si="85"/>
        <v>4.7845659999999999</v>
      </c>
      <c r="K162" s="12">
        <f t="shared" si="85"/>
        <v>4.7845659999999999</v>
      </c>
      <c r="L162" s="12">
        <f t="shared" si="85"/>
        <v>4.7845659999999999</v>
      </c>
      <c r="M162" s="12">
        <f t="shared" si="84"/>
        <v>5.0114782203256976</v>
      </c>
      <c r="N162" s="12">
        <f t="shared" si="84"/>
        <v>5.1475144689515204</v>
      </c>
      <c r="O162" s="12">
        <f t="shared" si="84"/>
        <v>5.3549002478076746</v>
      </c>
      <c r="P162" s="12">
        <f t="shared" si="84"/>
        <v>5.6573929587360832</v>
      </c>
      <c r="Q162" s="12">
        <f t="shared" si="84"/>
        <v>6.0713339806785527</v>
      </c>
      <c r="R162" s="12">
        <f t="shared" si="84"/>
        <v>6.5909342475488675</v>
      </c>
      <c r="S162" s="12">
        <f t="shared" si="84"/>
        <v>7.1768489999999998</v>
      </c>
      <c r="T162" s="12">
        <f t="shared" si="84"/>
        <v>7.7627637524511321</v>
      </c>
      <c r="U162" s="12">
        <f t="shared" si="84"/>
        <v>8.2823640193214469</v>
      </c>
      <c r="V162" s="12">
        <f t="shared" si="84"/>
        <v>8.6963050412639173</v>
      </c>
      <c r="W162" s="12">
        <f t="shared" si="84"/>
        <v>8.9987977521923241</v>
      </c>
      <c r="X162" s="12">
        <f t="shared" si="84"/>
        <v>9.2061835310484792</v>
      </c>
      <c r="Y162" s="12">
        <f t="shared" si="84"/>
        <v>9.3422197796743021</v>
      </c>
      <c r="Z162" s="12">
        <f t="shared" si="84"/>
        <v>9.4288856973629063</v>
      </c>
      <c r="AA162" s="12">
        <f t="shared" si="84"/>
        <v>9.4830757913465149</v>
      </c>
      <c r="AB162" s="12">
        <f t="shared" si="84"/>
        <v>9.5165642478457144</v>
      </c>
      <c r="AC162" s="12">
        <f t="shared" si="83"/>
        <v>9.5371096130245991</v>
      </c>
      <c r="AD162" s="300">
        <f t="shared" si="88"/>
        <v>2.8724856347533425E-3</v>
      </c>
      <c r="AE162" s="299">
        <f t="shared" si="88"/>
        <v>2.8724856347533425E-3</v>
      </c>
      <c r="AF162" s="299">
        <f t="shared" si="88"/>
        <v>2.8724856347533425E-3</v>
      </c>
      <c r="AG162" s="299">
        <f t="shared" si="88"/>
        <v>2.8724856347533425E-3</v>
      </c>
      <c r="AH162" s="299">
        <f t="shared" si="88"/>
        <v>2.8724856347533425E-3</v>
      </c>
      <c r="AI162" s="299">
        <f t="shared" si="86"/>
        <v>2.7424237918040996E-3</v>
      </c>
      <c r="AJ162" s="299">
        <f t="shared" si="86"/>
        <v>2.6699482218898252E-3</v>
      </c>
      <c r="AK162" s="299">
        <f t="shared" si="86"/>
        <v>2.5665458678069612E-3</v>
      </c>
      <c r="AL162" s="299">
        <f t="shared" si="86"/>
        <v>2.4293163306442324E-3</v>
      </c>
      <c r="AM162" s="299">
        <f t="shared" si="86"/>
        <v>2.2636865550910161E-3</v>
      </c>
      <c r="AN162" s="299">
        <f t="shared" si="86"/>
        <v>2.0852274635633681E-3</v>
      </c>
      <c r="AO162" s="299">
        <f t="shared" si="86"/>
        <v>1.9149904231688948E-3</v>
      </c>
      <c r="AP162" s="299">
        <f t="shared" si="86"/>
        <v>1.7704515481602346E-3</v>
      </c>
      <c r="AQ162" s="299">
        <f t="shared" si="86"/>
        <v>1.6593809534895614E-3</v>
      </c>
      <c r="AR162" s="299">
        <f t="shared" si="57"/>
        <v>1.5803950112508668E-3</v>
      </c>
      <c r="AS162" s="299">
        <f t="shared" si="57"/>
        <v>1.5272703623304554E-3</v>
      </c>
      <c r="AT162" s="299">
        <f t="shared" si="57"/>
        <v>1.4928658609920217E-3</v>
      </c>
      <c r="AU162" s="299">
        <f t="shared" si="57"/>
        <v>1.4711275722105097E-3</v>
      </c>
      <c r="AV162" s="299">
        <f t="shared" si="57"/>
        <v>1.4576056540141432E-3</v>
      </c>
      <c r="AW162" s="299">
        <f t="shared" si="57"/>
        <v>1.4492763113915584E-3</v>
      </c>
      <c r="AX162" s="299">
        <f t="shared" si="57"/>
        <v>1.4441763587778465E-3</v>
      </c>
      <c r="AY162" s="299">
        <f t="shared" si="57"/>
        <v>1.4410652347709165E-3</v>
      </c>
      <c r="AZ162" s="306">
        <f t="shared" si="89"/>
        <v>0.15902019520395744</v>
      </c>
      <c r="BA162" s="2">
        <f t="shared" si="89"/>
        <v>0.15902019520395744</v>
      </c>
      <c r="BB162" s="2">
        <f t="shared" si="89"/>
        <v>0.15902019520395744</v>
      </c>
      <c r="BC162" s="2">
        <f t="shared" si="89"/>
        <v>0.15902019520395744</v>
      </c>
      <c r="BD162" s="2">
        <f t="shared" si="89"/>
        <v>0.15902019520395744</v>
      </c>
      <c r="BE162" s="2">
        <f t="shared" si="87"/>
        <v>0.15181999917716302</v>
      </c>
      <c r="BF162" s="2">
        <f t="shared" si="87"/>
        <v>0.14780776700588685</v>
      </c>
      <c r="BG162" s="2">
        <f t="shared" si="87"/>
        <v>0.14208343462564235</v>
      </c>
      <c r="BH162" s="2">
        <f t="shared" si="87"/>
        <v>0.13448643656816045</v>
      </c>
      <c r="BI162" s="2">
        <f t="shared" si="87"/>
        <v>0.12531720733985768</v>
      </c>
      <c r="BJ162" s="2">
        <f t="shared" si="87"/>
        <v>0.11543774990156684</v>
      </c>
      <c r="BK162" s="2">
        <f t="shared" si="87"/>
        <v>0.10601346346930496</v>
      </c>
      <c r="BL162" s="2">
        <f t="shared" si="87"/>
        <v>9.8011822019699851E-2</v>
      </c>
      <c r="BM162" s="2">
        <f t="shared" si="87"/>
        <v>9.1862977467700294E-2</v>
      </c>
      <c r="BN162" s="2">
        <f t="shared" si="58"/>
        <v>8.7490332466032869E-2</v>
      </c>
      <c r="BO162" s="2">
        <f t="shared" si="58"/>
        <v>8.4549363174748329E-2</v>
      </c>
      <c r="BP162" s="2">
        <f t="shared" si="58"/>
        <v>8.2644737281222388E-2</v>
      </c>
      <c r="BQ162" s="2">
        <f t="shared" si="58"/>
        <v>8.144131022710141E-2</v>
      </c>
      <c r="BR162" s="2">
        <f t="shared" si="58"/>
        <v>8.0692739705075872E-2</v>
      </c>
      <c r="BS162" s="2">
        <f t="shared" si="58"/>
        <v>8.023162906496023E-2</v>
      </c>
      <c r="BT162" s="2">
        <f t="shared" si="58"/>
        <v>7.9949296770465389E-2</v>
      </c>
      <c r="BU162" s="2">
        <f t="shared" si="58"/>
        <v>7.9777065605616343E-2</v>
      </c>
    </row>
    <row r="163" spans="1:73" x14ac:dyDescent="0.25">
      <c r="A163" t="s">
        <v>41</v>
      </c>
      <c r="B163" s="1" t="s">
        <v>5</v>
      </c>
      <c r="C163" t="s">
        <v>15</v>
      </c>
      <c r="D163" t="s">
        <v>15</v>
      </c>
      <c r="E163" s="97">
        <v>4.2002375000000001</v>
      </c>
      <c r="F163" s="5">
        <f t="shared" si="56"/>
        <v>1.0290581875000001E-2</v>
      </c>
      <c r="G163" s="1">
        <f>LOOKUP(RIGHT(D163,5),Ref!$C$4:$C$21,Ref!$E$4:$E$21)*$G$3</f>
        <v>2.5</v>
      </c>
      <c r="H163" s="36">
        <f t="shared" si="85"/>
        <v>4.2002375000000001</v>
      </c>
      <c r="I163" s="12">
        <f t="shared" si="85"/>
        <v>4.2002375000000001</v>
      </c>
      <c r="J163" s="12">
        <f t="shared" si="85"/>
        <v>4.2002375000000001</v>
      </c>
      <c r="K163" s="12">
        <f t="shared" si="85"/>
        <v>4.2002375000000001</v>
      </c>
      <c r="L163" s="12">
        <f t="shared" si="85"/>
        <v>4.2002375000000001</v>
      </c>
      <c r="M163" s="12">
        <f t="shared" si="84"/>
        <v>4.3994374309906599</v>
      </c>
      <c r="N163" s="12">
        <f t="shared" si="84"/>
        <v>4.5188598724069777</v>
      </c>
      <c r="O163" s="12">
        <f t="shared" si="84"/>
        <v>4.700918083186874</v>
      </c>
      <c r="P163" s="12">
        <f t="shared" si="84"/>
        <v>4.9664680260486005</v>
      </c>
      <c r="Q163" s="12">
        <f t="shared" si="84"/>
        <v>5.3298553433415554</v>
      </c>
      <c r="R163" s="12">
        <f t="shared" si="84"/>
        <v>5.7859979748610506</v>
      </c>
      <c r="S163" s="12">
        <f t="shared" si="84"/>
        <v>6.3003562500000001</v>
      </c>
      <c r="T163" s="12">
        <f t="shared" si="84"/>
        <v>6.8147145251389496</v>
      </c>
      <c r="U163" s="12">
        <f t="shared" si="84"/>
        <v>7.2708571566584448</v>
      </c>
      <c r="V163" s="12">
        <f t="shared" si="84"/>
        <v>7.6342444739513997</v>
      </c>
      <c r="W163" s="12">
        <f t="shared" si="84"/>
        <v>7.8997944168131253</v>
      </c>
      <c r="X163" s="12">
        <f t="shared" si="84"/>
        <v>8.0818526275930225</v>
      </c>
      <c r="Y163" s="12">
        <f t="shared" si="84"/>
        <v>8.2012750690093394</v>
      </c>
      <c r="Z163" s="12">
        <f t="shared" si="84"/>
        <v>8.2773566691895013</v>
      </c>
      <c r="AA163" s="12">
        <f t="shared" si="84"/>
        <v>8.3249286464343495</v>
      </c>
      <c r="AB163" s="12">
        <f t="shared" si="84"/>
        <v>8.3543272315526345</v>
      </c>
      <c r="AC163" s="12">
        <f t="shared" si="83"/>
        <v>8.3723634365659105</v>
      </c>
      <c r="AD163" s="300">
        <f t="shared" si="88"/>
        <v>3.2720999951858102E-3</v>
      </c>
      <c r="AE163" s="299">
        <f t="shared" si="88"/>
        <v>3.2720999951858102E-3</v>
      </c>
      <c r="AF163" s="299">
        <f t="shared" si="88"/>
        <v>3.2720999951858102E-3</v>
      </c>
      <c r="AG163" s="299">
        <f t="shared" si="88"/>
        <v>3.2720999951858102E-3</v>
      </c>
      <c r="AH163" s="299">
        <f t="shared" si="88"/>
        <v>3.2720999951858102E-3</v>
      </c>
      <c r="AI163" s="299">
        <f t="shared" si="86"/>
        <v>3.1239442131205612E-3</v>
      </c>
      <c r="AJ163" s="299">
        <f t="shared" si="86"/>
        <v>3.0413859892957271E-3</v>
      </c>
      <c r="AK163" s="299">
        <f t="shared" si="86"/>
        <v>2.9235985099770384E-3</v>
      </c>
      <c r="AL163" s="299">
        <f t="shared" si="86"/>
        <v>2.7672778786545175E-3</v>
      </c>
      <c r="AM163" s="299">
        <f t="shared" si="86"/>
        <v>2.5786060255272715E-3</v>
      </c>
      <c r="AN163" s="299">
        <f t="shared" si="86"/>
        <v>2.3753200680750857E-3</v>
      </c>
      <c r="AO163" s="299">
        <f t="shared" si="86"/>
        <v>2.18139999679054E-3</v>
      </c>
      <c r="AP163" s="299">
        <f t="shared" si="86"/>
        <v>2.0167531674041817E-3</v>
      </c>
      <c r="AQ163" s="299">
        <f t="shared" si="86"/>
        <v>1.8902306574601405E-3</v>
      </c>
      <c r="AR163" s="299">
        <f t="shared" si="57"/>
        <v>1.800256351551672E-3</v>
      </c>
      <c r="AS163" s="299">
        <f t="shared" si="57"/>
        <v>1.7397411095001123E-3</v>
      </c>
      <c r="AT163" s="299">
        <f t="shared" si="57"/>
        <v>1.7005503238955305E-3</v>
      </c>
      <c r="AU163" s="299">
        <f t="shared" si="57"/>
        <v>1.675787848582598E-3</v>
      </c>
      <c r="AV163" s="299">
        <f t="shared" si="57"/>
        <v>1.6603847886229844E-3</v>
      </c>
      <c r="AW163" s="299">
        <f t="shared" si="57"/>
        <v>1.6508966847921008E-3</v>
      </c>
      <c r="AX163" s="299">
        <f t="shared" si="57"/>
        <v>1.6450872371413013E-3</v>
      </c>
      <c r="AY163" s="299">
        <f t="shared" si="57"/>
        <v>1.6415432998888623E-3</v>
      </c>
      <c r="AZ163" s="306">
        <f t="shared" si="89"/>
        <v>0.18114276140009172</v>
      </c>
      <c r="BA163" s="2">
        <f t="shared" si="89"/>
        <v>0.18114276140009172</v>
      </c>
      <c r="BB163" s="2">
        <f t="shared" si="89"/>
        <v>0.18114276140009172</v>
      </c>
      <c r="BC163" s="2">
        <f t="shared" si="89"/>
        <v>0.18114276140009172</v>
      </c>
      <c r="BD163" s="2">
        <f t="shared" si="89"/>
        <v>0.18114276140009172</v>
      </c>
      <c r="BE163" s="2">
        <f t="shared" si="87"/>
        <v>0.17294088874333466</v>
      </c>
      <c r="BF163" s="2">
        <f t="shared" si="87"/>
        <v>0.16837048299108992</v>
      </c>
      <c r="BG163" s="2">
        <f t="shared" si="87"/>
        <v>0.16184979313028636</v>
      </c>
      <c r="BH163" s="2">
        <f t="shared" si="87"/>
        <v>0.1531959161512122</v>
      </c>
      <c r="BI163" s="2">
        <f t="shared" si="87"/>
        <v>0.14275108239789622</v>
      </c>
      <c r="BJ163" s="2">
        <f t="shared" si="87"/>
        <v>0.13149721493023669</v>
      </c>
      <c r="BK163" s="2">
        <f t="shared" si="87"/>
        <v>0.12076184093339448</v>
      </c>
      <c r="BL163" s="2">
        <f t="shared" si="87"/>
        <v>0.11164702739630968</v>
      </c>
      <c r="BM163" s="2">
        <f t="shared" si="87"/>
        <v>0.10464276809364349</v>
      </c>
      <c r="BN163" s="2">
        <f t="shared" si="58"/>
        <v>9.9661809610927243E-2</v>
      </c>
      <c r="BO163" s="2">
        <f t="shared" si="58"/>
        <v>9.6311698652172151E-2</v>
      </c>
      <c r="BP163" s="2">
        <f t="shared" si="58"/>
        <v>9.414210507731266E-2</v>
      </c>
      <c r="BQ163" s="2">
        <f t="shared" si="58"/>
        <v>9.2771259698538874E-2</v>
      </c>
      <c r="BR163" s="2">
        <f t="shared" si="58"/>
        <v>9.1918549567674687E-2</v>
      </c>
      <c r="BS163" s="2">
        <f t="shared" si="58"/>
        <v>9.1393290152954554E-2</v>
      </c>
      <c r="BT163" s="2">
        <f t="shared" si="58"/>
        <v>9.1071680363760038E-2</v>
      </c>
      <c r="BU163" s="2">
        <f t="shared" si="58"/>
        <v>9.0875488749481745E-2</v>
      </c>
    </row>
    <row r="164" spans="1:73" x14ac:dyDescent="0.25">
      <c r="A164" t="s">
        <v>41</v>
      </c>
      <c r="B164" s="1" t="s">
        <v>5</v>
      </c>
      <c r="C164" t="s">
        <v>16</v>
      </c>
      <c r="D164" t="s">
        <v>16</v>
      </c>
      <c r="E164" s="97">
        <v>5.66890625</v>
      </c>
      <c r="F164" s="5">
        <f t="shared" si="56"/>
        <v>1.3888820312499999E-2</v>
      </c>
      <c r="G164" s="1">
        <f>LOOKUP(RIGHT(D164,5),Ref!$C$4:$C$21,Ref!$E$4:$E$21)*$G$3</f>
        <v>3</v>
      </c>
      <c r="H164" s="36">
        <f t="shared" si="85"/>
        <v>5.66890625</v>
      </c>
      <c r="I164" s="12">
        <f t="shared" si="85"/>
        <v>5.66890625</v>
      </c>
      <c r="J164" s="12">
        <f t="shared" si="85"/>
        <v>5.66890625</v>
      </c>
      <c r="K164" s="12">
        <f t="shared" si="85"/>
        <v>5.66890625</v>
      </c>
      <c r="L164" s="12">
        <f t="shared" si="85"/>
        <v>5.66890625</v>
      </c>
      <c r="M164" s="12">
        <f t="shared" si="84"/>
        <v>5.9377590788680159</v>
      </c>
      <c r="N164" s="12">
        <f t="shared" si="84"/>
        <v>6.0989391608360526</v>
      </c>
      <c r="O164" s="12">
        <f t="shared" si="84"/>
        <v>6.3446564396694454</v>
      </c>
      <c r="P164" s="12">
        <f t="shared" si="84"/>
        <v>6.7030594420653777</v>
      </c>
      <c r="Q164" s="12">
        <f t="shared" si="84"/>
        <v>7.1935099544882499</v>
      </c>
      <c r="R164" s="12">
        <f t="shared" si="84"/>
        <v>7.8091489069789874</v>
      </c>
      <c r="S164" s="12">
        <f t="shared" si="84"/>
        <v>8.5033593750000005</v>
      </c>
      <c r="T164" s="12">
        <f t="shared" si="84"/>
        <v>9.1975698430210127</v>
      </c>
      <c r="U164" s="12">
        <f t="shared" si="84"/>
        <v>9.8132087955117502</v>
      </c>
      <c r="V164" s="12">
        <f t="shared" si="84"/>
        <v>10.303659307934623</v>
      </c>
      <c r="W164" s="12">
        <f t="shared" si="84"/>
        <v>10.662062310330555</v>
      </c>
      <c r="X164" s="12">
        <f t="shared" si="84"/>
        <v>10.907779589163948</v>
      </c>
      <c r="Y164" s="12">
        <f t="shared" si="84"/>
        <v>11.068959671131985</v>
      </c>
      <c r="Z164" s="12">
        <f t="shared" si="84"/>
        <v>11.171644211892195</v>
      </c>
      <c r="AA164" s="12">
        <f t="shared" si="84"/>
        <v>11.235850361932087</v>
      </c>
      <c r="AB164" s="12">
        <f t="shared" ref="AB164:AC179" si="90">AB$3*$E164</f>
        <v>11.275528552253039</v>
      </c>
      <c r="AC164" s="12">
        <f t="shared" si="90"/>
        <v>11.299871355565005</v>
      </c>
      <c r="AD164" s="300">
        <f t="shared" si="88"/>
        <v>2.4243824994511524E-3</v>
      </c>
      <c r="AE164" s="299">
        <f t="shared" si="88"/>
        <v>2.4243824994511524E-3</v>
      </c>
      <c r="AF164" s="299">
        <f t="shared" si="88"/>
        <v>2.4243824994511524E-3</v>
      </c>
      <c r="AG164" s="299">
        <f t="shared" si="88"/>
        <v>2.4243824994511524E-3</v>
      </c>
      <c r="AH164" s="299">
        <f t="shared" si="88"/>
        <v>2.4243824994511524E-3</v>
      </c>
      <c r="AI164" s="299">
        <f t="shared" si="86"/>
        <v>2.3146100946469122E-3</v>
      </c>
      <c r="AJ164" s="299">
        <f t="shared" si="86"/>
        <v>2.2534405969783875E-3</v>
      </c>
      <c r="AK164" s="299">
        <f t="shared" si="86"/>
        <v>2.1661688436900293E-3</v>
      </c>
      <c r="AL164" s="299">
        <f t="shared" si="86"/>
        <v>2.0503468934320711E-3</v>
      </c>
      <c r="AM164" s="299">
        <f t="shared" si="86"/>
        <v>1.9105550962578721E-3</v>
      </c>
      <c r="AN164" s="299">
        <f t="shared" si="86"/>
        <v>1.7599353357504418E-3</v>
      </c>
      <c r="AO164" s="299">
        <f t="shared" si="86"/>
        <v>1.6162549996341015E-3</v>
      </c>
      <c r="AP164" s="299">
        <f t="shared" si="86"/>
        <v>1.4942639564686437E-3</v>
      </c>
      <c r="AQ164" s="299">
        <f t="shared" si="86"/>
        <v>1.4005201957809298E-3</v>
      </c>
      <c r="AR164" s="299">
        <f t="shared" si="57"/>
        <v>1.3338559333911221E-3</v>
      </c>
      <c r="AS164" s="299">
        <f t="shared" si="57"/>
        <v>1.2890186441897814E-3</v>
      </c>
      <c r="AT164" s="299">
        <f t="shared" si="57"/>
        <v>1.2599811896806645E-3</v>
      </c>
      <c r="AU164" s="299">
        <f t="shared" si="57"/>
        <v>1.2416340389578588E-3</v>
      </c>
      <c r="AV164" s="299">
        <f t="shared" si="57"/>
        <v>1.2302215182344624E-3</v>
      </c>
      <c r="AW164" s="299">
        <f t="shared" si="57"/>
        <v>1.223191539653608E-3</v>
      </c>
      <c r="AX164" s="299">
        <f t="shared" si="57"/>
        <v>1.2188871714384564E-3</v>
      </c>
      <c r="AY164" s="299">
        <f t="shared" si="57"/>
        <v>1.216261377768762E-3</v>
      </c>
      <c r="AZ164" s="306">
        <f t="shared" si="89"/>
        <v>0.13421330072026111</v>
      </c>
      <c r="BA164" s="2">
        <f t="shared" si="89"/>
        <v>0.13421330072026111</v>
      </c>
      <c r="BB164" s="2">
        <f t="shared" si="89"/>
        <v>0.13421330072026111</v>
      </c>
      <c r="BC164" s="2">
        <f t="shared" si="89"/>
        <v>0.13421330072026111</v>
      </c>
      <c r="BD164" s="2">
        <f t="shared" si="89"/>
        <v>0.13421330072026111</v>
      </c>
      <c r="BE164" s="2">
        <f t="shared" si="87"/>
        <v>0.12813632368379385</v>
      </c>
      <c r="BF164" s="2">
        <f t="shared" si="87"/>
        <v>0.12474999327291539</v>
      </c>
      <c r="BG164" s="2">
        <f t="shared" si="87"/>
        <v>0.11991864752977191</v>
      </c>
      <c r="BH164" s="2">
        <f t="shared" si="87"/>
        <v>0.11350676894068888</v>
      </c>
      <c r="BI164" s="2">
        <f t="shared" si="87"/>
        <v>0.10576792471267867</v>
      </c>
      <c r="BJ164" s="2">
        <f t="shared" si="87"/>
        <v>9.7429646732213993E-2</v>
      </c>
      <c r="BK164" s="2">
        <f t="shared" si="87"/>
        <v>8.947553381350741E-2</v>
      </c>
      <c r="BL164" s="2">
        <f t="shared" si="87"/>
        <v>8.2722135550134968E-2</v>
      </c>
      <c r="BM164" s="2">
        <f t="shared" si="87"/>
        <v>7.7532500850710825E-2</v>
      </c>
      <c r="BN164" s="2">
        <f t="shared" si="58"/>
        <v>7.3841981430840739E-2</v>
      </c>
      <c r="BO164" s="2">
        <f t="shared" si="58"/>
        <v>7.1359798615041992E-2</v>
      </c>
      <c r="BP164" s="2">
        <f t="shared" si="58"/>
        <v>6.9752291295109889E-2</v>
      </c>
      <c r="BQ164" s="2">
        <f t="shared" si="58"/>
        <v>6.8736596924325863E-2</v>
      </c>
      <c r="BR164" s="2">
        <f t="shared" si="58"/>
        <v>6.8104802198793821E-2</v>
      </c>
      <c r="BS164" s="2">
        <f t="shared" si="58"/>
        <v>6.7715624076305811E-2</v>
      </c>
      <c r="BT164" s="2">
        <f t="shared" si="58"/>
        <v>6.747733516529375E-2</v>
      </c>
      <c r="BU164" s="2">
        <f t="shared" si="58"/>
        <v>6.7331971784927891E-2</v>
      </c>
    </row>
    <row r="165" spans="1:73" x14ac:dyDescent="0.25">
      <c r="A165" t="s">
        <v>41</v>
      </c>
      <c r="B165" s="1" t="s">
        <v>5</v>
      </c>
      <c r="C165" t="s">
        <v>17</v>
      </c>
      <c r="D165" t="s">
        <v>17</v>
      </c>
      <c r="E165" s="97">
        <v>6.2823799999999999</v>
      </c>
      <c r="F165" s="5">
        <f t="shared" si="56"/>
        <v>1.5391831E-2</v>
      </c>
      <c r="G165" s="1">
        <f>LOOKUP(RIGHT(D165,5),Ref!$C$4:$C$21,Ref!$E$4:$E$21)*$G$3</f>
        <v>3</v>
      </c>
      <c r="H165" s="36">
        <f t="shared" si="85"/>
        <v>6.2823799999999999</v>
      </c>
      <c r="I165" s="12">
        <f t="shared" si="85"/>
        <v>6.2823799999999999</v>
      </c>
      <c r="J165" s="12">
        <f t="shared" si="85"/>
        <v>6.2823799999999999</v>
      </c>
      <c r="K165" s="12">
        <f t="shared" si="85"/>
        <v>6.2823799999999999</v>
      </c>
      <c r="L165" s="12">
        <f t="shared" si="85"/>
        <v>6.2823799999999999</v>
      </c>
      <c r="M165" s="12">
        <f t="shared" ref="M165:AB180" si="91">M$3*$E165</f>
        <v>6.5803273571332817</v>
      </c>
      <c r="N165" s="12">
        <f t="shared" si="91"/>
        <v>6.7589499130018593</v>
      </c>
      <c r="O165" s="12">
        <f t="shared" si="91"/>
        <v>7.0312580532533104</v>
      </c>
      <c r="P165" s="12">
        <f t="shared" si="91"/>
        <v>7.4284464622505766</v>
      </c>
      <c r="Q165" s="12">
        <f t="shared" si="91"/>
        <v>7.9719722067864307</v>
      </c>
      <c r="R165" s="12">
        <f t="shared" si="91"/>
        <v>8.6542339468440925</v>
      </c>
      <c r="S165" s="12">
        <f t="shared" si="91"/>
        <v>9.4235699999999998</v>
      </c>
      <c r="T165" s="12">
        <f t="shared" si="91"/>
        <v>10.192906053155907</v>
      </c>
      <c r="U165" s="12">
        <f t="shared" si="91"/>
        <v>10.875167793213569</v>
      </c>
      <c r="V165" s="12">
        <f t="shared" si="91"/>
        <v>11.418693537749423</v>
      </c>
      <c r="W165" s="12">
        <f t="shared" si="91"/>
        <v>11.815881946746687</v>
      </c>
      <c r="X165" s="12">
        <f t="shared" si="91"/>
        <v>12.088190086998141</v>
      </c>
      <c r="Y165" s="12">
        <f t="shared" si="91"/>
        <v>12.266812642866718</v>
      </c>
      <c r="Z165" s="12">
        <f t="shared" si="91"/>
        <v>12.380609427772294</v>
      </c>
      <c r="AA165" s="12">
        <f t="shared" si="91"/>
        <v>12.451763794258355</v>
      </c>
      <c r="AB165" s="12">
        <f t="shared" si="91"/>
        <v>12.495735851356415</v>
      </c>
      <c r="AC165" s="12">
        <f t="shared" si="90"/>
        <v>12.522712967210293</v>
      </c>
      <c r="AD165" s="300">
        <f t="shared" si="88"/>
        <v>2.1876418019173083E-3</v>
      </c>
      <c r="AE165" s="299">
        <f t="shared" si="88"/>
        <v>2.1876418019173083E-3</v>
      </c>
      <c r="AF165" s="299">
        <f t="shared" si="88"/>
        <v>2.1876418019173083E-3</v>
      </c>
      <c r="AG165" s="299">
        <f t="shared" si="88"/>
        <v>2.1876418019173083E-3</v>
      </c>
      <c r="AH165" s="299">
        <f t="shared" si="88"/>
        <v>2.1876418019173083E-3</v>
      </c>
      <c r="AI165" s="299">
        <f t="shared" si="86"/>
        <v>2.0885886609624017E-3</v>
      </c>
      <c r="AJ165" s="299">
        <f t="shared" si="86"/>
        <v>2.0333923583442121E-3</v>
      </c>
      <c r="AK165" s="299">
        <f t="shared" si="86"/>
        <v>1.9546426826377392E-3</v>
      </c>
      <c r="AL165" s="299">
        <f t="shared" si="86"/>
        <v>1.8501307337100198E-3</v>
      </c>
      <c r="AM165" s="299">
        <f t="shared" si="86"/>
        <v>1.7239895909107064E-3</v>
      </c>
      <c r="AN165" s="299">
        <f t="shared" si="86"/>
        <v>1.5880778342652832E-3</v>
      </c>
      <c r="AO165" s="299">
        <f t="shared" si="86"/>
        <v>1.4584278679448722E-3</v>
      </c>
      <c r="AP165" s="299">
        <f t="shared" si="86"/>
        <v>1.3483492373869172E-3</v>
      </c>
      <c r="AQ165" s="299">
        <f t="shared" si="86"/>
        <v>1.263759545126805E-3</v>
      </c>
      <c r="AR165" s="299">
        <f t="shared" si="57"/>
        <v>1.2036050409877333E-3</v>
      </c>
      <c r="AS165" s="299">
        <f t="shared" si="57"/>
        <v>1.1631461083879005E-3</v>
      </c>
      <c r="AT165" s="299">
        <f t="shared" si="57"/>
        <v>1.136944158274914E-3</v>
      </c>
      <c r="AU165" s="299">
        <f t="shared" si="57"/>
        <v>1.1203886049014785E-3</v>
      </c>
      <c r="AV165" s="299">
        <f t="shared" si="57"/>
        <v>1.1100905156332208E-3</v>
      </c>
      <c r="AW165" s="299">
        <f t="shared" si="57"/>
        <v>1.1037470137256044E-3</v>
      </c>
      <c r="AX165" s="299">
        <f t="shared" si="57"/>
        <v>1.0998629666165189E-3</v>
      </c>
      <c r="AY165" s="299">
        <f t="shared" si="57"/>
        <v>1.0974935814240694E-3</v>
      </c>
      <c r="AZ165" s="306">
        <f t="shared" si="89"/>
        <v>0.1211073859407132</v>
      </c>
      <c r="BA165" s="2">
        <f t="shared" si="89"/>
        <v>0.1211073859407132</v>
      </c>
      <c r="BB165" s="2">
        <f t="shared" si="89"/>
        <v>0.1211073859407132</v>
      </c>
      <c r="BC165" s="2">
        <f t="shared" si="89"/>
        <v>0.1211073859407132</v>
      </c>
      <c r="BD165" s="2">
        <f t="shared" si="89"/>
        <v>0.1211073859407132</v>
      </c>
      <c r="BE165" s="2">
        <f t="shared" si="87"/>
        <v>0.11562382507633764</v>
      </c>
      <c r="BF165" s="2">
        <f t="shared" si="87"/>
        <v>0.11256816947594511</v>
      </c>
      <c r="BG165" s="2">
        <f t="shared" si="87"/>
        <v>0.10820860413936616</v>
      </c>
      <c r="BH165" s="2">
        <f t="shared" si="87"/>
        <v>0.10242284482396435</v>
      </c>
      <c r="BI165" s="2">
        <f t="shared" si="87"/>
        <v>9.5439697925504913E-2</v>
      </c>
      <c r="BJ165" s="2">
        <f t="shared" si="87"/>
        <v>8.7915651917830517E-2</v>
      </c>
      <c r="BK165" s="2">
        <f t="shared" si="87"/>
        <v>8.0738257293808804E-2</v>
      </c>
      <c r="BL165" s="2">
        <f t="shared" si="87"/>
        <v>7.4644327664596416E-2</v>
      </c>
      <c r="BM165" s="2">
        <f t="shared" si="87"/>
        <v>6.9961460250848401E-2</v>
      </c>
      <c r="BN165" s="2">
        <f t="shared" si="58"/>
        <v>6.6631319666380737E-2</v>
      </c>
      <c r="BO165" s="2">
        <f t="shared" si="58"/>
        <v>6.4391521742962532E-2</v>
      </c>
      <c r="BP165" s="2">
        <f t="shared" si="58"/>
        <v>6.2940987344711569E-2</v>
      </c>
      <c r="BQ165" s="2">
        <f t="shared" si="58"/>
        <v>6.2024475423015112E-2</v>
      </c>
      <c r="BR165" s="2">
        <f t="shared" si="58"/>
        <v>6.1454375386359318E-2</v>
      </c>
      <c r="BS165" s="2">
        <f t="shared" si="58"/>
        <v>6.1103200466832715E-2</v>
      </c>
      <c r="BT165" s="2">
        <f t="shared" si="58"/>
        <v>6.0888180443061157E-2</v>
      </c>
      <c r="BU165" s="2">
        <f t="shared" si="58"/>
        <v>6.0757011781586177E-2</v>
      </c>
    </row>
    <row r="166" spans="1:73" x14ac:dyDescent="0.25">
      <c r="A166" t="s">
        <v>41</v>
      </c>
      <c r="B166" s="1" t="s">
        <v>5</v>
      </c>
      <c r="C166" t="s">
        <v>18</v>
      </c>
      <c r="D166" t="s">
        <v>18</v>
      </c>
      <c r="E166" s="97">
        <v>6.3046449999999998</v>
      </c>
      <c r="F166" s="5">
        <f t="shared" si="56"/>
        <v>1.5446380249999999E-2</v>
      </c>
      <c r="G166" s="1">
        <f>LOOKUP(RIGHT(D166,5),Ref!$C$4:$C$21,Ref!$E$4:$E$21)*$G$3</f>
        <v>3</v>
      </c>
      <c r="H166" s="36">
        <f t="shared" ref="H166:L181" si="92">$E166</f>
        <v>6.3046449999999998</v>
      </c>
      <c r="I166" s="12">
        <f t="shared" si="92"/>
        <v>6.3046449999999998</v>
      </c>
      <c r="J166" s="12">
        <f t="shared" si="92"/>
        <v>6.3046449999999998</v>
      </c>
      <c r="K166" s="12">
        <f t="shared" si="92"/>
        <v>6.3046449999999998</v>
      </c>
      <c r="L166" s="12">
        <f t="shared" si="92"/>
        <v>6.3046449999999998</v>
      </c>
      <c r="M166" s="12">
        <f t="shared" si="91"/>
        <v>6.60364829419958</v>
      </c>
      <c r="N166" s="12">
        <f t="shared" si="91"/>
        <v>6.7829038953800325</v>
      </c>
      <c r="O166" s="12">
        <f t="shared" si="91"/>
        <v>7.0561771063121332</v>
      </c>
      <c r="P166" s="12">
        <f t="shared" si="91"/>
        <v>7.4547731665381249</v>
      </c>
      <c r="Q166" s="12">
        <f t="shared" si="91"/>
        <v>8.0002251875332338</v>
      </c>
      <c r="R166" s="12">
        <f t="shared" si="91"/>
        <v>8.6849048898348844</v>
      </c>
      <c r="S166" s="12">
        <f t="shared" si="91"/>
        <v>9.4569674999999993</v>
      </c>
      <c r="T166" s="12">
        <f t="shared" si="91"/>
        <v>10.229030110165116</v>
      </c>
      <c r="U166" s="12">
        <f t="shared" si="91"/>
        <v>10.913709812466767</v>
      </c>
      <c r="V166" s="12">
        <f t="shared" si="91"/>
        <v>11.459161833461874</v>
      </c>
      <c r="W166" s="12">
        <f t="shared" si="91"/>
        <v>11.857757893687864</v>
      </c>
      <c r="X166" s="12">
        <f t="shared" si="91"/>
        <v>12.131031104619968</v>
      </c>
      <c r="Y166" s="12">
        <f t="shared" si="91"/>
        <v>12.310286705800419</v>
      </c>
      <c r="Z166" s="12">
        <f t="shared" si="91"/>
        <v>12.424486790954616</v>
      </c>
      <c r="AA166" s="12">
        <f t="shared" si="91"/>
        <v>12.49589333129355</v>
      </c>
      <c r="AB166" s="12">
        <f t="shared" si="91"/>
        <v>12.540021227078745</v>
      </c>
      <c r="AC166" s="12">
        <f t="shared" si="90"/>
        <v>12.567093950884463</v>
      </c>
      <c r="AD166" s="300">
        <f t="shared" si="88"/>
        <v>2.1799160941701331E-3</v>
      </c>
      <c r="AE166" s="299">
        <f t="shared" si="88"/>
        <v>2.1799160941701331E-3</v>
      </c>
      <c r="AF166" s="299">
        <f t="shared" si="88"/>
        <v>2.1799160941701331E-3</v>
      </c>
      <c r="AG166" s="299">
        <f t="shared" si="88"/>
        <v>2.1799160941701331E-3</v>
      </c>
      <c r="AH166" s="299">
        <f t="shared" si="88"/>
        <v>2.1799160941701331E-3</v>
      </c>
      <c r="AI166" s="299">
        <f t="shared" si="86"/>
        <v>2.0812127616792022E-3</v>
      </c>
      <c r="AJ166" s="299">
        <f t="shared" si="86"/>
        <v>2.0262113860835167E-3</v>
      </c>
      <c r="AK166" s="299">
        <f t="shared" si="86"/>
        <v>1.9477398166827284E-3</v>
      </c>
      <c r="AL166" s="299">
        <f t="shared" si="86"/>
        <v>1.843596954125911E-3</v>
      </c>
      <c r="AM166" s="299">
        <f t="shared" si="86"/>
        <v>1.7179012816971619E-3</v>
      </c>
      <c r="AN166" s="299">
        <f t="shared" si="86"/>
        <v>1.5824695005716464E-3</v>
      </c>
      <c r="AO166" s="299">
        <f t="shared" si="86"/>
        <v>1.4532773961134222E-3</v>
      </c>
      <c r="AP166" s="299">
        <f t="shared" si="86"/>
        <v>1.343587510791618E-3</v>
      </c>
      <c r="AQ166" s="299">
        <f t="shared" si="86"/>
        <v>1.2592965489910592E-3</v>
      </c>
      <c r="AR166" s="299">
        <f t="shared" si="57"/>
        <v>1.1993544818781259E-3</v>
      </c>
      <c r="AS166" s="299">
        <f t="shared" si="57"/>
        <v>1.1590384309368693E-3</v>
      </c>
      <c r="AT166" s="299">
        <f t="shared" si="57"/>
        <v>1.1329290136182376E-3</v>
      </c>
      <c r="AU166" s="299">
        <f t="shared" si="57"/>
        <v>1.1164319265654053E-3</v>
      </c>
      <c r="AV166" s="299">
        <f t="shared" si="57"/>
        <v>1.1061702052381748E-3</v>
      </c>
      <c r="AW166" s="299">
        <f t="shared" si="57"/>
        <v>1.0998491055546286E-3</v>
      </c>
      <c r="AX166" s="299">
        <f t="shared" si="57"/>
        <v>1.0959787750479664E-3</v>
      </c>
      <c r="AY166" s="299">
        <f t="shared" si="57"/>
        <v>1.0936177573942617E-3</v>
      </c>
      <c r="AZ166" s="306">
        <f t="shared" si="89"/>
        <v>0.12067969239921007</v>
      </c>
      <c r="BA166" s="2">
        <f t="shared" si="89"/>
        <v>0.12067969239921007</v>
      </c>
      <c r="BB166" s="2">
        <f t="shared" si="89"/>
        <v>0.12067969239921007</v>
      </c>
      <c r="BC166" s="2">
        <f t="shared" si="89"/>
        <v>0.12067969239921007</v>
      </c>
      <c r="BD166" s="2">
        <f t="shared" si="89"/>
        <v>0.12067969239921007</v>
      </c>
      <c r="BE166" s="2">
        <f t="shared" si="87"/>
        <v>0.11521549685717151</v>
      </c>
      <c r="BF166" s="2">
        <f t="shared" si="87"/>
        <v>0.11217063237538165</v>
      </c>
      <c r="BG166" s="2">
        <f t="shared" si="87"/>
        <v>0.10782646294487178</v>
      </c>
      <c r="BH166" s="2">
        <f t="shared" si="87"/>
        <v>0.10206113617264369</v>
      </c>
      <c r="BI166" s="2">
        <f t="shared" si="87"/>
        <v>9.5102650419370729E-2</v>
      </c>
      <c r="BJ166" s="2">
        <f t="shared" si="87"/>
        <v>8.7605175754628534E-2</v>
      </c>
      <c r="BK166" s="2">
        <f t="shared" si="87"/>
        <v>8.0453128266140053E-2</v>
      </c>
      <c r="BL166" s="2">
        <f t="shared" si="87"/>
        <v>7.4380719490709984E-2</v>
      </c>
      <c r="BM166" s="2">
        <f t="shared" si="87"/>
        <v>6.9714389731812806E-2</v>
      </c>
      <c r="BN166" s="2">
        <f t="shared" si="58"/>
        <v>6.6396009616033425E-2</v>
      </c>
      <c r="BO166" s="2">
        <f t="shared" si="58"/>
        <v>6.4164121590914794E-2</v>
      </c>
      <c r="BP166" s="2">
        <f t="shared" si="58"/>
        <v>6.2718709788524021E-2</v>
      </c>
      <c r="BQ166" s="2">
        <f t="shared" si="58"/>
        <v>6.1805434549929726E-2</v>
      </c>
      <c r="BR166" s="2">
        <f t="shared" si="58"/>
        <v>6.1237347834771985E-2</v>
      </c>
      <c r="BS166" s="2">
        <f t="shared" si="58"/>
        <v>6.0887413097616194E-2</v>
      </c>
      <c r="BT166" s="2">
        <f t="shared" si="58"/>
        <v>6.0673152422044151E-2</v>
      </c>
      <c r="BU166" s="2">
        <f t="shared" si="58"/>
        <v>6.0542446985738518E-2</v>
      </c>
    </row>
    <row r="167" spans="1:73" x14ac:dyDescent="0.25">
      <c r="A167" t="s">
        <v>42</v>
      </c>
      <c r="B167" s="1" t="s">
        <v>5</v>
      </c>
      <c r="C167" t="s">
        <v>13</v>
      </c>
      <c r="D167" t="s">
        <v>13</v>
      </c>
      <c r="E167" s="97">
        <v>7.1437799999999996</v>
      </c>
      <c r="F167" s="5">
        <f t="shared" si="56"/>
        <v>1.7502260999999998E-2</v>
      </c>
      <c r="G167" s="1">
        <f>LOOKUP(RIGHT(D167,5),Ref!$C$4:$C$21,Ref!$E$4:$E$21)*$G$3</f>
        <v>1.5</v>
      </c>
      <c r="H167" s="36">
        <f t="shared" si="92"/>
        <v>7.1437799999999996</v>
      </c>
      <c r="I167" s="12">
        <f t="shared" si="92"/>
        <v>7.1437799999999996</v>
      </c>
      <c r="J167" s="12">
        <f t="shared" si="92"/>
        <v>7.1437799999999996</v>
      </c>
      <c r="K167" s="12">
        <f t="shared" si="92"/>
        <v>7.1437799999999996</v>
      </c>
      <c r="L167" s="12">
        <f t="shared" si="92"/>
        <v>7.1437799999999996</v>
      </c>
      <c r="M167" s="12">
        <f t="shared" si="91"/>
        <v>7.4825800042884376</v>
      </c>
      <c r="N167" s="12">
        <f t="shared" si="91"/>
        <v>7.685694149272158</v>
      </c>
      <c r="O167" s="12">
        <f t="shared" si="91"/>
        <v>7.9953394502831623</v>
      </c>
      <c r="P167" s="12">
        <f t="shared" si="91"/>
        <v>8.4469878084573722</v>
      </c>
      <c r="Q167" s="12">
        <f t="shared" si="91"/>
        <v>9.0650383471545446</v>
      </c>
      <c r="R167" s="12">
        <f t="shared" si="91"/>
        <v>9.8408474789468148</v>
      </c>
      <c r="S167" s="12">
        <f t="shared" si="91"/>
        <v>10.715669999999999</v>
      </c>
      <c r="T167" s="12">
        <f t="shared" si="91"/>
        <v>11.590492521053184</v>
      </c>
      <c r="U167" s="12">
        <f t="shared" si="91"/>
        <v>12.366301652845454</v>
      </c>
      <c r="V167" s="12">
        <f t="shared" si="91"/>
        <v>12.984352191542627</v>
      </c>
      <c r="W167" s="12">
        <f t="shared" si="91"/>
        <v>13.436000549716834</v>
      </c>
      <c r="X167" s="12">
        <f t="shared" si="91"/>
        <v>13.74564585072784</v>
      </c>
      <c r="Y167" s="12">
        <f t="shared" si="91"/>
        <v>13.948759995711562</v>
      </c>
      <c r="Z167" s="12">
        <f t="shared" si="91"/>
        <v>14.078159872203075</v>
      </c>
      <c r="AA167" s="12">
        <f t="shared" si="91"/>
        <v>14.159070472997008</v>
      </c>
      <c r="AB167" s="12">
        <f t="shared" si="91"/>
        <v>14.209071698974421</v>
      </c>
      <c r="AC167" s="12">
        <f t="shared" si="90"/>
        <v>14.239747745424113</v>
      </c>
      <c r="AD167" s="300">
        <f t="shared" si="88"/>
        <v>1.9238550324239072E-3</v>
      </c>
      <c r="AE167" s="299">
        <f t="shared" si="88"/>
        <v>1.9238550324239072E-3</v>
      </c>
      <c r="AF167" s="299">
        <f t="shared" si="88"/>
        <v>1.9238550324239072E-3</v>
      </c>
      <c r="AG167" s="299">
        <f t="shared" si="88"/>
        <v>1.9238550324239072E-3</v>
      </c>
      <c r="AH167" s="299">
        <f t="shared" si="88"/>
        <v>1.9238550324239072E-3</v>
      </c>
      <c r="AI167" s="299">
        <f t="shared" si="86"/>
        <v>1.8367457609076668E-3</v>
      </c>
      <c r="AJ167" s="299">
        <f t="shared" si="86"/>
        <v>1.7882050516973525E-3</v>
      </c>
      <c r="AK167" s="299">
        <f t="shared" si="86"/>
        <v>1.7189510450419359E-3</v>
      </c>
      <c r="AL167" s="299">
        <f t="shared" si="86"/>
        <v>1.627041190916455E-3</v>
      </c>
      <c r="AM167" s="299">
        <f t="shared" si="86"/>
        <v>1.5161102002225156E-3</v>
      </c>
      <c r="AN167" s="299">
        <f t="shared" si="86"/>
        <v>1.3965867404135527E-3</v>
      </c>
      <c r="AO167" s="299">
        <f t="shared" si="86"/>
        <v>1.2825700216159382E-3</v>
      </c>
      <c r="AP167" s="299">
        <f t="shared" si="86"/>
        <v>1.1857647186748223E-3</v>
      </c>
      <c r="AQ167" s="299">
        <f t="shared" si="86"/>
        <v>1.1113748871205073E-3</v>
      </c>
      <c r="AR167" s="299">
        <f t="shared" si="57"/>
        <v>1.0584738384161489E-3</v>
      </c>
      <c r="AS167" s="299">
        <f t="shared" si="57"/>
        <v>1.0228934609428032E-3</v>
      </c>
      <c r="AT167" s="299">
        <f t="shared" si="57"/>
        <v>9.9985095300571323E-4</v>
      </c>
      <c r="AU167" s="299">
        <f t="shared" si="57"/>
        <v>9.8529167522809361E-4</v>
      </c>
      <c r="AV167" s="299">
        <f t="shared" si="57"/>
        <v>9.7623533389939684E-4</v>
      </c>
      <c r="AW167" s="299">
        <f t="shared" si="57"/>
        <v>9.706567341224761E-4</v>
      </c>
      <c r="AX167" s="299">
        <f t="shared" si="57"/>
        <v>9.6724102704902543E-4</v>
      </c>
      <c r="AY167" s="299">
        <f t="shared" si="57"/>
        <v>9.6515734332061533E-4</v>
      </c>
      <c r="AZ167" s="306">
        <f t="shared" si="89"/>
        <v>0.10650420635660922</v>
      </c>
      <c r="BA167" s="2">
        <f t="shared" si="89"/>
        <v>0.10650420635660922</v>
      </c>
      <c r="BB167" s="2">
        <f t="shared" si="89"/>
        <v>0.10650420635660922</v>
      </c>
      <c r="BC167" s="2">
        <f t="shared" si="89"/>
        <v>0.10650420635660922</v>
      </c>
      <c r="BD167" s="2">
        <f t="shared" si="89"/>
        <v>0.10650420635660922</v>
      </c>
      <c r="BE167" s="2">
        <f t="shared" si="87"/>
        <v>0.10168185556989187</v>
      </c>
      <c r="BF167" s="2">
        <f t="shared" si="87"/>
        <v>9.8994652208255027E-2</v>
      </c>
      <c r="BG167" s="2">
        <f t="shared" si="87"/>
        <v>9.5160765095379643E-2</v>
      </c>
      <c r="BH167" s="2">
        <f t="shared" si="87"/>
        <v>9.0072655074089222E-2</v>
      </c>
      <c r="BI167" s="2">
        <f t="shared" si="87"/>
        <v>8.393153896861795E-2</v>
      </c>
      <c r="BJ167" s="2">
        <f t="shared" si="87"/>
        <v>7.7314745596244572E-2</v>
      </c>
      <c r="BK167" s="2">
        <f t="shared" si="87"/>
        <v>7.1002804237739484E-2</v>
      </c>
      <c r="BL167" s="2">
        <f t="shared" si="87"/>
        <v>6.5643683208820441E-2</v>
      </c>
      <c r="BM167" s="2">
        <f t="shared" si="87"/>
        <v>6.1525477919354317E-2</v>
      </c>
      <c r="BN167" s="2">
        <f t="shared" si="58"/>
        <v>5.859688708858294E-2</v>
      </c>
      <c r="BO167" s="2">
        <f t="shared" si="58"/>
        <v>5.6627164941746945E-2</v>
      </c>
      <c r="BP167" s="2">
        <f t="shared" si="58"/>
        <v>5.5351536591925994E-2</v>
      </c>
      <c r="BQ167" s="2">
        <f t="shared" si="58"/>
        <v>5.4545538063608012E-2</v>
      </c>
      <c r="BR167" s="2">
        <f t="shared" si="58"/>
        <v>5.4044180929389771E-2</v>
      </c>
      <c r="BS167" s="2">
        <f t="shared" si="58"/>
        <v>5.37353508295077E-2</v>
      </c>
      <c r="BT167" s="2">
        <f t="shared" si="58"/>
        <v>5.3546258010728008E-2</v>
      </c>
      <c r="BU167" s="2">
        <f t="shared" si="58"/>
        <v>5.3430905721676955E-2</v>
      </c>
    </row>
    <row r="168" spans="1:73" x14ac:dyDescent="0.25">
      <c r="A168" t="s">
        <v>42</v>
      </c>
      <c r="B168" s="1" t="s">
        <v>5</v>
      </c>
      <c r="C168" t="s">
        <v>14</v>
      </c>
      <c r="D168" t="s">
        <v>14</v>
      </c>
      <c r="E168" s="97">
        <v>7.04535775</v>
      </c>
      <c r="F168" s="5">
        <f t="shared" si="56"/>
        <v>1.72611264875E-2</v>
      </c>
      <c r="G168" s="1">
        <f>LOOKUP(RIGHT(D168,5),Ref!$C$4:$C$21,Ref!$E$4:$E$21)*$G$3</f>
        <v>2</v>
      </c>
      <c r="H168" s="36">
        <f t="shared" si="92"/>
        <v>7.04535775</v>
      </c>
      <c r="I168" s="12">
        <f t="shared" si="92"/>
        <v>7.04535775</v>
      </c>
      <c r="J168" s="12">
        <f t="shared" si="92"/>
        <v>7.04535775</v>
      </c>
      <c r="K168" s="12">
        <f t="shared" si="92"/>
        <v>7.04535775</v>
      </c>
      <c r="L168" s="12">
        <f t="shared" si="92"/>
        <v>7.04535775</v>
      </c>
      <c r="M168" s="12">
        <f t="shared" si="91"/>
        <v>7.3794899931420872</v>
      </c>
      <c r="N168" s="12">
        <f t="shared" si="91"/>
        <v>7.5798057665135623</v>
      </c>
      <c r="O168" s="12">
        <f t="shared" si="91"/>
        <v>7.8851849804911716</v>
      </c>
      <c r="P168" s="12">
        <f t="shared" si="91"/>
        <v>8.3306108279469218</v>
      </c>
      <c r="Q168" s="12">
        <f t="shared" si="91"/>
        <v>8.9401462773451108</v>
      </c>
      <c r="R168" s="12">
        <f t="shared" si="91"/>
        <v>9.7052668268571978</v>
      </c>
      <c r="S168" s="12">
        <f t="shared" si="91"/>
        <v>10.568036625</v>
      </c>
      <c r="T168" s="12">
        <f t="shared" si="91"/>
        <v>11.430806423142803</v>
      </c>
      <c r="U168" s="12">
        <f t="shared" si="91"/>
        <v>12.195926972654888</v>
      </c>
      <c r="V168" s="12">
        <f t="shared" si="91"/>
        <v>12.805462422053077</v>
      </c>
      <c r="W168" s="12">
        <f t="shared" si="91"/>
        <v>13.250888269508827</v>
      </c>
      <c r="X168" s="12">
        <f t="shared" si="91"/>
        <v>13.556267483486437</v>
      </c>
      <c r="Y168" s="12">
        <f t="shared" si="91"/>
        <v>13.756583256857914</v>
      </c>
      <c r="Z168" s="12">
        <f t="shared" si="91"/>
        <v>13.884200347906145</v>
      </c>
      <c r="AA168" s="12">
        <f t="shared" si="91"/>
        <v>13.96399621625045</v>
      </c>
      <c r="AB168" s="12">
        <f t="shared" si="91"/>
        <v>14.013308558588745</v>
      </c>
      <c r="AC168" s="12">
        <f t="shared" si="90"/>
        <v>14.043561970870996</v>
      </c>
      <c r="AD168" s="300">
        <f t="shared" si="88"/>
        <v>1.9507309055426263E-3</v>
      </c>
      <c r="AE168" s="299">
        <f t="shared" si="88"/>
        <v>1.9507309055426263E-3</v>
      </c>
      <c r="AF168" s="299">
        <f t="shared" si="88"/>
        <v>1.9507309055426263E-3</v>
      </c>
      <c r="AG168" s="299">
        <f t="shared" si="88"/>
        <v>1.9507309055426263E-3</v>
      </c>
      <c r="AH168" s="299">
        <f t="shared" si="88"/>
        <v>1.9507309055426263E-3</v>
      </c>
      <c r="AI168" s="299">
        <f t="shared" si="86"/>
        <v>1.8624047347853942E-3</v>
      </c>
      <c r="AJ168" s="299">
        <f t="shared" si="86"/>
        <v>1.8131859214976717E-3</v>
      </c>
      <c r="AK168" s="299">
        <f t="shared" si="86"/>
        <v>1.7429644501089643E-3</v>
      </c>
      <c r="AL168" s="299">
        <f t="shared" si="86"/>
        <v>1.6497706335558552E-3</v>
      </c>
      <c r="AM168" s="299">
        <f t="shared" si="86"/>
        <v>1.5372899589301344E-3</v>
      </c>
      <c r="AN168" s="299">
        <f t="shared" si="86"/>
        <v>1.4160967801005603E-3</v>
      </c>
      <c r="AO168" s="299">
        <f t="shared" si="86"/>
        <v>1.3004872703617509E-3</v>
      </c>
      <c r="AP168" s="299">
        <f t="shared" si="86"/>
        <v>1.202329616544287E-3</v>
      </c>
      <c r="AQ168" s="299">
        <f t="shared" si="86"/>
        <v>1.1269005738017686E-3</v>
      </c>
      <c r="AR168" s="299">
        <f t="shared" si="57"/>
        <v>1.073260507942342E-3</v>
      </c>
      <c r="AS168" s="299">
        <f t="shared" si="57"/>
        <v>1.0371830796546816E-3</v>
      </c>
      <c r="AT168" s="299">
        <f t="shared" si="57"/>
        <v>1.0138186724532412E-3</v>
      </c>
      <c r="AU168" s="299">
        <f t="shared" si="57"/>
        <v>9.9905600445356372E-4</v>
      </c>
      <c r="AV168" s="299">
        <f t="shared" si="57"/>
        <v>9.8987314783324266E-4</v>
      </c>
      <c r="AW168" s="299">
        <f t="shared" si="57"/>
        <v>9.8421661612420786E-4</v>
      </c>
      <c r="AX168" s="299">
        <f t="shared" si="57"/>
        <v>9.807531923006021E-4</v>
      </c>
      <c r="AY168" s="299">
        <f t="shared" si="57"/>
        <v>9.7864039992389957E-4</v>
      </c>
      <c r="AZ168" s="306">
        <f t="shared" si="89"/>
        <v>0.10799204898945235</v>
      </c>
      <c r="BA168" s="2">
        <f t="shared" si="89"/>
        <v>0.10799204898945235</v>
      </c>
      <c r="BB168" s="2">
        <f t="shared" si="89"/>
        <v>0.10799204898945235</v>
      </c>
      <c r="BC168" s="2">
        <f t="shared" si="89"/>
        <v>0.10799204898945235</v>
      </c>
      <c r="BD168" s="2">
        <f t="shared" si="89"/>
        <v>0.10799204898945235</v>
      </c>
      <c r="BE168" s="2">
        <f t="shared" si="87"/>
        <v>0.1031023309189774</v>
      </c>
      <c r="BF168" s="2">
        <f t="shared" si="87"/>
        <v>0.10037758785950764</v>
      </c>
      <c r="BG168" s="2">
        <f t="shared" si="87"/>
        <v>9.6490142104291451E-2</v>
      </c>
      <c r="BH168" s="2">
        <f t="shared" si="87"/>
        <v>9.1330952195461917E-2</v>
      </c>
      <c r="BI168" s="2">
        <f t="shared" si="87"/>
        <v>8.5104045916367221E-2</v>
      </c>
      <c r="BJ168" s="2">
        <f t="shared" si="87"/>
        <v>7.8394817253324006E-2</v>
      </c>
      <c r="BK168" s="2">
        <f t="shared" si="87"/>
        <v>7.1994699326301564E-2</v>
      </c>
      <c r="BL168" s="2">
        <f t="shared" si="87"/>
        <v>6.6560712439834191E-2</v>
      </c>
      <c r="BM168" s="2">
        <f t="shared" si="87"/>
        <v>6.2384976639507761E-2</v>
      </c>
      <c r="BN168" s="2">
        <f t="shared" si="58"/>
        <v>5.9415473975849849E-2</v>
      </c>
      <c r="BO168" s="2">
        <f t="shared" si="58"/>
        <v>5.7418235201406619E-2</v>
      </c>
      <c r="BP168" s="2">
        <f t="shared" si="58"/>
        <v>5.6124786576617638E-2</v>
      </c>
      <c r="BQ168" s="2">
        <f t="shared" si="58"/>
        <v>5.5307528408765565E-2</v>
      </c>
      <c r="BR168" s="2">
        <f t="shared" si="58"/>
        <v>5.4799167414849304E-2</v>
      </c>
      <c r="BS168" s="2">
        <f t="shared" si="58"/>
        <v>5.4486023019742397E-2</v>
      </c>
      <c r="BT168" s="2">
        <f t="shared" si="58"/>
        <v>5.4294288611799531E-2</v>
      </c>
      <c r="BU168" s="2">
        <f t="shared" si="58"/>
        <v>5.4177324874155809E-2</v>
      </c>
    </row>
    <row r="169" spans="1:73" x14ac:dyDescent="0.25">
      <c r="A169" t="s">
        <v>42</v>
      </c>
      <c r="B169" s="1" t="s">
        <v>5</v>
      </c>
      <c r="C169" t="s">
        <v>15</v>
      </c>
      <c r="D169" t="s">
        <v>15</v>
      </c>
      <c r="E169" s="97">
        <v>6.7493974999999997</v>
      </c>
      <c r="F169" s="5">
        <f t="shared" si="56"/>
        <v>1.6536023874999996E-2</v>
      </c>
      <c r="G169" s="1">
        <f>LOOKUP(RIGHT(D169,5),Ref!$C$4:$C$21,Ref!$E$4:$E$21)*$G$3</f>
        <v>2.5</v>
      </c>
      <c r="H169" s="36">
        <f t="shared" si="92"/>
        <v>6.7493974999999997</v>
      </c>
      <c r="I169" s="12">
        <f t="shared" si="92"/>
        <v>6.7493974999999997</v>
      </c>
      <c r="J169" s="12">
        <f t="shared" si="92"/>
        <v>6.7493974999999997</v>
      </c>
      <c r="K169" s="12">
        <f t="shared" si="92"/>
        <v>6.7493974999999997</v>
      </c>
      <c r="L169" s="12">
        <f t="shared" si="92"/>
        <v>6.7493974999999997</v>
      </c>
      <c r="M169" s="12">
        <f t="shared" si="91"/>
        <v>7.0694935698599854</v>
      </c>
      <c r="N169" s="12">
        <f t="shared" si="91"/>
        <v>7.2613945105899305</v>
      </c>
      <c r="O169" s="12">
        <f t="shared" si="91"/>
        <v>7.5539454038887746</v>
      </c>
      <c r="P169" s="12">
        <f t="shared" si="91"/>
        <v>7.9806598743148118</v>
      </c>
      <c r="Q169" s="12">
        <f t="shared" si="91"/>
        <v>8.5645900570410927</v>
      </c>
      <c r="R169" s="12">
        <f t="shared" si="91"/>
        <v>9.2975695461345307</v>
      </c>
      <c r="S169" s="12">
        <f t="shared" si="91"/>
        <v>10.124096249999999</v>
      </c>
      <c r="T169" s="12">
        <f t="shared" si="91"/>
        <v>10.950622953865468</v>
      </c>
      <c r="U169" s="12">
        <f t="shared" si="91"/>
        <v>11.683602442958907</v>
      </c>
      <c r="V169" s="12">
        <f t="shared" si="91"/>
        <v>12.267532625685188</v>
      </c>
      <c r="W169" s="12">
        <f t="shared" si="91"/>
        <v>12.694247096111223</v>
      </c>
      <c r="X169" s="12">
        <f t="shared" si="91"/>
        <v>12.98679798941007</v>
      </c>
      <c r="Y169" s="12">
        <f t="shared" si="91"/>
        <v>13.178698930140014</v>
      </c>
      <c r="Z169" s="12">
        <f t="shared" si="91"/>
        <v>13.300955103047372</v>
      </c>
      <c r="AA169" s="12">
        <f t="shared" si="91"/>
        <v>13.377398919447383</v>
      </c>
      <c r="AB169" s="12">
        <f t="shared" si="91"/>
        <v>13.424639756876431</v>
      </c>
      <c r="AC169" s="12">
        <f t="shared" si="90"/>
        <v>13.453622288703759</v>
      </c>
      <c r="AD169" s="300">
        <f t="shared" si="88"/>
        <v>2.0362702157532223E-3</v>
      </c>
      <c r="AE169" s="299">
        <f t="shared" si="88"/>
        <v>2.0362702157532223E-3</v>
      </c>
      <c r="AF169" s="299">
        <f t="shared" si="88"/>
        <v>2.0362702157532223E-3</v>
      </c>
      <c r="AG169" s="299">
        <f t="shared" si="88"/>
        <v>2.0362702157532223E-3</v>
      </c>
      <c r="AH169" s="299">
        <f t="shared" si="88"/>
        <v>2.0362702157532223E-3</v>
      </c>
      <c r="AI169" s="299">
        <f t="shared" si="86"/>
        <v>1.9440709532750106E-3</v>
      </c>
      <c r="AJ169" s="299">
        <f t="shared" si="86"/>
        <v>1.8926939010799871E-3</v>
      </c>
      <c r="AK169" s="299">
        <f t="shared" si="86"/>
        <v>1.8193932268101977E-3</v>
      </c>
      <c r="AL169" s="299">
        <f t="shared" si="86"/>
        <v>1.7221128728668231E-3</v>
      </c>
      <c r="AM169" s="299">
        <f t="shared" si="86"/>
        <v>1.6046999344972055E-3</v>
      </c>
      <c r="AN169" s="299">
        <f t="shared" si="86"/>
        <v>1.4781924496862912E-3</v>
      </c>
      <c r="AO169" s="299">
        <f t="shared" si="86"/>
        <v>1.357513477168815E-3</v>
      </c>
      <c r="AP169" s="299">
        <f t="shared" si="86"/>
        <v>1.2550516223077425E-3</v>
      </c>
      <c r="AQ169" s="299">
        <f t="shared" si="86"/>
        <v>1.1763150253209619E-3</v>
      </c>
      <c r="AR169" s="299">
        <f t="shared" si="57"/>
        <v>1.1203228491729099E-3</v>
      </c>
      <c r="AS169" s="299">
        <f t="shared" si="57"/>
        <v>1.0826634300934238E-3</v>
      </c>
      <c r="AT169" s="299">
        <f t="shared" si="57"/>
        <v>1.0582744965107113E-3</v>
      </c>
      <c r="AU169" s="299">
        <f t="shared" si="57"/>
        <v>1.0428644873354917E-3</v>
      </c>
      <c r="AV169" s="299">
        <f t="shared" si="57"/>
        <v>1.0332789635821322E-3</v>
      </c>
      <c r="AW169" s="299">
        <f t="shared" si="57"/>
        <v>1.0273743936535761E-3</v>
      </c>
      <c r="AX169" s="299">
        <f t="shared" si="57"/>
        <v>1.0237590991214085E-3</v>
      </c>
      <c r="AY169" s="299">
        <f t="shared" si="57"/>
        <v>1.0215536610589237E-3</v>
      </c>
      <c r="AZ169" s="306">
        <f t="shared" si="89"/>
        <v>0.11272748705143204</v>
      </c>
      <c r="BA169" s="2">
        <f t="shared" si="89"/>
        <v>0.11272748705143204</v>
      </c>
      <c r="BB169" s="2">
        <f t="shared" si="89"/>
        <v>0.11272748705143204</v>
      </c>
      <c r="BC169" s="2">
        <f t="shared" si="89"/>
        <v>0.11272748705143204</v>
      </c>
      <c r="BD169" s="2">
        <f t="shared" si="89"/>
        <v>0.11272748705143204</v>
      </c>
      <c r="BE169" s="2">
        <f t="shared" si="87"/>
        <v>0.10762335544514635</v>
      </c>
      <c r="BF169" s="2">
        <f t="shared" si="87"/>
        <v>0.1047791327377426</v>
      </c>
      <c r="BG169" s="2">
        <f t="shared" si="87"/>
        <v>0.1007212229644307</v>
      </c>
      <c r="BH169" s="2">
        <f t="shared" si="87"/>
        <v>9.5335803212831541E-2</v>
      </c>
      <c r="BI169" s="2">
        <f t="shared" si="87"/>
        <v>8.8835847859491696E-2</v>
      </c>
      <c r="BJ169" s="2">
        <f t="shared" si="87"/>
        <v>8.1832420345007095E-2</v>
      </c>
      <c r="BK169" s="2">
        <f t="shared" si="87"/>
        <v>7.5151658034288027E-2</v>
      </c>
      <c r="BL169" s="2">
        <f t="shared" si="87"/>
        <v>6.9479391491389764E-2</v>
      </c>
      <c r="BM169" s="2">
        <f t="shared" si="87"/>
        <v>6.5120550189957688E-2</v>
      </c>
      <c r="BN169" s="2">
        <f t="shared" si="58"/>
        <v>6.2020835199834805E-2</v>
      </c>
      <c r="BO169" s="2">
        <f t="shared" si="58"/>
        <v>5.9936017750851535E-2</v>
      </c>
      <c r="BP169" s="2">
        <f t="shared" si="58"/>
        <v>5.8585851562997893E-2</v>
      </c>
      <c r="BQ169" s="2">
        <f t="shared" si="58"/>
        <v>5.7732756725032371E-2</v>
      </c>
      <c r="BR169" s="2">
        <f t="shared" si="58"/>
        <v>5.7202104164076284E-2</v>
      </c>
      <c r="BS169" s="2">
        <f t="shared" si="58"/>
        <v>5.6875228425769933E-2</v>
      </c>
      <c r="BT169" s="2">
        <f t="shared" si="58"/>
        <v>5.6675086487627757E-2</v>
      </c>
      <c r="BU169" s="2">
        <f t="shared" si="58"/>
        <v>5.6552993904478349E-2</v>
      </c>
    </row>
    <row r="170" spans="1:73" x14ac:dyDescent="0.25">
      <c r="A170" t="s">
        <v>42</v>
      </c>
      <c r="B170" s="1" t="s">
        <v>5</v>
      </c>
      <c r="C170" t="s">
        <v>16</v>
      </c>
      <c r="D170" t="s">
        <v>16</v>
      </c>
      <c r="E170" s="97">
        <v>5.8918299999999997</v>
      </c>
      <c r="F170" s="5">
        <f t="shared" si="56"/>
        <v>1.44349835E-2</v>
      </c>
      <c r="G170" s="1">
        <f>LOOKUP(RIGHT(D170,5),Ref!$C$4:$C$21,Ref!$E$4:$E$21)*$G$3</f>
        <v>3</v>
      </c>
      <c r="H170" s="36">
        <f t="shared" si="92"/>
        <v>5.8918299999999997</v>
      </c>
      <c r="I170" s="12">
        <f t="shared" si="92"/>
        <v>5.8918299999999997</v>
      </c>
      <c r="J170" s="12">
        <f t="shared" si="92"/>
        <v>5.8918299999999997</v>
      </c>
      <c r="K170" s="12">
        <f t="shared" si="92"/>
        <v>5.8918299999999997</v>
      </c>
      <c r="L170" s="12">
        <f t="shared" si="92"/>
        <v>5.8918299999999997</v>
      </c>
      <c r="M170" s="12">
        <f t="shared" si="91"/>
        <v>6.1712551823637831</v>
      </c>
      <c r="N170" s="12">
        <f t="shared" si="91"/>
        <v>6.338773500794562</v>
      </c>
      <c r="O170" s="12">
        <f t="shared" si="91"/>
        <v>6.5941533520575728</v>
      </c>
      <c r="P170" s="12">
        <f t="shared" si="91"/>
        <v>6.966650173928004</v>
      </c>
      <c r="Q170" s="12">
        <f t="shared" si="91"/>
        <v>7.4763871346703787</v>
      </c>
      <c r="R170" s="12">
        <f t="shared" si="91"/>
        <v>8.1162354386449778</v>
      </c>
      <c r="S170" s="12">
        <f t="shared" si="91"/>
        <v>8.837745</v>
      </c>
      <c r="T170" s="12">
        <f t="shared" si="91"/>
        <v>9.5592545613550222</v>
      </c>
      <c r="U170" s="12">
        <f t="shared" si="91"/>
        <v>10.199102865329621</v>
      </c>
      <c r="V170" s="12">
        <f t="shared" si="91"/>
        <v>10.708839826071994</v>
      </c>
      <c r="W170" s="12">
        <f t="shared" si="91"/>
        <v>11.081336647942425</v>
      </c>
      <c r="X170" s="12">
        <f t="shared" si="91"/>
        <v>11.336716499205437</v>
      </c>
      <c r="Y170" s="12">
        <f t="shared" si="91"/>
        <v>11.504234817636217</v>
      </c>
      <c r="Z170" s="12">
        <f t="shared" si="91"/>
        <v>11.610957319492236</v>
      </c>
      <c r="AA170" s="12">
        <f t="shared" si="91"/>
        <v>11.67768830855905</v>
      </c>
      <c r="AB170" s="12">
        <f t="shared" si="91"/>
        <v>11.718926801800793</v>
      </c>
      <c r="AC170" s="12">
        <f t="shared" si="90"/>
        <v>11.74422686013877</v>
      </c>
      <c r="AD170" s="300">
        <f t="shared" si="88"/>
        <v>2.3326533697559603E-3</v>
      </c>
      <c r="AE170" s="299">
        <f t="shared" si="88"/>
        <v>2.3326533697559603E-3</v>
      </c>
      <c r="AF170" s="299">
        <f t="shared" si="88"/>
        <v>2.3326533697559603E-3</v>
      </c>
      <c r="AG170" s="299">
        <f t="shared" si="88"/>
        <v>2.3326533697559603E-3</v>
      </c>
      <c r="AH170" s="299">
        <f t="shared" si="88"/>
        <v>2.3326533697559603E-3</v>
      </c>
      <c r="AI170" s="299">
        <f t="shared" si="86"/>
        <v>2.2270343224188361E-3</v>
      </c>
      <c r="AJ170" s="299">
        <f t="shared" si="86"/>
        <v>2.1681792387449254E-3</v>
      </c>
      <c r="AK170" s="299">
        <f t="shared" si="86"/>
        <v>2.0842095064775596E-3</v>
      </c>
      <c r="AL170" s="299">
        <f t="shared" si="86"/>
        <v>1.9727698047712094E-3</v>
      </c>
      <c r="AM170" s="299">
        <f t="shared" si="86"/>
        <v>1.8382671811891388E-3</v>
      </c>
      <c r="AN170" s="299">
        <f t="shared" si="86"/>
        <v>1.6933462819584964E-3</v>
      </c>
      <c r="AO170" s="299">
        <f t="shared" si="86"/>
        <v>1.5551022465039735E-3</v>
      </c>
      <c r="AP170" s="299">
        <f t="shared" si="86"/>
        <v>1.4377268661816146E-3</v>
      </c>
      <c r="AQ170" s="299">
        <f t="shared" si="86"/>
        <v>1.347530001903269E-3</v>
      </c>
      <c r="AR170" s="299">
        <f t="shared" si="57"/>
        <v>1.2833880538645067E-3</v>
      </c>
      <c r="AS170" s="299">
        <f t="shared" si="57"/>
        <v>1.240247231915038E-3</v>
      </c>
      <c r="AT170" s="299">
        <f t="shared" si="57"/>
        <v>1.2123084408516801E-3</v>
      </c>
      <c r="AU170" s="299">
        <f t="shared" si="57"/>
        <v>1.1946554743875756E-3</v>
      </c>
      <c r="AV170" s="299">
        <f t="shared" si="57"/>
        <v>1.1836747587088959E-3</v>
      </c>
      <c r="AW170" s="299">
        <f t="shared" si="57"/>
        <v>1.1769107669585615E-3</v>
      </c>
      <c r="AX170" s="299">
        <f t="shared" si="57"/>
        <v>1.1727692591626518E-3</v>
      </c>
      <c r="AY170" s="299">
        <f t="shared" si="57"/>
        <v>1.1702428152317609E-3</v>
      </c>
      <c r="AZ170" s="306">
        <f t="shared" si="89"/>
        <v>0.12913519556508213</v>
      </c>
      <c r="BA170" s="2">
        <f t="shared" si="89"/>
        <v>0.12913519556508213</v>
      </c>
      <c r="BB170" s="2">
        <f t="shared" si="89"/>
        <v>0.12913519556508213</v>
      </c>
      <c r="BC170" s="2">
        <f t="shared" si="89"/>
        <v>0.12913519556508213</v>
      </c>
      <c r="BD170" s="2">
        <f t="shared" si="89"/>
        <v>0.12913519556508213</v>
      </c>
      <c r="BE170" s="2">
        <f t="shared" si="87"/>
        <v>0.12328814751665987</v>
      </c>
      <c r="BF170" s="2">
        <f t="shared" si="87"/>
        <v>0.12002994257340896</v>
      </c>
      <c r="BG170" s="2">
        <f t="shared" si="87"/>
        <v>0.11538139601330505</v>
      </c>
      <c r="BH170" s="2">
        <f t="shared" si="87"/>
        <v>0.10921211777413421</v>
      </c>
      <c r="BI170" s="2">
        <f t="shared" si="87"/>
        <v>0.10176608107383166</v>
      </c>
      <c r="BJ170" s="2">
        <f t="shared" si="87"/>
        <v>9.3743290844362448E-2</v>
      </c>
      <c r="BK170" s="2">
        <f t="shared" si="87"/>
        <v>8.6090130376721405E-2</v>
      </c>
      <c r="BL170" s="2">
        <f t="shared" si="87"/>
        <v>7.9592254228908046E-2</v>
      </c>
      <c r="BM170" s="2">
        <f t="shared" si="87"/>
        <v>7.4598974962061859E-2</v>
      </c>
      <c r="BN170" s="2">
        <f t="shared" si="58"/>
        <v>7.1048090329435348E-2</v>
      </c>
      <c r="BO170" s="2">
        <f t="shared" si="58"/>
        <v>6.8659823580713111E-2</v>
      </c>
      <c r="BP170" s="2">
        <f t="shared" si="58"/>
        <v>6.7113138036003939E-2</v>
      </c>
      <c r="BQ170" s="2">
        <f t="shared" si="58"/>
        <v>6.6135873558477026E-2</v>
      </c>
      <c r="BR170" s="2">
        <f t="shared" si="58"/>
        <v>6.5527983468592274E-2</v>
      </c>
      <c r="BS170" s="2">
        <f t="shared" si="58"/>
        <v>6.5153530320599964E-2</v>
      </c>
      <c r="BT170" s="2">
        <f t="shared" si="58"/>
        <v>6.4924257327838478E-2</v>
      </c>
      <c r="BU170" s="2">
        <f t="shared" si="58"/>
        <v>6.478439392793095E-2</v>
      </c>
    </row>
    <row r="171" spans="1:73" x14ac:dyDescent="0.25">
      <c r="A171" t="s">
        <v>42</v>
      </c>
      <c r="B171" s="1" t="s">
        <v>5</v>
      </c>
      <c r="C171" t="s">
        <v>17</v>
      </c>
      <c r="D171" t="s">
        <v>17</v>
      </c>
      <c r="E171" s="97">
        <v>6.3114705000000004</v>
      </c>
      <c r="F171" s="5">
        <f t="shared" si="56"/>
        <v>1.5463102725E-2</v>
      </c>
      <c r="G171" s="1">
        <f>LOOKUP(RIGHT(D171,5),Ref!$C$4:$C$21,Ref!$E$4:$E$21)*$G$3</f>
        <v>3</v>
      </c>
      <c r="H171" s="36">
        <f t="shared" si="92"/>
        <v>6.3114705000000004</v>
      </c>
      <c r="I171" s="12">
        <f t="shared" si="92"/>
        <v>6.3114705000000004</v>
      </c>
      <c r="J171" s="12">
        <f t="shared" si="92"/>
        <v>6.3114705000000004</v>
      </c>
      <c r="K171" s="12">
        <f t="shared" si="92"/>
        <v>6.3114705000000004</v>
      </c>
      <c r="L171" s="12">
        <f t="shared" si="92"/>
        <v>6.3114705000000004</v>
      </c>
      <c r="M171" s="12">
        <f t="shared" si="91"/>
        <v>6.6107974994969538</v>
      </c>
      <c r="N171" s="12">
        <f t="shared" si="91"/>
        <v>6.7902471653877683</v>
      </c>
      <c r="O171" s="12">
        <f t="shared" si="91"/>
        <v>7.0638162258563959</v>
      </c>
      <c r="P171" s="12">
        <f t="shared" si="91"/>
        <v>7.462843811950866</v>
      </c>
      <c r="Q171" s="12">
        <f t="shared" si="91"/>
        <v>8.0088863472047951</v>
      </c>
      <c r="R171" s="12">
        <f t="shared" si="91"/>
        <v>8.6943072936697661</v>
      </c>
      <c r="S171" s="12">
        <f t="shared" si="91"/>
        <v>9.4672057500000015</v>
      </c>
      <c r="T171" s="12">
        <f t="shared" si="91"/>
        <v>10.240104206330235</v>
      </c>
      <c r="U171" s="12">
        <f t="shared" si="91"/>
        <v>10.925525152795206</v>
      </c>
      <c r="V171" s="12">
        <f t="shared" si="91"/>
        <v>11.471567688049134</v>
      </c>
      <c r="W171" s="12">
        <f t="shared" si="91"/>
        <v>11.870595274143604</v>
      </c>
      <c r="X171" s="12">
        <f t="shared" si="91"/>
        <v>12.144164334612233</v>
      </c>
      <c r="Y171" s="12">
        <f t="shared" si="91"/>
        <v>12.323614000503047</v>
      </c>
      <c r="Z171" s="12">
        <f t="shared" si="91"/>
        <v>12.437937720323623</v>
      </c>
      <c r="AA171" s="12">
        <f t="shared" si="91"/>
        <v>12.509421566417453</v>
      </c>
      <c r="AB171" s="12">
        <f t="shared" si="91"/>
        <v>12.553597235701821</v>
      </c>
      <c r="AC171" s="12">
        <f t="shared" si="90"/>
        <v>12.580699268830481</v>
      </c>
      <c r="AD171" s="300">
        <f t="shared" si="88"/>
        <v>2.1775586376470047E-3</v>
      </c>
      <c r="AE171" s="299">
        <f t="shared" si="88"/>
        <v>2.1775586376470047E-3</v>
      </c>
      <c r="AF171" s="299">
        <f t="shared" si="88"/>
        <v>2.1775586376470047E-3</v>
      </c>
      <c r="AG171" s="299">
        <f t="shared" si="88"/>
        <v>2.1775586376470047E-3</v>
      </c>
      <c r="AH171" s="299">
        <f t="shared" si="88"/>
        <v>2.1775586376470047E-3</v>
      </c>
      <c r="AI171" s="299">
        <f t="shared" si="86"/>
        <v>2.078962047253009E-3</v>
      </c>
      <c r="AJ171" s="299">
        <f t="shared" si="86"/>
        <v>2.0240201525483659E-3</v>
      </c>
      <c r="AK171" s="299">
        <f t="shared" si="86"/>
        <v>1.9456334457318115E-3</v>
      </c>
      <c r="AL171" s="299">
        <f t="shared" si="86"/>
        <v>1.8416032078174417E-3</v>
      </c>
      <c r="AM171" s="299">
        <f t="shared" si="86"/>
        <v>1.7160434681815597E-3</v>
      </c>
      <c r="AN171" s="299">
        <f t="shared" si="86"/>
        <v>1.5807581489023085E-3</v>
      </c>
      <c r="AO171" s="299">
        <f t="shared" si="86"/>
        <v>1.4517057584313361E-3</v>
      </c>
      <c r="AP171" s="299">
        <f t="shared" si="86"/>
        <v>1.3421344965447942E-3</v>
      </c>
      <c r="AQ171" s="299">
        <f t="shared" si="86"/>
        <v>1.2579346906737086E-3</v>
      </c>
      <c r="AR171" s="299">
        <f t="shared" si="57"/>
        <v>1.1980574475315246E-3</v>
      </c>
      <c r="AS171" s="299">
        <f t="shared" si="57"/>
        <v>1.157784996129504E-3</v>
      </c>
      <c r="AT171" s="299">
        <f t="shared" si="57"/>
        <v>1.131703814675701E-3</v>
      </c>
      <c r="AU171" s="299">
        <f t="shared" si="57"/>
        <v>1.1152245682937041E-3</v>
      </c>
      <c r="AV171" s="299">
        <f t="shared" si="57"/>
        <v>1.104973944440338E-3</v>
      </c>
      <c r="AW171" s="299">
        <f t="shared" si="57"/>
        <v>1.0986596806702117E-3</v>
      </c>
      <c r="AX171" s="299">
        <f t="shared" si="57"/>
        <v>1.0947935357080868E-3</v>
      </c>
      <c r="AY171" s="299">
        <f t="shared" si="57"/>
        <v>1.0924350713620455E-3</v>
      </c>
      <c r="AZ171" s="306">
        <f t="shared" si="89"/>
        <v>0.12054918410633746</v>
      </c>
      <c r="BA171" s="2">
        <f t="shared" si="89"/>
        <v>0.12054918410633746</v>
      </c>
      <c r="BB171" s="2">
        <f t="shared" si="89"/>
        <v>0.12054918410633746</v>
      </c>
      <c r="BC171" s="2">
        <f t="shared" si="89"/>
        <v>0.12054918410633746</v>
      </c>
      <c r="BD171" s="2">
        <f t="shared" si="89"/>
        <v>0.12054918410633746</v>
      </c>
      <c r="BE171" s="2">
        <f t="shared" si="87"/>
        <v>0.11509089778413478</v>
      </c>
      <c r="BF171" s="2">
        <f t="shared" si="87"/>
        <v>0.11204932615185129</v>
      </c>
      <c r="BG171" s="2">
        <f t="shared" si="87"/>
        <v>0.10770985469599692</v>
      </c>
      <c r="BH171" s="2">
        <f t="shared" si="87"/>
        <v>0.10195076280007601</v>
      </c>
      <c r="BI171" s="2">
        <f t="shared" si="87"/>
        <v>9.499980225737148E-2</v>
      </c>
      <c r="BJ171" s="2">
        <f t="shared" si="87"/>
        <v>8.7510435689359553E-2</v>
      </c>
      <c r="BK171" s="2">
        <f t="shared" si="87"/>
        <v>8.036612273755829E-2</v>
      </c>
      <c r="BL171" s="2">
        <f t="shared" si="87"/>
        <v>7.4300280930332668E-2</v>
      </c>
      <c r="BM171" s="2">
        <f t="shared" si="87"/>
        <v>6.9638997544348005E-2</v>
      </c>
      <c r="BN171" s="2">
        <f t="shared" si="58"/>
        <v>6.6324206069833802E-2</v>
      </c>
      <c r="BO171" s="2">
        <f t="shared" si="58"/>
        <v>6.4094731705955518E-2</v>
      </c>
      <c r="BP171" s="2">
        <f t="shared" si="58"/>
        <v>6.2650883035050078E-2</v>
      </c>
      <c r="BQ171" s="2">
        <f t="shared" si="58"/>
        <v>6.1738595452207473E-2</v>
      </c>
      <c r="BR171" s="2">
        <f t="shared" si="58"/>
        <v>6.1171123090848004E-2</v>
      </c>
      <c r="BS171" s="2">
        <f t="shared" si="58"/>
        <v>6.0821566788408575E-2</v>
      </c>
      <c r="BT171" s="2">
        <f t="shared" si="58"/>
        <v>6.0607537823693935E-2</v>
      </c>
      <c r="BU171" s="2">
        <f t="shared" si="58"/>
        <v>6.0476973737958746E-2</v>
      </c>
    </row>
    <row r="172" spans="1:73" x14ac:dyDescent="0.25">
      <c r="A172" t="s">
        <v>42</v>
      </c>
      <c r="B172" s="1" t="s">
        <v>5</v>
      </c>
      <c r="C172" t="s">
        <v>18</v>
      </c>
      <c r="D172" t="s">
        <v>18</v>
      </c>
      <c r="E172" s="97">
        <v>6.53632875</v>
      </c>
      <c r="F172" s="5">
        <f t="shared" si="56"/>
        <v>1.6014005437499999E-2</v>
      </c>
      <c r="G172" s="1">
        <f>LOOKUP(RIGHT(D172,5),Ref!$C$4:$C$21,Ref!$E$4:$E$21)*$G$3</f>
        <v>3</v>
      </c>
      <c r="H172" s="36">
        <f t="shared" si="92"/>
        <v>6.53632875</v>
      </c>
      <c r="I172" s="12">
        <f t="shared" si="92"/>
        <v>6.53632875</v>
      </c>
      <c r="J172" s="12">
        <f t="shared" si="92"/>
        <v>6.53632875</v>
      </c>
      <c r="K172" s="12">
        <f t="shared" si="92"/>
        <v>6.53632875</v>
      </c>
      <c r="L172" s="12">
        <f t="shared" si="92"/>
        <v>6.53632875</v>
      </c>
      <c r="M172" s="12">
        <f t="shared" si="91"/>
        <v>6.8463198483443835</v>
      </c>
      <c r="N172" s="12">
        <f t="shared" si="91"/>
        <v>7.0321627529955295</v>
      </c>
      <c r="O172" s="12">
        <f t="shared" si="91"/>
        <v>7.3154782362971753</v>
      </c>
      <c r="P172" s="12">
        <f t="shared" si="91"/>
        <v>7.7287219459892968</v>
      </c>
      <c r="Q172" s="12">
        <f t="shared" si="91"/>
        <v>8.2942182945665639</v>
      </c>
      <c r="R172" s="12">
        <f t="shared" si="91"/>
        <v>9.0040586777595468</v>
      </c>
      <c r="S172" s="12">
        <f t="shared" si="91"/>
        <v>9.8044931250000005</v>
      </c>
      <c r="T172" s="12">
        <f t="shared" si="91"/>
        <v>10.604927572240454</v>
      </c>
      <c r="U172" s="12">
        <f t="shared" si="91"/>
        <v>11.314767955433435</v>
      </c>
      <c r="V172" s="12">
        <f t="shared" si="91"/>
        <v>11.880264304010703</v>
      </c>
      <c r="W172" s="12">
        <f t="shared" si="91"/>
        <v>12.293508013702823</v>
      </c>
      <c r="X172" s="12">
        <f t="shared" si="91"/>
        <v>12.576823497004471</v>
      </c>
      <c r="Y172" s="12">
        <f t="shared" si="91"/>
        <v>12.762666401655617</v>
      </c>
      <c r="Z172" s="12">
        <f t="shared" si="91"/>
        <v>12.881063123413275</v>
      </c>
      <c r="AA172" s="12">
        <f t="shared" si="91"/>
        <v>12.955093718721244</v>
      </c>
      <c r="AB172" s="12">
        <f t="shared" si="91"/>
        <v>13.000843231009053</v>
      </c>
      <c r="AC172" s="12">
        <f t="shared" si="90"/>
        <v>13.028910826084134</v>
      </c>
      <c r="AD172" s="300">
        <f t="shared" si="88"/>
        <v>2.1026477751029979E-3</v>
      </c>
      <c r="AE172" s="299">
        <f t="shared" si="88"/>
        <v>2.1026477751029979E-3</v>
      </c>
      <c r="AF172" s="299">
        <f t="shared" si="88"/>
        <v>2.1026477751029979E-3</v>
      </c>
      <c r="AG172" s="299">
        <f t="shared" si="88"/>
        <v>2.1026477751029979E-3</v>
      </c>
      <c r="AH172" s="299">
        <f t="shared" si="88"/>
        <v>2.1026477751029979E-3</v>
      </c>
      <c r="AI172" s="299">
        <f t="shared" si="86"/>
        <v>2.0074430362544068E-3</v>
      </c>
      <c r="AJ172" s="299">
        <f t="shared" si="86"/>
        <v>1.9543912145200027E-3</v>
      </c>
      <c r="AK172" s="299">
        <f t="shared" si="86"/>
        <v>1.8787011128455985E-3</v>
      </c>
      <c r="AL172" s="299">
        <f t="shared" si="86"/>
        <v>1.778249651051464E-3</v>
      </c>
      <c r="AM172" s="299">
        <f t="shared" si="86"/>
        <v>1.6570093305275694E-3</v>
      </c>
      <c r="AN172" s="299">
        <f t="shared" si="86"/>
        <v>1.5263780030084209E-3</v>
      </c>
      <c r="AO172" s="299">
        <f t="shared" si="86"/>
        <v>1.4017651834019986E-3</v>
      </c>
      <c r="AP172" s="299">
        <f t="shared" si="86"/>
        <v>1.295963316100773E-3</v>
      </c>
      <c r="AQ172" s="299">
        <f t="shared" si="86"/>
        <v>1.2146600935752714E-3</v>
      </c>
      <c r="AR172" s="299">
        <f t="shared" si="57"/>
        <v>1.156842705838582E-3</v>
      </c>
      <c r="AS172" s="299">
        <f t="shared" si="57"/>
        <v>1.117955679388675E-3</v>
      </c>
      <c r="AT172" s="299">
        <f t="shared" si="57"/>
        <v>1.0927717246570798E-3</v>
      </c>
      <c r="AU172" s="299">
        <f t="shared" si="57"/>
        <v>1.0768593858840026E-3</v>
      </c>
      <c r="AV172" s="299">
        <f t="shared" si="57"/>
        <v>1.0669613968856497E-3</v>
      </c>
      <c r="AW172" s="299">
        <f t="shared" ref="AW172:AY195" si="93">Algae_electricity_factor/AA172</f>
        <v>1.0608643520400442E-3</v>
      </c>
      <c r="AX172" s="299">
        <f t="shared" si="93"/>
        <v>1.0571312075164957E-3</v>
      </c>
      <c r="AY172" s="299">
        <f t="shared" si="93"/>
        <v>1.0548538774257561E-3</v>
      </c>
      <c r="AZ172" s="306">
        <f t="shared" si="89"/>
        <v>0.11640213465184378</v>
      </c>
      <c r="BA172" s="2">
        <f t="shared" si="89"/>
        <v>0.11640213465184378</v>
      </c>
      <c r="BB172" s="2">
        <f t="shared" si="89"/>
        <v>0.11640213465184378</v>
      </c>
      <c r="BC172" s="2">
        <f t="shared" si="89"/>
        <v>0.11640213465184378</v>
      </c>
      <c r="BD172" s="2">
        <f t="shared" si="89"/>
        <v>0.11640213465184378</v>
      </c>
      <c r="BE172" s="2">
        <f t="shared" si="87"/>
        <v>0.11113162051145027</v>
      </c>
      <c r="BF172" s="2">
        <f t="shared" si="87"/>
        <v>0.10819468291772931</v>
      </c>
      <c r="BG172" s="2">
        <f t="shared" si="87"/>
        <v>0.10400449495032989</v>
      </c>
      <c r="BH172" s="2">
        <f t="shared" si="87"/>
        <v>9.8443523341015721E-2</v>
      </c>
      <c r="BI172" s="2">
        <f t="shared" si="87"/>
        <v>9.1731684923778298E-2</v>
      </c>
      <c r="BJ172" s="2">
        <f t="shared" si="87"/>
        <v>8.4499962352037439E-2</v>
      </c>
      <c r="BK172" s="2">
        <f t="shared" si="87"/>
        <v>7.7601423101229181E-2</v>
      </c>
      <c r="BL172" s="2">
        <f t="shared" si="87"/>
        <v>7.1744254178388325E-2</v>
      </c>
      <c r="BM172" s="2">
        <f t="shared" si="87"/>
        <v>6.7243325031765722E-2</v>
      </c>
      <c r="BN172" s="2">
        <f t="shared" si="58"/>
        <v>6.4042566715402288E-2</v>
      </c>
      <c r="BO172" s="2">
        <f t="shared" si="58"/>
        <v>6.1889789182888476E-2</v>
      </c>
      <c r="BP172" s="2">
        <f t="shared" si="58"/>
        <v>6.0495610792934654E-2</v>
      </c>
      <c r="BQ172" s="2">
        <f t="shared" si="58"/>
        <v>5.9614707095025116E-2</v>
      </c>
      <c r="BR172" s="2">
        <f t="shared" si="58"/>
        <v>5.9066756524410749E-2</v>
      </c>
      <c r="BS172" s="2">
        <f t="shared" ref="BS172:BU195" si="94">Algae_yield_cost_factor/AA172</f>
        <v>5.8729225415539342E-2</v>
      </c>
      <c r="BT172" s="2">
        <f t="shared" si="94"/>
        <v>5.8522559326881857E-2</v>
      </c>
      <c r="BU172" s="2">
        <f t="shared" si="94"/>
        <v>5.8396486816303626E-2</v>
      </c>
    </row>
    <row r="173" spans="1:73" x14ac:dyDescent="0.25">
      <c r="A173" t="s">
        <v>42</v>
      </c>
      <c r="B173" s="1" t="s">
        <v>5</v>
      </c>
      <c r="C173" t="s">
        <v>6</v>
      </c>
      <c r="D173" t="s">
        <v>6</v>
      </c>
      <c r="E173" s="97">
        <v>7.0036199999999997</v>
      </c>
      <c r="F173" s="5">
        <f t="shared" si="56"/>
        <v>1.7158869E-2</v>
      </c>
      <c r="G173" s="1">
        <f>LOOKUP(RIGHT(D173,5),Ref!$C$4:$C$21,Ref!$E$4:$E$21)*$G$3</f>
        <v>3</v>
      </c>
      <c r="H173" s="36">
        <f t="shared" si="92"/>
        <v>7.0036199999999997</v>
      </c>
      <c r="I173" s="12">
        <f t="shared" si="92"/>
        <v>7.0036199999999997</v>
      </c>
      <c r="J173" s="12">
        <f t="shared" si="92"/>
        <v>7.0036199999999997</v>
      </c>
      <c r="K173" s="12">
        <f t="shared" si="92"/>
        <v>7.0036199999999997</v>
      </c>
      <c r="L173" s="12">
        <f t="shared" si="92"/>
        <v>7.0036199999999997</v>
      </c>
      <c r="M173" s="12">
        <f t="shared" si="91"/>
        <v>7.3357727939038702</v>
      </c>
      <c r="N173" s="12">
        <f t="shared" si="91"/>
        <v>7.5349018667603804</v>
      </c>
      <c r="O173" s="12">
        <f t="shared" si="91"/>
        <v>7.8384719687325424</v>
      </c>
      <c r="P173" s="12">
        <f t="shared" si="91"/>
        <v>8.2812590470406739</v>
      </c>
      <c r="Q173" s="12">
        <f t="shared" si="91"/>
        <v>8.8871835175353251</v>
      </c>
      <c r="R173" s="12">
        <f t="shared" si="91"/>
        <v>9.6477713788080681</v>
      </c>
      <c r="S173" s="12">
        <f t="shared" si="91"/>
        <v>10.50543</v>
      </c>
      <c r="T173" s="12">
        <f t="shared" si="91"/>
        <v>11.363088621191931</v>
      </c>
      <c r="U173" s="12">
        <f t="shared" si="91"/>
        <v>12.123676482464674</v>
      </c>
      <c r="V173" s="12">
        <f t="shared" si="91"/>
        <v>12.729600952959325</v>
      </c>
      <c r="W173" s="12">
        <f t="shared" si="91"/>
        <v>13.172388031267454</v>
      </c>
      <c r="X173" s="12">
        <f t="shared" si="91"/>
        <v>13.475958133239619</v>
      </c>
      <c r="Y173" s="12">
        <f t="shared" si="91"/>
        <v>13.67508720609613</v>
      </c>
      <c r="Z173" s="12">
        <f t="shared" si="91"/>
        <v>13.801948274465186</v>
      </c>
      <c r="AA173" s="12">
        <f t="shared" si="91"/>
        <v>13.881271420185296</v>
      </c>
      <c r="AB173" s="12">
        <f t="shared" si="91"/>
        <v>13.930291628853524</v>
      </c>
      <c r="AC173" s="12">
        <f t="shared" si="90"/>
        <v>13.960365815409661</v>
      </c>
      <c r="AD173" s="300">
        <f t="shared" si="88"/>
        <v>1.9623561962998077E-3</v>
      </c>
      <c r="AE173" s="299">
        <f t="shared" si="88"/>
        <v>1.9623561962998077E-3</v>
      </c>
      <c r="AF173" s="299">
        <f t="shared" si="88"/>
        <v>1.9623561962998077E-3</v>
      </c>
      <c r="AG173" s="299">
        <f t="shared" si="88"/>
        <v>1.9623561962998077E-3</v>
      </c>
      <c r="AH173" s="299">
        <f t="shared" si="88"/>
        <v>1.9623561962998077E-3</v>
      </c>
      <c r="AI173" s="299">
        <f t="shared" si="86"/>
        <v>1.8735036498063818E-3</v>
      </c>
      <c r="AJ173" s="299">
        <f t="shared" si="86"/>
        <v>1.8239915192735348E-3</v>
      </c>
      <c r="AK173" s="299">
        <f t="shared" si="86"/>
        <v>1.7533515662685414E-3</v>
      </c>
      <c r="AL173" s="299">
        <f t="shared" si="86"/>
        <v>1.6596023654688794E-3</v>
      </c>
      <c r="AM173" s="299">
        <f t="shared" si="86"/>
        <v>1.5464513674564874E-3</v>
      </c>
      <c r="AN173" s="299">
        <f t="shared" si="86"/>
        <v>1.4245359434737362E-3</v>
      </c>
      <c r="AO173" s="299">
        <f t="shared" si="86"/>
        <v>1.3082374641998718E-3</v>
      </c>
      <c r="AP173" s="299">
        <f t="shared" si="86"/>
        <v>1.2094948443768826E-3</v>
      </c>
      <c r="AQ173" s="299">
        <f t="shared" si="86"/>
        <v>1.1336162857370526E-3</v>
      </c>
      <c r="AR173" s="299">
        <f t="shared" si="86"/>
        <v>1.0796565543819505E-3</v>
      </c>
      <c r="AS173" s="299">
        <f t="shared" si="86"/>
        <v>1.0433641243262741E-3</v>
      </c>
      <c r="AT173" s="299">
        <f t="shared" si="86"/>
        <v>1.0198604780189608E-3</v>
      </c>
      <c r="AU173" s="299">
        <f t="shared" si="86"/>
        <v>1.005009832581001E-3</v>
      </c>
      <c r="AV173" s="299">
        <f t="shared" si="86"/>
        <v>9.9577225115066691E-4</v>
      </c>
      <c r="AW173" s="299">
        <f t="shared" si="93"/>
        <v>9.9008200960210035E-4</v>
      </c>
      <c r="AX173" s="299">
        <f t="shared" si="93"/>
        <v>9.8659794566414039E-4</v>
      </c>
      <c r="AY173" s="299">
        <f t="shared" si="93"/>
        <v>9.8447256219882646E-4</v>
      </c>
      <c r="AZ173" s="306">
        <f t="shared" si="89"/>
        <v>0.10863562261890533</v>
      </c>
      <c r="BA173" s="2">
        <f t="shared" si="89"/>
        <v>0.10863562261890533</v>
      </c>
      <c r="BB173" s="2">
        <f t="shared" si="89"/>
        <v>0.10863562261890533</v>
      </c>
      <c r="BC173" s="2">
        <f t="shared" si="89"/>
        <v>0.10863562261890533</v>
      </c>
      <c r="BD173" s="2">
        <f t="shared" si="89"/>
        <v>0.10863562261890533</v>
      </c>
      <c r="BE173" s="2">
        <f t="shared" si="87"/>
        <v>0.10371676449937062</v>
      </c>
      <c r="BF173" s="2">
        <f t="shared" si="87"/>
        <v>0.10097578345945213</v>
      </c>
      <c r="BG173" s="2">
        <f t="shared" si="87"/>
        <v>9.7065170650759341E-2</v>
      </c>
      <c r="BH173" s="2">
        <f t="shared" si="87"/>
        <v>9.1875234787892127E-2</v>
      </c>
      <c r="BI173" s="2">
        <f t="shared" si="87"/>
        <v>8.5611219548352657E-2</v>
      </c>
      <c r="BJ173" s="2">
        <f t="shared" si="87"/>
        <v>7.8862007546888602E-2</v>
      </c>
      <c r="BK173" s="2">
        <f t="shared" si="87"/>
        <v>7.2423748412603559E-2</v>
      </c>
      <c r="BL173" s="2">
        <f t="shared" si="87"/>
        <v>6.6957377932198969E-2</v>
      </c>
      <c r="BM173" s="2">
        <f t="shared" si="87"/>
        <v>6.2756757027183793E-2</v>
      </c>
      <c r="BN173" s="2">
        <f t="shared" si="87"/>
        <v>5.9769557749517685E-2</v>
      </c>
      <c r="BO173" s="2">
        <f t="shared" si="87"/>
        <v>5.7760416522820053E-2</v>
      </c>
      <c r="BP173" s="2">
        <f t="shared" si="87"/>
        <v>5.6459259650676226E-2</v>
      </c>
      <c r="BQ173" s="2">
        <f t="shared" si="87"/>
        <v>5.5637131070509487E-2</v>
      </c>
      <c r="BR173" s="2">
        <f t="shared" si="87"/>
        <v>5.5125740522723399E-2</v>
      </c>
      <c r="BS173" s="2">
        <f t="shared" si="94"/>
        <v>5.4810729958053188E-2</v>
      </c>
      <c r="BT173" s="2">
        <f t="shared" si="94"/>
        <v>5.4617852917759467E-2</v>
      </c>
      <c r="BU173" s="2">
        <f t="shared" si="94"/>
        <v>5.4500192140122021E-2</v>
      </c>
    </row>
    <row r="174" spans="1:73" x14ac:dyDescent="0.25">
      <c r="A174" t="s">
        <v>42</v>
      </c>
      <c r="B174" s="1" t="s">
        <v>5</v>
      </c>
      <c r="C174" t="s">
        <v>7</v>
      </c>
      <c r="D174" t="s">
        <v>7</v>
      </c>
      <c r="E174" s="97">
        <v>7.163125</v>
      </c>
      <c r="F174" s="5">
        <f t="shared" si="56"/>
        <v>1.754965625E-2</v>
      </c>
      <c r="G174" s="1">
        <f>LOOKUP(RIGHT(D174,5),Ref!$C$4:$C$21,Ref!$E$4:$E$21)*$G$3</f>
        <v>3.5</v>
      </c>
      <c r="H174" s="36">
        <f t="shared" si="92"/>
        <v>7.163125</v>
      </c>
      <c r="I174" s="12">
        <f t="shared" si="92"/>
        <v>7.163125</v>
      </c>
      <c r="J174" s="12">
        <f t="shared" si="92"/>
        <v>7.163125</v>
      </c>
      <c r="K174" s="12">
        <f t="shared" si="92"/>
        <v>7.163125</v>
      </c>
      <c r="L174" s="12">
        <f t="shared" si="92"/>
        <v>7.163125</v>
      </c>
      <c r="M174" s="12">
        <f t="shared" si="91"/>
        <v>7.5028424578050581</v>
      </c>
      <c r="N174" s="12">
        <f t="shared" si="91"/>
        <v>7.7065066257646695</v>
      </c>
      <c r="O174" s="12">
        <f t="shared" si="91"/>
        <v>8.0169904308096811</v>
      </c>
      <c r="P174" s="12">
        <f t="shared" si="91"/>
        <v>8.4698618302154056</v>
      </c>
      <c r="Q174" s="12">
        <f t="shared" si="91"/>
        <v>9.0895860189509463</v>
      </c>
      <c r="R174" s="12">
        <f t="shared" si="91"/>
        <v>9.8674960031847156</v>
      </c>
      <c r="S174" s="12">
        <f t="shared" si="91"/>
        <v>10.7446875</v>
      </c>
      <c r="T174" s="12">
        <f t="shared" si="91"/>
        <v>11.621878996815283</v>
      </c>
      <c r="U174" s="12">
        <f t="shared" si="91"/>
        <v>12.399788981049053</v>
      </c>
      <c r="V174" s="12">
        <f t="shared" si="91"/>
        <v>13.019513169784593</v>
      </c>
      <c r="W174" s="12">
        <f t="shared" si="91"/>
        <v>13.472384569190318</v>
      </c>
      <c r="X174" s="12">
        <f t="shared" si="91"/>
        <v>13.782868374235331</v>
      </c>
      <c r="Y174" s="12">
        <f t="shared" si="91"/>
        <v>13.986532542194942</v>
      </c>
      <c r="Z174" s="12">
        <f t="shared" si="91"/>
        <v>14.116282827099191</v>
      </c>
      <c r="AA174" s="12">
        <f t="shared" si="91"/>
        <v>14.197412529765293</v>
      </c>
      <c r="AB174" s="12">
        <f t="shared" si="91"/>
        <v>14.247549156569233</v>
      </c>
      <c r="AC174" s="12">
        <f t="shared" si="90"/>
        <v>14.278308272222983</v>
      </c>
      <c r="AD174" s="300">
        <f t="shared" si="88"/>
        <v>1.9186593984509917E-3</v>
      </c>
      <c r="AE174" s="299">
        <f t="shared" si="88"/>
        <v>1.9186593984509917E-3</v>
      </c>
      <c r="AF174" s="299">
        <f t="shared" si="88"/>
        <v>1.9186593984509917E-3</v>
      </c>
      <c r="AG174" s="299">
        <f t="shared" si="88"/>
        <v>1.9186593984509917E-3</v>
      </c>
      <c r="AH174" s="299">
        <f t="shared" si="88"/>
        <v>1.9186593984509917E-3</v>
      </c>
      <c r="AI174" s="299">
        <f t="shared" si="86"/>
        <v>1.8317853774514575E-3</v>
      </c>
      <c r="AJ174" s="299">
        <f t="shared" si="86"/>
        <v>1.7833757590736603E-3</v>
      </c>
      <c r="AK174" s="299">
        <f t="shared" si="86"/>
        <v>1.7143087823470453E-3</v>
      </c>
      <c r="AL174" s="299">
        <f t="shared" si="86"/>
        <v>1.622647143369012E-3</v>
      </c>
      <c r="AM174" s="299">
        <f t="shared" si="86"/>
        <v>1.5120157370066283E-3</v>
      </c>
      <c r="AN174" s="299">
        <f t="shared" si="86"/>
        <v>1.3928150666687414E-3</v>
      </c>
      <c r="AO174" s="299">
        <f t="shared" si="86"/>
        <v>1.2791062656339945E-3</v>
      </c>
      <c r="AP174" s="299">
        <f t="shared" si="86"/>
        <v>1.1825623986702481E-3</v>
      </c>
      <c r="AQ174" s="299">
        <f t="shared" si="86"/>
        <v>1.1083734670431881E-3</v>
      </c>
      <c r="AR174" s="299">
        <f t="shared" si="86"/>
        <v>1.055615284865267E-3</v>
      </c>
      <c r="AS174" s="299">
        <f t="shared" si="86"/>
        <v>1.0201309970737601E-3</v>
      </c>
      <c r="AT174" s="299">
        <f t="shared" si="86"/>
        <v>9.9715071858485702E-4</v>
      </c>
      <c r="AU174" s="299">
        <f t="shared" si="86"/>
        <v>9.8263076013066215E-4</v>
      </c>
      <c r="AV174" s="299">
        <f t="shared" si="86"/>
        <v>9.7359887669192327E-4</v>
      </c>
      <c r="AW174" s="299">
        <f t="shared" si="93"/>
        <v>9.6803534268764845E-4</v>
      </c>
      <c r="AX174" s="299">
        <f t="shared" si="93"/>
        <v>9.6462886019890563E-4</v>
      </c>
      <c r="AY174" s="299">
        <f t="shared" si="93"/>
        <v>9.6255080374374957E-4</v>
      </c>
      <c r="AZ174" s="306">
        <f t="shared" si="89"/>
        <v>0.10621657716237226</v>
      </c>
      <c r="BA174" s="2">
        <f t="shared" si="89"/>
        <v>0.10621657716237226</v>
      </c>
      <c r="BB174" s="2">
        <f t="shared" si="89"/>
        <v>0.10621657716237226</v>
      </c>
      <c r="BC174" s="2">
        <f t="shared" si="89"/>
        <v>0.10621657716237226</v>
      </c>
      <c r="BD174" s="2">
        <f t="shared" si="89"/>
        <v>0.10621657716237226</v>
      </c>
      <c r="BE174" s="2">
        <f t="shared" si="87"/>
        <v>0.10140724979434004</v>
      </c>
      <c r="BF174" s="2">
        <f t="shared" si="87"/>
        <v>9.872730359337413E-2</v>
      </c>
      <c r="BG174" s="2">
        <f t="shared" si="87"/>
        <v>9.4903770417669814E-2</v>
      </c>
      <c r="BH174" s="2">
        <f t="shared" si="87"/>
        <v>8.9829401534271311E-2</v>
      </c>
      <c r="BI174" s="2">
        <f t="shared" si="87"/>
        <v>8.3704870353823735E-2</v>
      </c>
      <c r="BJ174" s="2">
        <f t="shared" si="87"/>
        <v>7.7105946538073816E-2</v>
      </c>
      <c r="BK174" s="2">
        <f t="shared" si="87"/>
        <v>7.0811051441581507E-2</v>
      </c>
      <c r="BL174" s="2">
        <f t="shared" si="87"/>
        <v>6.5466403452893437E-2</v>
      </c>
      <c r="BM174" s="2">
        <f t="shared" si="87"/>
        <v>6.1359319940769555E-2</v>
      </c>
      <c r="BN174" s="2">
        <f t="shared" si="87"/>
        <v>5.8438638170585748E-2</v>
      </c>
      <c r="BO174" s="2">
        <f t="shared" si="87"/>
        <v>5.6474235528146295E-2</v>
      </c>
      <c r="BP174" s="2">
        <f t="shared" si="87"/>
        <v>5.5202052187371994E-2</v>
      </c>
      <c r="BQ174" s="2">
        <f t="shared" si="87"/>
        <v>5.4398230368455341E-2</v>
      </c>
      <c r="BR174" s="2">
        <f t="shared" si="87"/>
        <v>5.3898227217835236E-2</v>
      </c>
      <c r="BS174" s="2">
        <f t="shared" si="94"/>
        <v>5.3590231155929917E-2</v>
      </c>
      <c r="BT174" s="2">
        <f t="shared" si="94"/>
        <v>5.3401649008202219E-2</v>
      </c>
      <c r="BU174" s="2">
        <f t="shared" si="94"/>
        <v>5.3286608243804399E-2</v>
      </c>
    </row>
    <row r="175" spans="1:73" x14ac:dyDescent="0.25">
      <c r="A175" t="s">
        <v>42</v>
      </c>
      <c r="B175" s="1" t="s">
        <v>5</v>
      </c>
      <c r="C175" t="s">
        <v>8</v>
      </c>
      <c r="D175" t="s">
        <v>8</v>
      </c>
      <c r="E175" s="97">
        <v>7.1817399999999996</v>
      </c>
      <c r="F175" s="5">
        <f t="shared" si="56"/>
        <v>1.7595263E-2</v>
      </c>
      <c r="G175" s="1">
        <f>LOOKUP(RIGHT(D175,5),Ref!$C$4:$C$21,Ref!$E$4:$E$21)*$G$3</f>
        <v>4</v>
      </c>
      <c r="H175" s="36">
        <f t="shared" si="92"/>
        <v>7.1817399999999996</v>
      </c>
      <c r="I175" s="12">
        <f t="shared" si="92"/>
        <v>7.1817399999999996</v>
      </c>
      <c r="J175" s="12">
        <f t="shared" si="92"/>
        <v>7.1817399999999996</v>
      </c>
      <c r="K175" s="12">
        <f t="shared" si="92"/>
        <v>7.1817399999999996</v>
      </c>
      <c r="L175" s="12">
        <f t="shared" si="92"/>
        <v>7.1817399999999996</v>
      </c>
      <c r="M175" s="12">
        <f t="shared" si="91"/>
        <v>7.5223402904342578</v>
      </c>
      <c r="N175" s="12">
        <f t="shared" si="91"/>
        <v>7.7265337257857647</v>
      </c>
      <c r="O175" s="12">
        <f t="shared" si="91"/>
        <v>8.0378243932031221</v>
      </c>
      <c r="P175" s="12">
        <f t="shared" si="91"/>
        <v>8.4918726813410608</v>
      </c>
      <c r="Q175" s="12">
        <f t="shared" si="91"/>
        <v>9.1132073635097495</v>
      </c>
      <c r="R175" s="12">
        <f t="shared" si="91"/>
        <v>9.8931389227343924</v>
      </c>
      <c r="S175" s="12">
        <f t="shared" si="91"/>
        <v>10.77261</v>
      </c>
      <c r="T175" s="12">
        <f t="shared" si="91"/>
        <v>11.652081077265606</v>
      </c>
      <c r="U175" s="12">
        <f t="shared" si="91"/>
        <v>12.432012636490249</v>
      </c>
      <c r="V175" s="12">
        <f t="shared" si="91"/>
        <v>13.053347318658938</v>
      </c>
      <c r="W175" s="12">
        <f t="shared" si="91"/>
        <v>13.507395606796875</v>
      </c>
      <c r="X175" s="12">
        <f t="shared" si="91"/>
        <v>13.818686274214235</v>
      </c>
      <c r="Y175" s="12">
        <f t="shared" si="91"/>
        <v>14.022879709565741</v>
      </c>
      <c r="Z175" s="12">
        <f t="shared" si="91"/>
        <v>14.152967179923754</v>
      </c>
      <c r="AA175" s="12">
        <f t="shared" si="91"/>
        <v>14.234307716466848</v>
      </c>
      <c r="AB175" s="12">
        <f t="shared" si="91"/>
        <v>14.284574634632163</v>
      </c>
      <c r="AC175" s="12">
        <f t="shared" si="90"/>
        <v>14.315413684803026</v>
      </c>
      <c r="AD175" s="300">
        <f t="shared" si="88"/>
        <v>1.9136862520126405E-3</v>
      </c>
      <c r="AE175" s="299">
        <f t="shared" si="88"/>
        <v>1.9136862520126405E-3</v>
      </c>
      <c r="AF175" s="299">
        <f t="shared" si="88"/>
        <v>1.9136862520126405E-3</v>
      </c>
      <c r="AG175" s="299">
        <f t="shared" si="88"/>
        <v>1.9136862520126405E-3</v>
      </c>
      <c r="AH175" s="299">
        <f t="shared" si="88"/>
        <v>1.9136862520126405E-3</v>
      </c>
      <c r="AI175" s="299">
        <f t="shared" si="86"/>
        <v>1.8270374076278133E-3</v>
      </c>
      <c r="AJ175" s="299">
        <f t="shared" si="86"/>
        <v>1.7787532665084662E-3</v>
      </c>
      <c r="AK175" s="299">
        <f t="shared" si="86"/>
        <v>1.7098653107115659E-3</v>
      </c>
      <c r="AL175" s="299">
        <f t="shared" si="86"/>
        <v>1.6184412578073217E-3</v>
      </c>
      <c r="AM175" s="299">
        <f t="shared" si="86"/>
        <v>1.5080966069706788E-3</v>
      </c>
      <c r="AN175" s="299">
        <f t="shared" si="86"/>
        <v>1.3892049036071383E-3</v>
      </c>
      <c r="AO175" s="299">
        <f t="shared" si="86"/>
        <v>1.2757908346750935E-3</v>
      </c>
      <c r="AP175" s="299">
        <f t="shared" si="86"/>
        <v>1.1794972084724345E-3</v>
      </c>
      <c r="AQ175" s="299">
        <f t="shared" si="86"/>
        <v>1.1055005738322102E-3</v>
      </c>
      <c r="AR175" s="299">
        <f t="shared" si="86"/>
        <v>1.0528791403476756E-3</v>
      </c>
      <c r="AS175" s="299">
        <f t="shared" si="86"/>
        <v>1.0174868274838659E-3</v>
      </c>
      <c r="AT175" s="299">
        <f t="shared" si="86"/>
        <v>9.9456611365256252E-4</v>
      </c>
      <c r="AU175" s="299">
        <f t="shared" si="86"/>
        <v>9.8008379078899405E-4</v>
      </c>
      <c r="AV175" s="299">
        <f t="shared" si="86"/>
        <v>9.7107531790399442E-4</v>
      </c>
      <c r="AW175" s="299">
        <f t="shared" si="93"/>
        <v>9.655262045255693E-4</v>
      </c>
      <c r="AX175" s="299">
        <f t="shared" si="93"/>
        <v>9.6212855160619673E-4</v>
      </c>
      <c r="AY175" s="299">
        <f t="shared" si="93"/>
        <v>9.6005588145309446E-4</v>
      </c>
      <c r="AZ175" s="306">
        <f t="shared" si="89"/>
        <v>0.10594126483083735</v>
      </c>
      <c r="BA175" s="2">
        <f t="shared" si="89"/>
        <v>0.10594126483083735</v>
      </c>
      <c r="BB175" s="2">
        <f t="shared" si="89"/>
        <v>0.10594126483083735</v>
      </c>
      <c r="BC175" s="2">
        <f t="shared" si="89"/>
        <v>0.10594126483083735</v>
      </c>
      <c r="BD175" s="2">
        <f t="shared" si="89"/>
        <v>0.10594126483083735</v>
      </c>
      <c r="BE175" s="2">
        <f t="shared" si="87"/>
        <v>0.10114440319241327</v>
      </c>
      <c r="BF175" s="2">
        <f t="shared" si="87"/>
        <v>9.8471403385849116E-2</v>
      </c>
      <c r="BG175" s="2">
        <f t="shared" si="87"/>
        <v>9.4657780770825886E-2</v>
      </c>
      <c r="BH175" s="2">
        <f t="shared" si="87"/>
        <v>8.9596564602057047E-2</v>
      </c>
      <c r="BI175" s="2">
        <f t="shared" si="87"/>
        <v>8.3487908146665513E-2</v>
      </c>
      <c r="BJ175" s="2">
        <f t="shared" si="87"/>
        <v>7.6906088677053203E-2</v>
      </c>
      <c r="BK175" s="2">
        <f t="shared" si="87"/>
        <v>7.0627509887224896E-2</v>
      </c>
      <c r="BL175" s="2">
        <f t="shared" si="87"/>
        <v>6.5296715173969996E-2</v>
      </c>
      <c r="BM175" s="2">
        <f t="shared" si="87"/>
        <v>6.1200277182232296E-2</v>
      </c>
      <c r="BN175" s="2">
        <f t="shared" si="87"/>
        <v>5.8287165790696552E-2</v>
      </c>
      <c r="BO175" s="2">
        <f t="shared" si="87"/>
        <v>5.6327854860737506E-2</v>
      </c>
      <c r="BP175" s="2">
        <f t="shared" si="87"/>
        <v>5.5058969006768425E-2</v>
      </c>
      <c r="BQ175" s="2">
        <f t="shared" si="87"/>
        <v>5.4257230686162637E-2</v>
      </c>
      <c r="BR175" s="2">
        <f t="shared" si="87"/>
        <v>5.3758523538829872E-2</v>
      </c>
      <c r="BS175" s="2">
        <f t="shared" si="94"/>
        <v>5.3451325799711562E-2</v>
      </c>
      <c r="BT175" s="2">
        <f t="shared" si="94"/>
        <v>5.3263232455070579E-2</v>
      </c>
      <c r="BU175" s="2">
        <f t="shared" si="94"/>
        <v>5.3148489875211501E-2</v>
      </c>
    </row>
    <row r="176" spans="1:73" x14ac:dyDescent="0.25">
      <c r="A176" t="s">
        <v>42</v>
      </c>
      <c r="B176" s="1" t="s">
        <v>5</v>
      </c>
      <c r="C176" t="s">
        <v>9</v>
      </c>
      <c r="D176" t="s">
        <v>9</v>
      </c>
      <c r="E176" s="97">
        <v>6.9273350000000002</v>
      </c>
      <c r="F176" s="5">
        <f t="shared" si="56"/>
        <v>1.6971970749999999E-2</v>
      </c>
      <c r="G176" s="1">
        <f>LOOKUP(RIGHT(D176,5),Ref!$C$4:$C$21,Ref!$E$4:$E$21)*$G$3</f>
        <v>4.5</v>
      </c>
      <c r="H176" s="36">
        <f t="shared" si="92"/>
        <v>6.9273350000000002</v>
      </c>
      <c r="I176" s="12">
        <f t="shared" si="92"/>
        <v>6.9273350000000002</v>
      </c>
      <c r="J176" s="12">
        <f t="shared" si="92"/>
        <v>6.9273350000000002</v>
      </c>
      <c r="K176" s="12">
        <f t="shared" si="92"/>
        <v>6.9273350000000002</v>
      </c>
      <c r="L176" s="12">
        <f t="shared" si="92"/>
        <v>6.9273350000000002</v>
      </c>
      <c r="M176" s="12">
        <f t="shared" si="91"/>
        <v>7.2558699111685199</v>
      </c>
      <c r="N176" s="12">
        <f t="shared" si="91"/>
        <v>7.4528300254974607</v>
      </c>
      <c r="O176" s="12">
        <f t="shared" si="91"/>
        <v>7.753093573826086</v>
      </c>
      <c r="P176" s="12">
        <f t="shared" si="91"/>
        <v>8.1910577159571059</v>
      </c>
      <c r="Q176" s="12">
        <f t="shared" si="91"/>
        <v>8.790382321206117</v>
      </c>
      <c r="R176" s="12">
        <f t="shared" si="91"/>
        <v>9.5426856888888025</v>
      </c>
      <c r="S176" s="12">
        <f t="shared" si="91"/>
        <v>10.391002500000001</v>
      </c>
      <c r="T176" s="12">
        <f t="shared" si="91"/>
        <v>11.239319311111199</v>
      </c>
      <c r="U176" s="12">
        <f t="shared" si="91"/>
        <v>11.991622678793885</v>
      </c>
      <c r="V176" s="12">
        <f t="shared" si="91"/>
        <v>12.590947284042896</v>
      </c>
      <c r="W176" s="12">
        <f t="shared" si="91"/>
        <v>13.028911426173913</v>
      </c>
      <c r="X176" s="12">
        <f t="shared" si="91"/>
        <v>13.329174974502539</v>
      </c>
      <c r="Y176" s="12">
        <f t="shared" si="91"/>
        <v>13.526135088831481</v>
      </c>
      <c r="Z176" s="12">
        <f t="shared" si="91"/>
        <v>13.651614357988054</v>
      </c>
      <c r="AA176" s="12">
        <f t="shared" si="91"/>
        <v>13.730073498212255</v>
      </c>
      <c r="AB176" s="12">
        <f t="shared" si="91"/>
        <v>13.778559767772101</v>
      </c>
      <c r="AC176" s="12">
        <f t="shared" si="90"/>
        <v>13.808306379542421</v>
      </c>
      <c r="AD176" s="300">
        <f t="shared" si="88"/>
        <v>1.9839659989778552E-3</v>
      </c>
      <c r="AE176" s="299">
        <f t="shared" si="88"/>
        <v>1.9839659989778552E-3</v>
      </c>
      <c r="AF176" s="299">
        <f t="shared" si="88"/>
        <v>1.9839659989778552E-3</v>
      </c>
      <c r="AG176" s="299">
        <f t="shared" si="88"/>
        <v>1.9839659989778552E-3</v>
      </c>
      <c r="AH176" s="299">
        <f t="shared" si="88"/>
        <v>1.9839659989778552E-3</v>
      </c>
      <c r="AI176" s="299">
        <f t="shared" si="86"/>
        <v>1.8941349930178015E-3</v>
      </c>
      <c r="AJ176" s="299">
        <f t="shared" si="86"/>
        <v>1.8440776264197578E-3</v>
      </c>
      <c r="AK176" s="299">
        <f t="shared" si="86"/>
        <v>1.7726597741483095E-3</v>
      </c>
      <c r="AL176" s="299">
        <f t="shared" si="86"/>
        <v>1.6778781910857714E-3</v>
      </c>
      <c r="AM176" s="299">
        <f t="shared" si="86"/>
        <v>1.5634811548951512E-3</v>
      </c>
      <c r="AN176" s="299">
        <f t="shared" si="86"/>
        <v>1.440223177373626E-3</v>
      </c>
      <c r="AO176" s="299">
        <f t="shared" si="86"/>
        <v>1.32264399931857E-3</v>
      </c>
      <c r="AP176" s="299">
        <f t="shared" si="86"/>
        <v>1.2228140088468107E-3</v>
      </c>
      <c r="AQ176" s="299">
        <f t="shared" si="86"/>
        <v>1.1460998625176546E-3</v>
      </c>
      <c r="AR176" s="299">
        <f t="shared" si="86"/>
        <v>1.0915459173550168E-3</v>
      </c>
      <c r="AS176" s="299">
        <f t="shared" si="86"/>
        <v>1.054853828840958E-3</v>
      </c>
      <c r="AT176" s="299">
        <f t="shared" si="86"/>
        <v>1.031091356353223E-3</v>
      </c>
      <c r="AU176" s="299">
        <f t="shared" si="86"/>
        <v>1.0160771730630827E-3</v>
      </c>
      <c r="AV176" s="299">
        <f t="shared" si="86"/>
        <v>1.0067378658032032E-3</v>
      </c>
      <c r="AW176" s="299">
        <f t="shared" si="93"/>
        <v>1.0009849623396965E-3</v>
      </c>
      <c r="AX176" s="299">
        <f t="shared" si="93"/>
        <v>9.9746253129266672E-4</v>
      </c>
      <c r="AY176" s="299">
        <f t="shared" si="93"/>
        <v>9.9531374274045427E-4</v>
      </c>
      <c r="AZ176" s="306">
        <f t="shared" si="89"/>
        <v>0.10983193670960301</v>
      </c>
      <c r="BA176" s="2">
        <f t="shared" si="89"/>
        <v>0.10983193670960301</v>
      </c>
      <c r="BB176" s="2">
        <f t="shared" si="89"/>
        <v>0.10983193670960301</v>
      </c>
      <c r="BC176" s="2">
        <f t="shared" si="89"/>
        <v>0.10983193670960301</v>
      </c>
      <c r="BD176" s="2">
        <f t="shared" si="89"/>
        <v>0.10983193670960301</v>
      </c>
      <c r="BE176" s="2">
        <f t="shared" si="87"/>
        <v>0.10485891128162303</v>
      </c>
      <c r="BF176" s="2">
        <f t="shared" si="87"/>
        <v>0.10208774608883329</v>
      </c>
      <c r="BG176" s="2">
        <f t="shared" si="87"/>
        <v>9.8134068941818323E-2</v>
      </c>
      <c r="BH176" s="2">
        <f t="shared" si="87"/>
        <v>9.2886980615947856E-2</v>
      </c>
      <c r="BI176" s="2">
        <f t="shared" si="87"/>
        <v>8.6553984967268585E-2</v>
      </c>
      <c r="BJ176" s="2">
        <f t="shared" si="87"/>
        <v>7.9730449486785315E-2</v>
      </c>
      <c r="BK176" s="2">
        <f t="shared" si="87"/>
        <v>7.3221291139735328E-2</v>
      </c>
      <c r="BL176" s="2">
        <f t="shared" si="87"/>
        <v>6.7694724050952823E-2</v>
      </c>
      <c r="BM176" s="2">
        <f t="shared" si="87"/>
        <v>6.3447845188766658E-2</v>
      </c>
      <c r="BN176" s="2">
        <f t="shared" si="87"/>
        <v>6.0427750360806422E-2</v>
      </c>
      <c r="BO176" s="2">
        <f t="shared" si="87"/>
        <v>5.8396484126659522E-2</v>
      </c>
      <c r="BP176" s="2">
        <f t="shared" si="87"/>
        <v>5.708099869208997E-2</v>
      </c>
      <c r="BQ176" s="2">
        <f t="shared" si="87"/>
        <v>5.6249816691128933E-2</v>
      </c>
      <c r="BR176" s="2">
        <f t="shared" si="87"/>
        <v>5.573279462300524E-2</v>
      </c>
      <c r="BS176" s="2">
        <f t="shared" si="94"/>
        <v>5.5414315108020688E-2</v>
      </c>
      <c r="BT176" s="2">
        <f t="shared" si="94"/>
        <v>5.5219314072710288E-2</v>
      </c>
      <c r="BU176" s="2">
        <f t="shared" si="94"/>
        <v>5.5100357594428648E-2</v>
      </c>
    </row>
    <row r="177" spans="1:73" x14ac:dyDescent="0.25">
      <c r="A177" t="s">
        <v>42</v>
      </c>
      <c r="B177" s="1" t="s">
        <v>5</v>
      </c>
      <c r="C177" t="s">
        <v>10</v>
      </c>
      <c r="D177" t="s">
        <v>10</v>
      </c>
      <c r="E177" s="97">
        <v>6.8158275000000001</v>
      </c>
      <c r="F177" s="5">
        <f t="shared" si="56"/>
        <v>1.6698777374999998E-2</v>
      </c>
      <c r="G177" s="1">
        <f>LOOKUP(RIGHT(D177,5),Ref!$C$4:$C$21,Ref!$E$4:$E$21)*$G$3</f>
        <v>4.5</v>
      </c>
      <c r="H177" s="36">
        <f t="shared" si="92"/>
        <v>6.8158275000000001</v>
      </c>
      <c r="I177" s="12">
        <f t="shared" si="92"/>
        <v>6.8158275000000001</v>
      </c>
      <c r="J177" s="12">
        <f t="shared" si="92"/>
        <v>6.8158275000000001</v>
      </c>
      <c r="K177" s="12">
        <f t="shared" si="92"/>
        <v>6.8158275000000001</v>
      </c>
      <c r="L177" s="12">
        <f t="shared" si="92"/>
        <v>6.8158275000000001</v>
      </c>
      <c r="M177" s="12">
        <f t="shared" si="91"/>
        <v>7.1390740706151723</v>
      </c>
      <c r="N177" s="12">
        <f t="shared" si="91"/>
        <v>7.3328637694887417</v>
      </c>
      <c r="O177" s="12">
        <f t="shared" si="91"/>
        <v>7.6282940539987045</v>
      </c>
      <c r="P177" s="12">
        <f t="shared" si="91"/>
        <v>8.0592084018612677</v>
      </c>
      <c r="Q177" s="12">
        <f t="shared" si="91"/>
        <v>8.6488858356627016</v>
      </c>
      <c r="R177" s="12">
        <f t="shared" si="91"/>
        <v>9.3890795727627925</v>
      </c>
      <c r="S177" s="12">
        <f t="shared" si="91"/>
        <v>10.22374125</v>
      </c>
      <c r="T177" s="12">
        <f t="shared" si="91"/>
        <v>11.058402927237209</v>
      </c>
      <c r="U177" s="12">
        <f t="shared" si="91"/>
        <v>11.7985966643373</v>
      </c>
      <c r="V177" s="12">
        <f t="shared" si="91"/>
        <v>12.388274098138732</v>
      </c>
      <c r="W177" s="12">
        <f t="shared" si="91"/>
        <v>12.819188446001295</v>
      </c>
      <c r="X177" s="12">
        <f t="shared" si="91"/>
        <v>13.114618730511259</v>
      </c>
      <c r="Y177" s="12">
        <f t="shared" si="91"/>
        <v>13.308408429384828</v>
      </c>
      <c r="Z177" s="12">
        <f t="shared" si="91"/>
        <v>13.431867891558561</v>
      </c>
      <c r="AA177" s="12">
        <f t="shared" si="91"/>
        <v>13.509064095519603</v>
      </c>
      <c r="AB177" s="12">
        <f t="shared" si="91"/>
        <v>13.556769894277481</v>
      </c>
      <c r="AC177" s="12">
        <f t="shared" si="90"/>
        <v>13.58603768261686</v>
      </c>
      <c r="AD177" s="300">
        <f t="shared" si="88"/>
        <v>2.0164238463384319E-3</v>
      </c>
      <c r="AE177" s="299">
        <f t="shared" si="88"/>
        <v>2.0164238463384319E-3</v>
      </c>
      <c r="AF177" s="299">
        <f t="shared" si="88"/>
        <v>2.0164238463384319E-3</v>
      </c>
      <c r="AG177" s="299">
        <f t="shared" si="88"/>
        <v>2.0164238463384319E-3</v>
      </c>
      <c r="AH177" s="299">
        <f t="shared" si="88"/>
        <v>2.0164238463384319E-3</v>
      </c>
      <c r="AI177" s="299">
        <f t="shared" si="86"/>
        <v>1.925123197712526E-3</v>
      </c>
      <c r="AJ177" s="299">
        <f t="shared" si="86"/>
        <v>1.8742468884687168E-3</v>
      </c>
      <c r="AK177" s="299">
        <f t="shared" si="86"/>
        <v>1.8016606342442911E-3</v>
      </c>
      <c r="AL177" s="299">
        <f t="shared" si="86"/>
        <v>1.7053284166662307E-3</v>
      </c>
      <c r="AM177" s="299">
        <f t="shared" si="86"/>
        <v>1.5890598355292301E-3</v>
      </c>
      <c r="AN177" s="299">
        <f t="shared" si="86"/>
        <v>1.4637853473303906E-3</v>
      </c>
      <c r="AO177" s="299">
        <f t="shared" si="86"/>
        <v>1.3442825642256213E-3</v>
      </c>
      <c r="AP177" s="299">
        <f t="shared" si="86"/>
        <v>1.2428193468767836E-3</v>
      </c>
      <c r="AQ177" s="299">
        <f t="shared" si="86"/>
        <v>1.1648501507870814E-3</v>
      </c>
      <c r="AR177" s="299">
        <f t="shared" si="86"/>
        <v>1.1094036985825296E-3</v>
      </c>
      <c r="AS177" s="299">
        <f t="shared" si="86"/>
        <v>1.0721113244743911E-3</v>
      </c>
      <c r="AT177" s="299">
        <f t="shared" si="86"/>
        <v>1.0479600959770702E-3</v>
      </c>
      <c r="AU177" s="299">
        <f t="shared" si="86"/>
        <v>1.0327002794100863E-3</v>
      </c>
      <c r="AV177" s="299">
        <f t="shared" si="86"/>
        <v>1.0232081803132243E-3</v>
      </c>
      <c r="AW177" s="299">
        <f t="shared" si="93"/>
        <v>1.0173611588746138E-3</v>
      </c>
      <c r="AX177" s="299">
        <f t="shared" si="93"/>
        <v>1.0137811005651604E-3</v>
      </c>
      <c r="AY177" s="299">
        <f t="shared" si="93"/>
        <v>1.0115971576550235E-3</v>
      </c>
      <c r="AZ177" s="306">
        <f t="shared" si="89"/>
        <v>0.11162879625199108</v>
      </c>
      <c r="BA177" s="2">
        <f t="shared" si="89"/>
        <v>0.11162879625199108</v>
      </c>
      <c r="BB177" s="2">
        <f t="shared" si="89"/>
        <v>0.11162879625199108</v>
      </c>
      <c r="BC177" s="2">
        <f t="shared" si="89"/>
        <v>0.11162879625199108</v>
      </c>
      <c r="BD177" s="2">
        <f t="shared" si="89"/>
        <v>0.11162879625199108</v>
      </c>
      <c r="BE177" s="2">
        <f t="shared" si="87"/>
        <v>0.10657441171788488</v>
      </c>
      <c r="BF177" s="2">
        <f t="shared" si="87"/>
        <v>0.10375791003400366</v>
      </c>
      <c r="BG177" s="2">
        <f t="shared" si="87"/>
        <v>9.9739550402804508E-2</v>
      </c>
      <c r="BH177" s="2">
        <f t="shared" si="87"/>
        <v>9.4406619279196427E-2</v>
      </c>
      <c r="BI177" s="2">
        <f t="shared" si="87"/>
        <v>8.7970015299423818E-2</v>
      </c>
      <c r="BJ177" s="2">
        <f t="shared" si="87"/>
        <v>8.1034846215744166E-2</v>
      </c>
      <c r="BK177" s="2">
        <f t="shared" si="87"/>
        <v>7.4419197501327389E-2</v>
      </c>
      <c r="BL177" s="2">
        <f t="shared" si="87"/>
        <v>6.8802215319197446E-2</v>
      </c>
      <c r="BM177" s="2">
        <f t="shared" si="87"/>
        <v>6.4485857168586624E-2</v>
      </c>
      <c r="BN177" s="2">
        <f t="shared" si="87"/>
        <v>6.1416353340174326E-2</v>
      </c>
      <c r="BO177" s="2">
        <f t="shared" si="87"/>
        <v>5.9351855422918626E-2</v>
      </c>
      <c r="BP177" s="2">
        <f t="shared" si="87"/>
        <v>5.8014848538151684E-2</v>
      </c>
      <c r="BQ177" s="2">
        <f t="shared" si="87"/>
        <v>5.7170068331107507E-2</v>
      </c>
      <c r="BR177" s="2">
        <f t="shared" si="87"/>
        <v>5.6644587739310602E-2</v>
      </c>
      <c r="BS177" s="2">
        <f t="shared" si="94"/>
        <v>5.6320897873195948E-2</v>
      </c>
      <c r="BT177" s="2">
        <f t="shared" si="94"/>
        <v>5.6122706604866179E-2</v>
      </c>
      <c r="BU177" s="2">
        <f t="shared" si="94"/>
        <v>5.6001803988789532E-2</v>
      </c>
    </row>
    <row r="178" spans="1:73" x14ac:dyDescent="0.25">
      <c r="A178" t="s">
        <v>42</v>
      </c>
      <c r="B178" s="1" t="s">
        <v>5</v>
      </c>
      <c r="C178" t="s">
        <v>11</v>
      </c>
      <c r="D178" t="s">
        <v>11</v>
      </c>
      <c r="E178" s="97">
        <v>6.5148849999999996</v>
      </c>
      <c r="F178" s="5">
        <f t="shared" si="56"/>
        <v>1.5961468249999996E-2</v>
      </c>
      <c r="G178" s="1">
        <f>LOOKUP(RIGHT(D178,5),Ref!$C$4:$C$21,Ref!$E$4:$E$21)*$G$3</f>
        <v>4.5</v>
      </c>
      <c r="H178" s="36">
        <f t="shared" si="92"/>
        <v>6.5148849999999996</v>
      </c>
      <c r="I178" s="12">
        <f t="shared" si="92"/>
        <v>6.5148849999999996</v>
      </c>
      <c r="J178" s="12">
        <f t="shared" si="92"/>
        <v>6.5148849999999996</v>
      </c>
      <c r="K178" s="12">
        <f t="shared" si="92"/>
        <v>6.5148849999999996</v>
      </c>
      <c r="L178" s="12">
        <f t="shared" si="92"/>
        <v>6.5148849999999996</v>
      </c>
      <c r="M178" s="12">
        <f t="shared" si="91"/>
        <v>6.8238591097764312</v>
      </c>
      <c r="N178" s="12">
        <f t="shared" si="91"/>
        <v>7.0090923191476984</v>
      </c>
      <c r="O178" s="12">
        <f t="shared" si="91"/>
        <v>7.2914783286380631</v>
      </c>
      <c r="P178" s="12">
        <f t="shared" si="91"/>
        <v>7.7033663086631732</v>
      </c>
      <c r="Q178" s="12">
        <f t="shared" si="91"/>
        <v>8.2670074319620603</v>
      </c>
      <c r="R178" s="12">
        <f t="shared" si="91"/>
        <v>8.9745190400430062</v>
      </c>
      <c r="S178" s="12">
        <f t="shared" si="91"/>
        <v>9.7723274999999994</v>
      </c>
      <c r="T178" s="12">
        <f t="shared" si="91"/>
        <v>10.570135959956993</v>
      </c>
      <c r="U178" s="12">
        <f t="shared" si="91"/>
        <v>11.277647568037938</v>
      </c>
      <c r="V178" s="12">
        <f t="shared" si="91"/>
        <v>11.841288691336825</v>
      </c>
      <c r="W178" s="12">
        <f t="shared" si="91"/>
        <v>12.253176671361935</v>
      </c>
      <c r="X178" s="12">
        <f t="shared" si="91"/>
        <v>12.535562680852301</v>
      </c>
      <c r="Y178" s="12">
        <f t="shared" si="91"/>
        <v>12.720795890223567</v>
      </c>
      <c r="Z178" s="12">
        <f t="shared" si="91"/>
        <v>12.83880418756145</v>
      </c>
      <c r="AA178" s="12">
        <f t="shared" si="91"/>
        <v>12.912591910511118</v>
      </c>
      <c r="AB178" s="12">
        <f t="shared" si="91"/>
        <v>12.958191332260087</v>
      </c>
      <c r="AC178" s="12">
        <f t="shared" si="90"/>
        <v>12.986166845906141</v>
      </c>
      <c r="AD178" s="300">
        <f t="shared" si="88"/>
        <v>2.1095686421984824E-3</v>
      </c>
      <c r="AE178" s="299">
        <f t="shared" si="88"/>
        <v>2.1095686421984824E-3</v>
      </c>
      <c r="AF178" s="299">
        <f t="shared" si="88"/>
        <v>2.1095686421984824E-3</v>
      </c>
      <c r="AG178" s="299">
        <f t="shared" si="88"/>
        <v>2.1095686421984824E-3</v>
      </c>
      <c r="AH178" s="299">
        <f t="shared" si="88"/>
        <v>2.1095686421984824E-3</v>
      </c>
      <c r="AI178" s="299">
        <f t="shared" si="86"/>
        <v>2.014050536863962E-3</v>
      </c>
      <c r="AJ178" s="299">
        <f t="shared" si="86"/>
        <v>1.9608240950092768E-3</v>
      </c>
      <c r="AK178" s="299">
        <f t="shared" si="86"/>
        <v>1.8848848592952416E-3</v>
      </c>
      <c r="AL178" s="299">
        <f t="shared" si="86"/>
        <v>1.7841027614217526E-3</v>
      </c>
      <c r="AM178" s="299">
        <f t="shared" si="86"/>
        <v>1.6624633782707761E-3</v>
      </c>
      <c r="AN178" s="299">
        <f t="shared" si="86"/>
        <v>1.5314020776163399E-3</v>
      </c>
      <c r="AO178" s="299">
        <f t="shared" si="86"/>
        <v>1.4063790947989882E-3</v>
      </c>
      <c r="AP178" s="299">
        <f t="shared" si="86"/>
        <v>1.3002289805537353E-3</v>
      </c>
      <c r="AQ178" s="299">
        <f t="shared" si="86"/>
        <v>1.2186581483961325E-3</v>
      </c>
      <c r="AR178" s="299">
        <f t="shared" si="86"/>
        <v>1.1606504546742601E-3</v>
      </c>
      <c r="AS178" s="299">
        <f t="shared" si="86"/>
        <v>1.1216354315408451E-3</v>
      </c>
      <c r="AT178" s="299">
        <f t="shared" si="86"/>
        <v>1.0963685837989702E-3</v>
      </c>
      <c r="AU178" s="299">
        <f t="shared" si="86"/>
        <v>1.0804038695481119E-3</v>
      </c>
      <c r="AV178" s="299">
        <f t="shared" si="86"/>
        <v>1.070473301309821E-3</v>
      </c>
      <c r="AW178" s="299">
        <f t="shared" si="93"/>
        <v>1.06435618803547E-3</v>
      </c>
      <c r="AX178" s="299">
        <f t="shared" si="93"/>
        <v>1.0606107558632711E-3</v>
      </c>
      <c r="AY178" s="299">
        <f t="shared" si="93"/>
        <v>1.0583259299384326E-3</v>
      </c>
      <c r="AZ178" s="306">
        <f t="shared" si="89"/>
        <v>0.11678527238565498</v>
      </c>
      <c r="BA178" s="2">
        <f t="shared" si="89"/>
        <v>0.11678527238565498</v>
      </c>
      <c r="BB178" s="2">
        <f t="shared" si="89"/>
        <v>0.11678527238565498</v>
      </c>
      <c r="BC178" s="2">
        <f t="shared" si="89"/>
        <v>0.11678527238565498</v>
      </c>
      <c r="BD178" s="2">
        <f t="shared" si="89"/>
        <v>0.11678527238565498</v>
      </c>
      <c r="BE178" s="2">
        <f t="shared" si="87"/>
        <v>0.11149741034309618</v>
      </c>
      <c r="BF178" s="2">
        <f t="shared" si="87"/>
        <v>0.10855080581657052</v>
      </c>
      <c r="BG178" s="2">
        <f t="shared" si="87"/>
        <v>0.1043468258416029</v>
      </c>
      <c r="BH178" s="2">
        <f t="shared" si="87"/>
        <v>9.8767550289095993E-2</v>
      </c>
      <c r="BI178" s="2">
        <f t="shared" si="87"/>
        <v>9.2033619849503659E-2</v>
      </c>
      <c r="BJ178" s="2">
        <f t="shared" si="87"/>
        <v>8.4778094056232767E-2</v>
      </c>
      <c r="BK178" s="2">
        <f t="shared" si="87"/>
        <v>7.7856848257103317E-2</v>
      </c>
      <c r="BL178" s="2">
        <f t="shared" si="87"/>
        <v>7.1980400457338431E-2</v>
      </c>
      <c r="BM178" s="2">
        <f t="shared" si="87"/>
        <v>6.7464656498268952E-2</v>
      </c>
      <c r="BN178" s="2">
        <f t="shared" si="87"/>
        <v>6.4253362882948362E-2</v>
      </c>
      <c r="BO178" s="2">
        <f t="shared" si="87"/>
        <v>6.2093499481196204E-2</v>
      </c>
      <c r="BP178" s="2">
        <f t="shared" si="87"/>
        <v>6.0694732151783039E-2</v>
      </c>
      <c r="BQ178" s="2">
        <f t="shared" si="87"/>
        <v>5.981092895853752E-2</v>
      </c>
      <c r="BR178" s="2">
        <f t="shared" si="87"/>
        <v>5.9261174808113423E-2</v>
      </c>
      <c r="BS178" s="2">
        <f t="shared" si="94"/>
        <v>5.892253271528515E-2</v>
      </c>
      <c r="BT178" s="2">
        <f t="shared" si="94"/>
        <v>5.8715186385005808E-2</v>
      </c>
      <c r="BU178" s="2">
        <f t="shared" si="94"/>
        <v>5.8588698906642471E-2</v>
      </c>
    </row>
    <row r="179" spans="1:73" x14ac:dyDescent="0.25">
      <c r="A179" t="s">
        <v>43</v>
      </c>
      <c r="B179" s="1" t="s">
        <v>5</v>
      </c>
      <c r="C179" t="s">
        <v>15</v>
      </c>
      <c r="D179" t="s">
        <v>15</v>
      </c>
      <c r="E179" s="97">
        <v>3.7068669999999999</v>
      </c>
      <c r="F179" s="5">
        <f t="shared" si="56"/>
        <v>9.081824149999999E-3</v>
      </c>
      <c r="G179" s="1">
        <f>LOOKUP(RIGHT(D179,5),Ref!$C$4:$C$21,Ref!$E$4:$E$21)*$G$3</f>
        <v>2.5</v>
      </c>
      <c r="H179" s="36">
        <f t="shared" si="92"/>
        <v>3.7068669999999999</v>
      </c>
      <c r="I179" s="12">
        <f t="shared" si="92"/>
        <v>3.7068669999999999</v>
      </c>
      <c r="J179" s="12">
        <f t="shared" si="92"/>
        <v>3.7068669999999999</v>
      </c>
      <c r="K179" s="12">
        <f t="shared" si="92"/>
        <v>3.7068669999999999</v>
      </c>
      <c r="L179" s="12">
        <f t="shared" si="92"/>
        <v>3.7068669999999999</v>
      </c>
      <c r="M179" s="12">
        <f t="shared" si="91"/>
        <v>3.8826684042281072</v>
      </c>
      <c r="N179" s="12">
        <f t="shared" si="91"/>
        <v>3.9880631842008065</v>
      </c>
      <c r="O179" s="12">
        <f t="shared" si="91"/>
        <v>4.1487363779473609</v>
      </c>
      <c r="P179" s="12">
        <f t="shared" si="91"/>
        <v>4.3830941541554971</v>
      </c>
      <c r="Q179" s="12">
        <f t="shared" si="91"/>
        <v>4.7037970798095303</v>
      </c>
      <c r="R179" s="12">
        <f t="shared" si="91"/>
        <v>5.1063600463257748</v>
      </c>
      <c r="S179" s="12">
        <f t="shared" si="91"/>
        <v>5.5603005000000003</v>
      </c>
      <c r="T179" s="12">
        <f t="shared" si="91"/>
        <v>6.014240953674225</v>
      </c>
      <c r="U179" s="12">
        <f t="shared" si="91"/>
        <v>6.4168039201904694</v>
      </c>
      <c r="V179" s="12">
        <f t="shared" si="91"/>
        <v>6.7375068458445027</v>
      </c>
      <c r="W179" s="12">
        <f t="shared" si="91"/>
        <v>6.9718646220526379</v>
      </c>
      <c r="X179" s="12">
        <f t="shared" si="91"/>
        <v>7.1325378157991928</v>
      </c>
      <c r="Y179" s="12">
        <f t="shared" si="91"/>
        <v>7.2379325957718921</v>
      </c>
      <c r="Z179" s="12">
        <f t="shared" si="91"/>
        <v>7.3050774591314118</v>
      </c>
      <c r="AA179" s="12">
        <f t="shared" si="91"/>
        <v>7.3470615118364515</v>
      </c>
      <c r="AB179" s="12">
        <f t="shared" si="91"/>
        <v>7.3730068649317611</v>
      </c>
      <c r="AC179" s="12">
        <f t="shared" si="90"/>
        <v>7.3889244917728494</v>
      </c>
      <c r="AD179" s="300">
        <f t="shared" si="88"/>
        <v>3.7076045899486708E-3</v>
      </c>
      <c r="AE179" s="299">
        <f t="shared" si="88"/>
        <v>3.7076045899486708E-3</v>
      </c>
      <c r="AF179" s="299">
        <f t="shared" si="88"/>
        <v>3.7076045899486708E-3</v>
      </c>
      <c r="AG179" s="299">
        <f t="shared" si="88"/>
        <v>3.7076045899486708E-3</v>
      </c>
      <c r="AH179" s="299">
        <f t="shared" si="88"/>
        <v>3.7076045899486708E-3</v>
      </c>
      <c r="AI179" s="299">
        <f t="shared" si="86"/>
        <v>3.5397298127655976E-3</v>
      </c>
      <c r="AJ179" s="299">
        <f t="shared" si="86"/>
        <v>3.4461833899663819E-3</v>
      </c>
      <c r="AK179" s="299">
        <f t="shared" si="86"/>
        <v>3.3127188260462757E-3</v>
      </c>
      <c r="AL179" s="299">
        <f t="shared" si="86"/>
        <v>3.1355924879002003E-3</v>
      </c>
      <c r="AM179" s="299">
        <f t="shared" si="86"/>
        <v>2.9218090981266939E-3</v>
      </c>
      <c r="AN179" s="299">
        <f t="shared" si="86"/>
        <v>2.6914665199564832E-3</v>
      </c>
      <c r="AO179" s="299">
        <f t="shared" si="86"/>
        <v>2.4717363932991137E-3</v>
      </c>
      <c r="AP179" s="299">
        <f t="shared" si="86"/>
        <v>2.2851756704448316E-3</v>
      </c>
      <c r="AQ179" s="299">
        <f t="shared" si="86"/>
        <v>2.1418134751297357E-3</v>
      </c>
      <c r="AR179" s="299">
        <f t="shared" ref="AR179:AV195" si="95">Algae_electricity_factor/V179</f>
        <v>2.0398639167255035E-3</v>
      </c>
      <c r="AS179" s="299">
        <f t="shared" si="95"/>
        <v>1.9712943163091579E-3</v>
      </c>
      <c r="AT179" s="299">
        <f t="shared" si="95"/>
        <v>1.9268873798448001E-3</v>
      </c>
      <c r="AU179" s="299">
        <f t="shared" si="95"/>
        <v>1.8988291092345505E-3</v>
      </c>
      <c r="AV179" s="299">
        <f t="shared" si="95"/>
        <v>1.8813759580809976E-3</v>
      </c>
      <c r="AW179" s="299">
        <f t="shared" si="93"/>
        <v>1.8706250221789619E-3</v>
      </c>
      <c r="AX179" s="299">
        <f t="shared" si="93"/>
        <v>1.8640423581996028E-3</v>
      </c>
      <c r="AY179" s="299">
        <f t="shared" si="93"/>
        <v>1.8600267358032932E-3</v>
      </c>
      <c r="AZ179" s="306">
        <f t="shared" si="89"/>
        <v>0.20525220335291711</v>
      </c>
      <c r="BA179" s="2">
        <f t="shared" si="89"/>
        <v>0.20525220335291711</v>
      </c>
      <c r="BB179" s="2">
        <f t="shared" si="89"/>
        <v>0.20525220335291711</v>
      </c>
      <c r="BC179" s="2">
        <f t="shared" si="89"/>
        <v>0.20525220335291711</v>
      </c>
      <c r="BD179" s="2">
        <f t="shared" si="89"/>
        <v>0.20525220335291711</v>
      </c>
      <c r="BE179" s="2">
        <f t="shared" si="87"/>
        <v>0.19595869131077057</v>
      </c>
      <c r="BF179" s="2">
        <f t="shared" si="87"/>
        <v>0.19077998119497896</v>
      </c>
      <c r="BG179" s="2">
        <f t="shared" si="87"/>
        <v>0.18339141125728844</v>
      </c>
      <c r="BH179" s="2">
        <f t="shared" si="87"/>
        <v>0.17358573476339376</v>
      </c>
      <c r="BI179" s="2">
        <f t="shared" si="87"/>
        <v>0.16175073166996107</v>
      </c>
      <c r="BJ179" s="2">
        <f t="shared" si="87"/>
        <v>0.14899901542071514</v>
      </c>
      <c r="BK179" s="2">
        <f t="shared" si="87"/>
        <v>0.13683480223527805</v>
      </c>
      <c r="BL179" s="2">
        <f t="shared" si="87"/>
        <v>0.1265068402058955</v>
      </c>
      <c r="BM179" s="2">
        <f t="shared" si="87"/>
        <v>0.11857033949443693</v>
      </c>
      <c r="BN179" s="2">
        <f t="shared" ref="BN179:BR195" si="96">Algae_yield_cost_factor/V179</f>
        <v>0.112926433574681</v>
      </c>
      <c r="BO179" s="2">
        <f t="shared" si="96"/>
        <v>0.10913043504597089</v>
      </c>
      <c r="BP179" s="2">
        <f t="shared" si="96"/>
        <v>0.10667207646637149</v>
      </c>
      <c r="BQ179" s="2">
        <f t="shared" si="96"/>
        <v>0.10511877655929973</v>
      </c>
      <c r="BR179" s="2">
        <f t="shared" si="96"/>
        <v>0.10415257381496451</v>
      </c>
      <c r="BS179" s="2">
        <f t="shared" si="94"/>
        <v>0.10355740428475596</v>
      </c>
      <c r="BT179" s="2">
        <f t="shared" si="94"/>
        <v>0.10319298940368742</v>
      </c>
      <c r="BU179" s="2">
        <f t="shared" si="94"/>
        <v>0.10297068539993515</v>
      </c>
    </row>
    <row r="180" spans="1:73" x14ac:dyDescent="0.25">
      <c r="A180" t="s">
        <v>43</v>
      </c>
      <c r="B180" s="1" t="s">
        <v>5</v>
      </c>
      <c r="C180" t="s">
        <v>16</v>
      </c>
      <c r="D180" t="s">
        <v>16</v>
      </c>
      <c r="E180" s="97">
        <v>6.4991717500000004</v>
      </c>
      <c r="F180" s="5">
        <f t="shared" si="56"/>
        <v>1.5922970787500001E-2</v>
      </c>
      <c r="G180" s="1">
        <f>LOOKUP(RIGHT(D180,5),Ref!$C$4:$C$21,Ref!$E$4:$E$21)*$G$3</f>
        <v>3</v>
      </c>
      <c r="H180" s="36">
        <f t="shared" si="92"/>
        <v>6.4991717500000004</v>
      </c>
      <c r="I180" s="12">
        <f t="shared" si="92"/>
        <v>6.4991717500000004</v>
      </c>
      <c r="J180" s="12">
        <f t="shared" si="92"/>
        <v>6.4991717500000004</v>
      </c>
      <c r="K180" s="12">
        <f t="shared" si="92"/>
        <v>6.4991717500000004</v>
      </c>
      <c r="L180" s="12">
        <f t="shared" si="92"/>
        <v>6.4991717500000004</v>
      </c>
      <c r="M180" s="12">
        <f t="shared" si="91"/>
        <v>6.8074006451747247</v>
      </c>
      <c r="N180" s="12">
        <f t="shared" si="91"/>
        <v>6.9921870906004804</v>
      </c>
      <c r="O180" s="12">
        <f t="shared" si="91"/>
        <v>7.2738920133236</v>
      </c>
      <c r="P180" s="12">
        <f t="shared" si="91"/>
        <v>7.684786560801224</v>
      </c>
      <c r="Q180" s="12">
        <f t="shared" si="91"/>
        <v>8.2470682381727194</v>
      </c>
      <c r="R180" s="12">
        <f t="shared" si="91"/>
        <v>8.9528733991290146</v>
      </c>
      <c r="S180" s="12">
        <f t="shared" si="91"/>
        <v>9.7487576249999996</v>
      </c>
      <c r="T180" s="12">
        <f t="shared" si="91"/>
        <v>10.544641850870986</v>
      </c>
      <c r="U180" s="12">
        <f t="shared" si="91"/>
        <v>11.250447011827282</v>
      </c>
      <c r="V180" s="12">
        <f t="shared" si="91"/>
        <v>11.812728689198776</v>
      </c>
      <c r="W180" s="12">
        <f t="shared" si="91"/>
        <v>12.223623236676399</v>
      </c>
      <c r="X180" s="12">
        <f t="shared" si="91"/>
        <v>12.505328159399522</v>
      </c>
      <c r="Y180" s="12">
        <f t="shared" si="91"/>
        <v>12.690114604825276</v>
      </c>
      <c r="Z180" s="12">
        <f t="shared" si="91"/>
        <v>12.807838277971305</v>
      </c>
      <c r="AA180" s="12">
        <f t="shared" si="91"/>
        <v>12.881448032324807</v>
      </c>
      <c r="AB180" s="12">
        <f t="shared" ref="AB180:AC195" si="97">AB$3*$E180</f>
        <v>12.926937472836379</v>
      </c>
      <c r="AC180" s="12">
        <f t="shared" si="97"/>
        <v>12.954845512345928</v>
      </c>
      <c r="AD180" s="300">
        <f t="shared" si="88"/>
        <v>2.1146690120213024E-3</v>
      </c>
      <c r="AE180" s="299">
        <f t="shared" si="88"/>
        <v>2.1146690120213024E-3</v>
      </c>
      <c r="AF180" s="299">
        <f t="shared" si="88"/>
        <v>2.1146690120213024E-3</v>
      </c>
      <c r="AG180" s="299">
        <f t="shared" si="88"/>
        <v>2.1146690120213024E-3</v>
      </c>
      <c r="AH180" s="299">
        <f t="shared" si="88"/>
        <v>2.1146690120213024E-3</v>
      </c>
      <c r="AI180" s="299">
        <f t="shared" si="88"/>
        <v>2.0189199695879664E-3</v>
      </c>
      <c r="AJ180" s="299">
        <f t="shared" si="88"/>
        <v>1.9655648405067171E-3</v>
      </c>
      <c r="AK180" s="299">
        <f t="shared" si="88"/>
        <v>1.8894420041368624E-3</v>
      </c>
      <c r="AL180" s="299">
        <f t="shared" si="88"/>
        <v>1.7884162422458143E-3</v>
      </c>
      <c r="AM180" s="299">
        <f t="shared" si="88"/>
        <v>1.6664827677689243E-3</v>
      </c>
      <c r="AN180" s="299">
        <f t="shared" si="88"/>
        <v>1.535104596125118E-3</v>
      </c>
      <c r="AO180" s="299">
        <f t="shared" si="88"/>
        <v>1.409779341347535E-3</v>
      </c>
      <c r="AP180" s="299">
        <f t="shared" si="88"/>
        <v>1.3033725846643184E-3</v>
      </c>
      <c r="AQ180" s="299">
        <f t="shared" si="88"/>
        <v>1.2216045361647407E-3</v>
      </c>
      <c r="AR180" s="299">
        <f t="shared" si="95"/>
        <v>1.1634565954347208E-3</v>
      </c>
      <c r="AS180" s="299">
        <f t="shared" si="95"/>
        <v>1.1243472444644933E-3</v>
      </c>
      <c r="AT180" s="299">
        <f t="shared" si="95"/>
        <v>1.0990193082777283E-3</v>
      </c>
      <c r="AU180" s="299">
        <f t="shared" si="95"/>
        <v>1.0830159956398983E-3</v>
      </c>
      <c r="AV180" s="299">
        <f t="shared" si="95"/>
        <v>1.073061417957424E-3</v>
      </c>
      <c r="AW180" s="299">
        <f t="shared" si="93"/>
        <v>1.0669295151477512E-3</v>
      </c>
      <c r="AX180" s="299">
        <f t="shared" si="93"/>
        <v>1.0631750275275132E-3</v>
      </c>
      <c r="AY180" s="299">
        <f t="shared" si="93"/>
        <v>1.0608846775078601E-3</v>
      </c>
      <c r="AZ180" s="306">
        <f t="shared" si="89"/>
        <v>0.11706762777675751</v>
      </c>
      <c r="BA180" s="2">
        <f t="shared" si="89"/>
        <v>0.11706762777675751</v>
      </c>
      <c r="BB180" s="2">
        <f t="shared" si="89"/>
        <v>0.11706762777675751</v>
      </c>
      <c r="BC180" s="2">
        <f t="shared" si="89"/>
        <v>0.11706762777675751</v>
      </c>
      <c r="BD180" s="2">
        <f t="shared" si="89"/>
        <v>0.11706762777675751</v>
      </c>
      <c r="BE180" s="2">
        <f t="shared" si="89"/>
        <v>0.11176698110541271</v>
      </c>
      <c r="BF180" s="2">
        <f t="shared" si="89"/>
        <v>0.10881325248133164</v>
      </c>
      <c r="BG180" s="2">
        <f t="shared" si="89"/>
        <v>0.10459910841301756</v>
      </c>
      <c r="BH180" s="2">
        <f t="shared" si="89"/>
        <v>9.9006343672203637E-2</v>
      </c>
      <c r="BI180" s="2">
        <f t="shared" si="89"/>
        <v>9.2256132399214347E-2</v>
      </c>
      <c r="BJ180" s="2">
        <f t="shared" si="89"/>
        <v>8.4983064695211344E-2</v>
      </c>
      <c r="BK180" s="2">
        <f t="shared" si="89"/>
        <v>7.8045085184505009E-2</v>
      </c>
      <c r="BL180" s="2">
        <f t="shared" si="89"/>
        <v>7.2154429713833498E-2</v>
      </c>
      <c r="BM180" s="2">
        <f t="shared" si="89"/>
        <v>6.7627767899921226E-2</v>
      </c>
      <c r="BN180" s="2">
        <f t="shared" si="96"/>
        <v>6.4408710239989744E-2</v>
      </c>
      <c r="BO180" s="2">
        <f t="shared" si="96"/>
        <v>6.2243624869207828E-2</v>
      </c>
      <c r="BP180" s="2">
        <f t="shared" si="96"/>
        <v>6.0841475696448398E-2</v>
      </c>
      <c r="BQ180" s="2">
        <f t="shared" si="96"/>
        <v>5.9955535704690623E-2</v>
      </c>
      <c r="BR180" s="2">
        <f t="shared" si="96"/>
        <v>5.9404452396531297E-2</v>
      </c>
      <c r="BS180" s="2">
        <f t="shared" si="94"/>
        <v>5.9064991558165927E-2</v>
      </c>
      <c r="BT180" s="2">
        <f t="shared" si="94"/>
        <v>5.8857143920204684E-2</v>
      </c>
      <c r="BU180" s="2">
        <f t="shared" si="94"/>
        <v>5.8730350629124607E-2</v>
      </c>
    </row>
    <row r="181" spans="1:73" x14ac:dyDescent="0.25">
      <c r="A181" t="s">
        <v>43</v>
      </c>
      <c r="B181" s="1" t="s">
        <v>5</v>
      </c>
      <c r="C181" t="s">
        <v>17</v>
      </c>
      <c r="D181" t="s">
        <v>17</v>
      </c>
      <c r="E181" s="97">
        <v>5.3644049999999996</v>
      </c>
      <c r="F181" s="5">
        <f t="shared" si="56"/>
        <v>1.314279225E-2</v>
      </c>
      <c r="G181" s="1">
        <f>LOOKUP(RIGHT(D181,5),Ref!$C$4:$C$21,Ref!$E$4:$E$21)*$G$3</f>
        <v>3</v>
      </c>
      <c r="H181" s="36">
        <f t="shared" si="92"/>
        <v>5.3644049999999996</v>
      </c>
      <c r="I181" s="12">
        <f t="shared" si="92"/>
        <v>5.3644049999999996</v>
      </c>
      <c r="J181" s="12">
        <f t="shared" si="92"/>
        <v>5.3644049999999996</v>
      </c>
      <c r="K181" s="12">
        <f t="shared" si="92"/>
        <v>5.3644049999999996</v>
      </c>
      <c r="L181" s="12">
        <f t="shared" si="92"/>
        <v>5.3644049999999996</v>
      </c>
      <c r="M181" s="12">
        <f t="shared" ref="M181:AB195" si="98">M$3*$E181</f>
        <v>5.6188165912031049</v>
      </c>
      <c r="N181" s="12">
        <f t="shared" si="98"/>
        <v>5.7713390001968579</v>
      </c>
      <c r="O181" s="12">
        <f t="shared" si="98"/>
        <v>6.0038577509100568</v>
      </c>
      <c r="P181" s="12">
        <f t="shared" si="98"/>
        <v>6.3430093920344364</v>
      </c>
      <c r="Q181" s="12">
        <f t="shared" si="98"/>
        <v>6.8071157055043088</v>
      </c>
      <c r="R181" s="12">
        <f t="shared" si="98"/>
        <v>7.3896860514041149</v>
      </c>
      <c r="S181" s="12">
        <f t="shared" si="98"/>
        <v>8.0466075000000004</v>
      </c>
      <c r="T181" s="12">
        <f t="shared" si="98"/>
        <v>8.7035289485958831</v>
      </c>
      <c r="U181" s="12">
        <f t="shared" si="98"/>
        <v>9.2860992944956902</v>
      </c>
      <c r="V181" s="12">
        <f t="shared" si="98"/>
        <v>9.7502056079655617</v>
      </c>
      <c r="W181" s="12">
        <f t="shared" si="98"/>
        <v>10.089357249089941</v>
      </c>
      <c r="X181" s="12">
        <f t="shared" si="98"/>
        <v>10.32187599980314</v>
      </c>
      <c r="Y181" s="12">
        <f t="shared" si="98"/>
        <v>10.474398408796894</v>
      </c>
      <c r="Z181" s="12">
        <f t="shared" si="98"/>
        <v>10.57156732279627</v>
      </c>
      <c r="AA181" s="12">
        <f t="shared" si="98"/>
        <v>10.632324685348305</v>
      </c>
      <c r="AB181" s="12">
        <f t="shared" si="98"/>
        <v>10.669871590017733</v>
      </c>
      <c r="AC181" s="12">
        <f t="shared" si="97"/>
        <v>10.692906837037512</v>
      </c>
      <c r="AD181" s="300">
        <f t="shared" si="88"/>
        <v>2.5619984142750706E-3</v>
      </c>
      <c r="AE181" s="299">
        <f t="shared" si="88"/>
        <v>2.5619984142750706E-3</v>
      </c>
      <c r="AF181" s="299">
        <f t="shared" si="88"/>
        <v>2.5619984142750706E-3</v>
      </c>
      <c r="AG181" s="299">
        <f t="shared" si="88"/>
        <v>2.5619984142750706E-3</v>
      </c>
      <c r="AH181" s="299">
        <f t="shared" si="88"/>
        <v>2.5619984142750706E-3</v>
      </c>
      <c r="AI181" s="299">
        <f t="shared" si="88"/>
        <v>2.4459949671691403E-3</v>
      </c>
      <c r="AJ181" s="299">
        <f t="shared" si="88"/>
        <v>2.3813532878696731E-3</v>
      </c>
      <c r="AK181" s="299">
        <f t="shared" si="88"/>
        <v>2.2891277031748501E-3</v>
      </c>
      <c r="AL181" s="299">
        <f t="shared" si="88"/>
        <v>2.166731318542346E-3</v>
      </c>
      <c r="AM181" s="299">
        <f t="shared" si="88"/>
        <v>2.0190044797411093E-3</v>
      </c>
      <c r="AN181" s="299">
        <f t="shared" si="88"/>
        <v>1.8598350468377255E-3</v>
      </c>
      <c r="AO181" s="299">
        <f t="shared" si="88"/>
        <v>1.707998942850047E-3</v>
      </c>
      <c r="AP181" s="299">
        <f t="shared" si="88"/>
        <v>1.5790832873309943E-3</v>
      </c>
      <c r="AQ181" s="299">
        <f t="shared" si="88"/>
        <v>1.4800183228361277E-3</v>
      </c>
      <c r="AR181" s="299">
        <f t="shared" si="95"/>
        <v>1.4095699779193623E-3</v>
      </c>
      <c r="AS181" s="299">
        <f t="shared" si="95"/>
        <v>1.3621875768913753E-3</v>
      </c>
      <c r="AT181" s="299">
        <f t="shared" si="95"/>
        <v>1.3315018610755814E-3</v>
      </c>
      <c r="AU181" s="299">
        <f t="shared" si="95"/>
        <v>1.3121132658069161E-3</v>
      </c>
      <c r="AV181" s="299">
        <f t="shared" si="95"/>
        <v>1.3000529329168535E-3</v>
      </c>
      <c r="AW181" s="299">
        <f t="shared" si="93"/>
        <v>1.2926239096581005E-3</v>
      </c>
      <c r="AX181" s="299">
        <f t="shared" si="93"/>
        <v>1.2880752113631031E-3</v>
      </c>
      <c r="AY181" s="299">
        <f t="shared" si="93"/>
        <v>1.2853003690189212E-3</v>
      </c>
      <c r="AZ181" s="306">
        <f t="shared" si="89"/>
        <v>0.14183168856307787</v>
      </c>
      <c r="BA181" s="2">
        <f t="shared" si="89"/>
        <v>0.14183168856307787</v>
      </c>
      <c r="BB181" s="2">
        <f t="shared" si="89"/>
        <v>0.14183168856307787</v>
      </c>
      <c r="BC181" s="2">
        <f t="shared" si="89"/>
        <v>0.14183168856307787</v>
      </c>
      <c r="BD181" s="2">
        <f t="shared" si="89"/>
        <v>0.14183168856307787</v>
      </c>
      <c r="BE181" s="2">
        <f t="shared" si="89"/>
        <v>0.13540976234700439</v>
      </c>
      <c r="BF181" s="2">
        <f t="shared" si="89"/>
        <v>0.13183121269782727</v>
      </c>
      <c r="BG181" s="2">
        <f t="shared" si="89"/>
        <v>0.12672562389921552</v>
      </c>
      <c r="BH181" s="2">
        <f t="shared" si="89"/>
        <v>0.11994978601824008</v>
      </c>
      <c r="BI181" s="2">
        <f t="shared" si="89"/>
        <v>0.11177165956955779</v>
      </c>
      <c r="BJ181" s="2">
        <f t="shared" si="89"/>
        <v>0.10296007353947736</v>
      </c>
      <c r="BK181" s="2">
        <f t="shared" si="89"/>
        <v>9.4554459042051911E-2</v>
      </c>
      <c r="BL181" s="2">
        <f t="shared" si="89"/>
        <v>8.741771570817404E-2</v>
      </c>
      <c r="BM181" s="2">
        <f t="shared" si="89"/>
        <v>8.1933500295135242E-2</v>
      </c>
      <c r="BN181" s="2">
        <f t="shared" si="96"/>
        <v>7.8033494869547901E-2</v>
      </c>
      <c r="BO181" s="2">
        <f t="shared" si="96"/>
        <v>7.5410415203093897E-2</v>
      </c>
      <c r="BP181" s="2">
        <f t="shared" si="96"/>
        <v>7.3711660486982078E-2</v>
      </c>
      <c r="BQ181" s="2">
        <f t="shared" si="96"/>
        <v>7.2638311967131802E-2</v>
      </c>
      <c r="BR181" s="2">
        <f t="shared" si="96"/>
        <v>7.1970654497517633E-2</v>
      </c>
      <c r="BS181" s="2">
        <f t="shared" si="94"/>
        <v>7.155938534633767E-2</v>
      </c>
      <c r="BT181" s="2">
        <f t="shared" si="94"/>
        <v>7.1307570373951731E-2</v>
      </c>
      <c r="BU181" s="2">
        <f t="shared" si="94"/>
        <v>7.1153955690594101E-2</v>
      </c>
    </row>
    <row r="182" spans="1:73" x14ac:dyDescent="0.25">
      <c r="A182" t="s">
        <v>43</v>
      </c>
      <c r="B182" s="1" t="s">
        <v>5</v>
      </c>
      <c r="C182" t="s">
        <v>18</v>
      </c>
      <c r="D182" t="s">
        <v>18</v>
      </c>
      <c r="E182" s="97">
        <v>6.1507610000000001</v>
      </c>
      <c r="F182" s="5">
        <f t="shared" si="56"/>
        <v>1.5069364450000001E-2</v>
      </c>
      <c r="G182" s="1">
        <f>LOOKUP(RIGHT(D182,5),Ref!$C$4:$C$21,Ref!$E$4:$E$21)*$G$3</f>
        <v>3</v>
      </c>
      <c r="H182" s="36">
        <f t="shared" ref="H182:L195" si="99">$E182</f>
        <v>6.1507610000000001</v>
      </c>
      <c r="I182" s="12">
        <f t="shared" si="99"/>
        <v>6.1507610000000001</v>
      </c>
      <c r="J182" s="12">
        <f t="shared" si="99"/>
        <v>6.1507610000000001</v>
      </c>
      <c r="K182" s="12">
        <f t="shared" si="99"/>
        <v>6.1507610000000001</v>
      </c>
      <c r="L182" s="12">
        <f t="shared" si="99"/>
        <v>6.1507610000000001</v>
      </c>
      <c r="M182" s="12">
        <f t="shared" si="98"/>
        <v>6.4424662111315234</v>
      </c>
      <c r="N182" s="12">
        <f t="shared" si="98"/>
        <v>6.6173465352056438</v>
      </c>
      <c r="O182" s="12">
        <f t="shared" si="98"/>
        <v>6.8839496838596821</v>
      </c>
      <c r="P182" s="12">
        <f t="shared" si="98"/>
        <v>7.272816797232708</v>
      </c>
      <c r="Q182" s="12">
        <f t="shared" si="98"/>
        <v>7.8049554058471333</v>
      </c>
      <c r="R182" s="12">
        <f t="shared" si="98"/>
        <v>8.4729234215575513</v>
      </c>
      <c r="S182" s="12">
        <f t="shared" si="98"/>
        <v>9.2261415000000007</v>
      </c>
      <c r="T182" s="12">
        <f t="shared" si="98"/>
        <v>9.97935957844245</v>
      </c>
      <c r="U182" s="12">
        <f t="shared" si="98"/>
        <v>10.647327594152866</v>
      </c>
      <c r="V182" s="12">
        <f t="shared" si="98"/>
        <v>11.179466202767292</v>
      </c>
      <c r="W182" s="12">
        <f t="shared" si="98"/>
        <v>11.568333316140317</v>
      </c>
      <c r="X182" s="12">
        <f t="shared" si="98"/>
        <v>11.834936464794357</v>
      </c>
      <c r="Y182" s="12">
        <f t="shared" si="98"/>
        <v>12.009816788868477</v>
      </c>
      <c r="Z182" s="12">
        <f t="shared" si="98"/>
        <v>12.121229474271557</v>
      </c>
      <c r="AA182" s="12">
        <f t="shared" si="98"/>
        <v>12.190893121227356</v>
      </c>
      <c r="AB182" s="12">
        <f t="shared" si="98"/>
        <v>12.233943941758511</v>
      </c>
      <c r="AC182" s="12">
        <f t="shared" si="97"/>
        <v>12.260355873556096</v>
      </c>
      <c r="AD182" s="300">
        <f t="shared" si="88"/>
        <v>2.2344547452793663E-3</v>
      </c>
      <c r="AE182" s="299">
        <f t="shared" si="88"/>
        <v>2.2344547452793663E-3</v>
      </c>
      <c r="AF182" s="299">
        <f t="shared" si="88"/>
        <v>2.2344547452793663E-3</v>
      </c>
      <c r="AG182" s="299">
        <f t="shared" si="88"/>
        <v>2.2344547452793663E-3</v>
      </c>
      <c r="AH182" s="299">
        <f t="shared" si="88"/>
        <v>2.2344547452793663E-3</v>
      </c>
      <c r="AI182" s="299">
        <f t="shared" si="88"/>
        <v>2.1332819844336291E-3</v>
      </c>
      <c r="AJ182" s="299">
        <f t="shared" si="88"/>
        <v>2.0769045463178478E-3</v>
      </c>
      <c r="AK182" s="299">
        <f t="shared" si="88"/>
        <v>1.9964697208279887E-3</v>
      </c>
      <c r="AL182" s="299">
        <f t="shared" si="88"/>
        <v>1.8897213399846219E-3</v>
      </c>
      <c r="AM182" s="299">
        <f t="shared" si="88"/>
        <v>1.7608809261399692E-3</v>
      </c>
      <c r="AN182" s="299">
        <f t="shared" si="88"/>
        <v>1.6220608188859114E-3</v>
      </c>
      <c r="AO182" s="299">
        <f t="shared" si="88"/>
        <v>1.4896364968529107E-3</v>
      </c>
      <c r="AP182" s="299">
        <f t="shared" si="88"/>
        <v>1.3772023139859964E-3</v>
      </c>
      <c r="AQ182" s="299">
        <f t="shared" si="88"/>
        <v>1.2908025025055822E-3</v>
      </c>
      <c r="AR182" s="299">
        <f t="shared" si="95"/>
        <v>1.2293607632292193E-3</v>
      </c>
      <c r="AS182" s="299">
        <f t="shared" si="95"/>
        <v>1.1880360573941955E-3</v>
      </c>
      <c r="AT182" s="299">
        <f t="shared" si="95"/>
        <v>1.1612734165842493E-3</v>
      </c>
      <c r="AU182" s="299">
        <f t="shared" si="95"/>
        <v>1.1443635939782004E-3</v>
      </c>
      <c r="AV182" s="299">
        <f t="shared" si="95"/>
        <v>1.1338451377973934E-3</v>
      </c>
      <c r="AW182" s="299">
        <f t="shared" si="93"/>
        <v>1.12736589246265E-3</v>
      </c>
      <c r="AX182" s="299">
        <f t="shared" si="93"/>
        <v>1.1233987313459726E-3</v>
      </c>
      <c r="AY182" s="299">
        <f t="shared" si="93"/>
        <v>1.1209786441168737E-3</v>
      </c>
      <c r="AZ182" s="306">
        <f t="shared" si="89"/>
        <v>0.12369894055161919</v>
      </c>
      <c r="BA182" s="2">
        <f t="shared" si="89"/>
        <v>0.12369894055161919</v>
      </c>
      <c r="BB182" s="2">
        <f t="shared" si="89"/>
        <v>0.12369894055161919</v>
      </c>
      <c r="BC182" s="2">
        <f t="shared" si="89"/>
        <v>0.12369894055161919</v>
      </c>
      <c r="BD182" s="2">
        <f t="shared" si="89"/>
        <v>0.12369894055161919</v>
      </c>
      <c r="BE182" s="2">
        <f t="shared" si="89"/>
        <v>0.11809803797986658</v>
      </c>
      <c r="BF182" s="2">
        <f t="shared" si="89"/>
        <v>0.11497699496896205</v>
      </c>
      <c r="BG182" s="2">
        <f t="shared" si="89"/>
        <v>0.11052414009796041</v>
      </c>
      <c r="BH182" s="2">
        <f t="shared" si="89"/>
        <v>0.10461457238627499</v>
      </c>
      <c r="BI182" s="2">
        <f t="shared" si="89"/>
        <v>9.7481994415525755E-2</v>
      </c>
      <c r="BJ182" s="2">
        <f t="shared" si="89"/>
        <v>8.9796942735303795E-2</v>
      </c>
      <c r="BK182" s="2">
        <f t="shared" si="89"/>
        <v>8.2465960367746116E-2</v>
      </c>
      <c r="BL182" s="2">
        <f t="shared" si="89"/>
        <v>7.6241627862553465E-2</v>
      </c>
      <c r="BM182" s="2">
        <f t="shared" si="89"/>
        <v>7.1458552632873387E-2</v>
      </c>
      <c r="BN182" s="2">
        <f t="shared" si="96"/>
        <v>6.8057150984354137E-2</v>
      </c>
      <c r="BO182" s="2">
        <f t="shared" si="96"/>
        <v>6.5769424038351176E-2</v>
      </c>
      <c r="BP182" s="2">
        <f t="shared" si="96"/>
        <v>6.4287849922094034E-2</v>
      </c>
      <c r="BQ182" s="2">
        <f t="shared" si="96"/>
        <v>6.335172573085536E-2</v>
      </c>
      <c r="BR182" s="2">
        <f t="shared" si="96"/>
        <v>6.2769426228682285E-2</v>
      </c>
      <c r="BS182" s="2">
        <f t="shared" si="94"/>
        <v>6.2410736581834422E-2</v>
      </c>
      <c r="BT182" s="2">
        <f t="shared" si="94"/>
        <v>6.2191115384239208E-2</v>
      </c>
      <c r="BU182" s="2">
        <f t="shared" si="94"/>
        <v>6.2057139868774189E-2</v>
      </c>
    </row>
    <row r="183" spans="1:73" x14ac:dyDescent="0.25">
      <c r="A183" t="s">
        <v>43</v>
      </c>
      <c r="B183" s="1" t="s">
        <v>5</v>
      </c>
      <c r="C183" t="s">
        <v>6</v>
      </c>
      <c r="D183" t="s">
        <v>6</v>
      </c>
      <c r="E183" s="97">
        <v>6.5404350000000004</v>
      </c>
      <c r="F183" s="5">
        <f t="shared" si="56"/>
        <v>1.6024065749999997E-2</v>
      </c>
      <c r="G183" s="1">
        <f>LOOKUP(RIGHT(D183,5),Ref!$C$4:$C$21,Ref!$E$4:$E$21)*$G$3</f>
        <v>3</v>
      </c>
      <c r="H183" s="36">
        <f t="shared" si="99"/>
        <v>6.5404350000000004</v>
      </c>
      <c r="I183" s="12">
        <f t="shared" si="99"/>
        <v>6.5404350000000004</v>
      </c>
      <c r="J183" s="12">
        <f t="shared" si="99"/>
        <v>6.5404350000000004</v>
      </c>
      <c r="K183" s="12">
        <f t="shared" si="99"/>
        <v>6.5404350000000004</v>
      </c>
      <c r="L183" s="12">
        <f t="shared" si="99"/>
        <v>6.5404350000000004</v>
      </c>
      <c r="M183" s="12">
        <f t="shared" si="98"/>
        <v>6.8506208408361191</v>
      </c>
      <c r="N183" s="12">
        <f t="shared" si="98"/>
        <v>7.0365804956472422</v>
      </c>
      <c r="O183" s="12">
        <f t="shared" si="98"/>
        <v>7.3200739632957292</v>
      </c>
      <c r="P183" s="12">
        <f t="shared" si="98"/>
        <v>7.7335772807964265</v>
      </c>
      <c r="Q183" s="12">
        <f t="shared" si="98"/>
        <v>8.2994288852780649</v>
      </c>
      <c r="R183" s="12">
        <f t="shared" si="98"/>
        <v>9.0097152041307993</v>
      </c>
      <c r="S183" s="12">
        <f t="shared" si="98"/>
        <v>9.8106524999999998</v>
      </c>
      <c r="T183" s="12">
        <f t="shared" si="98"/>
        <v>10.611589795869202</v>
      </c>
      <c r="U183" s="12">
        <f t="shared" si="98"/>
        <v>11.321876114721936</v>
      </c>
      <c r="V183" s="12">
        <f t="shared" si="98"/>
        <v>11.887727719203575</v>
      </c>
      <c r="W183" s="12">
        <f t="shared" si="98"/>
        <v>12.301231036704271</v>
      </c>
      <c r="X183" s="12">
        <f t="shared" si="98"/>
        <v>12.58472450435276</v>
      </c>
      <c r="Y183" s="12">
        <f t="shared" si="98"/>
        <v>12.770684159163881</v>
      </c>
      <c r="Z183" s="12">
        <f t="shared" si="98"/>
        <v>12.889155260065754</v>
      </c>
      <c r="AA183" s="12">
        <f t="shared" si="98"/>
        <v>12.963232362846588</v>
      </c>
      <c r="AB183" s="12">
        <f t="shared" si="98"/>
        <v>13.009010615875878</v>
      </c>
      <c r="AC183" s="12">
        <f t="shared" si="97"/>
        <v>13.037095843565027</v>
      </c>
      <c r="AD183" s="300">
        <f t="shared" si="88"/>
        <v>2.1013276798147614E-3</v>
      </c>
      <c r="AE183" s="299">
        <f t="shared" si="88"/>
        <v>2.1013276798147614E-3</v>
      </c>
      <c r="AF183" s="299">
        <f t="shared" si="88"/>
        <v>2.1013276798147614E-3</v>
      </c>
      <c r="AG183" s="299">
        <f t="shared" si="88"/>
        <v>2.1013276798147614E-3</v>
      </c>
      <c r="AH183" s="299">
        <f t="shared" si="88"/>
        <v>2.1013276798147614E-3</v>
      </c>
      <c r="AI183" s="299">
        <f t="shared" si="88"/>
        <v>2.0061827129016605E-3</v>
      </c>
      <c r="AJ183" s="299">
        <f t="shared" si="88"/>
        <v>1.953164198438561E-3</v>
      </c>
      <c r="AK183" s="299">
        <f t="shared" si="88"/>
        <v>1.8775216169183975E-3</v>
      </c>
      <c r="AL183" s="299">
        <f t="shared" si="88"/>
        <v>1.7771332210847065E-3</v>
      </c>
      <c r="AM183" s="299">
        <f t="shared" si="88"/>
        <v>1.6559690182909245E-3</v>
      </c>
      <c r="AN183" s="299">
        <f t="shared" si="88"/>
        <v>1.5254197044128606E-3</v>
      </c>
      <c r="AO183" s="299">
        <f t="shared" si="88"/>
        <v>1.4008851198765077E-3</v>
      </c>
      <c r="AP183" s="299">
        <f t="shared" si="88"/>
        <v>1.295149677655205E-3</v>
      </c>
      <c r="AQ183" s="299">
        <f t="shared" si="88"/>
        <v>1.2138974993427404E-3</v>
      </c>
      <c r="AR183" s="299">
        <f t="shared" si="95"/>
        <v>1.1561164108198484E-3</v>
      </c>
      <c r="AS183" s="299">
        <f t="shared" si="95"/>
        <v>1.1172537986256232E-3</v>
      </c>
      <c r="AT183" s="299">
        <f t="shared" si="95"/>
        <v>1.092085655015783E-3</v>
      </c>
      <c r="AU183" s="299">
        <f t="shared" si="95"/>
        <v>1.0761833064101929E-3</v>
      </c>
      <c r="AV183" s="299">
        <f t="shared" si="95"/>
        <v>1.0662915316188956E-3</v>
      </c>
      <c r="AW183" s="299">
        <f t="shared" si="93"/>
        <v>1.0601983146517719E-3</v>
      </c>
      <c r="AX183" s="299">
        <f t="shared" si="93"/>
        <v>1.0564675138904807E-3</v>
      </c>
      <c r="AY183" s="299">
        <f t="shared" si="93"/>
        <v>1.0541916135649915E-3</v>
      </c>
      <c r="AZ183" s="306">
        <f t="shared" si="89"/>
        <v>0.11632905445680872</v>
      </c>
      <c r="BA183" s="2">
        <f t="shared" si="89"/>
        <v>0.11632905445680872</v>
      </c>
      <c r="BB183" s="2">
        <f t="shared" si="89"/>
        <v>0.11632905445680872</v>
      </c>
      <c r="BC183" s="2">
        <f t="shared" si="89"/>
        <v>0.11632905445680872</v>
      </c>
      <c r="BD183" s="2">
        <f t="shared" si="89"/>
        <v>0.11632905445680872</v>
      </c>
      <c r="BE183" s="2">
        <f t="shared" si="89"/>
        <v>0.11106184927808044</v>
      </c>
      <c r="BF183" s="2">
        <f t="shared" si="89"/>
        <v>0.10812675556783119</v>
      </c>
      <c r="BG183" s="2">
        <f t="shared" si="89"/>
        <v>0.10393919830608683</v>
      </c>
      <c r="BH183" s="2">
        <f t="shared" si="89"/>
        <v>9.8381718014960332E-2</v>
      </c>
      <c r="BI183" s="2">
        <f t="shared" si="89"/>
        <v>9.1674093459109915E-2</v>
      </c>
      <c r="BJ183" s="2">
        <f t="shared" si="89"/>
        <v>8.4446911145136361E-2</v>
      </c>
      <c r="BK183" s="2">
        <f t="shared" si="89"/>
        <v>7.7552702971205811E-2</v>
      </c>
      <c r="BL183" s="2">
        <f t="shared" si="89"/>
        <v>7.1699211326694212E-2</v>
      </c>
      <c r="BM183" s="2">
        <f t="shared" si="89"/>
        <v>6.7201107976873842E-2</v>
      </c>
      <c r="BN183" s="2">
        <f t="shared" si="96"/>
        <v>6.4002359177283613E-2</v>
      </c>
      <c r="BO183" s="2">
        <f t="shared" si="96"/>
        <v>6.185093321278369E-2</v>
      </c>
      <c r="BP183" s="2">
        <f t="shared" si="96"/>
        <v>6.0457630123175142E-2</v>
      </c>
      <c r="BQ183" s="2">
        <f t="shared" si="96"/>
        <v>5.9577279478817795E-2</v>
      </c>
      <c r="BR183" s="2">
        <f t="shared" si="96"/>
        <v>5.9029672925387376E-2</v>
      </c>
      <c r="BS183" s="2">
        <f t="shared" si="94"/>
        <v>5.8692353727056452E-2</v>
      </c>
      <c r="BT183" s="2">
        <f t="shared" si="94"/>
        <v>5.8485817388580191E-2</v>
      </c>
      <c r="BU183" s="2">
        <f t="shared" si="94"/>
        <v>5.8359824029502835E-2</v>
      </c>
    </row>
    <row r="184" spans="1:73" x14ac:dyDescent="0.25">
      <c r="A184" t="s">
        <v>43</v>
      </c>
      <c r="B184" s="1" t="s">
        <v>5</v>
      </c>
      <c r="C184" t="s">
        <v>7</v>
      </c>
      <c r="D184" t="s">
        <v>7</v>
      </c>
      <c r="E184" s="97">
        <v>5.4186075000000002</v>
      </c>
      <c r="F184" s="5">
        <f t="shared" si="56"/>
        <v>1.3275588374999999E-2</v>
      </c>
      <c r="G184" s="1">
        <f>LOOKUP(RIGHT(D184,5),Ref!$C$4:$C$21,Ref!$E$4:$E$21)*$G$3</f>
        <v>3.5</v>
      </c>
      <c r="H184" s="36">
        <f t="shared" si="99"/>
        <v>5.4186075000000002</v>
      </c>
      <c r="I184" s="12">
        <f t="shared" si="99"/>
        <v>5.4186075000000002</v>
      </c>
      <c r="J184" s="12">
        <f t="shared" si="99"/>
        <v>5.4186075000000002</v>
      </c>
      <c r="K184" s="12">
        <f t="shared" si="99"/>
        <v>5.4186075000000002</v>
      </c>
      <c r="L184" s="12">
        <f t="shared" si="99"/>
        <v>5.4186075000000002</v>
      </c>
      <c r="M184" s="12">
        <f t="shared" si="98"/>
        <v>5.6755896920940119</v>
      </c>
      <c r="N184" s="12">
        <f t="shared" si="98"/>
        <v>5.8296532031994603</v>
      </c>
      <c r="O184" s="12">
        <f t="shared" si="98"/>
        <v>6.0645213472909614</v>
      </c>
      <c r="P184" s="12">
        <f t="shared" si="98"/>
        <v>6.4070998114885516</v>
      </c>
      <c r="Q184" s="12">
        <f t="shared" si="98"/>
        <v>6.8758955028961166</v>
      </c>
      <c r="R184" s="12">
        <f t="shared" si="98"/>
        <v>7.4643521995046473</v>
      </c>
      <c r="S184" s="12">
        <f t="shared" si="98"/>
        <v>8.1279112500000004</v>
      </c>
      <c r="T184" s="12">
        <f t="shared" si="98"/>
        <v>8.7914703004953534</v>
      </c>
      <c r="U184" s="12">
        <f t="shared" si="98"/>
        <v>9.3799269971038832</v>
      </c>
      <c r="V184" s="12">
        <f t="shared" si="98"/>
        <v>9.8487226885114492</v>
      </c>
      <c r="W184" s="12">
        <f t="shared" si="98"/>
        <v>10.191301152709038</v>
      </c>
      <c r="X184" s="12">
        <f t="shared" si="98"/>
        <v>10.426169296800541</v>
      </c>
      <c r="Y184" s="12">
        <f t="shared" si="98"/>
        <v>10.580232807905988</v>
      </c>
      <c r="Z184" s="12">
        <f t="shared" si="98"/>
        <v>10.678383526608972</v>
      </c>
      <c r="AA184" s="12">
        <f t="shared" si="98"/>
        <v>10.739754787802836</v>
      </c>
      <c r="AB184" s="12">
        <f t="shared" si="98"/>
        <v>10.777681070259799</v>
      </c>
      <c r="AC184" s="12">
        <f t="shared" si="97"/>
        <v>10.80094906778529</v>
      </c>
      <c r="AD184" s="300">
        <f t="shared" si="88"/>
        <v>2.5363706641474324E-3</v>
      </c>
      <c r="AE184" s="299">
        <f t="shared" si="88"/>
        <v>2.5363706641474324E-3</v>
      </c>
      <c r="AF184" s="299">
        <f t="shared" si="88"/>
        <v>2.5363706641474324E-3</v>
      </c>
      <c r="AG184" s="299">
        <f t="shared" si="88"/>
        <v>2.5363706641474324E-3</v>
      </c>
      <c r="AH184" s="299">
        <f t="shared" si="88"/>
        <v>2.5363706641474324E-3</v>
      </c>
      <c r="AI184" s="299">
        <f t="shared" si="88"/>
        <v>2.4215276031447144E-3</v>
      </c>
      <c r="AJ184" s="299">
        <f t="shared" si="88"/>
        <v>2.3575325365814948E-3</v>
      </c>
      <c r="AK184" s="299">
        <f t="shared" si="88"/>
        <v>2.2662294872898029E-3</v>
      </c>
      <c r="AL184" s="299">
        <f t="shared" si="88"/>
        <v>2.1450574375141865E-3</v>
      </c>
      <c r="AM184" s="299">
        <f t="shared" si="88"/>
        <v>1.9988083148937442E-3</v>
      </c>
      <c r="AN184" s="299">
        <f t="shared" si="88"/>
        <v>1.8412310587972145E-3</v>
      </c>
      <c r="AO184" s="299">
        <f t="shared" si="88"/>
        <v>1.6909137760982883E-3</v>
      </c>
      <c r="AP184" s="299">
        <f t="shared" si="88"/>
        <v>1.5632876679063433E-3</v>
      </c>
      <c r="AQ184" s="299">
        <f t="shared" si="88"/>
        <v>1.465213653344284E-3</v>
      </c>
      <c r="AR184" s="299">
        <f t="shared" si="95"/>
        <v>1.3954700054212297E-3</v>
      </c>
      <c r="AS184" s="299">
        <f t="shared" si="95"/>
        <v>1.3485615720300794E-3</v>
      </c>
      <c r="AT184" s="299">
        <f t="shared" si="95"/>
        <v>1.3181828063876472E-3</v>
      </c>
      <c r="AU184" s="299">
        <f t="shared" si="95"/>
        <v>1.2989881558427973E-3</v>
      </c>
      <c r="AV184" s="299">
        <f t="shared" si="95"/>
        <v>1.2870484628391763E-3</v>
      </c>
      <c r="AW184" s="299">
        <f t="shared" si="93"/>
        <v>1.2796937523320267E-3</v>
      </c>
      <c r="AX184" s="299">
        <f t="shared" si="93"/>
        <v>1.2751905548080917E-3</v>
      </c>
      <c r="AY184" s="299">
        <f t="shared" si="93"/>
        <v>1.2724434692985135E-3</v>
      </c>
      <c r="AZ184" s="306">
        <f t="shared" si="89"/>
        <v>0.14041294175417166</v>
      </c>
      <c r="BA184" s="2">
        <f t="shared" si="89"/>
        <v>0.14041294175417166</v>
      </c>
      <c r="BB184" s="2">
        <f t="shared" si="89"/>
        <v>0.14041294175417166</v>
      </c>
      <c r="BC184" s="2">
        <f t="shared" si="89"/>
        <v>0.14041294175417166</v>
      </c>
      <c r="BD184" s="2">
        <f t="shared" si="89"/>
        <v>0.14041294175417166</v>
      </c>
      <c r="BE184" s="2">
        <f t="shared" si="89"/>
        <v>0.13405525426654027</v>
      </c>
      <c r="BF184" s="2">
        <f t="shared" si="89"/>
        <v>0.13051250096123182</v>
      </c>
      <c r="BG184" s="2">
        <f t="shared" si="89"/>
        <v>0.12545798352677714</v>
      </c>
      <c r="BH184" s="2">
        <f t="shared" si="89"/>
        <v>0.11874992456367749</v>
      </c>
      <c r="BI184" s="2">
        <f t="shared" si="89"/>
        <v>0.11065360416919542</v>
      </c>
      <c r="BJ184" s="2">
        <f t="shared" si="89"/>
        <v>0.10193016070928555</v>
      </c>
      <c r="BK184" s="2">
        <f t="shared" si="89"/>
        <v>9.3608627836114441E-2</v>
      </c>
      <c r="BL184" s="2">
        <f t="shared" si="89"/>
        <v>8.6543273568625748E-2</v>
      </c>
      <c r="BM184" s="2">
        <f t="shared" si="89"/>
        <v>8.1113916933589478E-2</v>
      </c>
      <c r="BN184" s="2">
        <f t="shared" si="96"/>
        <v>7.7252923384038608E-2</v>
      </c>
      <c r="BO184" s="2">
        <f t="shared" si="96"/>
        <v>7.4656082465384868E-2</v>
      </c>
      <c r="BP184" s="2">
        <f t="shared" si="96"/>
        <v>7.297432044573611E-2</v>
      </c>
      <c r="BQ184" s="2">
        <f t="shared" si="96"/>
        <v>7.1911708664641541E-2</v>
      </c>
      <c r="BR184" s="2">
        <f t="shared" si="96"/>
        <v>7.1250729793541231E-2</v>
      </c>
      <c r="BS184" s="2">
        <f t="shared" si="94"/>
        <v>7.0843574580521013E-2</v>
      </c>
      <c r="BT184" s="2">
        <f t="shared" si="94"/>
        <v>7.0594278521165912E-2</v>
      </c>
      <c r="BU184" s="2">
        <f t="shared" si="94"/>
        <v>7.0442200450281989E-2</v>
      </c>
    </row>
    <row r="185" spans="1:73" x14ac:dyDescent="0.25">
      <c r="A185" t="s">
        <v>43</v>
      </c>
      <c r="B185" s="1" t="s">
        <v>5</v>
      </c>
      <c r="C185" t="s">
        <v>9</v>
      </c>
      <c r="D185" t="s">
        <v>9</v>
      </c>
      <c r="E185" s="97">
        <v>5.7085999999999997</v>
      </c>
      <c r="F185" s="5">
        <f t="shared" si="56"/>
        <v>1.3986069999999998E-2</v>
      </c>
      <c r="G185" s="1">
        <f>LOOKUP(RIGHT(D185,5),Ref!$C$4:$C$21,Ref!$E$4:$E$21)*$G$3</f>
        <v>4.5</v>
      </c>
      <c r="H185" s="36">
        <f t="shared" si="99"/>
        <v>5.7085999999999997</v>
      </c>
      <c r="I185" s="12">
        <f t="shared" si="99"/>
        <v>5.7085999999999997</v>
      </c>
      <c r="J185" s="12">
        <f t="shared" si="99"/>
        <v>5.7085999999999997</v>
      </c>
      <c r="K185" s="12">
        <f t="shared" si="99"/>
        <v>5.7085999999999997</v>
      </c>
      <c r="L185" s="12">
        <f t="shared" si="99"/>
        <v>5.7085999999999997</v>
      </c>
      <c r="M185" s="12">
        <f t="shared" si="98"/>
        <v>5.979335339621457</v>
      </c>
      <c r="N185" s="12">
        <f t="shared" si="98"/>
        <v>6.1416440064692699</v>
      </c>
      <c r="O185" s="12">
        <f t="shared" si="98"/>
        <v>6.3890818006554602</v>
      </c>
      <c r="P185" s="12">
        <f t="shared" si="98"/>
        <v>6.7499943452009656</v>
      </c>
      <c r="Q185" s="12">
        <f t="shared" si="98"/>
        <v>7.2438789980327547</v>
      </c>
      <c r="R185" s="12">
        <f t="shared" si="98"/>
        <v>7.8638286619010929</v>
      </c>
      <c r="S185" s="12">
        <f t="shared" si="98"/>
        <v>8.5628999999999991</v>
      </c>
      <c r="T185" s="12">
        <f t="shared" si="98"/>
        <v>9.2619713380989062</v>
      </c>
      <c r="U185" s="12">
        <f t="shared" si="98"/>
        <v>9.8819210019672443</v>
      </c>
      <c r="V185" s="12">
        <f t="shared" si="98"/>
        <v>10.375805654799034</v>
      </c>
      <c r="W185" s="12">
        <f t="shared" si="98"/>
        <v>10.736718199344537</v>
      </c>
      <c r="X185" s="12">
        <f t="shared" si="98"/>
        <v>10.984155993530729</v>
      </c>
      <c r="Y185" s="12">
        <f t="shared" si="98"/>
        <v>11.146464660378541</v>
      </c>
      <c r="Z185" s="12">
        <f t="shared" si="98"/>
        <v>11.249868199532807</v>
      </c>
      <c r="AA185" s="12">
        <f t="shared" si="98"/>
        <v>11.314523921810403</v>
      </c>
      <c r="AB185" s="12">
        <f t="shared" si="98"/>
        <v>11.354479939298995</v>
      </c>
      <c r="AC185" s="12">
        <f t="shared" si="97"/>
        <v>11.378993191213628</v>
      </c>
      <c r="AD185" s="300">
        <f t="shared" si="88"/>
        <v>2.4075249804731912E-3</v>
      </c>
      <c r="AE185" s="299">
        <f t="shared" si="88"/>
        <v>2.4075249804731912E-3</v>
      </c>
      <c r="AF185" s="299">
        <f t="shared" si="88"/>
        <v>2.4075249804731912E-3</v>
      </c>
      <c r="AG185" s="299">
        <f t="shared" si="88"/>
        <v>2.4075249804731912E-3</v>
      </c>
      <c r="AH185" s="299">
        <f t="shared" si="88"/>
        <v>2.4075249804731912E-3</v>
      </c>
      <c r="AI185" s="299">
        <f t="shared" si="88"/>
        <v>2.2985158588545306E-3</v>
      </c>
      <c r="AJ185" s="299">
        <f t="shared" si="88"/>
        <v>2.2377716925716488E-3</v>
      </c>
      <c r="AK185" s="299">
        <f t="shared" si="88"/>
        <v>2.151106768130484E-3</v>
      </c>
      <c r="AL185" s="299">
        <f t="shared" si="88"/>
        <v>2.0360901655125867E-3</v>
      </c>
      <c r="AM185" s="299">
        <f t="shared" si="88"/>
        <v>1.8972703861096598E-3</v>
      </c>
      <c r="AN185" s="299">
        <f t="shared" si="88"/>
        <v>1.7476979337195686E-3</v>
      </c>
      <c r="AO185" s="299">
        <f t="shared" si="88"/>
        <v>1.6050166536487943E-3</v>
      </c>
      <c r="AP185" s="299">
        <f t="shared" si="88"/>
        <v>1.4838738538301547E-3</v>
      </c>
      <c r="AQ185" s="299">
        <f t="shared" si="88"/>
        <v>1.3907819239592435E-3</v>
      </c>
      <c r="AR185" s="299">
        <f t="shared" si="95"/>
        <v>1.3245811998389299E-3</v>
      </c>
      <c r="AS185" s="299">
        <f t="shared" si="95"/>
        <v>1.2800556788729249E-3</v>
      </c>
      <c r="AT185" s="299">
        <f t="shared" si="95"/>
        <v>1.2512201312166126E-3</v>
      </c>
      <c r="AU185" s="299">
        <f t="shared" si="95"/>
        <v>1.2330005541920876E-3</v>
      </c>
      <c r="AV185" s="299">
        <f t="shared" si="95"/>
        <v>1.2216673884321609E-3</v>
      </c>
      <c r="AW185" s="299">
        <f t="shared" si="93"/>
        <v>1.2146862915757739E-3</v>
      </c>
      <c r="AX185" s="299">
        <f t="shared" si="93"/>
        <v>1.2104118530309161E-3</v>
      </c>
      <c r="AY185" s="299">
        <f t="shared" si="93"/>
        <v>1.2078043173574862E-3</v>
      </c>
      <c r="AZ185" s="306">
        <f t="shared" si="89"/>
        <v>0.13328007204677467</v>
      </c>
      <c r="BA185" s="2">
        <f t="shared" si="89"/>
        <v>0.13328007204677467</v>
      </c>
      <c r="BB185" s="2">
        <f t="shared" si="89"/>
        <v>0.13328007204677467</v>
      </c>
      <c r="BC185" s="2">
        <f t="shared" si="89"/>
        <v>0.13328007204677467</v>
      </c>
      <c r="BD185" s="2">
        <f t="shared" si="89"/>
        <v>0.13328007204677467</v>
      </c>
      <c r="BE185" s="2">
        <f t="shared" si="89"/>
        <v>0.12724535020549385</v>
      </c>
      <c r="BF185" s="2">
        <f t="shared" si="89"/>
        <v>0.12388256604987004</v>
      </c>
      <c r="BG185" s="2">
        <f t="shared" si="89"/>
        <v>0.11908481422293926</v>
      </c>
      <c r="BH185" s="2">
        <f t="shared" si="89"/>
        <v>0.11271751950831678</v>
      </c>
      <c r="BI185" s="2">
        <f t="shared" si="89"/>
        <v>0.10503248597786385</v>
      </c>
      <c r="BJ185" s="2">
        <f t="shared" si="89"/>
        <v>9.6752186752538286E-2</v>
      </c>
      <c r="BK185" s="2">
        <f t="shared" si="89"/>
        <v>8.885338136451644E-2</v>
      </c>
      <c r="BL185" s="2">
        <f t="shared" si="89"/>
        <v>8.2146941672828239E-2</v>
      </c>
      <c r="BM185" s="2">
        <f t="shared" si="89"/>
        <v>7.6993392189105031E-2</v>
      </c>
      <c r="BN185" s="2">
        <f t="shared" si="96"/>
        <v>7.3328534149472199E-2</v>
      </c>
      <c r="BO185" s="2">
        <f t="shared" si="96"/>
        <v>7.086361075702502E-2</v>
      </c>
      <c r="BP185" s="2">
        <f t="shared" si="96"/>
        <v>6.9267280957619914E-2</v>
      </c>
      <c r="BQ185" s="2">
        <f t="shared" si="96"/>
        <v>6.8258649039701802E-2</v>
      </c>
      <c r="BR185" s="2">
        <f t="shared" si="96"/>
        <v>6.7631247388108481E-2</v>
      </c>
      <c r="BS185" s="2">
        <f t="shared" si="94"/>
        <v>6.7244775347514371E-2</v>
      </c>
      <c r="BT185" s="2">
        <f t="shared" si="94"/>
        <v>6.7008143336698758E-2</v>
      </c>
      <c r="BU185" s="2">
        <f t="shared" si="94"/>
        <v>6.6863790715131807E-2</v>
      </c>
    </row>
    <row r="186" spans="1:73" x14ac:dyDescent="0.25">
      <c r="A186" t="s">
        <v>43</v>
      </c>
      <c r="B186" s="1" t="s">
        <v>5</v>
      </c>
      <c r="C186" t="s">
        <v>10</v>
      </c>
      <c r="D186" t="s">
        <v>10</v>
      </c>
      <c r="E186" s="97">
        <v>6.46488</v>
      </c>
      <c r="F186" s="5">
        <f t="shared" si="56"/>
        <v>1.5838956000000001E-2</v>
      </c>
      <c r="G186" s="1">
        <f>LOOKUP(RIGHT(D186,5),Ref!$C$4:$C$21,Ref!$E$4:$E$21)*$G$3</f>
        <v>4.5</v>
      </c>
      <c r="H186" s="36">
        <f t="shared" si="99"/>
        <v>6.46488</v>
      </c>
      <c r="I186" s="12">
        <f t="shared" si="99"/>
        <v>6.46488</v>
      </c>
      <c r="J186" s="12">
        <f t="shared" si="99"/>
        <v>6.46488</v>
      </c>
      <c r="K186" s="12">
        <f t="shared" si="99"/>
        <v>6.46488</v>
      </c>
      <c r="L186" s="12">
        <f t="shared" si="99"/>
        <v>6.46488</v>
      </c>
      <c r="M186" s="12">
        <f t="shared" si="98"/>
        <v>6.7714825789881878</v>
      </c>
      <c r="N186" s="12">
        <f t="shared" si="98"/>
        <v>6.9552940308557361</v>
      </c>
      <c r="O186" s="12">
        <f t="shared" si="98"/>
        <v>7.2355125865223471</v>
      </c>
      <c r="P186" s="12">
        <f t="shared" si="98"/>
        <v>7.6442391203452367</v>
      </c>
      <c r="Q186" s="12">
        <f t="shared" si="98"/>
        <v>8.2035540161864553</v>
      </c>
      <c r="R186" s="12">
        <f t="shared" si="98"/>
        <v>8.9056351188997542</v>
      </c>
      <c r="S186" s="12">
        <f t="shared" si="98"/>
        <v>9.6973199999999995</v>
      </c>
      <c r="T186" s="12">
        <f t="shared" si="98"/>
        <v>10.489004881100245</v>
      </c>
      <c r="U186" s="12">
        <f t="shared" si="98"/>
        <v>11.191085983813545</v>
      </c>
      <c r="V186" s="12">
        <f t="shared" si="98"/>
        <v>11.750400879654762</v>
      </c>
      <c r="W186" s="12">
        <f t="shared" si="98"/>
        <v>12.15912741347765</v>
      </c>
      <c r="X186" s="12">
        <f t="shared" si="98"/>
        <v>12.439345969144263</v>
      </c>
      <c r="Y186" s="12">
        <f t="shared" si="98"/>
        <v>12.623157421011813</v>
      </c>
      <c r="Z186" s="12">
        <f t="shared" si="98"/>
        <v>12.740259945660172</v>
      </c>
      <c r="AA186" s="12">
        <f t="shared" si="98"/>
        <v>12.813481310940274</v>
      </c>
      <c r="AB186" s="12">
        <f t="shared" si="98"/>
        <v>12.858730734326331</v>
      </c>
      <c r="AC186" s="12">
        <f t="shared" si="97"/>
        <v>12.886491521916611</v>
      </c>
      <c r="AD186" s="300">
        <f t="shared" si="88"/>
        <v>2.1258858793247919E-3</v>
      </c>
      <c r="AE186" s="299">
        <f t="shared" si="88"/>
        <v>2.1258858793247919E-3</v>
      </c>
      <c r="AF186" s="299">
        <f t="shared" si="88"/>
        <v>2.1258858793247919E-3</v>
      </c>
      <c r="AG186" s="299">
        <f t="shared" si="88"/>
        <v>2.1258858793247919E-3</v>
      </c>
      <c r="AH186" s="299">
        <f t="shared" si="88"/>
        <v>2.1258858793247919E-3</v>
      </c>
      <c r="AI186" s="299">
        <f t="shared" si="88"/>
        <v>2.0296289539569138E-3</v>
      </c>
      <c r="AJ186" s="299">
        <f t="shared" si="88"/>
        <v>1.9759908125463292E-3</v>
      </c>
      <c r="AK186" s="299">
        <f t="shared" si="88"/>
        <v>1.8994641967909197E-3</v>
      </c>
      <c r="AL186" s="299">
        <f t="shared" si="88"/>
        <v>1.7979025625912862E-3</v>
      </c>
      <c r="AM186" s="299">
        <f t="shared" si="88"/>
        <v>1.6753223147445277E-3</v>
      </c>
      <c r="AN186" s="299">
        <f t="shared" si="88"/>
        <v>1.5432472720965477E-3</v>
      </c>
      <c r="AO186" s="299">
        <f t="shared" si="88"/>
        <v>1.4172572528831945E-3</v>
      </c>
      <c r="AP186" s="299">
        <f t="shared" si="88"/>
        <v>1.3102860814082893E-3</v>
      </c>
      <c r="AQ186" s="299">
        <f t="shared" si="88"/>
        <v>1.2280843095484736E-3</v>
      </c>
      <c r="AR186" s="299">
        <f t="shared" si="95"/>
        <v>1.1696279339137798E-3</v>
      </c>
      <c r="AS186" s="299">
        <f t="shared" si="95"/>
        <v>1.1303111346867968E-3</v>
      </c>
      <c r="AT186" s="299">
        <f t="shared" si="95"/>
        <v>1.1048488511872076E-3</v>
      </c>
      <c r="AU186" s="299">
        <f t="shared" si="95"/>
        <v>1.088760651962751E-3</v>
      </c>
      <c r="AV186" s="299">
        <f t="shared" si="95"/>
        <v>1.078753272079889E-3</v>
      </c>
      <c r="AW186" s="299">
        <f t="shared" si="93"/>
        <v>1.0725888437356087E-3</v>
      </c>
      <c r="AX186" s="299">
        <f t="shared" si="93"/>
        <v>1.0688144411361521E-3</v>
      </c>
      <c r="AY186" s="299">
        <f t="shared" si="93"/>
        <v>1.0665119423820622E-3</v>
      </c>
      <c r="AZ186" s="306">
        <f t="shared" si="89"/>
        <v>0.11768859117048078</v>
      </c>
      <c r="BA186" s="2">
        <f t="shared" si="89"/>
        <v>0.11768859117048078</v>
      </c>
      <c r="BB186" s="2">
        <f t="shared" si="89"/>
        <v>0.11768859117048078</v>
      </c>
      <c r="BC186" s="2">
        <f t="shared" si="89"/>
        <v>0.11768859117048078</v>
      </c>
      <c r="BD186" s="2">
        <f t="shared" si="89"/>
        <v>0.11768859117048078</v>
      </c>
      <c r="BE186" s="2">
        <f t="shared" si="89"/>
        <v>0.1123598282076515</v>
      </c>
      <c r="BF186" s="2">
        <f t="shared" si="89"/>
        <v>0.10939043208107313</v>
      </c>
      <c r="BG186" s="2">
        <f t="shared" si="89"/>
        <v>0.10515393487165595</v>
      </c>
      <c r="BH186" s="2">
        <f t="shared" si="89"/>
        <v>9.9531504353549821E-2</v>
      </c>
      <c r="BI186" s="2">
        <f t="shared" si="89"/>
        <v>9.2745487844048694E-2</v>
      </c>
      <c r="BJ186" s="2">
        <f t="shared" si="89"/>
        <v>8.5433841509129332E-2</v>
      </c>
      <c r="BK186" s="2">
        <f t="shared" si="89"/>
        <v>7.8459060780320528E-2</v>
      </c>
      <c r="BL186" s="2">
        <f t="shared" si="89"/>
        <v>7.253715942654887E-2</v>
      </c>
      <c r="BM186" s="2">
        <f t="shared" si="89"/>
        <v>6.7986486779449101E-2</v>
      </c>
      <c r="BN186" s="2">
        <f t="shared" si="96"/>
        <v>6.4750354228644155E-2</v>
      </c>
      <c r="BO186" s="2">
        <f t="shared" si="96"/>
        <v>6.2573784566388388E-2</v>
      </c>
      <c r="BP186" s="2">
        <f t="shared" si="96"/>
        <v>6.1164197954899253E-2</v>
      </c>
      <c r="BQ186" s="2">
        <f t="shared" si="96"/>
        <v>6.0273558659718611E-2</v>
      </c>
      <c r="BR186" s="2">
        <f t="shared" si="96"/>
        <v>5.9719552232950342E-2</v>
      </c>
      <c r="BS186" s="2">
        <f t="shared" si="94"/>
        <v>5.9378290787890954E-2</v>
      </c>
      <c r="BT186" s="2">
        <f t="shared" si="94"/>
        <v>5.9169340660906088E-2</v>
      </c>
      <c r="BU186" s="2">
        <f t="shared" si="94"/>
        <v>5.9041874818465519E-2</v>
      </c>
    </row>
    <row r="187" spans="1:73" x14ac:dyDescent="0.25">
      <c r="A187" t="s">
        <v>43</v>
      </c>
      <c r="B187" s="1" t="s">
        <v>5</v>
      </c>
      <c r="C187" t="s">
        <v>11</v>
      </c>
      <c r="D187" t="s">
        <v>11</v>
      </c>
      <c r="E187" s="97">
        <v>5.5812150000000003</v>
      </c>
      <c r="F187" s="5">
        <f t="shared" si="56"/>
        <v>1.367397675E-2</v>
      </c>
      <c r="G187" s="1">
        <f>LOOKUP(RIGHT(D187,5),Ref!$C$4:$C$21,Ref!$E$4:$E$21)*$G$3</f>
        <v>4.5</v>
      </c>
      <c r="H187" s="36">
        <f t="shared" si="99"/>
        <v>5.5812150000000003</v>
      </c>
      <c r="I187" s="12">
        <f t="shared" si="99"/>
        <v>5.5812150000000003</v>
      </c>
      <c r="J187" s="12">
        <f t="shared" si="99"/>
        <v>5.5812150000000003</v>
      </c>
      <c r="K187" s="12">
        <f t="shared" si="99"/>
        <v>5.5812150000000003</v>
      </c>
      <c r="L187" s="12">
        <f t="shared" si="99"/>
        <v>5.5812150000000003</v>
      </c>
      <c r="M187" s="12">
        <f t="shared" si="98"/>
        <v>5.8459089947667335</v>
      </c>
      <c r="N187" s="12">
        <f t="shared" si="98"/>
        <v>6.0045958122072642</v>
      </c>
      <c r="O187" s="12">
        <f t="shared" si="98"/>
        <v>6.2465121364336733</v>
      </c>
      <c r="P187" s="12">
        <f t="shared" si="98"/>
        <v>6.5993710698508936</v>
      </c>
      <c r="Q187" s="12">
        <f t="shared" si="98"/>
        <v>7.0822348950715384</v>
      </c>
      <c r="R187" s="12">
        <f t="shared" si="98"/>
        <v>7.6883506438062419</v>
      </c>
      <c r="S187" s="12">
        <f t="shared" si="98"/>
        <v>8.3718225000000004</v>
      </c>
      <c r="T187" s="12">
        <f t="shared" si="98"/>
        <v>9.0552943561937589</v>
      </c>
      <c r="U187" s="12">
        <f t="shared" si="98"/>
        <v>9.6614101049284624</v>
      </c>
      <c r="V187" s="12">
        <f t="shared" si="98"/>
        <v>10.144273930149108</v>
      </c>
      <c r="W187" s="12">
        <f t="shared" si="98"/>
        <v>10.497132863566327</v>
      </c>
      <c r="X187" s="12">
        <f t="shared" si="98"/>
        <v>10.739049187792736</v>
      </c>
      <c r="Y187" s="12">
        <f t="shared" si="98"/>
        <v>10.897736005233268</v>
      </c>
      <c r="Z187" s="12">
        <f t="shared" si="98"/>
        <v>10.998832138047069</v>
      </c>
      <c r="AA187" s="12">
        <f t="shared" si="98"/>
        <v>11.062045095166425</v>
      </c>
      <c r="AB187" s="12">
        <f t="shared" si="98"/>
        <v>11.101109510985996</v>
      </c>
      <c r="AC187" s="12">
        <f t="shared" si="97"/>
        <v>11.125075760028619</v>
      </c>
      <c r="AD187" s="300">
        <f t="shared" si="88"/>
        <v>2.4624740497417247E-3</v>
      </c>
      <c r="AE187" s="299">
        <f t="shared" si="88"/>
        <v>2.4624740497417247E-3</v>
      </c>
      <c r="AF187" s="299">
        <f t="shared" si="88"/>
        <v>2.4624740497417247E-3</v>
      </c>
      <c r="AG187" s="299">
        <f t="shared" si="88"/>
        <v>2.4624740497417247E-3</v>
      </c>
      <c r="AH187" s="299">
        <f t="shared" si="88"/>
        <v>2.4624740497417247E-3</v>
      </c>
      <c r="AI187" s="299">
        <f t="shared" si="88"/>
        <v>2.3509769166493266E-3</v>
      </c>
      <c r="AJ187" s="299">
        <f t="shared" si="88"/>
        <v>2.2888463326022224E-3</v>
      </c>
      <c r="AK187" s="299">
        <f t="shared" si="88"/>
        <v>2.2002033780368037E-3</v>
      </c>
      <c r="AL187" s="299">
        <f t="shared" si="88"/>
        <v>2.0825616498997353E-3</v>
      </c>
      <c r="AM187" s="299">
        <f t="shared" si="88"/>
        <v>1.9405734640478109E-3</v>
      </c>
      <c r="AN187" s="299">
        <f t="shared" si="88"/>
        <v>1.7875871874549767E-3</v>
      </c>
      <c r="AO187" s="299">
        <f t="shared" si="88"/>
        <v>1.641649366494483E-3</v>
      </c>
      <c r="AP187" s="299">
        <f t="shared" si="88"/>
        <v>1.5177416175465057E-3</v>
      </c>
      <c r="AQ187" s="299">
        <f t="shared" si="88"/>
        <v>1.4225249683292502E-3</v>
      </c>
      <c r="AR187" s="299">
        <f t="shared" si="95"/>
        <v>1.3548132866052489E-3</v>
      </c>
      <c r="AS187" s="299">
        <f t="shared" si="95"/>
        <v>1.3092715203435056E-3</v>
      </c>
      <c r="AT187" s="299">
        <f t="shared" si="95"/>
        <v>1.279777833511727E-3</v>
      </c>
      <c r="AU187" s="299">
        <f t="shared" si="95"/>
        <v>1.2611424149868709E-3</v>
      </c>
      <c r="AV187" s="299">
        <f t="shared" si="95"/>
        <v>1.2495505823738797E-3</v>
      </c>
      <c r="AW187" s="299">
        <f t="shared" si="93"/>
        <v>1.2424101497773266E-3</v>
      </c>
      <c r="AX187" s="299">
        <f t="shared" si="93"/>
        <v>1.2380381519458193E-3</v>
      </c>
      <c r="AY187" s="299">
        <f t="shared" si="93"/>
        <v>1.2353711021824004E-3</v>
      </c>
      <c r="AZ187" s="306">
        <f t="shared" si="89"/>
        <v>0.13632204086139268</v>
      </c>
      <c r="BA187" s="2">
        <f t="shared" si="89"/>
        <v>0.13632204086139268</v>
      </c>
      <c r="BB187" s="2">
        <f t="shared" si="89"/>
        <v>0.13632204086139268</v>
      </c>
      <c r="BC187" s="2">
        <f t="shared" si="89"/>
        <v>0.13632204086139268</v>
      </c>
      <c r="BD187" s="2">
        <f t="shared" si="89"/>
        <v>0.13632204086139268</v>
      </c>
      <c r="BE187" s="2">
        <f t="shared" si="89"/>
        <v>0.13014958323287709</v>
      </c>
      <c r="BF187" s="2">
        <f t="shared" si="89"/>
        <v>0.12671004728402113</v>
      </c>
      <c r="BG187" s="2">
        <f t="shared" si="89"/>
        <v>0.1218027921291459</v>
      </c>
      <c r="BH187" s="2">
        <f t="shared" si="89"/>
        <v>0.11529017102282874</v>
      </c>
      <c r="BI187" s="2">
        <f t="shared" si="89"/>
        <v>0.10742973518368913</v>
      </c>
      <c r="BJ187" s="2">
        <f t="shared" si="89"/>
        <v>9.896044737490671E-2</v>
      </c>
      <c r="BK187" s="2">
        <f t="shared" si="89"/>
        <v>9.0881360574261785E-2</v>
      </c>
      <c r="BL187" s="2">
        <f t="shared" si="89"/>
        <v>8.4021853885490383E-2</v>
      </c>
      <c r="BM187" s="2">
        <f t="shared" si="89"/>
        <v>7.8750680389614969E-2</v>
      </c>
      <c r="BN187" s="2">
        <f t="shared" si="96"/>
        <v>7.5002176057664321E-2</v>
      </c>
      <c r="BO187" s="2">
        <f t="shared" si="96"/>
        <v>7.2480993541290367E-2</v>
      </c>
      <c r="BP187" s="2">
        <f t="shared" si="96"/>
        <v>7.0848229296787357E-2</v>
      </c>
      <c r="BQ187" s="2">
        <f t="shared" si="96"/>
        <v>6.9816576481651682E-2</v>
      </c>
      <c r="BR187" s="2">
        <f t="shared" si="96"/>
        <v>6.9174855087961326E-2</v>
      </c>
      <c r="BS187" s="2">
        <f t="shared" si="94"/>
        <v>6.8779562254602356E-2</v>
      </c>
      <c r="BT187" s="2">
        <f t="shared" si="94"/>
        <v>6.8537529382379725E-2</v>
      </c>
      <c r="BU187" s="2">
        <f t="shared" si="94"/>
        <v>6.8389882073419742E-2</v>
      </c>
    </row>
    <row r="188" spans="1:73" x14ac:dyDescent="0.25">
      <c r="A188" t="s">
        <v>44</v>
      </c>
      <c r="B188" s="1" t="s">
        <v>5</v>
      </c>
      <c r="C188" t="s">
        <v>9</v>
      </c>
      <c r="D188" t="s">
        <v>9</v>
      </c>
      <c r="E188" s="97">
        <v>3.8985650000000001</v>
      </c>
      <c r="F188" s="5">
        <f t="shared" si="56"/>
        <v>9.5514842499999988E-3</v>
      </c>
      <c r="G188" s="1">
        <f>LOOKUP(RIGHT(D188,5),Ref!$C$4:$C$21,Ref!$E$4:$E$21)*$G$3</f>
        <v>4.5</v>
      </c>
      <c r="H188" s="36">
        <f t="shared" si="99"/>
        <v>3.8985650000000001</v>
      </c>
      <c r="I188" s="12">
        <f t="shared" si="99"/>
        <v>3.8985650000000001</v>
      </c>
      <c r="J188" s="12">
        <f t="shared" si="99"/>
        <v>3.8985650000000001</v>
      </c>
      <c r="K188" s="12">
        <f t="shared" si="99"/>
        <v>3.8985650000000001</v>
      </c>
      <c r="L188" s="12">
        <f t="shared" si="99"/>
        <v>3.8985650000000001</v>
      </c>
      <c r="M188" s="12">
        <f t="shared" si="98"/>
        <v>4.0834578492645006</v>
      </c>
      <c r="N188" s="12">
        <f t="shared" si="98"/>
        <v>4.1943030455945189</v>
      </c>
      <c r="O188" s="12">
        <f t="shared" si="98"/>
        <v>4.3632853396931566</v>
      </c>
      <c r="P188" s="12">
        <f t="shared" si="98"/>
        <v>4.6097627622181276</v>
      </c>
      <c r="Q188" s="12">
        <f t="shared" si="98"/>
        <v>4.9470506124033156</v>
      </c>
      <c r="R188" s="12">
        <f t="shared" si="98"/>
        <v>5.370431837453042</v>
      </c>
      <c r="S188" s="12">
        <f t="shared" si="98"/>
        <v>5.8478475000000003</v>
      </c>
      <c r="T188" s="12">
        <f t="shared" si="98"/>
        <v>6.3252631625469578</v>
      </c>
      <c r="U188" s="12">
        <f t="shared" si="98"/>
        <v>6.7486443875966851</v>
      </c>
      <c r="V188" s="12">
        <f t="shared" si="98"/>
        <v>7.0859322377818721</v>
      </c>
      <c r="W188" s="12">
        <f t="shared" si="98"/>
        <v>7.3324096603068423</v>
      </c>
      <c r="X188" s="12">
        <f t="shared" si="98"/>
        <v>7.5013919544054808</v>
      </c>
      <c r="Y188" s="12">
        <f t="shared" si="98"/>
        <v>7.6122371507355</v>
      </c>
      <c r="Z188" s="12">
        <f t="shared" si="98"/>
        <v>7.682854363120839</v>
      </c>
      <c r="AA188" s="12">
        <f t="shared" si="98"/>
        <v>7.7270095913591383</v>
      </c>
      <c r="AB188" s="12">
        <f t="shared" si="98"/>
        <v>7.7542966900033621</v>
      </c>
      <c r="AC188" s="12">
        <f t="shared" si="97"/>
        <v>7.7710374856363664</v>
      </c>
      <c r="AD188" s="300">
        <f t="shared" si="88"/>
        <v>3.5252963856006658E-3</v>
      </c>
      <c r="AE188" s="299">
        <f t="shared" si="88"/>
        <v>3.5252963856006658E-3</v>
      </c>
      <c r="AF188" s="299">
        <f t="shared" si="88"/>
        <v>3.5252963856006658E-3</v>
      </c>
      <c r="AG188" s="299">
        <f t="shared" si="88"/>
        <v>3.5252963856006658E-3</v>
      </c>
      <c r="AH188" s="299">
        <f t="shared" si="88"/>
        <v>3.5252963856006658E-3</v>
      </c>
      <c r="AI188" s="299">
        <f t="shared" si="88"/>
        <v>3.3656762505837332E-3</v>
      </c>
      <c r="AJ188" s="299">
        <f t="shared" si="88"/>
        <v>3.2767296387810675E-3</v>
      </c>
      <c r="AK188" s="299">
        <f t="shared" si="88"/>
        <v>3.1498277177755612E-3</v>
      </c>
      <c r="AL188" s="299">
        <f t="shared" si="88"/>
        <v>2.9814109342399453E-3</v>
      </c>
      <c r="AM188" s="299">
        <f t="shared" si="88"/>
        <v>2.7781395785745791E-3</v>
      </c>
      <c r="AN188" s="299">
        <f t="shared" si="88"/>
        <v>2.5591232734176622E-3</v>
      </c>
      <c r="AO188" s="299">
        <f t="shared" si="88"/>
        <v>2.3501975904004439E-3</v>
      </c>
      <c r="AP188" s="299">
        <f t="shared" si="88"/>
        <v>2.1728103243051793E-3</v>
      </c>
      <c r="AQ188" s="299">
        <f t="shared" si="88"/>
        <v>2.0364974525533719E-3</v>
      </c>
      <c r="AR188" s="299">
        <f t="shared" si="95"/>
        <v>1.9395608993053896E-3</v>
      </c>
      <c r="AS188" s="299">
        <f t="shared" si="95"/>
        <v>1.8743629639146656E-3</v>
      </c>
      <c r="AT188" s="299">
        <f t="shared" si="95"/>
        <v>1.8321395798359535E-3</v>
      </c>
      <c r="AU188" s="299">
        <f t="shared" si="95"/>
        <v>1.8054609743997983E-3</v>
      </c>
      <c r="AV188" s="299">
        <f t="shared" si="95"/>
        <v>1.788866019574852E-3</v>
      </c>
      <c r="AW188" s="299">
        <f t="shared" si="93"/>
        <v>1.778643722520841E-3</v>
      </c>
      <c r="AX188" s="299">
        <f t="shared" si="93"/>
        <v>1.772384737515544E-3</v>
      </c>
      <c r="AY188" s="299">
        <f t="shared" si="93"/>
        <v>1.7685665689983225E-3</v>
      </c>
      <c r="AZ188" s="306">
        <f t="shared" si="89"/>
        <v>0.19515965984566572</v>
      </c>
      <c r="BA188" s="2">
        <f t="shared" si="89"/>
        <v>0.19515965984566572</v>
      </c>
      <c r="BB188" s="2">
        <f t="shared" si="89"/>
        <v>0.19515965984566572</v>
      </c>
      <c r="BC188" s="2">
        <f t="shared" si="89"/>
        <v>0.19515965984566572</v>
      </c>
      <c r="BD188" s="2">
        <f t="shared" si="89"/>
        <v>0.19515965984566572</v>
      </c>
      <c r="BE188" s="2">
        <f t="shared" si="89"/>
        <v>0.18632312304221735</v>
      </c>
      <c r="BF188" s="2">
        <f t="shared" si="89"/>
        <v>0.18139905748712359</v>
      </c>
      <c r="BG188" s="2">
        <f t="shared" si="89"/>
        <v>0.17437379406860501</v>
      </c>
      <c r="BH188" s="2">
        <f t="shared" si="89"/>
        <v>0.16505027666979444</v>
      </c>
      <c r="BI188" s="2">
        <f t="shared" si="89"/>
        <v>0.15379721755395476</v>
      </c>
      <c r="BJ188" s="2">
        <f t="shared" si="89"/>
        <v>0.14167252137531117</v>
      </c>
      <c r="BK188" s="2">
        <f t="shared" si="89"/>
        <v>0.13010643989711046</v>
      </c>
      <c r="BL188" s="2">
        <f t="shared" si="89"/>
        <v>0.12028631848731706</v>
      </c>
      <c r="BM188" s="2">
        <f t="shared" si="89"/>
        <v>0.11274006683246909</v>
      </c>
      <c r="BN188" s="2">
        <f t="shared" si="96"/>
        <v>0.10737367981441301</v>
      </c>
      <c r="BO188" s="2">
        <f t="shared" si="96"/>
        <v>0.1037643359460604</v>
      </c>
      <c r="BP188" s="2">
        <f t="shared" si="96"/>
        <v>0.10142685836318467</v>
      </c>
      <c r="BQ188" s="2">
        <f t="shared" si="96"/>
        <v>9.9949936427388447E-2</v>
      </c>
      <c r="BR188" s="2">
        <f t="shared" si="96"/>
        <v>9.9031243249697268E-2</v>
      </c>
      <c r="BS188" s="2">
        <f t="shared" si="94"/>
        <v>9.8465339053939199E-2</v>
      </c>
      <c r="BT188" s="2">
        <f t="shared" si="94"/>
        <v>9.8118842972190673E-2</v>
      </c>
      <c r="BU188" s="2">
        <f t="shared" si="94"/>
        <v>9.7907469973285394E-2</v>
      </c>
    </row>
    <row r="189" spans="1:73" x14ac:dyDescent="0.25">
      <c r="A189" t="s">
        <v>44</v>
      </c>
      <c r="B189" s="1" t="s">
        <v>5</v>
      </c>
      <c r="C189" t="s">
        <v>10</v>
      </c>
      <c r="D189" t="s">
        <v>10</v>
      </c>
      <c r="E189" s="97">
        <v>4.1263249999999996</v>
      </c>
      <c r="F189" s="5">
        <f t="shared" si="56"/>
        <v>1.0109496249999999E-2</v>
      </c>
      <c r="G189" s="1">
        <f>LOOKUP(RIGHT(D189,5),Ref!$C$4:$C$21,Ref!$E$4:$E$21)*$G$3</f>
        <v>4.5</v>
      </c>
      <c r="H189" s="36">
        <f t="shared" si="99"/>
        <v>4.1263249999999996</v>
      </c>
      <c r="I189" s="12">
        <f t="shared" si="99"/>
        <v>4.1263249999999996</v>
      </c>
      <c r="J189" s="12">
        <f t="shared" si="99"/>
        <v>4.1263249999999996</v>
      </c>
      <c r="K189" s="12">
        <f t="shared" si="99"/>
        <v>4.1263249999999996</v>
      </c>
      <c r="L189" s="12">
        <f t="shared" si="99"/>
        <v>4.1263249999999996</v>
      </c>
      <c r="M189" s="12">
        <f t="shared" si="98"/>
        <v>4.3220195661394225</v>
      </c>
      <c r="N189" s="12">
        <f t="shared" si="98"/>
        <v>4.4393405046761565</v>
      </c>
      <c r="O189" s="12">
        <f t="shared" si="98"/>
        <v>4.6181949972129139</v>
      </c>
      <c r="P189" s="12">
        <f t="shared" si="98"/>
        <v>4.8790719995202627</v>
      </c>
      <c r="Q189" s="12">
        <f t="shared" si="98"/>
        <v>5.2360647105345448</v>
      </c>
      <c r="R189" s="12">
        <f t="shared" si="98"/>
        <v>5.6841805001785071</v>
      </c>
      <c r="S189" s="12">
        <f t="shared" si="98"/>
        <v>6.1894874999999994</v>
      </c>
      <c r="T189" s="12">
        <f t="shared" si="98"/>
        <v>6.6947944998214917</v>
      </c>
      <c r="U189" s="12">
        <f t="shared" si="98"/>
        <v>7.1429102894654539</v>
      </c>
      <c r="V189" s="12">
        <f t="shared" si="98"/>
        <v>7.499903000479736</v>
      </c>
      <c r="W189" s="12">
        <f t="shared" si="98"/>
        <v>7.7607800027870839</v>
      </c>
      <c r="X189" s="12">
        <f t="shared" si="98"/>
        <v>7.9396344953238422</v>
      </c>
      <c r="Y189" s="12">
        <f t="shared" si="98"/>
        <v>8.0569554338605762</v>
      </c>
      <c r="Z189" s="12">
        <f t="shared" si="98"/>
        <v>8.1316982094449095</v>
      </c>
      <c r="AA189" s="12">
        <f t="shared" si="98"/>
        <v>8.1784330521781712</v>
      </c>
      <c r="AB189" s="12">
        <f t="shared" si="98"/>
        <v>8.2073143039498166</v>
      </c>
      <c r="AC189" s="12">
        <f t="shared" si="97"/>
        <v>8.2250331219098491</v>
      </c>
      <c r="AD189" s="300">
        <f t="shared" si="88"/>
        <v>3.3307112511809568E-3</v>
      </c>
      <c r="AE189" s="299">
        <f t="shared" si="88"/>
        <v>3.3307112511809568E-3</v>
      </c>
      <c r="AF189" s="299">
        <f t="shared" si="88"/>
        <v>3.3307112511809568E-3</v>
      </c>
      <c r="AG189" s="299">
        <f t="shared" si="88"/>
        <v>3.3307112511809568E-3</v>
      </c>
      <c r="AH189" s="299">
        <f t="shared" si="88"/>
        <v>3.3307112511809568E-3</v>
      </c>
      <c r="AI189" s="299">
        <f t="shared" si="88"/>
        <v>3.1799016393175461E-3</v>
      </c>
      <c r="AJ189" s="299">
        <f t="shared" si="88"/>
        <v>3.0958645972419805E-3</v>
      </c>
      <c r="AK189" s="299">
        <f t="shared" si="88"/>
        <v>2.9759672581654815E-3</v>
      </c>
      <c r="AL189" s="299">
        <f t="shared" si="88"/>
        <v>2.8168465447692935E-3</v>
      </c>
      <c r="AM189" s="299">
        <f t="shared" ref="AM189:AQ195" si="100">Algae_electricity_factor/Q189</f>
        <v>2.624795120632913E-3</v>
      </c>
      <c r="AN189" s="299">
        <f t="shared" si="100"/>
        <v>2.4178678180782E-3</v>
      </c>
      <c r="AO189" s="299">
        <f t="shared" si="100"/>
        <v>2.2204741674539713E-3</v>
      </c>
      <c r="AP189" s="299">
        <f t="shared" si="100"/>
        <v>2.0528781135695376E-3</v>
      </c>
      <c r="AQ189" s="299">
        <f t="shared" si="100"/>
        <v>1.9240892782594046E-3</v>
      </c>
      <c r="AR189" s="299">
        <f t="shared" si="95"/>
        <v>1.8325033140628808E-3</v>
      </c>
      <c r="AS189" s="299">
        <f t="shared" si="95"/>
        <v>1.7709040970873549E-3</v>
      </c>
      <c r="AT189" s="299">
        <f t="shared" si="95"/>
        <v>1.7310113093523061E-3</v>
      </c>
      <c r="AU189" s="299">
        <f t="shared" si="95"/>
        <v>1.7058052779800308E-3</v>
      </c>
      <c r="AV189" s="299">
        <f t="shared" si="95"/>
        <v>1.6901263118159217E-3</v>
      </c>
      <c r="AW189" s="299">
        <f t="shared" si="93"/>
        <v>1.6804682530070858E-3</v>
      </c>
      <c r="AX189" s="299">
        <f t="shared" si="93"/>
        <v>1.6745547440427712E-3</v>
      </c>
      <c r="AY189" s="299">
        <f t="shared" si="93"/>
        <v>1.6709473262690039E-3</v>
      </c>
      <c r="AZ189" s="306">
        <f t="shared" si="89"/>
        <v>0.18438746809478601</v>
      </c>
      <c r="BA189" s="2">
        <f t="shared" si="89"/>
        <v>0.18438746809478601</v>
      </c>
      <c r="BB189" s="2">
        <f t="shared" si="89"/>
        <v>0.18438746809478601</v>
      </c>
      <c r="BC189" s="2">
        <f t="shared" si="89"/>
        <v>0.18438746809478601</v>
      </c>
      <c r="BD189" s="2">
        <f t="shared" si="89"/>
        <v>0.18438746809478601</v>
      </c>
      <c r="BE189" s="2">
        <f t="shared" si="89"/>
        <v>0.17603867998354036</v>
      </c>
      <c r="BF189" s="2">
        <f t="shared" si="89"/>
        <v>0.1713864071667375</v>
      </c>
      <c r="BG189" s="2">
        <f t="shared" si="89"/>
        <v>0.16474891591744983</v>
      </c>
      <c r="BH189" s="2">
        <f t="shared" si="89"/>
        <v>0.15594002698894954</v>
      </c>
      <c r="BI189" s="2">
        <f t="shared" ref="BI189:BM195" si="101">Algae_yield_cost_factor/Q189</f>
        <v>0.1453081009017064</v>
      </c>
      <c r="BJ189" s="2">
        <f t="shared" si="101"/>
        <v>0.13385264934185748</v>
      </c>
      <c r="BK189" s="2">
        <f t="shared" si="101"/>
        <v>0.12292497872985733</v>
      </c>
      <c r="BL189" s="2">
        <f t="shared" si="101"/>
        <v>0.11364689675037892</v>
      </c>
      <c r="BM189" s="2">
        <f t="shared" si="101"/>
        <v>0.10651717415635582</v>
      </c>
      <c r="BN189" s="2">
        <f t="shared" si="96"/>
        <v>0.10144699461280365</v>
      </c>
      <c r="BO189" s="2">
        <f t="shared" si="96"/>
        <v>9.8036875032275206E-2</v>
      </c>
      <c r="BP189" s="2">
        <f t="shared" si="96"/>
        <v>9.5828418768436577E-2</v>
      </c>
      <c r="BQ189" s="2">
        <f t="shared" si="96"/>
        <v>9.4433018220339324E-2</v>
      </c>
      <c r="BR189" s="2">
        <f t="shared" si="96"/>
        <v>9.3565033980541043E-2</v>
      </c>
      <c r="BS189" s="2">
        <f t="shared" si="94"/>
        <v>9.3030365894305592E-2</v>
      </c>
      <c r="BT189" s="2">
        <f t="shared" si="94"/>
        <v>9.2702995292876497E-2</v>
      </c>
      <c r="BU189" s="2">
        <f t="shared" si="94"/>
        <v>9.2503289410407918E-2</v>
      </c>
    </row>
    <row r="190" spans="1:73" x14ac:dyDescent="0.25">
      <c r="A190" t="s">
        <v>45</v>
      </c>
      <c r="B190" s="1" t="s">
        <v>5</v>
      </c>
      <c r="C190" t="s">
        <v>16</v>
      </c>
      <c r="D190" t="s">
        <v>16</v>
      </c>
      <c r="E190" s="97">
        <v>5.0098075</v>
      </c>
      <c r="F190" s="5">
        <f t="shared" si="56"/>
        <v>1.2274028374999999E-2</v>
      </c>
      <c r="G190" s="1">
        <f>LOOKUP(RIGHT(D190,5),Ref!$C$4:$C$21,Ref!$E$4:$E$21)*$G$3</f>
        <v>3</v>
      </c>
      <c r="H190" s="36">
        <f t="shared" si="99"/>
        <v>5.0098075</v>
      </c>
      <c r="I190" s="12">
        <f t="shared" si="99"/>
        <v>5.0098075</v>
      </c>
      <c r="J190" s="12">
        <f t="shared" si="99"/>
        <v>5.0098075</v>
      </c>
      <c r="K190" s="12">
        <f t="shared" si="99"/>
        <v>5.0098075</v>
      </c>
      <c r="L190" s="12">
        <f t="shared" si="99"/>
        <v>5.0098075</v>
      </c>
      <c r="M190" s="12">
        <f t="shared" si="98"/>
        <v>5.2474019951390227</v>
      </c>
      <c r="N190" s="12">
        <f t="shared" si="98"/>
        <v>5.3898423792067751</v>
      </c>
      <c r="O190" s="12">
        <f t="shared" si="98"/>
        <v>5.6069911927683194</v>
      </c>
      <c r="P190" s="12">
        <f t="shared" si="98"/>
        <v>5.923724257356513</v>
      </c>
      <c r="Q190" s="12">
        <f t="shared" si="98"/>
        <v>6.3571522498400626</v>
      </c>
      <c r="R190" s="12">
        <f t="shared" si="98"/>
        <v>6.9012135740999652</v>
      </c>
      <c r="S190" s="12">
        <f t="shared" si="98"/>
        <v>7.5147112499999995</v>
      </c>
      <c r="T190" s="12">
        <f t="shared" si="98"/>
        <v>8.1282089259000347</v>
      </c>
      <c r="U190" s="12">
        <f t="shared" si="98"/>
        <v>8.6722702501599382</v>
      </c>
      <c r="V190" s="12">
        <f t="shared" si="98"/>
        <v>9.1056982426434878</v>
      </c>
      <c r="W190" s="12">
        <f t="shared" si="98"/>
        <v>9.4224313072316797</v>
      </c>
      <c r="X190" s="12">
        <f t="shared" si="98"/>
        <v>9.6395801207932248</v>
      </c>
      <c r="Y190" s="12">
        <f t="shared" si="98"/>
        <v>9.7820205048609772</v>
      </c>
      <c r="Z190" s="12">
        <f t="shared" si="98"/>
        <v>9.8727663665401248</v>
      </c>
      <c r="AA190" s="12">
        <f t="shared" si="98"/>
        <v>9.9295075504353392</v>
      </c>
      <c r="AB190" s="12">
        <f t="shared" si="98"/>
        <v>9.9645725324071854</v>
      </c>
      <c r="AC190" s="12">
        <f t="shared" si="97"/>
        <v>9.9860851052431361</v>
      </c>
      <c r="AD190" s="300">
        <f t="shared" ref="AD190:AL195" si="102">Algae_electricity_factor/H190</f>
        <v>2.743338362507793E-3</v>
      </c>
      <c r="AE190" s="299">
        <f t="shared" si="102"/>
        <v>2.743338362507793E-3</v>
      </c>
      <c r="AF190" s="299">
        <f t="shared" si="102"/>
        <v>2.743338362507793E-3</v>
      </c>
      <c r="AG190" s="299">
        <f t="shared" si="102"/>
        <v>2.743338362507793E-3</v>
      </c>
      <c r="AH190" s="299">
        <f t="shared" si="102"/>
        <v>2.743338362507793E-3</v>
      </c>
      <c r="AI190" s="299">
        <f t="shared" si="102"/>
        <v>2.6191241144209575E-3</v>
      </c>
      <c r="AJ190" s="299">
        <f t="shared" si="102"/>
        <v>2.5499070541561753E-3</v>
      </c>
      <c r="AK190" s="299">
        <f t="shared" si="102"/>
        <v>2.4511536813639407E-3</v>
      </c>
      <c r="AL190" s="299">
        <f t="shared" si="102"/>
        <v>2.3200939993892286E-3</v>
      </c>
      <c r="AM190" s="299">
        <f t="shared" si="100"/>
        <v>2.1619109568871862E-3</v>
      </c>
      <c r="AN190" s="299">
        <f t="shared" si="100"/>
        <v>1.9914754058776764E-3</v>
      </c>
      <c r="AO190" s="299">
        <f t="shared" si="100"/>
        <v>1.8288922416718621E-3</v>
      </c>
      <c r="AP190" s="299">
        <f t="shared" si="100"/>
        <v>1.6908518504902277E-3</v>
      </c>
      <c r="AQ190" s="299">
        <f t="shared" si="100"/>
        <v>1.584775002056214E-3</v>
      </c>
      <c r="AR190" s="299">
        <f t="shared" si="95"/>
        <v>1.509340276527694E-3</v>
      </c>
      <c r="AS190" s="299">
        <f t="shared" si="95"/>
        <v>1.4586041177059154E-3</v>
      </c>
      <c r="AT190" s="299">
        <f t="shared" si="95"/>
        <v>1.4257464465577078E-3</v>
      </c>
      <c r="AU190" s="299">
        <f t="shared" si="95"/>
        <v>1.4049855136471711E-3</v>
      </c>
      <c r="AV190" s="299">
        <f t="shared" si="95"/>
        <v>1.3920715423903678E-3</v>
      </c>
      <c r="AW190" s="299">
        <f t="shared" si="93"/>
        <v>1.3841166879345087E-3</v>
      </c>
      <c r="AX190" s="299">
        <f t="shared" si="93"/>
        <v>1.3792460297550927E-3</v>
      </c>
      <c r="AY190" s="299">
        <f t="shared" si="93"/>
        <v>1.3762747822280489E-3</v>
      </c>
      <c r="AZ190" s="306">
        <f t="shared" ref="AZ190:BH195" si="103">Algae_yield_cost_factor/H190</f>
        <v>0.15187062961724931</v>
      </c>
      <c r="BA190" s="2">
        <f t="shared" si="103"/>
        <v>0.15187062961724931</v>
      </c>
      <c r="BB190" s="2">
        <f t="shared" si="103"/>
        <v>0.15187062961724931</v>
      </c>
      <c r="BC190" s="2">
        <f t="shared" si="103"/>
        <v>0.15187062961724931</v>
      </c>
      <c r="BD190" s="2">
        <f t="shared" si="103"/>
        <v>0.15187062961724931</v>
      </c>
      <c r="BE190" s="2">
        <f t="shared" si="103"/>
        <v>0.14499415520118927</v>
      </c>
      <c r="BF190" s="2">
        <f t="shared" si="103"/>
        <v>0.14116231343265945</v>
      </c>
      <c r="BG190" s="2">
        <f t="shared" si="103"/>
        <v>0.1356953476701592</v>
      </c>
      <c r="BH190" s="2">
        <f t="shared" si="103"/>
        <v>0.12843991148665435</v>
      </c>
      <c r="BI190" s="2">
        <f t="shared" si="101"/>
        <v>0.11968293181988202</v>
      </c>
      <c r="BJ190" s="2">
        <f t="shared" si="101"/>
        <v>0.11024765588209527</v>
      </c>
      <c r="BK190" s="2">
        <f t="shared" si="101"/>
        <v>0.10124708641149956</v>
      </c>
      <c r="BL190" s="2">
        <f t="shared" si="101"/>
        <v>9.3605199647592702E-2</v>
      </c>
      <c r="BM190" s="2">
        <f t="shared" si="101"/>
        <v>8.7732807827591158E-2</v>
      </c>
      <c r="BN190" s="2">
        <f t="shared" si="96"/>
        <v>8.3556757429437564E-2</v>
      </c>
      <c r="BO190" s="2">
        <f t="shared" si="96"/>
        <v>8.0748014443180291E-2</v>
      </c>
      <c r="BP190" s="2">
        <f t="shared" si="96"/>
        <v>7.8929020740750824E-2</v>
      </c>
      <c r="BQ190" s="2">
        <f t="shared" si="96"/>
        <v>7.777969990025399E-2</v>
      </c>
      <c r="BR190" s="2">
        <f t="shared" si="96"/>
        <v>7.7064785191797491E-2</v>
      </c>
      <c r="BS190" s="2">
        <f t="shared" si="94"/>
        <v>7.6624406137126122E-2</v>
      </c>
      <c r="BT190" s="2">
        <f t="shared" si="94"/>
        <v>7.6354767533858045E-2</v>
      </c>
      <c r="BU190" s="2">
        <f t="shared" si="94"/>
        <v>7.6190279901253974E-2</v>
      </c>
    </row>
    <row r="191" spans="1:73" x14ac:dyDescent="0.25">
      <c r="A191" t="s">
        <v>45</v>
      </c>
      <c r="B191" s="1" t="s">
        <v>5</v>
      </c>
      <c r="C191" t="s">
        <v>17</v>
      </c>
      <c r="D191" t="s">
        <v>17</v>
      </c>
      <c r="E191" s="97">
        <v>5.7963825</v>
      </c>
      <c r="F191" s="5">
        <f t="shared" si="56"/>
        <v>1.4201137125000001E-2</v>
      </c>
      <c r="G191" s="1">
        <f>LOOKUP(RIGHT(D191,5),Ref!$C$4:$C$21,Ref!$E$4:$E$21)*$G$3</f>
        <v>3</v>
      </c>
      <c r="H191" s="36">
        <f t="shared" si="99"/>
        <v>5.7963825</v>
      </c>
      <c r="I191" s="12">
        <f t="shared" si="99"/>
        <v>5.7963825</v>
      </c>
      <c r="J191" s="12">
        <f t="shared" si="99"/>
        <v>5.7963825</v>
      </c>
      <c r="K191" s="12">
        <f t="shared" si="99"/>
        <v>5.7963825</v>
      </c>
      <c r="L191" s="12">
        <f t="shared" si="99"/>
        <v>5.7963825</v>
      </c>
      <c r="M191" s="12">
        <f t="shared" si="98"/>
        <v>6.0712810013336673</v>
      </c>
      <c r="N191" s="12">
        <f t="shared" si="98"/>
        <v>6.2360855271569848</v>
      </c>
      <c r="O191" s="12">
        <f t="shared" si="98"/>
        <v>6.4873282311578668</v>
      </c>
      <c r="P191" s="12">
        <f t="shared" si="98"/>
        <v>6.8537906137444971</v>
      </c>
      <c r="Q191" s="12">
        <f t="shared" si="98"/>
        <v>7.3552698483541663</v>
      </c>
      <c r="R191" s="12">
        <f t="shared" si="98"/>
        <v>7.9847526256598664</v>
      </c>
      <c r="S191" s="12">
        <f t="shared" si="98"/>
        <v>8.69457375</v>
      </c>
      <c r="T191" s="12">
        <f t="shared" si="98"/>
        <v>9.4043948743401327</v>
      </c>
      <c r="U191" s="12">
        <f t="shared" si="98"/>
        <v>10.033877651645835</v>
      </c>
      <c r="V191" s="12">
        <f t="shared" si="98"/>
        <v>10.535356886255503</v>
      </c>
      <c r="W191" s="12">
        <f t="shared" si="98"/>
        <v>10.901819268842132</v>
      </c>
      <c r="X191" s="12">
        <f t="shared" si="98"/>
        <v>11.153061972843014</v>
      </c>
      <c r="Y191" s="12">
        <f t="shared" si="98"/>
        <v>11.317866498666334</v>
      </c>
      <c r="Z191" s="12">
        <f t="shared" si="98"/>
        <v>11.422860098636876</v>
      </c>
      <c r="AA191" s="12">
        <f t="shared" si="98"/>
        <v>11.488510047334406</v>
      </c>
      <c r="AB191" s="12">
        <f t="shared" si="98"/>
        <v>11.529080478007526</v>
      </c>
      <c r="AC191" s="12">
        <f t="shared" si="97"/>
        <v>11.553970676027367</v>
      </c>
      <c r="AD191" s="300">
        <f t="shared" si="102"/>
        <v>2.3710645568213035E-3</v>
      </c>
      <c r="AE191" s="299">
        <f t="shared" si="102"/>
        <v>2.3710645568213035E-3</v>
      </c>
      <c r="AF191" s="299">
        <f t="shared" si="102"/>
        <v>2.3710645568213035E-3</v>
      </c>
      <c r="AG191" s="299">
        <f t="shared" si="102"/>
        <v>2.3710645568213035E-3</v>
      </c>
      <c r="AH191" s="299">
        <f t="shared" si="102"/>
        <v>2.3710645568213035E-3</v>
      </c>
      <c r="AI191" s="299">
        <f t="shared" si="102"/>
        <v>2.2637063085220776E-3</v>
      </c>
      <c r="AJ191" s="299">
        <f t="shared" si="102"/>
        <v>2.2038820737269346E-3</v>
      </c>
      <c r="AK191" s="299">
        <f t="shared" si="102"/>
        <v>2.1185296340518727E-3</v>
      </c>
      <c r="AL191" s="299">
        <f t="shared" si="102"/>
        <v>2.0052548842049594E-3</v>
      </c>
      <c r="AM191" s="299">
        <f t="shared" si="100"/>
        <v>1.868537441437932E-3</v>
      </c>
      <c r="AN191" s="299">
        <f t="shared" si="100"/>
        <v>1.7212301680283397E-3</v>
      </c>
      <c r="AO191" s="299">
        <f t="shared" si="100"/>
        <v>1.5807097045475358E-3</v>
      </c>
      <c r="AP191" s="299">
        <f t="shared" si="100"/>
        <v>1.4614015348322548E-3</v>
      </c>
      <c r="AQ191" s="299">
        <f t="shared" si="100"/>
        <v>1.3697194226077621E-3</v>
      </c>
      <c r="AR191" s="299">
        <f t="shared" si="95"/>
        <v>1.3045212660483527E-3</v>
      </c>
      <c r="AS191" s="299">
        <f t="shared" si="95"/>
        <v>1.2606700555758662E-3</v>
      </c>
      <c r="AT191" s="299">
        <f t="shared" si="95"/>
        <v>1.2322712038177527E-3</v>
      </c>
      <c r="AU191" s="299">
        <f t="shared" si="95"/>
        <v>1.2143275506164319E-3</v>
      </c>
      <c r="AV191" s="299">
        <f t="shared" si="95"/>
        <v>1.2031660183923047E-3</v>
      </c>
      <c r="AW191" s="299">
        <f t="shared" si="93"/>
        <v>1.1962906457759581E-3</v>
      </c>
      <c r="AX191" s="299">
        <f t="shared" si="93"/>
        <v>1.1920809408648043E-3</v>
      </c>
      <c r="AY191" s="299">
        <f t="shared" si="93"/>
        <v>1.1895128946488513E-3</v>
      </c>
      <c r="AZ191" s="306">
        <f t="shared" si="103"/>
        <v>0.13126163073023869</v>
      </c>
      <c r="BA191" s="2">
        <f t="shared" si="103"/>
        <v>0.13126163073023869</v>
      </c>
      <c r="BB191" s="2">
        <f t="shared" si="103"/>
        <v>0.13126163073023869</v>
      </c>
      <c r="BC191" s="2">
        <f t="shared" si="103"/>
        <v>0.13126163073023869</v>
      </c>
      <c r="BD191" s="2">
        <f t="shared" si="103"/>
        <v>0.13126163073023869</v>
      </c>
      <c r="BE191" s="2">
        <f t="shared" si="103"/>
        <v>0.12531830088560961</v>
      </c>
      <c r="BF191" s="2">
        <f t="shared" si="103"/>
        <v>0.12200644394193932</v>
      </c>
      <c r="BG191" s="2">
        <f t="shared" si="103"/>
        <v>0.11728135099315325</v>
      </c>
      <c r="BH191" s="2">
        <f t="shared" si="103"/>
        <v>0.11101048487831457</v>
      </c>
      <c r="BI191" s="2">
        <f t="shared" si="101"/>
        <v>0.1034418362579132</v>
      </c>
      <c r="BJ191" s="2">
        <f t="shared" si="101"/>
        <v>9.528693686028139E-2</v>
      </c>
      <c r="BK191" s="2">
        <f t="shared" si="101"/>
        <v>8.7507753820159129E-2</v>
      </c>
      <c r="BL191" s="2">
        <f t="shared" si="101"/>
        <v>8.0902878861687844E-2</v>
      </c>
      <c r="BM191" s="2">
        <f t="shared" si="101"/>
        <v>7.5827376583709735E-2</v>
      </c>
      <c r="BN191" s="2">
        <f t="shared" si="96"/>
        <v>7.2218020471505634E-2</v>
      </c>
      <c r="BO191" s="2">
        <f t="shared" si="96"/>
        <v>6.9790426764892222E-2</v>
      </c>
      <c r="BP191" s="2">
        <f t="shared" si="96"/>
        <v>6.8218272357745385E-2</v>
      </c>
      <c r="BQ191" s="2">
        <f t="shared" si="96"/>
        <v>6.7224915524129333E-2</v>
      </c>
      <c r="BR191" s="2">
        <f t="shared" si="96"/>
        <v>6.6607015468657577E-2</v>
      </c>
      <c r="BS191" s="2">
        <f t="shared" si="94"/>
        <v>6.6226396299557608E-2</v>
      </c>
      <c r="BT191" s="2">
        <f t="shared" si="94"/>
        <v>6.5993347928967522E-2</v>
      </c>
      <c r="BU191" s="2">
        <f t="shared" si="94"/>
        <v>6.5851181435386888E-2</v>
      </c>
    </row>
    <row r="192" spans="1:73" x14ac:dyDescent="0.25">
      <c r="A192" t="s">
        <v>45</v>
      </c>
      <c r="B192" s="1" t="s">
        <v>5</v>
      </c>
      <c r="C192" t="s">
        <v>18</v>
      </c>
      <c r="D192" t="s">
        <v>18</v>
      </c>
      <c r="E192" s="97">
        <v>6.1038949999999996</v>
      </c>
      <c r="F192" s="5">
        <f t="shared" si="56"/>
        <v>1.4954542749999997E-2</v>
      </c>
      <c r="G192" s="1">
        <f>LOOKUP(RIGHT(D192,5),Ref!$C$4:$C$21,Ref!$E$4:$E$21)*$G$3</f>
        <v>3</v>
      </c>
      <c r="H192" s="36">
        <f t="shared" si="99"/>
        <v>6.1038949999999996</v>
      </c>
      <c r="I192" s="12">
        <f t="shared" si="99"/>
        <v>6.1038949999999996</v>
      </c>
      <c r="J192" s="12">
        <f t="shared" si="99"/>
        <v>6.1038949999999996</v>
      </c>
      <c r="K192" s="12">
        <f t="shared" si="99"/>
        <v>6.1038949999999996</v>
      </c>
      <c r="L192" s="12">
        <f t="shared" si="99"/>
        <v>6.1038949999999996</v>
      </c>
      <c r="M192" s="12">
        <f t="shared" si="98"/>
        <v>6.3933775501591832</v>
      </c>
      <c r="N192" s="12">
        <f t="shared" si="98"/>
        <v>6.5669253657407678</v>
      </c>
      <c r="O192" s="12">
        <f t="shared" si="98"/>
        <v>6.8314971197161931</v>
      </c>
      <c r="P192" s="12">
        <f t="shared" si="98"/>
        <v>7.2174012426339988</v>
      </c>
      <c r="Q192" s="12">
        <f t="shared" si="98"/>
        <v>7.7454851971932062</v>
      </c>
      <c r="R192" s="12">
        <f t="shared" si="98"/>
        <v>8.4083636005736562</v>
      </c>
      <c r="S192" s="12">
        <f t="shared" si="98"/>
        <v>9.1558424999999986</v>
      </c>
      <c r="T192" s="12">
        <f t="shared" si="98"/>
        <v>9.9033213994263427</v>
      </c>
      <c r="U192" s="12">
        <f t="shared" si="98"/>
        <v>10.566199802806793</v>
      </c>
      <c r="V192" s="12">
        <f t="shared" si="98"/>
        <v>11.094283757366</v>
      </c>
      <c r="W192" s="12">
        <f t="shared" si="98"/>
        <v>11.480187880283804</v>
      </c>
      <c r="X192" s="12">
        <f t="shared" si="98"/>
        <v>11.744759634259232</v>
      </c>
      <c r="Y192" s="12">
        <f t="shared" si="98"/>
        <v>11.918307449840816</v>
      </c>
      <c r="Z192" s="12">
        <f t="shared" si="98"/>
        <v>12.028871221277949</v>
      </c>
      <c r="AA192" s="12">
        <f t="shared" si="98"/>
        <v>12.098004062943438</v>
      </c>
      <c r="AB192" s="12">
        <f t="shared" si="98"/>
        <v>12.140726855811835</v>
      </c>
      <c r="AC192" s="12">
        <f t="shared" si="97"/>
        <v>12.166937540707512</v>
      </c>
      <c r="AD192" s="300">
        <f t="shared" si="102"/>
        <v>2.2516109965078461E-3</v>
      </c>
      <c r="AE192" s="299">
        <f t="shared" si="102"/>
        <v>2.2516109965078461E-3</v>
      </c>
      <c r="AF192" s="299">
        <f t="shared" si="102"/>
        <v>2.2516109965078461E-3</v>
      </c>
      <c r="AG192" s="299">
        <f t="shared" si="102"/>
        <v>2.2516109965078461E-3</v>
      </c>
      <c r="AH192" s="299">
        <f t="shared" si="102"/>
        <v>2.2516109965078461E-3</v>
      </c>
      <c r="AI192" s="299">
        <f t="shared" si="102"/>
        <v>2.1496614263281024E-3</v>
      </c>
      <c r="AJ192" s="299">
        <f t="shared" si="102"/>
        <v>2.0928511195252397E-3</v>
      </c>
      <c r="AK192" s="299">
        <f t="shared" si="102"/>
        <v>2.0117987115685445E-3</v>
      </c>
      <c r="AL192" s="299">
        <f t="shared" si="102"/>
        <v>1.9042307115121008E-3</v>
      </c>
      <c r="AM192" s="299">
        <f t="shared" si="100"/>
        <v>1.7744010547602153E-3</v>
      </c>
      <c r="AN192" s="299">
        <f t="shared" si="100"/>
        <v>1.6345150800319351E-3</v>
      </c>
      <c r="AO192" s="299">
        <f t="shared" si="100"/>
        <v>1.5010739976718977E-3</v>
      </c>
      <c r="AP192" s="299">
        <f t="shared" si="100"/>
        <v>1.3877765397299301E-3</v>
      </c>
      <c r="AQ192" s="299">
        <f t="shared" si="100"/>
        <v>1.3007133463327494E-3</v>
      </c>
      <c r="AR192" s="299">
        <f t="shared" si="95"/>
        <v>1.2387998544209093E-3</v>
      </c>
      <c r="AS192" s="299">
        <f t="shared" si="95"/>
        <v>1.1971578555027534E-3</v>
      </c>
      <c r="AT192" s="299">
        <f t="shared" si="95"/>
        <v>1.170189729846787E-3</v>
      </c>
      <c r="AU192" s="299">
        <f t="shared" si="95"/>
        <v>1.1531500728077645E-3</v>
      </c>
      <c r="AV192" s="299">
        <f t="shared" si="95"/>
        <v>1.1425508554134423E-3</v>
      </c>
      <c r="AW192" s="299">
        <f t="shared" si="93"/>
        <v>1.1360218621207382E-3</v>
      </c>
      <c r="AX192" s="299">
        <f t="shared" si="93"/>
        <v>1.1320242409498013E-3</v>
      </c>
      <c r="AY192" s="299">
        <f t="shared" si="93"/>
        <v>1.129585572174316E-3</v>
      </c>
      <c r="AZ192" s="306">
        <f t="shared" si="103"/>
        <v>0.12464870697910396</v>
      </c>
      <c r="BA192" s="2">
        <f t="shared" si="103"/>
        <v>0.12464870697910396</v>
      </c>
      <c r="BB192" s="2">
        <f t="shared" si="103"/>
        <v>0.12464870697910396</v>
      </c>
      <c r="BC192" s="2">
        <f t="shared" si="103"/>
        <v>0.12464870697910396</v>
      </c>
      <c r="BD192" s="2">
        <f t="shared" si="103"/>
        <v>0.12464870697910396</v>
      </c>
      <c r="BE192" s="2">
        <f t="shared" si="103"/>
        <v>0.11900480040745821</v>
      </c>
      <c r="BF192" s="2">
        <f t="shared" si="103"/>
        <v>0.11585979387789076</v>
      </c>
      <c r="BG192" s="2">
        <f t="shared" si="103"/>
        <v>0.1113727497725749</v>
      </c>
      <c r="BH192" s="2">
        <f t="shared" si="103"/>
        <v>0.10541780811517518</v>
      </c>
      <c r="BI192" s="2">
        <f t="shared" si="101"/>
        <v>9.8230465866997005E-2</v>
      </c>
      <c r="BJ192" s="2">
        <f t="shared" si="101"/>
        <v>9.0486407989577147E-2</v>
      </c>
      <c r="BK192" s="2">
        <f t="shared" si="101"/>
        <v>8.3099137986069327E-2</v>
      </c>
      <c r="BL192" s="2">
        <f t="shared" si="101"/>
        <v>7.6827014755907058E-2</v>
      </c>
      <c r="BM192" s="2">
        <f t="shared" si="101"/>
        <v>7.2007214844083151E-2</v>
      </c>
      <c r="BN192" s="2">
        <f t="shared" si="96"/>
        <v>6.8579697069768894E-2</v>
      </c>
      <c r="BO192" s="2">
        <f t="shared" si="96"/>
        <v>6.6274404846012755E-2</v>
      </c>
      <c r="BP192" s="2">
        <f t="shared" si="96"/>
        <v>6.4781455132283408E-2</v>
      </c>
      <c r="BQ192" s="2">
        <f t="shared" si="96"/>
        <v>6.3838143334385936E-2</v>
      </c>
      <c r="BR192" s="2">
        <f t="shared" si="96"/>
        <v>6.3251372908570025E-2</v>
      </c>
      <c r="BS192" s="2">
        <f t="shared" si="94"/>
        <v>6.288992922532588E-2</v>
      </c>
      <c r="BT192" s="2">
        <f t="shared" si="94"/>
        <v>6.2668621765590432E-2</v>
      </c>
      <c r="BU192" s="2">
        <f t="shared" si="94"/>
        <v>6.253361757966043E-2</v>
      </c>
    </row>
    <row r="193" spans="1:73" x14ac:dyDescent="0.25">
      <c r="A193" t="s">
        <v>45</v>
      </c>
      <c r="B193" s="1" t="s">
        <v>5</v>
      </c>
      <c r="C193" t="s">
        <v>9</v>
      </c>
      <c r="D193" t="s">
        <v>9</v>
      </c>
      <c r="E193" s="97">
        <v>4.1257045000000003</v>
      </c>
      <c r="F193" s="5">
        <f t="shared" si="56"/>
        <v>1.0107976025000001E-2</v>
      </c>
      <c r="G193" s="1">
        <f>LOOKUP(RIGHT(D193,5),Ref!$C$4:$C$21,Ref!$E$4:$E$21)*$G$3</f>
        <v>4.5</v>
      </c>
      <c r="H193" s="36">
        <f t="shared" si="99"/>
        <v>4.1257045000000003</v>
      </c>
      <c r="I193" s="12">
        <f t="shared" si="99"/>
        <v>4.1257045000000003</v>
      </c>
      <c r="J193" s="12">
        <f t="shared" si="99"/>
        <v>4.1257045000000003</v>
      </c>
      <c r="K193" s="12">
        <f t="shared" si="99"/>
        <v>4.1257045000000003</v>
      </c>
      <c r="L193" s="12">
        <f t="shared" si="99"/>
        <v>4.1257045000000003</v>
      </c>
      <c r="M193" s="12">
        <f t="shared" si="98"/>
        <v>4.321369638385117</v>
      </c>
      <c r="N193" s="12">
        <f t="shared" si="98"/>
        <v>4.4386729346754548</v>
      </c>
      <c r="O193" s="12">
        <f t="shared" si="98"/>
        <v>4.6175005317998004</v>
      </c>
      <c r="P193" s="12">
        <f t="shared" si="98"/>
        <v>4.8783383044827415</v>
      </c>
      <c r="Q193" s="12">
        <f t="shared" si="98"/>
        <v>5.2352773323825854</v>
      </c>
      <c r="R193" s="12">
        <f t="shared" si="98"/>
        <v>5.6833257361935194</v>
      </c>
      <c r="S193" s="12">
        <f t="shared" si="98"/>
        <v>6.1885567500000001</v>
      </c>
      <c r="T193" s="12">
        <f t="shared" si="98"/>
        <v>6.6937877638064815</v>
      </c>
      <c r="U193" s="12">
        <f t="shared" si="98"/>
        <v>7.1418361676174156</v>
      </c>
      <c r="V193" s="12">
        <f t="shared" si="98"/>
        <v>7.4987751955172595</v>
      </c>
      <c r="W193" s="12">
        <f t="shared" si="98"/>
        <v>7.7596129682001997</v>
      </c>
      <c r="X193" s="12">
        <f t="shared" si="98"/>
        <v>7.9384405653245462</v>
      </c>
      <c r="Y193" s="12">
        <f t="shared" si="98"/>
        <v>8.055743861614884</v>
      </c>
      <c r="Z193" s="12">
        <f t="shared" si="98"/>
        <v>8.1304753976840924</v>
      </c>
      <c r="AA193" s="12">
        <f t="shared" si="98"/>
        <v>8.1772032126214551</v>
      </c>
      <c r="AB193" s="12">
        <f t="shared" si="98"/>
        <v>8.2060801213477212</v>
      </c>
      <c r="AC193" s="12">
        <f t="shared" si="97"/>
        <v>8.2237962748238491</v>
      </c>
      <c r="AD193" s="300">
        <f t="shared" si="102"/>
        <v>3.3312121853441659E-3</v>
      </c>
      <c r="AE193" s="299">
        <f t="shared" si="102"/>
        <v>3.3312121853441659E-3</v>
      </c>
      <c r="AF193" s="299">
        <f t="shared" si="102"/>
        <v>3.3312121853441659E-3</v>
      </c>
      <c r="AG193" s="299">
        <f t="shared" si="102"/>
        <v>3.3312121853441659E-3</v>
      </c>
      <c r="AH193" s="299">
        <f t="shared" si="102"/>
        <v>3.3312121853441659E-3</v>
      </c>
      <c r="AI193" s="299">
        <f t="shared" si="102"/>
        <v>3.1803798919328736E-3</v>
      </c>
      <c r="AJ193" s="299">
        <f t="shared" si="102"/>
        <v>3.0963302108075142E-3</v>
      </c>
      <c r="AK193" s="299">
        <f t="shared" si="102"/>
        <v>2.9764148393443299E-3</v>
      </c>
      <c r="AL193" s="299">
        <f t="shared" si="102"/>
        <v>2.8172701944225898E-3</v>
      </c>
      <c r="AM193" s="299">
        <f t="shared" si="100"/>
        <v>2.6251898860293081E-3</v>
      </c>
      <c r="AN193" s="299">
        <f t="shared" si="100"/>
        <v>2.4182314619070576E-3</v>
      </c>
      <c r="AO193" s="299">
        <f t="shared" si="100"/>
        <v>2.2208081235627771E-3</v>
      </c>
      <c r="AP193" s="299">
        <f t="shared" si="100"/>
        <v>2.0531868634738192E-3</v>
      </c>
      <c r="AQ193" s="299">
        <f t="shared" si="100"/>
        <v>1.9243786585088039E-3</v>
      </c>
      <c r="AR193" s="299">
        <f t="shared" si="95"/>
        <v>1.8327789199154992E-3</v>
      </c>
      <c r="AS193" s="299">
        <f t="shared" si="95"/>
        <v>1.7711704385066787E-3</v>
      </c>
      <c r="AT193" s="299">
        <f t="shared" si="95"/>
        <v>1.731271650953953E-3</v>
      </c>
      <c r="AU193" s="299">
        <f t="shared" si="95"/>
        <v>1.7060618286309525E-3</v>
      </c>
      <c r="AV193" s="299">
        <f t="shared" si="95"/>
        <v>1.69038050437297E-3</v>
      </c>
      <c r="AW193" s="299">
        <f t="shared" si="93"/>
        <v>1.6807209930060334E-3</v>
      </c>
      <c r="AX193" s="299">
        <f t="shared" si="93"/>
        <v>1.6748065946585089E-3</v>
      </c>
      <c r="AY193" s="299">
        <f t="shared" si="93"/>
        <v>1.6711986343343169E-3</v>
      </c>
      <c r="AZ193" s="306">
        <f t="shared" si="103"/>
        <v>0.18441519970376397</v>
      </c>
      <c r="BA193" s="2">
        <f t="shared" si="103"/>
        <v>0.18441519970376397</v>
      </c>
      <c r="BB193" s="2">
        <f t="shared" si="103"/>
        <v>0.18441519970376397</v>
      </c>
      <c r="BC193" s="2">
        <f t="shared" si="103"/>
        <v>0.18441519970376397</v>
      </c>
      <c r="BD193" s="2">
        <f t="shared" si="103"/>
        <v>0.18441519970376397</v>
      </c>
      <c r="BE193" s="2">
        <f t="shared" si="103"/>
        <v>0.17606515594684061</v>
      </c>
      <c r="BF193" s="2">
        <f t="shared" si="103"/>
        <v>0.17141218343492318</v>
      </c>
      <c r="BG193" s="2">
        <f t="shared" si="103"/>
        <v>0.16477369391653499</v>
      </c>
      <c r="BH193" s="2">
        <f t="shared" si="103"/>
        <v>0.15596348014385836</v>
      </c>
      <c r="BI193" s="2">
        <f t="shared" si="101"/>
        <v>0.14532995503028237</v>
      </c>
      <c r="BJ193" s="2">
        <f t="shared" si="101"/>
        <v>0.13387278058705851</v>
      </c>
      <c r="BK193" s="2">
        <f t="shared" si="101"/>
        <v>0.12294346646917599</v>
      </c>
      <c r="BL193" s="2">
        <f t="shared" si="101"/>
        <v>0.11366398907956381</v>
      </c>
      <c r="BM193" s="2">
        <f t="shared" si="101"/>
        <v>0.10653319418555664</v>
      </c>
      <c r="BN193" s="2">
        <f t="shared" si="96"/>
        <v>0.10146225209432158</v>
      </c>
      <c r="BO193" s="2">
        <f t="shared" si="96"/>
        <v>9.805161963673184E-2</v>
      </c>
      <c r="BP193" s="2">
        <f t="shared" si="96"/>
        <v>9.5842831224259767E-2</v>
      </c>
      <c r="BQ193" s="2">
        <f t="shared" si="96"/>
        <v>9.4447220809934798E-2</v>
      </c>
      <c r="BR193" s="2">
        <f t="shared" si="96"/>
        <v>9.3579106026560055E-2</v>
      </c>
      <c r="BS193" s="2">
        <f t="shared" si="94"/>
        <v>9.3044357527016397E-2</v>
      </c>
      <c r="BT193" s="2">
        <f t="shared" si="94"/>
        <v>9.2716937689521509E-2</v>
      </c>
      <c r="BU193" s="2">
        <f t="shared" si="94"/>
        <v>9.251720177157656E-2</v>
      </c>
    </row>
    <row r="194" spans="1:73" x14ac:dyDescent="0.25">
      <c r="A194" t="s">
        <v>45</v>
      </c>
      <c r="B194" s="1" t="s">
        <v>5</v>
      </c>
      <c r="C194" t="s">
        <v>10</v>
      </c>
      <c r="D194" t="s">
        <v>10</v>
      </c>
      <c r="E194" s="97">
        <v>6.5687407499999999</v>
      </c>
      <c r="F194" s="5">
        <f t="shared" si="56"/>
        <v>1.60934148375E-2</v>
      </c>
      <c r="G194" s="1">
        <f>LOOKUP(RIGHT(D194,5),Ref!$C$4:$C$21,Ref!$E$4:$E$21)*$G$3</f>
        <v>4.5</v>
      </c>
      <c r="H194" s="36">
        <f t="shared" si="99"/>
        <v>6.5687407499999999</v>
      </c>
      <c r="I194" s="12">
        <f t="shared" si="99"/>
        <v>6.5687407499999999</v>
      </c>
      <c r="J194" s="12">
        <f t="shared" si="99"/>
        <v>6.5687407499999999</v>
      </c>
      <c r="K194" s="12">
        <f t="shared" si="99"/>
        <v>6.5687407499999999</v>
      </c>
      <c r="L194" s="12">
        <f t="shared" si="99"/>
        <v>6.5687407499999999</v>
      </c>
      <c r="M194" s="12">
        <f t="shared" si="98"/>
        <v>6.8802690157458146</v>
      </c>
      <c r="N194" s="12">
        <f t="shared" si="98"/>
        <v>7.067033468326378</v>
      </c>
      <c r="O194" s="12">
        <f t="shared" si="98"/>
        <v>7.3517538414057562</v>
      </c>
      <c r="P194" s="12">
        <f t="shared" si="98"/>
        <v>7.7670467220669082</v>
      </c>
      <c r="Q194" s="12">
        <f t="shared" si="98"/>
        <v>8.335347223916008</v>
      </c>
      <c r="R194" s="12">
        <f t="shared" si="98"/>
        <v>9.0487075259166314</v>
      </c>
      <c r="S194" s="12">
        <f t="shared" si="98"/>
        <v>9.8531111249999999</v>
      </c>
      <c r="T194" s="12">
        <f t="shared" si="98"/>
        <v>10.657514724083368</v>
      </c>
      <c r="U194" s="12">
        <f t="shared" si="98"/>
        <v>11.370875026083992</v>
      </c>
      <c r="V194" s="12">
        <f t="shared" si="98"/>
        <v>11.939175527933092</v>
      </c>
      <c r="W194" s="12">
        <f t="shared" si="98"/>
        <v>12.354468408594242</v>
      </c>
      <c r="X194" s="12">
        <f t="shared" si="98"/>
        <v>12.639188781673623</v>
      </c>
      <c r="Y194" s="12">
        <f t="shared" si="98"/>
        <v>12.825953234254186</v>
      </c>
      <c r="Z194" s="12">
        <f t="shared" si="98"/>
        <v>12.944937055390163</v>
      </c>
      <c r="AA194" s="12">
        <f t="shared" si="98"/>
        <v>13.019334749683953</v>
      </c>
      <c r="AB194" s="12">
        <f t="shared" si="98"/>
        <v>13.065311122224511</v>
      </c>
      <c r="AC194" s="12">
        <f t="shared" si="97"/>
        <v>13.093517897399975</v>
      </c>
      <c r="AD194" s="300">
        <f t="shared" si="102"/>
        <v>2.0922727241943989E-3</v>
      </c>
      <c r="AE194" s="299">
        <f t="shared" si="102"/>
        <v>2.0922727241943989E-3</v>
      </c>
      <c r="AF194" s="299">
        <f t="shared" si="102"/>
        <v>2.0922727241943989E-3</v>
      </c>
      <c r="AG194" s="299">
        <f t="shared" si="102"/>
        <v>2.0922727241943989E-3</v>
      </c>
      <c r="AH194" s="299">
        <f t="shared" si="102"/>
        <v>2.0922727241943989E-3</v>
      </c>
      <c r="AI194" s="299">
        <f t="shared" si="102"/>
        <v>1.9975377520960883E-3</v>
      </c>
      <c r="AJ194" s="299">
        <f t="shared" si="102"/>
        <v>1.9447477028553017E-3</v>
      </c>
      <c r="AK194" s="299">
        <f t="shared" si="102"/>
        <v>1.8694310772654074E-3</v>
      </c>
      <c r="AL194" s="299">
        <f t="shared" si="102"/>
        <v>1.7694752710167702E-3</v>
      </c>
      <c r="AM194" s="299">
        <f t="shared" si="100"/>
        <v>1.6488331840688955E-3</v>
      </c>
      <c r="AN194" s="299">
        <f t="shared" si="100"/>
        <v>1.5188464279750314E-3</v>
      </c>
      <c r="AO194" s="299">
        <f t="shared" si="100"/>
        <v>1.394848482796266E-3</v>
      </c>
      <c r="AP194" s="299">
        <f t="shared" si="100"/>
        <v>1.2895686714344482E-3</v>
      </c>
      <c r="AQ194" s="299">
        <f t="shared" si="100"/>
        <v>1.2086666216981903E-3</v>
      </c>
      <c r="AR194" s="299">
        <f t="shared" si="95"/>
        <v>1.151134521087701E-3</v>
      </c>
      <c r="AS194" s="299">
        <f t="shared" si="95"/>
        <v>1.1124393740785065E-3</v>
      </c>
      <c r="AT194" s="299">
        <f t="shared" si="95"/>
        <v>1.0873796840076468E-3</v>
      </c>
      <c r="AU194" s="299">
        <f t="shared" si="95"/>
        <v>1.0715458611547349E-3</v>
      </c>
      <c r="AV194" s="299">
        <f t="shared" si="95"/>
        <v>1.0616967115963335E-3</v>
      </c>
      <c r="AW194" s="299">
        <f t="shared" si="93"/>
        <v>1.0556297512714994E-3</v>
      </c>
      <c r="AX194" s="299">
        <f t="shared" si="93"/>
        <v>1.0519150271248391E-3</v>
      </c>
      <c r="AY194" s="299">
        <f t="shared" si="93"/>
        <v>1.0496489340163023E-3</v>
      </c>
      <c r="AZ194" s="306">
        <f t="shared" si="103"/>
        <v>0.11582777403510981</v>
      </c>
      <c r="BA194" s="2">
        <f t="shared" si="103"/>
        <v>0.11582777403510981</v>
      </c>
      <c r="BB194" s="2">
        <f t="shared" si="103"/>
        <v>0.11582777403510981</v>
      </c>
      <c r="BC194" s="2">
        <f t="shared" si="103"/>
        <v>0.11582777403510981</v>
      </c>
      <c r="BD194" s="2">
        <f t="shared" si="103"/>
        <v>0.11582777403510981</v>
      </c>
      <c r="BE194" s="2">
        <f t="shared" si="103"/>
        <v>0.1105832660823282</v>
      </c>
      <c r="BF194" s="2">
        <f t="shared" si="103"/>
        <v>0.10766082015830629</v>
      </c>
      <c r="BG194" s="2">
        <f t="shared" si="103"/>
        <v>0.10349130774769442</v>
      </c>
      <c r="BH194" s="2">
        <f t="shared" si="103"/>
        <v>9.7957775524201818E-2</v>
      </c>
      <c r="BI194" s="2">
        <f t="shared" si="101"/>
        <v>9.1279055190788827E-2</v>
      </c>
      <c r="BJ194" s="2">
        <f t="shared" si="101"/>
        <v>8.4083015956374907E-2</v>
      </c>
      <c r="BK194" s="2">
        <f t="shared" si="101"/>
        <v>7.7218516023406542E-2</v>
      </c>
      <c r="BL194" s="2">
        <f t="shared" si="101"/>
        <v>7.1390248006592022E-2</v>
      </c>
      <c r="BM194" s="2">
        <f t="shared" si="101"/>
        <v>6.6911527700453832E-2</v>
      </c>
      <c r="BN194" s="2">
        <f t="shared" si="96"/>
        <v>6.3726562818859467E-2</v>
      </c>
      <c r="BO194" s="2">
        <f t="shared" si="96"/>
        <v>6.1584407691467037E-2</v>
      </c>
      <c r="BP194" s="2">
        <f t="shared" si="96"/>
        <v>6.0197108566762823E-2</v>
      </c>
      <c r="BQ194" s="2">
        <f t="shared" si="96"/>
        <v>5.9320551493532707E-2</v>
      </c>
      <c r="BR194" s="2">
        <f t="shared" si="96"/>
        <v>5.8775304663950395E-2</v>
      </c>
      <c r="BS194" s="2">
        <f t="shared" si="94"/>
        <v>5.8439439027765022E-2</v>
      </c>
      <c r="BT194" s="2">
        <f t="shared" si="94"/>
        <v>5.8233792687263315E-2</v>
      </c>
      <c r="BU194" s="2">
        <f t="shared" si="94"/>
        <v>5.8108342253635356E-2</v>
      </c>
    </row>
    <row r="195" spans="1:73" x14ac:dyDescent="0.25">
      <c r="A195" t="s">
        <v>45</v>
      </c>
      <c r="B195" s="1" t="s">
        <v>5</v>
      </c>
      <c r="C195" t="s">
        <v>11</v>
      </c>
      <c r="D195" t="s">
        <v>11</v>
      </c>
      <c r="E195" s="97">
        <v>6.5917539999999999</v>
      </c>
      <c r="F195" s="5">
        <f t="shared" si="56"/>
        <v>1.6149797300000001E-2</v>
      </c>
      <c r="G195" s="1">
        <f>LOOKUP(RIGHT(D195,5),Ref!$C$4:$C$21,Ref!$E$4:$E$21)*$G$3</f>
        <v>4.5</v>
      </c>
      <c r="H195" s="36">
        <f t="shared" si="99"/>
        <v>6.5917539999999999</v>
      </c>
      <c r="I195" s="12">
        <f t="shared" si="99"/>
        <v>6.5917539999999999</v>
      </c>
      <c r="J195" s="12">
        <f t="shared" si="99"/>
        <v>6.5917539999999999</v>
      </c>
      <c r="K195" s="12">
        <f t="shared" si="99"/>
        <v>6.5917539999999999</v>
      </c>
      <c r="L195" s="12">
        <f t="shared" si="99"/>
        <v>6.5917539999999999</v>
      </c>
      <c r="M195" s="12">
        <f t="shared" si="98"/>
        <v>6.9043736892217185</v>
      </c>
      <c r="N195" s="12">
        <f t="shared" si="98"/>
        <v>7.0917924615877519</v>
      </c>
      <c r="O195" s="12">
        <f t="shared" si="98"/>
        <v>7.3775103380509819</v>
      </c>
      <c r="P195" s="12">
        <f t="shared" si="98"/>
        <v>7.7942581762526446</v>
      </c>
      <c r="Q195" s="12">
        <f t="shared" si="98"/>
        <v>8.3645496900813505</v>
      </c>
      <c r="R195" s="12">
        <f t="shared" si="98"/>
        <v>9.0804092137128514</v>
      </c>
      <c r="S195" s="12">
        <f t="shared" si="98"/>
        <v>9.8876309999999989</v>
      </c>
      <c r="T195" s="12">
        <f t="shared" si="98"/>
        <v>10.694852786287148</v>
      </c>
      <c r="U195" s="12">
        <f t="shared" si="98"/>
        <v>11.410712309918649</v>
      </c>
      <c r="V195" s="12">
        <f t="shared" si="98"/>
        <v>11.981003823747356</v>
      </c>
      <c r="W195" s="12">
        <f t="shared" si="98"/>
        <v>12.397751661949016</v>
      </c>
      <c r="X195" s="12">
        <f t="shared" si="98"/>
        <v>12.683469538412249</v>
      </c>
      <c r="Y195" s="12">
        <f t="shared" si="98"/>
        <v>12.870888310778282</v>
      </c>
      <c r="Z195" s="12">
        <f t="shared" si="98"/>
        <v>12.990288985695825</v>
      </c>
      <c r="AA195" s="12">
        <f t="shared" si="98"/>
        <v>13.064947328537542</v>
      </c>
      <c r="AB195" s="12">
        <f t="shared" si="98"/>
        <v>13.111084776967017</v>
      </c>
      <c r="AC195" s="12">
        <f t="shared" si="97"/>
        <v>13.139390373148442</v>
      </c>
      <c r="AD195" s="300">
        <f t="shared" si="102"/>
        <v>2.0849681440674606E-3</v>
      </c>
      <c r="AE195" s="299">
        <f t="shared" si="102"/>
        <v>2.0849681440674606E-3</v>
      </c>
      <c r="AF195" s="299">
        <f t="shared" si="102"/>
        <v>2.0849681440674606E-3</v>
      </c>
      <c r="AG195" s="299">
        <f t="shared" si="102"/>
        <v>2.0849681440674606E-3</v>
      </c>
      <c r="AH195" s="299">
        <f t="shared" si="102"/>
        <v>2.0849681440674606E-3</v>
      </c>
      <c r="AI195" s="299">
        <f t="shared" si="102"/>
        <v>1.9905639124058591E-3</v>
      </c>
      <c r="AJ195" s="299">
        <f t="shared" si="102"/>
        <v>1.9379581647334704E-3</v>
      </c>
      <c r="AK195" s="299">
        <f t="shared" si="102"/>
        <v>1.8629044859000625E-3</v>
      </c>
      <c r="AL195" s="299">
        <f t="shared" si="102"/>
        <v>1.763297647158124E-3</v>
      </c>
      <c r="AM195" s="299">
        <f t="shared" si="100"/>
        <v>1.6430767480317993E-3</v>
      </c>
      <c r="AN195" s="299">
        <f t="shared" si="100"/>
        <v>1.5135438040363048E-3</v>
      </c>
      <c r="AO195" s="299">
        <f t="shared" si="100"/>
        <v>1.3899787627116406E-3</v>
      </c>
      <c r="AP195" s="299">
        <f t="shared" si="100"/>
        <v>1.2850665061188301E-3</v>
      </c>
      <c r="AQ195" s="299">
        <f t="shared" si="100"/>
        <v>1.2044469030721924E-3</v>
      </c>
      <c r="AR195" s="299">
        <f t="shared" si="95"/>
        <v>1.1471156595650438E-3</v>
      </c>
      <c r="AS195" s="299">
        <f t="shared" si="95"/>
        <v>1.1085556057483302E-3</v>
      </c>
      <c r="AT195" s="299">
        <f t="shared" si="95"/>
        <v>1.0835834045176979E-3</v>
      </c>
      <c r="AU195" s="299">
        <f t="shared" si="95"/>
        <v>1.0678048609916193E-3</v>
      </c>
      <c r="AV195" s="299">
        <f t="shared" si="95"/>
        <v>1.0579900969611173E-3</v>
      </c>
      <c r="AW195" s="299">
        <f t="shared" si="93"/>
        <v>1.0519443177171755E-3</v>
      </c>
      <c r="AX195" s="299">
        <f t="shared" si="93"/>
        <v>1.0482425624821993E-3</v>
      </c>
      <c r="AY195" s="299">
        <f t="shared" si="93"/>
        <v>1.0459843807986381E-3</v>
      </c>
      <c r="AZ195" s="306">
        <f t="shared" si="103"/>
        <v>0.11542339402930052</v>
      </c>
      <c r="BA195" s="2">
        <f t="shared" si="103"/>
        <v>0.11542339402930052</v>
      </c>
      <c r="BB195" s="2">
        <f t="shared" si="103"/>
        <v>0.11542339402930052</v>
      </c>
      <c r="BC195" s="2">
        <f t="shared" si="103"/>
        <v>0.11542339402930052</v>
      </c>
      <c r="BD195" s="2">
        <f t="shared" si="103"/>
        <v>0.11542339402930052</v>
      </c>
      <c r="BE195" s="2">
        <f t="shared" si="103"/>
        <v>0.11019719579691264</v>
      </c>
      <c r="BF195" s="2">
        <f t="shared" si="103"/>
        <v>0.10728495276860878</v>
      </c>
      <c r="BG195" s="2">
        <f t="shared" si="103"/>
        <v>0.1031299970346392</v>
      </c>
      <c r="BH195" s="2">
        <f t="shared" si="103"/>
        <v>9.7615783578267196E-2</v>
      </c>
      <c r="BI195" s="2">
        <f t="shared" si="101"/>
        <v>9.0960380113279962E-2</v>
      </c>
      <c r="BJ195" s="2">
        <f t="shared" si="101"/>
        <v>8.3789463820333698E-2</v>
      </c>
      <c r="BK195" s="2">
        <f t="shared" si="101"/>
        <v>7.6948929352867013E-2</v>
      </c>
      <c r="BL195" s="2">
        <f t="shared" si="101"/>
        <v>7.1141009090070303E-2</v>
      </c>
      <c r="BM195" s="2">
        <f t="shared" si="101"/>
        <v>6.6677924972734864E-2</v>
      </c>
      <c r="BN195" s="2">
        <f t="shared" si="96"/>
        <v>6.3504079497759922E-2</v>
      </c>
      <c r="BO195" s="2">
        <f t="shared" si="96"/>
        <v>6.1369403100836738E-2</v>
      </c>
      <c r="BP195" s="2">
        <f t="shared" si="96"/>
        <v>5.9986947339762536E-2</v>
      </c>
      <c r="BQ195" s="2">
        <f t="shared" si="96"/>
        <v>5.9113450518335733E-2</v>
      </c>
      <c r="BR195" s="2">
        <f t="shared" si="96"/>
        <v>5.8570107264281406E-2</v>
      </c>
      <c r="BS195" s="2">
        <f t="shared" si="94"/>
        <v>5.8235414208239647E-2</v>
      </c>
      <c r="BT195" s="2">
        <f t="shared" si="94"/>
        <v>5.803048582393678E-2</v>
      </c>
      <c r="BU195" s="2">
        <f t="shared" si="94"/>
        <v>5.7905473365116686E-2</v>
      </c>
    </row>
    <row r="196" spans="1:73" x14ac:dyDescent="0.25">
      <c r="E196" s="5"/>
      <c r="H196" s="297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300"/>
      <c r="AE196" s="299"/>
      <c r="AF196" s="299"/>
      <c r="AG196" s="299"/>
      <c r="AH196" s="299"/>
      <c r="AI196" s="299"/>
      <c r="AJ196" s="299"/>
      <c r="AK196" s="299"/>
      <c r="AL196" s="299"/>
      <c r="AM196" s="299"/>
      <c r="AN196" s="299"/>
      <c r="AO196" s="299"/>
      <c r="AP196" s="299"/>
      <c r="AQ196" s="299"/>
      <c r="AR196" s="299"/>
      <c r="AS196" s="299"/>
      <c r="AT196" s="299"/>
      <c r="AU196" s="299"/>
      <c r="AV196" s="299"/>
      <c r="AW196" s="299"/>
      <c r="AX196" s="299"/>
      <c r="AY196" s="299"/>
    </row>
    <row r="197" spans="1:73" x14ac:dyDescent="0.25">
      <c r="E197" s="5"/>
      <c r="H197" s="297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300"/>
      <c r="AE197" s="299"/>
      <c r="AF197" s="299"/>
      <c r="AG197" s="299"/>
      <c r="AH197" s="299"/>
      <c r="AI197" s="299"/>
      <c r="AJ197" s="299"/>
      <c r="AK197" s="299"/>
      <c r="AL197" s="299"/>
      <c r="AM197" s="299"/>
      <c r="AN197" s="299"/>
      <c r="AO197" s="299"/>
      <c r="AP197" s="299"/>
      <c r="AQ197" s="299"/>
      <c r="AR197" s="299"/>
      <c r="AS197" s="299"/>
      <c r="AT197" s="299"/>
      <c r="AU197" s="299"/>
      <c r="AV197" s="299"/>
      <c r="AW197" s="299"/>
      <c r="AX197" s="299"/>
      <c r="AY197" s="299"/>
    </row>
    <row r="198" spans="1:73" x14ac:dyDescent="0.25">
      <c r="E198" s="5"/>
      <c r="H198" s="297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300"/>
      <c r="AE198" s="299"/>
      <c r="AF198" s="299"/>
      <c r="AG198" s="299"/>
      <c r="AH198" s="299"/>
      <c r="AI198" s="299"/>
      <c r="AJ198" s="299"/>
      <c r="AK198" s="299"/>
      <c r="AL198" s="299"/>
      <c r="AM198" s="299"/>
      <c r="AN198" s="299"/>
      <c r="AO198" s="299"/>
      <c r="AP198" s="299"/>
      <c r="AQ198" s="299"/>
      <c r="AR198" s="299"/>
      <c r="AS198" s="299"/>
      <c r="AT198" s="299"/>
      <c r="AU198" s="299"/>
      <c r="AV198" s="299"/>
      <c r="AW198" s="299"/>
      <c r="AX198" s="299"/>
      <c r="AY198" s="299"/>
    </row>
    <row r="199" spans="1:73" x14ac:dyDescent="0.25">
      <c r="E199" s="5"/>
      <c r="H199" s="297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300"/>
      <c r="AE199" s="299"/>
      <c r="AF199" s="299"/>
      <c r="AG199" s="299"/>
      <c r="AH199" s="299"/>
      <c r="AI199" s="299"/>
      <c r="AJ199" s="299"/>
      <c r="AK199" s="299"/>
      <c r="AL199" s="299"/>
      <c r="AM199" s="299"/>
      <c r="AN199" s="299"/>
      <c r="AO199" s="299"/>
      <c r="AP199" s="299"/>
      <c r="AQ199" s="299"/>
      <c r="AR199" s="299"/>
      <c r="AS199" s="299"/>
      <c r="AT199" s="299"/>
      <c r="AU199" s="299"/>
      <c r="AV199" s="299"/>
      <c r="AW199" s="299"/>
      <c r="AX199" s="299"/>
      <c r="AY199" s="299"/>
    </row>
    <row r="200" spans="1:73" x14ac:dyDescent="0.25">
      <c r="E200" s="5"/>
      <c r="H200" s="297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300"/>
      <c r="AE200" s="299"/>
      <c r="AF200" s="299"/>
      <c r="AG200" s="299"/>
      <c r="AH200" s="299"/>
      <c r="AI200" s="299"/>
      <c r="AJ200" s="299"/>
      <c r="AK200" s="299"/>
      <c r="AL200" s="299"/>
      <c r="AM200" s="299"/>
      <c r="AN200" s="299"/>
      <c r="AO200" s="299"/>
      <c r="AP200" s="299"/>
      <c r="AQ200" s="299"/>
      <c r="AR200" s="299"/>
      <c r="AS200" s="299"/>
      <c r="AT200" s="299"/>
      <c r="AU200" s="299"/>
      <c r="AV200" s="299"/>
      <c r="AW200" s="299"/>
      <c r="AX200" s="299"/>
      <c r="AY200" s="299"/>
    </row>
    <row r="201" spans="1:73" x14ac:dyDescent="0.25">
      <c r="E201" s="5"/>
      <c r="H201" s="297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300"/>
      <c r="AE201" s="299"/>
      <c r="AF201" s="299"/>
      <c r="AG201" s="299"/>
      <c r="AH201" s="299"/>
      <c r="AI201" s="299"/>
      <c r="AJ201" s="299"/>
      <c r="AK201" s="299"/>
      <c r="AL201" s="299"/>
      <c r="AM201" s="299"/>
      <c r="AN201" s="299"/>
      <c r="AO201" s="299"/>
      <c r="AP201" s="299"/>
      <c r="AQ201" s="299"/>
      <c r="AR201" s="299"/>
      <c r="AS201" s="299"/>
      <c r="AT201" s="299"/>
      <c r="AU201" s="299"/>
      <c r="AV201" s="299"/>
      <c r="AW201" s="299"/>
      <c r="AX201" s="299"/>
      <c r="AY201" s="299"/>
    </row>
    <row r="202" spans="1:73" x14ac:dyDescent="0.25">
      <c r="E202" s="5"/>
      <c r="H202" s="297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300"/>
      <c r="AE202" s="299"/>
      <c r="AF202" s="299"/>
      <c r="AG202" s="299"/>
      <c r="AH202" s="299"/>
      <c r="AI202" s="299"/>
      <c r="AJ202" s="299"/>
      <c r="AK202" s="299"/>
      <c r="AL202" s="299"/>
      <c r="AM202" s="299"/>
      <c r="AN202" s="299"/>
      <c r="AO202" s="299"/>
      <c r="AP202" s="299"/>
      <c r="AQ202" s="299"/>
      <c r="AR202" s="299"/>
      <c r="AS202" s="299"/>
      <c r="AT202" s="299"/>
      <c r="AU202" s="299"/>
      <c r="AV202" s="299"/>
      <c r="AW202" s="299"/>
      <c r="AX202" s="299"/>
      <c r="AY202" s="299"/>
    </row>
    <row r="203" spans="1:73" x14ac:dyDescent="0.25">
      <c r="E203" s="5"/>
      <c r="H203" s="297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300"/>
      <c r="AE203" s="299"/>
      <c r="AF203" s="299"/>
      <c r="AG203" s="299"/>
      <c r="AH203" s="299"/>
      <c r="AI203" s="299"/>
      <c r="AJ203" s="299"/>
      <c r="AK203" s="299"/>
      <c r="AL203" s="299"/>
      <c r="AM203" s="299"/>
      <c r="AN203" s="299"/>
      <c r="AO203" s="299"/>
      <c r="AP203" s="299"/>
      <c r="AQ203" s="299"/>
      <c r="AR203" s="299"/>
      <c r="AS203" s="299"/>
      <c r="AT203" s="299"/>
      <c r="AU203" s="299"/>
      <c r="AV203" s="299"/>
      <c r="AW203" s="299"/>
      <c r="AX203" s="299"/>
      <c r="AY203" s="299"/>
    </row>
    <row r="204" spans="1:73" x14ac:dyDescent="0.25">
      <c r="E204" s="5"/>
      <c r="H204" s="297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300"/>
      <c r="AE204" s="299"/>
      <c r="AF204" s="299"/>
      <c r="AG204" s="299"/>
      <c r="AH204" s="299"/>
      <c r="AI204" s="299"/>
      <c r="AJ204" s="299"/>
      <c r="AK204" s="299"/>
      <c r="AL204" s="299"/>
      <c r="AM204" s="299"/>
      <c r="AN204" s="299"/>
      <c r="AO204" s="299"/>
      <c r="AP204" s="299"/>
      <c r="AQ204" s="299"/>
      <c r="AR204" s="299"/>
      <c r="AS204" s="299"/>
      <c r="AT204" s="299"/>
      <c r="AU204" s="299"/>
      <c r="AV204" s="299"/>
      <c r="AW204" s="299"/>
      <c r="AX204" s="299"/>
      <c r="AY204" s="299"/>
    </row>
    <row r="205" spans="1:73" x14ac:dyDescent="0.25">
      <c r="E205" s="5"/>
      <c r="H205" s="297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300"/>
      <c r="AE205" s="299"/>
      <c r="AF205" s="299"/>
      <c r="AG205" s="299"/>
      <c r="AH205" s="299"/>
      <c r="AI205" s="299"/>
      <c r="AJ205" s="299"/>
      <c r="AK205" s="299"/>
      <c r="AL205" s="299"/>
      <c r="AM205" s="299"/>
      <c r="AN205" s="299"/>
      <c r="AO205" s="299"/>
      <c r="AP205" s="299"/>
      <c r="AQ205" s="299"/>
      <c r="AR205" s="299"/>
      <c r="AS205" s="299"/>
      <c r="AT205" s="299"/>
      <c r="AU205" s="299"/>
      <c r="AV205" s="299"/>
      <c r="AW205" s="299"/>
      <c r="AX205" s="299"/>
      <c r="AY205" s="299"/>
    </row>
    <row r="206" spans="1:73" x14ac:dyDescent="0.25">
      <c r="E206" s="5"/>
      <c r="H206" s="297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300"/>
      <c r="AE206" s="299"/>
      <c r="AF206" s="299"/>
      <c r="AG206" s="299"/>
      <c r="AH206" s="299"/>
      <c r="AI206" s="299"/>
      <c r="AJ206" s="299"/>
      <c r="AK206" s="299"/>
      <c r="AL206" s="299"/>
      <c r="AM206" s="299"/>
      <c r="AN206" s="299"/>
      <c r="AO206" s="299"/>
      <c r="AP206" s="299"/>
      <c r="AQ206" s="299"/>
      <c r="AR206" s="299"/>
      <c r="AS206" s="299"/>
      <c r="AT206" s="299"/>
      <c r="AU206" s="299"/>
      <c r="AV206" s="299"/>
      <c r="AW206" s="299"/>
      <c r="AX206" s="299"/>
      <c r="AY206" s="299"/>
    </row>
    <row r="207" spans="1:73" x14ac:dyDescent="0.25">
      <c r="E207" s="5"/>
      <c r="H207" s="297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300"/>
      <c r="AE207" s="299"/>
      <c r="AF207" s="299"/>
      <c r="AG207" s="299"/>
      <c r="AH207" s="299"/>
      <c r="AI207" s="299"/>
      <c r="AJ207" s="299"/>
      <c r="AK207" s="299"/>
      <c r="AL207" s="299"/>
      <c r="AM207" s="299"/>
      <c r="AN207" s="299"/>
      <c r="AO207" s="299"/>
      <c r="AP207" s="299"/>
      <c r="AQ207" s="299"/>
      <c r="AR207" s="299"/>
      <c r="AS207" s="299"/>
      <c r="AT207" s="299"/>
      <c r="AU207" s="299"/>
      <c r="AV207" s="299"/>
      <c r="AW207" s="299"/>
      <c r="AX207" s="299"/>
      <c r="AY207" s="299"/>
    </row>
    <row r="208" spans="1:73" x14ac:dyDescent="0.25">
      <c r="E208" s="5"/>
      <c r="H208" s="297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300"/>
      <c r="AE208" s="299"/>
      <c r="AF208" s="299"/>
      <c r="AG208" s="299"/>
      <c r="AH208" s="299"/>
      <c r="AI208" s="299"/>
      <c r="AJ208" s="299"/>
      <c r="AK208" s="299"/>
      <c r="AL208" s="299"/>
      <c r="AM208" s="299"/>
      <c r="AN208" s="299"/>
      <c r="AO208" s="299"/>
      <c r="AP208" s="299"/>
      <c r="AQ208" s="299"/>
      <c r="AR208" s="299"/>
      <c r="AS208" s="299"/>
      <c r="AT208" s="299"/>
      <c r="AU208" s="299"/>
      <c r="AV208" s="299"/>
      <c r="AW208" s="299"/>
      <c r="AX208" s="299"/>
      <c r="AY208" s="299"/>
    </row>
    <row r="209" spans="5:51" x14ac:dyDescent="0.25">
      <c r="E209" s="5"/>
      <c r="H209" s="297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300"/>
      <c r="AE209" s="299"/>
      <c r="AF209" s="299"/>
      <c r="AG209" s="299"/>
      <c r="AH209" s="299"/>
      <c r="AI209" s="299"/>
      <c r="AJ209" s="299"/>
      <c r="AK209" s="299"/>
      <c r="AL209" s="299"/>
      <c r="AM209" s="299"/>
      <c r="AN209" s="299"/>
      <c r="AO209" s="299"/>
      <c r="AP209" s="299"/>
      <c r="AQ209" s="299"/>
      <c r="AR209" s="299"/>
      <c r="AS209" s="299"/>
      <c r="AT209" s="299"/>
      <c r="AU209" s="299"/>
      <c r="AV209" s="299"/>
      <c r="AW209" s="299"/>
      <c r="AX209" s="299"/>
      <c r="AY209" s="299"/>
    </row>
    <row r="210" spans="5:51" x14ac:dyDescent="0.25">
      <c r="E210" s="5"/>
      <c r="H210" s="297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300"/>
      <c r="AE210" s="299"/>
      <c r="AF210" s="299"/>
      <c r="AG210" s="299"/>
      <c r="AH210" s="299"/>
      <c r="AI210" s="299"/>
      <c r="AJ210" s="299"/>
      <c r="AK210" s="299"/>
      <c r="AL210" s="299"/>
      <c r="AM210" s="299"/>
      <c r="AN210" s="299"/>
      <c r="AO210" s="299"/>
      <c r="AP210" s="299"/>
      <c r="AQ210" s="299"/>
      <c r="AR210" s="299"/>
      <c r="AS210" s="299"/>
      <c r="AT210" s="299"/>
      <c r="AU210" s="299"/>
      <c r="AV210" s="299"/>
      <c r="AW210" s="299"/>
      <c r="AX210" s="299"/>
      <c r="AY210" s="299"/>
    </row>
    <row r="211" spans="5:51" x14ac:dyDescent="0.25">
      <c r="E211" s="5"/>
      <c r="H211" s="297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300"/>
      <c r="AE211" s="299"/>
      <c r="AF211" s="299"/>
      <c r="AG211" s="299"/>
      <c r="AH211" s="299"/>
      <c r="AI211" s="299"/>
      <c r="AJ211" s="299"/>
      <c r="AK211" s="299"/>
      <c r="AL211" s="299"/>
      <c r="AM211" s="299"/>
      <c r="AN211" s="299"/>
      <c r="AO211" s="299"/>
      <c r="AP211" s="299"/>
      <c r="AQ211" s="299"/>
      <c r="AR211" s="299"/>
      <c r="AS211" s="299"/>
      <c r="AT211" s="299"/>
      <c r="AU211" s="299"/>
      <c r="AV211" s="299"/>
      <c r="AW211" s="299"/>
      <c r="AX211" s="299"/>
      <c r="AY211" s="299"/>
    </row>
    <row r="212" spans="5:51" x14ac:dyDescent="0.25">
      <c r="E212" s="5"/>
      <c r="H212" s="297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300"/>
      <c r="AE212" s="299"/>
      <c r="AF212" s="299"/>
      <c r="AG212" s="299"/>
      <c r="AH212" s="299"/>
      <c r="AI212" s="299"/>
      <c r="AJ212" s="299"/>
      <c r="AK212" s="299"/>
      <c r="AL212" s="299"/>
      <c r="AM212" s="299"/>
      <c r="AN212" s="299"/>
      <c r="AO212" s="299"/>
      <c r="AP212" s="299"/>
      <c r="AQ212" s="299"/>
      <c r="AR212" s="299"/>
      <c r="AS212" s="299"/>
      <c r="AT212" s="299"/>
      <c r="AU212" s="299"/>
      <c r="AV212" s="299"/>
      <c r="AW212" s="299"/>
      <c r="AX212" s="299"/>
      <c r="AY212" s="299"/>
    </row>
    <row r="213" spans="5:51" x14ac:dyDescent="0.25">
      <c r="E213" s="5"/>
      <c r="H213" s="297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300"/>
      <c r="AE213" s="299"/>
      <c r="AF213" s="299"/>
      <c r="AG213" s="299"/>
      <c r="AH213" s="299"/>
      <c r="AI213" s="299"/>
      <c r="AJ213" s="299"/>
      <c r="AK213" s="299"/>
      <c r="AL213" s="299"/>
      <c r="AM213" s="299"/>
      <c r="AN213" s="299"/>
      <c r="AO213" s="299"/>
      <c r="AP213" s="299"/>
      <c r="AQ213" s="299"/>
      <c r="AR213" s="299"/>
      <c r="AS213" s="299"/>
      <c r="AT213" s="299"/>
      <c r="AU213" s="299"/>
      <c r="AV213" s="299"/>
      <c r="AW213" s="299"/>
      <c r="AX213" s="299"/>
      <c r="AY213" s="299"/>
    </row>
    <row r="214" spans="5:51" x14ac:dyDescent="0.25">
      <c r="E214" s="5"/>
      <c r="H214" s="297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300"/>
      <c r="AE214" s="299"/>
      <c r="AF214" s="299"/>
      <c r="AG214" s="299"/>
      <c r="AH214" s="299"/>
      <c r="AI214" s="299"/>
      <c r="AJ214" s="299"/>
      <c r="AK214" s="299"/>
      <c r="AL214" s="299"/>
      <c r="AM214" s="299"/>
      <c r="AN214" s="299"/>
      <c r="AO214" s="299"/>
      <c r="AP214" s="299"/>
      <c r="AQ214" s="299"/>
      <c r="AR214" s="299"/>
      <c r="AS214" s="299"/>
      <c r="AT214" s="299"/>
      <c r="AU214" s="299"/>
      <c r="AV214" s="299"/>
      <c r="AW214" s="299"/>
      <c r="AX214" s="299"/>
      <c r="AY214" s="299"/>
    </row>
    <row r="215" spans="5:51" x14ac:dyDescent="0.25">
      <c r="E215" s="5"/>
      <c r="H215" s="297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300"/>
      <c r="AE215" s="299"/>
      <c r="AF215" s="299"/>
      <c r="AG215" s="299"/>
      <c r="AH215" s="299"/>
      <c r="AI215" s="299"/>
      <c r="AJ215" s="299"/>
      <c r="AK215" s="299"/>
      <c r="AL215" s="299"/>
      <c r="AM215" s="299"/>
      <c r="AN215" s="299"/>
      <c r="AO215" s="299"/>
      <c r="AP215" s="299"/>
      <c r="AQ215" s="299"/>
      <c r="AR215" s="299"/>
      <c r="AS215" s="299"/>
      <c r="AT215" s="299"/>
      <c r="AU215" s="299"/>
      <c r="AV215" s="299"/>
      <c r="AW215" s="299"/>
      <c r="AX215" s="299"/>
      <c r="AY215" s="299"/>
    </row>
    <row r="216" spans="5:51" x14ac:dyDescent="0.25">
      <c r="E216" s="5"/>
      <c r="H216" s="297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300"/>
      <c r="AE216" s="299"/>
      <c r="AF216" s="299"/>
      <c r="AG216" s="299"/>
      <c r="AH216" s="299"/>
      <c r="AI216" s="299"/>
      <c r="AJ216" s="299"/>
      <c r="AK216" s="299"/>
      <c r="AL216" s="299"/>
      <c r="AM216" s="299"/>
      <c r="AN216" s="299"/>
      <c r="AO216" s="299"/>
      <c r="AP216" s="299"/>
      <c r="AQ216" s="299"/>
      <c r="AR216" s="299"/>
      <c r="AS216" s="299"/>
      <c r="AT216" s="299"/>
      <c r="AU216" s="299"/>
      <c r="AV216" s="299"/>
      <c r="AW216" s="299"/>
      <c r="AX216" s="299"/>
      <c r="AY216" s="299"/>
    </row>
    <row r="217" spans="5:51" x14ac:dyDescent="0.25">
      <c r="E217" s="5"/>
      <c r="H217" s="297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300"/>
      <c r="AE217" s="299"/>
      <c r="AF217" s="299"/>
      <c r="AG217" s="299"/>
      <c r="AH217" s="299"/>
      <c r="AI217" s="299"/>
      <c r="AJ217" s="299"/>
      <c r="AK217" s="299"/>
      <c r="AL217" s="299"/>
      <c r="AM217" s="299"/>
      <c r="AN217" s="299"/>
      <c r="AO217" s="299"/>
      <c r="AP217" s="299"/>
      <c r="AQ217" s="299"/>
      <c r="AR217" s="299"/>
      <c r="AS217" s="299"/>
      <c r="AT217" s="299"/>
      <c r="AU217" s="299"/>
      <c r="AV217" s="299"/>
      <c r="AW217" s="299"/>
      <c r="AX217" s="299"/>
      <c r="AY217" s="299"/>
    </row>
    <row r="218" spans="5:51" x14ac:dyDescent="0.25">
      <c r="E218" s="5"/>
      <c r="H218" s="297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300"/>
      <c r="AE218" s="299"/>
      <c r="AF218" s="299"/>
      <c r="AG218" s="299"/>
      <c r="AH218" s="299"/>
      <c r="AI218" s="299"/>
      <c r="AJ218" s="299"/>
      <c r="AK218" s="299"/>
      <c r="AL218" s="299"/>
      <c r="AM218" s="299"/>
      <c r="AN218" s="299"/>
      <c r="AO218" s="299"/>
      <c r="AP218" s="299"/>
      <c r="AQ218" s="299"/>
      <c r="AR218" s="299"/>
      <c r="AS218" s="299"/>
      <c r="AT218" s="299"/>
      <c r="AU218" s="299"/>
      <c r="AV218" s="299"/>
      <c r="AW218" s="299"/>
      <c r="AX218" s="299"/>
      <c r="AY218" s="299"/>
    </row>
    <row r="219" spans="5:51" x14ac:dyDescent="0.25">
      <c r="E219" s="5"/>
      <c r="H219" s="297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300"/>
      <c r="AE219" s="299"/>
      <c r="AF219" s="299"/>
      <c r="AG219" s="299"/>
      <c r="AH219" s="299"/>
      <c r="AI219" s="299"/>
      <c r="AJ219" s="299"/>
      <c r="AK219" s="299"/>
      <c r="AL219" s="299"/>
      <c r="AM219" s="299"/>
      <c r="AN219" s="299"/>
      <c r="AO219" s="299"/>
      <c r="AP219" s="299"/>
      <c r="AQ219" s="299"/>
      <c r="AR219" s="299"/>
      <c r="AS219" s="299"/>
      <c r="AT219" s="299"/>
      <c r="AU219" s="299"/>
      <c r="AV219" s="299"/>
      <c r="AW219" s="299"/>
      <c r="AX219" s="299"/>
      <c r="AY219" s="299"/>
    </row>
    <row r="220" spans="5:51" x14ac:dyDescent="0.25">
      <c r="E220" s="5"/>
      <c r="H220" s="297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300"/>
      <c r="AE220" s="299"/>
      <c r="AF220" s="299"/>
      <c r="AG220" s="299"/>
      <c r="AH220" s="299"/>
      <c r="AI220" s="299"/>
      <c r="AJ220" s="299"/>
      <c r="AK220" s="299"/>
      <c r="AL220" s="299"/>
      <c r="AM220" s="299"/>
      <c r="AN220" s="299"/>
      <c r="AO220" s="299"/>
      <c r="AP220" s="299"/>
      <c r="AQ220" s="299"/>
      <c r="AR220" s="299"/>
      <c r="AS220" s="299"/>
      <c r="AT220" s="299"/>
      <c r="AU220" s="299"/>
      <c r="AV220" s="299"/>
      <c r="AW220" s="299"/>
      <c r="AX220" s="299"/>
      <c r="AY220" s="299"/>
    </row>
    <row r="221" spans="5:51" x14ac:dyDescent="0.25">
      <c r="E221" s="5"/>
      <c r="H221" s="297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300"/>
      <c r="AE221" s="299"/>
      <c r="AF221" s="299"/>
      <c r="AG221" s="299"/>
      <c r="AH221" s="299"/>
      <c r="AI221" s="299"/>
      <c r="AJ221" s="299"/>
      <c r="AK221" s="299"/>
      <c r="AL221" s="299"/>
      <c r="AM221" s="299"/>
      <c r="AN221" s="299"/>
      <c r="AO221" s="299"/>
      <c r="AP221" s="299"/>
      <c r="AQ221" s="299"/>
      <c r="AR221" s="299"/>
      <c r="AS221" s="299"/>
      <c r="AT221" s="299"/>
      <c r="AU221" s="299"/>
      <c r="AV221" s="299"/>
      <c r="AW221" s="299"/>
      <c r="AX221" s="299"/>
      <c r="AY221" s="299"/>
    </row>
    <row r="222" spans="5:51" x14ac:dyDescent="0.25">
      <c r="E222" s="5"/>
      <c r="H222" s="297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300"/>
      <c r="AE222" s="299"/>
      <c r="AF222" s="299"/>
      <c r="AG222" s="299"/>
      <c r="AH222" s="299"/>
      <c r="AI222" s="299"/>
      <c r="AJ222" s="299"/>
      <c r="AK222" s="299"/>
      <c r="AL222" s="299"/>
      <c r="AM222" s="299"/>
      <c r="AN222" s="299"/>
      <c r="AO222" s="299"/>
      <c r="AP222" s="299"/>
      <c r="AQ222" s="299"/>
      <c r="AR222" s="299"/>
      <c r="AS222" s="299"/>
      <c r="AT222" s="299"/>
      <c r="AU222" s="299"/>
      <c r="AV222" s="299"/>
      <c r="AW222" s="299"/>
      <c r="AX222" s="299"/>
      <c r="AY222" s="299"/>
    </row>
    <row r="223" spans="5:51" x14ac:dyDescent="0.25">
      <c r="E223" s="5"/>
      <c r="H223" s="297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300"/>
      <c r="AE223" s="299"/>
      <c r="AF223" s="299"/>
      <c r="AG223" s="299"/>
      <c r="AH223" s="299"/>
      <c r="AI223" s="299"/>
      <c r="AJ223" s="299"/>
      <c r="AK223" s="299"/>
      <c r="AL223" s="299"/>
      <c r="AM223" s="299"/>
      <c r="AN223" s="299"/>
      <c r="AO223" s="299"/>
      <c r="AP223" s="299"/>
      <c r="AQ223" s="299"/>
      <c r="AR223" s="299"/>
      <c r="AS223" s="299"/>
      <c r="AT223" s="299"/>
      <c r="AU223" s="299"/>
      <c r="AV223" s="299"/>
      <c r="AW223" s="299"/>
      <c r="AX223" s="299"/>
      <c r="AY223" s="299"/>
    </row>
    <row r="224" spans="5:51" x14ac:dyDescent="0.25">
      <c r="E224" s="5"/>
      <c r="H224" s="297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300"/>
      <c r="AE224" s="299"/>
      <c r="AF224" s="299"/>
      <c r="AG224" s="299"/>
      <c r="AH224" s="299"/>
      <c r="AI224" s="299"/>
      <c r="AJ224" s="299"/>
      <c r="AK224" s="299"/>
      <c r="AL224" s="299"/>
      <c r="AM224" s="299"/>
      <c r="AN224" s="299"/>
      <c r="AO224" s="299"/>
      <c r="AP224" s="299"/>
      <c r="AQ224" s="299"/>
      <c r="AR224" s="299"/>
      <c r="AS224" s="299"/>
      <c r="AT224" s="299"/>
      <c r="AU224" s="299"/>
      <c r="AV224" s="299"/>
      <c r="AW224" s="299"/>
      <c r="AX224" s="299"/>
      <c r="AY224" s="299"/>
    </row>
    <row r="225" spans="5:51" x14ac:dyDescent="0.25">
      <c r="E225" s="5"/>
      <c r="H225" s="297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300"/>
      <c r="AE225" s="299"/>
      <c r="AF225" s="299"/>
      <c r="AG225" s="299"/>
      <c r="AH225" s="299"/>
      <c r="AI225" s="299"/>
      <c r="AJ225" s="299"/>
      <c r="AK225" s="299"/>
      <c r="AL225" s="299"/>
      <c r="AM225" s="299"/>
      <c r="AN225" s="299"/>
      <c r="AO225" s="299"/>
      <c r="AP225" s="299"/>
      <c r="AQ225" s="299"/>
      <c r="AR225" s="299"/>
      <c r="AS225" s="299"/>
      <c r="AT225" s="299"/>
      <c r="AU225" s="299"/>
      <c r="AV225" s="299"/>
      <c r="AW225" s="299"/>
      <c r="AX225" s="299"/>
      <c r="AY225" s="299"/>
    </row>
    <row r="226" spans="5:51" x14ac:dyDescent="0.25">
      <c r="E226" s="5"/>
      <c r="H226" s="297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300"/>
      <c r="AE226" s="299"/>
      <c r="AF226" s="299"/>
      <c r="AG226" s="299"/>
      <c r="AH226" s="299"/>
      <c r="AI226" s="299"/>
      <c r="AJ226" s="299"/>
      <c r="AK226" s="299"/>
      <c r="AL226" s="299"/>
      <c r="AM226" s="299"/>
      <c r="AN226" s="299"/>
      <c r="AO226" s="299"/>
      <c r="AP226" s="299"/>
      <c r="AQ226" s="299"/>
      <c r="AR226" s="299"/>
      <c r="AS226" s="299"/>
      <c r="AT226" s="299"/>
      <c r="AU226" s="299"/>
      <c r="AV226" s="299"/>
      <c r="AW226" s="299"/>
      <c r="AX226" s="299"/>
      <c r="AY226" s="299"/>
    </row>
    <row r="227" spans="5:51" x14ac:dyDescent="0.25">
      <c r="E227" s="5"/>
      <c r="H227" s="297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300"/>
      <c r="AE227" s="299"/>
      <c r="AF227" s="299"/>
      <c r="AG227" s="299"/>
      <c r="AH227" s="299"/>
      <c r="AI227" s="299"/>
      <c r="AJ227" s="299"/>
      <c r="AK227" s="299"/>
      <c r="AL227" s="299"/>
      <c r="AM227" s="299"/>
      <c r="AN227" s="299"/>
      <c r="AO227" s="299"/>
      <c r="AP227" s="299"/>
      <c r="AQ227" s="299"/>
      <c r="AR227" s="299"/>
      <c r="AS227" s="299"/>
      <c r="AT227" s="299"/>
      <c r="AU227" s="299"/>
      <c r="AV227" s="299"/>
      <c r="AW227" s="299"/>
      <c r="AX227" s="299"/>
      <c r="AY227" s="299"/>
    </row>
  </sheetData>
  <pageMargins left="0.7" right="0.7" top="0.75" bottom="0.75" header="0.51180555555555496" footer="0.51180555555555496"/>
  <pageSetup firstPageNumber="0" orientation="portrait" horizontalDpi="4294967293" vertic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7"/>
  <sheetViews>
    <sheetView topLeftCell="AC1" zoomScale="70" zoomScaleNormal="70" workbookViewId="0">
      <pane ySplit="5" topLeftCell="A6" activePane="bottomLeft" state="frozen"/>
      <selection pane="bottomLeft" activeCell="BE166" sqref="BE166:BG166"/>
    </sheetView>
  </sheetViews>
  <sheetFormatPr defaultColWidth="8.85546875" defaultRowHeight="15" x14ac:dyDescent="0.25"/>
  <cols>
    <col min="1" max="1" width="28.85546875" style="1" bestFit="1" customWidth="1"/>
    <col min="2" max="2" width="15" style="1" bestFit="1" customWidth="1"/>
    <col min="3" max="3" width="8.85546875" style="1"/>
    <col min="4" max="4" width="23.5703125" style="1" bestFit="1" customWidth="1"/>
    <col min="5" max="7" width="8.85546875" style="1"/>
    <col min="8" max="8" width="8.85546875" style="298"/>
    <col min="9" max="29" width="8.85546875" style="1"/>
    <col min="30" max="30" width="8.85546875" style="298"/>
    <col min="31" max="51" width="8.85546875" style="1"/>
    <col min="52" max="52" width="8.85546875" style="298"/>
    <col min="53" max="1024" width="8.85546875" style="1"/>
  </cols>
  <sheetData>
    <row r="1" spans="1:116" x14ac:dyDescent="0.25">
      <c r="B1"/>
      <c r="C1"/>
      <c r="D1"/>
      <c r="E1"/>
      <c r="F1"/>
      <c r="G1"/>
      <c r="H1" s="111">
        <f>40*365/1000</f>
        <v>14.6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 s="11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 s="11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</row>
    <row r="2" spans="1:116" x14ac:dyDescent="0.25">
      <c r="A2" s="172" t="s">
        <v>626</v>
      </c>
      <c r="B2" s="2">
        <v>10</v>
      </c>
      <c r="C2" s="3" t="s">
        <v>51</v>
      </c>
      <c r="G2" s="15" t="s">
        <v>679</v>
      </c>
      <c r="H2" s="111"/>
      <c r="I2"/>
      <c r="J2"/>
      <c r="K2"/>
      <c r="L2"/>
      <c r="M2" s="210">
        <v>2020</v>
      </c>
      <c r="N2" s="210">
        <v>2025</v>
      </c>
      <c r="O2" s="210">
        <v>2030</v>
      </c>
      <c r="P2" s="210">
        <v>2035</v>
      </c>
      <c r="Q2" s="210">
        <v>2040</v>
      </c>
      <c r="R2" s="210">
        <v>2045</v>
      </c>
      <c r="S2" s="210">
        <v>2050</v>
      </c>
      <c r="T2" s="210">
        <v>2055</v>
      </c>
      <c r="U2" s="210">
        <v>2060</v>
      </c>
      <c r="V2" s="210">
        <v>2065</v>
      </c>
      <c r="W2" s="210">
        <v>2070</v>
      </c>
      <c r="X2" s="210">
        <v>2075</v>
      </c>
      <c r="Y2" s="210">
        <v>2080</v>
      </c>
      <c r="Z2" s="210">
        <v>2085</v>
      </c>
      <c r="AA2" s="210">
        <v>2090</v>
      </c>
      <c r="AB2" s="210">
        <v>2095</v>
      </c>
      <c r="AC2" s="210">
        <v>2100</v>
      </c>
      <c r="AD2" s="111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s="111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</row>
    <row r="3" spans="1:116" x14ac:dyDescent="0.25">
      <c r="A3" s="263" t="s">
        <v>54</v>
      </c>
      <c r="B3" s="304">
        <f>Control!G14</f>
        <v>0</v>
      </c>
      <c r="C3" t="s">
        <v>627</v>
      </c>
      <c r="F3" s="1">
        <v>24.5</v>
      </c>
      <c r="G3" s="1">
        <v>0.5</v>
      </c>
      <c r="H3" s="111"/>
      <c r="I3"/>
      <c r="J3"/>
      <c r="L3" t="s">
        <v>873</v>
      </c>
      <c r="M3">
        <f>1+1/(1+EXP(-$B$4*(M$5-$S$5)))</f>
        <v>1.0474258731775667</v>
      </c>
      <c r="N3">
        <f t="shared" ref="N3:AC3" si="0">1+1/(1+EXP(-$B$4*(N$5-$S$5)))</f>
        <v>1.0758581800212434</v>
      </c>
      <c r="O3">
        <f t="shared" si="0"/>
        <v>1.1192029220221176</v>
      </c>
      <c r="P3">
        <f t="shared" si="0"/>
        <v>1.1824255238063563</v>
      </c>
      <c r="Q3">
        <f t="shared" si="0"/>
        <v>1.2689414213699952</v>
      </c>
      <c r="R3">
        <f t="shared" si="0"/>
        <v>1.3775406687981455</v>
      </c>
      <c r="S3">
        <f t="shared" si="0"/>
        <v>1.5</v>
      </c>
      <c r="T3">
        <f t="shared" si="0"/>
        <v>1.6224593312018545</v>
      </c>
      <c r="U3">
        <f t="shared" si="0"/>
        <v>1.7310585786300048</v>
      </c>
      <c r="V3">
        <f t="shared" si="0"/>
        <v>1.8175744761936437</v>
      </c>
      <c r="W3">
        <f t="shared" si="0"/>
        <v>1.8807970779778822</v>
      </c>
      <c r="X3">
        <f t="shared" si="0"/>
        <v>1.9241418199787566</v>
      </c>
      <c r="Y3">
        <f t="shared" si="0"/>
        <v>1.9525741268224333</v>
      </c>
      <c r="Z3">
        <f t="shared" si="0"/>
        <v>1.9706877692486438</v>
      </c>
      <c r="AA3">
        <f t="shared" si="0"/>
        <v>1.9820137900379085</v>
      </c>
      <c r="AB3">
        <f t="shared" si="0"/>
        <v>1.9890130573694069</v>
      </c>
      <c r="AC3">
        <f t="shared" si="0"/>
        <v>1.9933071490757153</v>
      </c>
      <c r="AD3" s="111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s="111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</row>
    <row r="4" spans="1:116" x14ac:dyDescent="0.25">
      <c r="A4" t="s">
        <v>872</v>
      </c>
      <c r="B4">
        <v>0.1</v>
      </c>
      <c r="C4"/>
      <c r="D4"/>
      <c r="E4" s="3" t="s">
        <v>51</v>
      </c>
      <c r="F4"/>
      <c r="G4"/>
      <c r="H4" s="295" t="s">
        <v>48</v>
      </c>
      <c r="I4" s="4"/>
      <c r="J4" s="4"/>
      <c r="K4" s="4"/>
      <c r="L4" s="4"/>
      <c r="M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74" t="s">
        <v>697</v>
      </c>
      <c r="AE4" s="4"/>
      <c r="AF4" s="4"/>
      <c r="AG4" s="4"/>
      <c r="AH4" s="4"/>
      <c r="AI4" s="4"/>
      <c r="AJ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295" t="s">
        <v>55</v>
      </c>
      <c r="BA4" s="4"/>
      <c r="BB4" s="4"/>
      <c r="BC4" s="4"/>
      <c r="BD4" s="4"/>
      <c r="BE4" s="4"/>
      <c r="BF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</row>
    <row r="5" spans="1:116" x14ac:dyDescent="0.25">
      <c r="A5" s="210" t="s">
        <v>0</v>
      </c>
      <c r="B5" s="210" t="s">
        <v>1</v>
      </c>
      <c r="C5" s="210" t="s">
        <v>2</v>
      </c>
      <c r="D5" s="210" t="s">
        <v>3</v>
      </c>
      <c r="E5" s="210" t="s">
        <v>48</v>
      </c>
      <c r="F5" s="93" t="s">
        <v>628</v>
      </c>
      <c r="G5" s="93" t="s">
        <v>629</v>
      </c>
      <c r="H5" s="296">
        <v>1975</v>
      </c>
      <c r="I5" s="210">
        <v>1990</v>
      </c>
      <c r="J5" s="210">
        <v>2005</v>
      </c>
      <c r="K5" s="210">
        <v>2010</v>
      </c>
      <c r="L5" s="210">
        <v>2015</v>
      </c>
      <c r="M5" s="210">
        <v>2020</v>
      </c>
      <c r="N5" s="210">
        <v>2025</v>
      </c>
      <c r="O5" s="210">
        <v>2030</v>
      </c>
      <c r="P5" s="210">
        <v>2035</v>
      </c>
      <c r="Q5" s="210">
        <v>2040</v>
      </c>
      <c r="R5" s="210">
        <v>2045</v>
      </c>
      <c r="S5" s="210">
        <v>2050</v>
      </c>
      <c r="T5" s="210">
        <v>2055</v>
      </c>
      <c r="U5" s="210">
        <v>2060</v>
      </c>
      <c r="V5" s="210">
        <v>2065</v>
      </c>
      <c r="W5" s="210">
        <v>2070</v>
      </c>
      <c r="X5" s="210">
        <v>2075</v>
      </c>
      <c r="Y5" s="210">
        <v>2080</v>
      </c>
      <c r="Z5" s="210">
        <v>2085</v>
      </c>
      <c r="AA5" s="210">
        <v>2090</v>
      </c>
      <c r="AB5" s="210">
        <v>2095</v>
      </c>
      <c r="AC5" s="210">
        <v>2100</v>
      </c>
      <c r="AD5" s="296">
        <v>1975</v>
      </c>
      <c r="AE5" s="210">
        <v>1990</v>
      </c>
      <c r="AF5" s="210">
        <v>2005</v>
      </c>
      <c r="AG5" s="210">
        <v>2010</v>
      </c>
      <c r="AH5" s="210">
        <v>2015</v>
      </c>
      <c r="AI5" s="210">
        <v>2020</v>
      </c>
      <c r="AJ5" s="210">
        <v>2025</v>
      </c>
      <c r="AK5" s="210">
        <v>2030</v>
      </c>
      <c r="AL5" s="210">
        <v>2035</v>
      </c>
      <c r="AM5" s="210">
        <v>2040</v>
      </c>
      <c r="AN5" s="210">
        <v>2045</v>
      </c>
      <c r="AO5" s="210">
        <v>2050</v>
      </c>
      <c r="AP5" s="210">
        <v>2055</v>
      </c>
      <c r="AQ5" s="210">
        <v>2060</v>
      </c>
      <c r="AR5" s="210">
        <v>2065</v>
      </c>
      <c r="AS5" s="210">
        <v>2070</v>
      </c>
      <c r="AT5" s="210">
        <v>2075</v>
      </c>
      <c r="AU5" s="210">
        <v>2080</v>
      </c>
      <c r="AV5" s="210">
        <v>2085</v>
      </c>
      <c r="AW5" s="210">
        <v>2090</v>
      </c>
      <c r="AX5" s="210">
        <v>2095</v>
      </c>
      <c r="AY5" s="210">
        <v>2100</v>
      </c>
      <c r="AZ5" s="296">
        <v>1975</v>
      </c>
      <c r="BA5" s="210">
        <v>1990</v>
      </c>
      <c r="BB5" s="210">
        <v>2005</v>
      </c>
      <c r="BC5" s="210">
        <v>2010</v>
      </c>
      <c r="BD5" s="210">
        <v>2015</v>
      </c>
      <c r="BE5" s="210">
        <v>2020</v>
      </c>
      <c r="BF5" s="210">
        <v>2025</v>
      </c>
      <c r="BG5" s="210">
        <v>2030</v>
      </c>
      <c r="BH5" s="210">
        <v>2035</v>
      </c>
      <c r="BI5" s="210">
        <v>2040</v>
      </c>
      <c r="BJ5" s="210">
        <v>2045</v>
      </c>
      <c r="BK5" s="210">
        <v>2050</v>
      </c>
      <c r="BL5" s="210">
        <v>2055</v>
      </c>
      <c r="BM5" s="210">
        <v>2060</v>
      </c>
      <c r="BN5" s="210">
        <v>2065</v>
      </c>
      <c r="BO5" s="210">
        <v>2070</v>
      </c>
      <c r="BP5" s="210">
        <v>2075</v>
      </c>
      <c r="BQ5" s="210">
        <v>2080</v>
      </c>
      <c r="BR5" s="210">
        <v>2085</v>
      </c>
      <c r="BS5" s="210">
        <v>2090</v>
      </c>
      <c r="BT5" s="210">
        <v>2095</v>
      </c>
      <c r="BU5" s="210">
        <v>2100</v>
      </c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</row>
    <row r="6" spans="1:116" x14ac:dyDescent="0.25">
      <c r="A6" t="s">
        <v>4</v>
      </c>
      <c r="B6" s="1" t="s">
        <v>5</v>
      </c>
      <c r="C6" t="s">
        <v>18</v>
      </c>
      <c r="D6" t="s">
        <v>18</v>
      </c>
      <c r="E6" s="97">
        <v>6.7944750000000003</v>
      </c>
      <c r="F6" s="5">
        <f>E6/$B$2*$F$3/1000</f>
        <v>1.664646375E-2</v>
      </c>
      <c r="G6" s="1">
        <f>LOOKUP(RIGHT(D6,5),Ref!$C$4:$C$21,Ref!$E$4:$E$21)*$G$3</f>
        <v>3</v>
      </c>
      <c r="H6" s="36">
        <f t="shared" ref="H6:L21" si="1">$E6</f>
        <v>6.7944750000000003</v>
      </c>
      <c r="I6" s="12">
        <f t="shared" si="1"/>
        <v>6.7944750000000003</v>
      </c>
      <c r="J6" s="12">
        <f t="shared" si="1"/>
        <v>6.7944750000000003</v>
      </c>
      <c r="K6" s="12">
        <f t="shared" si="1"/>
        <v>6.7944750000000003</v>
      </c>
      <c r="L6" s="12">
        <f t="shared" si="1"/>
        <v>6.7944750000000003</v>
      </c>
      <c r="M6" s="12">
        <f>M$3*$E6</f>
        <v>7.116708909658148</v>
      </c>
      <c r="N6" s="12">
        <f t="shared" ref="N6:AC21" si="2">N$3*$E6</f>
        <v>7.3098915076998381</v>
      </c>
      <c r="O6" s="12">
        <f t="shared" si="2"/>
        <v>7.6043962736062278</v>
      </c>
      <c r="P6" s="12">
        <f t="shared" si="2"/>
        <v>8.033960660864194</v>
      </c>
      <c r="Q6" s="12">
        <f t="shared" si="2"/>
        <v>8.621790763962899</v>
      </c>
      <c r="R6" s="12">
        <f t="shared" si="2"/>
        <v>9.3596656356322807</v>
      </c>
      <c r="S6" s="12">
        <f t="shared" si="2"/>
        <v>10.191712500000001</v>
      </c>
      <c r="T6" s="12">
        <f t="shared" si="2"/>
        <v>11.02375936436772</v>
      </c>
      <c r="U6" s="12">
        <f t="shared" si="2"/>
        <v>11.761634236037102</v>
      </c>
      <c r="V6" s="12">
        <f t="shared" si="2"/>
        <v>12.349464339135807</v>
      </c>
      <c r="W6" s="12">
        <f t="shared" si="2"/>
        <v>12.779028726393772</v>
      </c>
      <c r="X6" s="12">
        <f t="shared" si="2"/>
        <v>13.073533492300163</v>
      </c>
      <c r="Y6" s="12">
        <f t="shared" si="2"/>
        <v>13.266716090341852</v>
      </c>
      <c r="Z6" s="12">
        <f t="shared" si="2"/>
        <v>13.389788780965679</v>
      </c>
      <c r="AA6" s="12">
        <f t="shared" si="2"/>
        <v>13.466743146067818</v>
      </c>
      <c r="AB6" s="12">
        <f t="shared" si="2"/>
        <v>13.514299492970002</v>
      </c>
      <c r="AC6" s="12">
        <f t="shared" si="2"/>
        <v>13.543475591716222</v>
      </c>
      <c r="AD6" s="300">
        <f t="shared" ref="AD6:AS21" si="3">Algae_electricity_factor/H6</f>
        <v>2.0227607141875214E-3</v>
      </c>
      <c r="AE6" s="299">
        <f t="shared" si="3"/>
        <v>2.0227607141875214E-3</v>
      </c>
      <c r="AF6" s="299">
        <f t="shared" si="3"/>
        <v>2.0227607141875214E-3</v>
      </c>
      <c r="AG6" s="299">
        <f t="shared" si="3"/>
        <v>2.0227607141875214E-3</v>
      </c>
      <c r="AH6" s="299">
        <f t="shared" si="3"/>
        <v>2.0227607141875214E-3</v>
      </c>
      <c r="AI6" s="299">
        <f t="shared" si="3"/>
        <v>1.931173141685998E-3</v>
      </c>
      <c r="AJ6" s="299">
        <f t="shared" si="3"/>
        <v>1.8801369471834854E-3</v>
      </c>
      <c r="AK6" s="299">
        <f t="shared" si="3"/>
        <v>1.8073225814429635E-3</v>
      </c>
      <c r="AL6" s="299">
        <f t="shared" si="3"/>
        <v>1.7106876276452782E-3</v>
      </c>
      <c r="AM6" s="299">
        <f t="shared" si="3"/>
        <v>1.5940536577359696E-3</v>
      </c>
      <c r="AN6" s="299">
        <f t="shared" si="3"/>
        <v>1.4683854785589067E-3</v>
      </c>
      <c r="AO6" s="299">
        <f t="shared" si="3"/>
        <v>1.3485071427916807E-3</v>
      </c>
      <c r="AP6" s="299">
        <f t="shared" si="3"/>
        <v>1.2467250644052441E-3</v>
      </c>
      <c r="AQ6" s="299">
        <f t="shared" si="3"/>
        <v>1.1685108402214647E-3</v>
      </c>
      <c r="AR6" s="299">
        <f t="shared" si="3"/>
        <v>1.1128901405039412E-3</v>
      </c>
      <c r="AS6" s="299">
        <f t="shared" si="3"/>
        <v>1.0754805703772517E-3</v>
      </c>
      <c r="AT6" s="299">
        <f t="shared" ref="AT6:AY48" si="4">Algae_electricity_factor/X6</f>
        <v>1.0512534435792543E-3</v>
      </c>
      <c r="AU6" s="299">
        <f t="shared" si="4"/>
        <v>1.0359456711020278E-3</v>
      </c>
      <c r="AV6" s="299">
        <f t="shared" si="4"/>
        <v>1.0264237418790756E-3</v>
      </c>
      <c r="AW6" s="299">
        <f t="shared" si="4"/>
        <v>1.0205583454335268E-3</v>
      </c>
      <c r="AX6" s="299">
        <f t="shared" si="4"/>
        <v>1.0169670363364771E-3</v>
      </c>
      <c r="AY6" s="299">
        <f t="shared" si="4"/>
        <v>1.0147762301085728E-3</v>
      </c>
      <c r="AZ6" s="306">
        <f t="shared" ref="AZ6:BO21" si="5">Algae_yield_cost_factor/H6</f>
        <v>0.11197960391144536</v>
      </c>
      <c r="BA6" s="2">
        <f t="shared" si="5"/>
        <v>0.11197960391144536</v>
      </c>
      <c r="BB6" s="2">
        <f t="shared" si="5"/>
        <v>0.11197960391144536</v>
      </c>
      <c r="BC6" s="2">
        <f t="shared" si="5"/>
        <v>0.11197960391144536</v>
      </c>
      <c r="BD6" s="2">
        <f t="shared" si="5"/>
        <v>0.11197960391144536</v>
      </c>
      <c r="BE6" s="2">
        <f t="shared" si="5"/>
        <v>0.1069093353324697</v>
      </c>
      <c r="BF6" s="2">
        <f t="shared" si="5"/>
        <v>0.10408398243459399</v>
      </c>
      <c r="BG6" s="2">
        <f t="shared" si="5"/>
        <v>0.10005299459826859</v>
      </c>
      <c r="BH6" s="2">
        <f t="shared" si="5"/>
        <v>9.4703304061782123E-2</v>
      </c>
      <c r="BI6" s="2">
        <f t="shared" si="5"/>
        <v>8.8246472237109352E-2</v>
      </c>
      <c r="BJ6" s="2">
        <f t="shared" si="5"/>
        <v>8.1289508504415714E-2</v>
      </c>
      <c r="BK6" s="2">
        <f t="shared" si="5"/>
        <v>7.4653069274296907E-2</v>
      </c>
      <c r="BL6" s="2">
        <f t="shared" si="5"/>
        <v>6.9018435012787191E-2</v>
      </c>
      <c r="BM6" s="2">
        <f t="shared" si="5"/>
        <v>6.4688512158882758E-2</v>
      </c>
      <c r="BN6" s="2">
        <f t="shared" si="5"/>
        <v>6.1609362025127332E-2</v>
      </c>
      <c r="BO6" s="2">
        <f t="shared" si="5"/>
        <v>5.9538376161153428E-2</v>
      </c>
      <c r="BP6" s="2">
        <f t="shared" ref="BP6:BU48" si="6">Algae_yield_cost_factor/X6</f>
        <v>5.8197167562566501E-2</v>
      </c>
      <c r="BQ6" s="2">
        <f t="shared" si="6"/>
        <v>5.7349732526507442E-2</v>
      </c>
      <c r="BR6" s="2">
        <f t="shared" si="6"/>
        <v>5.6822600545260088E-2</v>
      </c>
      <c r="BS6" s="2">
        <f t="shared" si="6"/>
        <v>5.6497893442660464E-2</v>
      </c>
      <c r="BT6" s="2">
        <f t="shared" si="6"/>
        <v>5.6299079333116758E-2</v>
      </c>
      <c r="BU6" s="2">
        <f t="shared" si="6"/>
        <v>5.6177796765224886E-2</v>
      </c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</row>
    <row r="7" spans="1:116" x14ac:dyDescent="0.25">
      <c r="A7" t="s">
        <v>4</v>
      </c>
      <c r="B7" s="1" t="s">
        <v>5</v>
      </c>
      <c r="C7" t="s">
        <v>6</v>
      </c>
      <c r="D7" t="s">
        <v>6</v>
      </c>
      <c r="E7" s="97">
        <v>6.0706800000000003</v>
      </c>
      <c r="F7" s="5">
        <f t="shared" ref="F7:F70" si="7">E7/$B$2*$F$3/1000</f>
        <v>1.4873166000000002E-2</v>
      </c>
      <c r="G7" s="1">
        <f>LOOKUP(RIGHT(D7,5),Ref!$C$4:$C$21,Ref!$E$4:$E$21)*$G$3</f>
        <v>3</v>
      </c>
      <c r="H7" s="36">
        <f t="shared" si="1"/>
        <v>6.0706800000000003</v>
      </c>
      <c r="I7" s="12">
        <f t="shared" si="1"/>
        <v>6.0706800000000003</v>
      </c>
      <c r="J7" s="12">
        <f t="shared" si="1"/>
        <v>6.0706800000000003</v>
      </c>
      <c r="K7" s="12">
        <f t="shared" si="1"/>
        <v>6.0706800000000003</v>
      </c>
      <c r="L7" s="12">
        <f t="shared" si="1"/>
        <v>6.0706800000000003</v>
      </c>
      <c r="M7" s="12">
        <f t="shared" ref="M7:AB36" si="8">M$3*$E7</f>
        <v>6.3585872997815915</v>
      </c>
      <c r="N7" s="12">
        <f t="shared" si="2"/>
        <v>6.5311907362913626</v>
      </c>
      <c r="O7" s="12">
        <f t="shared" si="2"/>
        <v>6.7943227946612295</v>
      </c>
      <c r="P7" s="12">
        <f t="shared" si="2"/>
        <v>7.1781269788607718</v>
      </c>
      <c r="Q7" s="12">
        <f t="shared" si="2"/>
        <v>7.7033373078824026</v>
      </c>
      <c r="R7" s="12">
        <f t="shared" si="2"/>
        <v>8.3626085872595262</v>
      </c>
      <c r="S7" s="12">
        <f t="shared" si="2"/>
        <v>9.1060200000000009</v>
      </c>
      <c r="T7" s="12">
        <f t="shared" si="2"/>
        <v>9.8494314127404738</v>
      </c>
      <c r="U7" s="12">
        <f t="shared" si="2"/>
        <v>10.508702692117598</v>
      </c>
      <c r="V7" s="12">
        <f t="shared" si="2"/>
        <v>11.033913021139229</v>
      </c>
      <c r="W7" s="12">
        <f t="shared" si="2"/>
        <v>11.41771720533877</v>
      </c>
      <c r="X7" s="12">
        <f t="shared" si="2"/>
        <v>11.680849263708639</v>
      </c>
      <c r="Y7" s="12">
        <f t="shared" si="2"/>
        <v>11.85345270021841</v>
      </c>
      <c r="Z7" s="12">
        <f t="shared" si="2"/>
        <v>11.963414827022357</v>
      </c>
      <c r="AA7" s="12">
        <f t="shared" si="2"/>
        <v>12.032171474907331</v>
      </c>
      <c r="AB7" s="12">
        <f t="shared" si="2"/>
        <v>12.074661787111312</v>
      </c>
      <c r="AC7" s="12">
        <f t="shared" si="2"/>
        <v>12.100729843750964</v>
      </c>
      <c r="AD7" s="300">
        <f t="shared" si="3"/>
        <v>2.2639304169432845E-3</v>
      </c>
      <c r="AE7" s="299">
        <f t="shared" si="3"/>
        <v>2.2639304169432845E-3</v>
      </c>
      <c r="AF7" s="299">
        <f t="shared" si="3"/>
        <v>2.2639304169432845E-3</v>
      </c>
      <c r="AG7" s="299">
        <f t="shared" si="3"/>
        <v>2.2639304169432845E-3</v>
      </c>
      <c r="AH7" s="299">
        <f t="shared" si="3"/>
        <v>2.2639304169432845E-3</v>
      </c>
      <c r="AI7" s="299">
        <f t="shared" si="3"/>
        <v>2.1614230418761935E-3</v>
      </c>
      <c r="AJ7" s="299">
        <f t="shared" si="3"/>
        <v>2.1043019042701165E-3</v>
      </c>
      <c r="AK7" s="299">
        <f t="shared" si="3"/>
        <v>2.0228060277513687E-3</v>
      </c>
      <c r="AL7" s="299">
        <f t="shared" si="3"/>
        <v>1.9146494822400706E-3</v>
      </c>
      <c r="AM7" s="299">
        <f t="shared" si="3"/>
        <v>1.7841094780396271E-3</v>
      </c>
      <c r="AN7" s="299">
        <f t="shared" si="3"/>
        <v>1.6434581339209986E-3</v>
      </c>
      <c r="AO7" s="299">
        <f t="shared" si="3"/>
        <v>1.5092869446288563E-3</v>
      </c>
      <c r="AP7" s="299">
        <f t="shared" si="3"/>
        <v>1.3953695931880484E-3</v>
      </c>
      <c r="AQ7" s="299">
        <f t="shared" si="3"/>
        <v>1.3078300439347381E-3</v>
      </c>
      <c r="AR7" s="299">
        <f t="shared" si="3"/>
        <v>1.2455777997523367E-3</v>
      </c>
      <c r="AS7" s="299">
        <f t="shared" si="3"/>
        <v>1.2037079616145109E-3</v>
      </c>
      <c r="AT7" s="299">
        <f t="shared" si="4"/>
        <v>1.1765922830824806E-3</v>
      </c>
      <c r="AU7" s="299">
        <f t="shared" si="4"/>
        <v>1.1594593955966959E-3</v>
      </c>
      <c r="AV7" s="299">
        <f t="shared" si="4"/>
        <v>1.1488021858513105E-3</v>
      </c>
      <c r="AW7" s="299">
        <f t="shared" si="4"/>
        <v>1.1422374699522066E-3</v>
      </c>
      <c r="AX7" s="299">
        <f t="shared" si="4"/>
        <v>1.1382179762748632E-3</v>
      </c>
      <c r="AY7" s="299">
        <f t="shared" si="4"/>
        <v>1.1357659646146635E-3</v>
      </c>
      <c r="AZ7" s="306">
        <f t="shared" si="5"/>
        <v>0.12533070748025224</v>
      </c>
      <c r="BA7" s="2">
        <f t="shared" si="5"/>
        <v>0.12533070748025224</v>
      </c>
      <c r="BB7" s="2">
        <f t="shared" si="5"/>
        <v>0.12533070748025224</v>
      </c>
      <c r="BC7" s="2">
        <f t="shared" si="5"/>
        <v>0.12533070748025224</v>
      </c>
      <c r="BD7" s="2">
        <f t="shared" si="5"/>
        <v>0.12533070748025224</v>
      </c>
      <c r="BE7" s="2">
        <f t="shared" si="5"/>
        <v>0.11965592094840809</v>
      </c>
      <c r="BF7" s="2">
        <f t="shared" si="5"/>
        <v>0.11649370689153242</v>
      </c>
      <c r="BG7" s="2">
        <f t="shared" si="5"/>
        <v>0.11198211246072449</v>
      </c>
      <c r="BH7" s="2">
        <f t="shared" si="5"/>
        <v>0.10599458905183226</v>
      </c>
      <c r="BI7" s="2">
        <f t="shared" si="5"/>
        <v>9.8767922119636281E-2</v>
      </c>
      <c r="BJ7" s="2">
        <f t="shared" si="5"/>
        <v>9.0981493555176679E-2</v>
      </c>
      <c r="BK7" s="2">
        <f t="shared" si="5"/>
        <v>8.3553804986834831E-2</v>
      </c>
      <c r="BL7" s="2">
        <f t="shared" si="5"/>
        <v>7.7247364584116976E-2</v>
      </c>
      <c r="BM7" s="2">
        <f t="shared" si="5"/>
        <v>7.240119371317956E-2</v>
      </c>
      <c r="BN7" s="2">
        <f t="shared" si="5"/>
        <v>6.8954922685049616E-2</v>
      </c>
      <c r="BO7" s="2">
        <f t="shared" si="5"/>
        <v>6.6637017330439585E-2</v>
      </c>
      <c r="BP7" s="2">
        <f t="shared" si="6"/>
        <v>6.5135899120801782E-2</v>
      </c>
      <c r="BQ7" s="2">
        <f t="shared" si="6"/>
        <v>6.4187426105154877E-2</v>
      </c>
      <c r="BR7" s="2">
        <f t="shared" si="6"/>
        <v>6.3597445235089978E-2</v>
      </c>
      <c r="BS7" s="2">
        <f t="shared" si="6"/>
        <v>6.3234023955935817E-2</v>
      </c>
      <c r="BT7" s="2">
        <f t="shared" si="6"/>
        <v>6.3011505638886994E-2</v>
      </c>
      <c r="BU7" s="2">
        <f t="shared" si="6"/>
        <v>6.2875762793690559E-2</v>
      </c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</row>
    <row r="8" spans="1:116" x14ac:dyDescent="0.25">
      <c r="A8" t="s">
        <v>4</v>
      </c>
      <c r="B8" s="1" t="s">
        <v>5</v>
      </c>
      <c r="C8" t="s">
        <v>7</v>
      </c>
      <c r="D8" t="s">
        <v>7</v>
      </c>
      <c r="E8" s="97">
        <v>6.035202</v>
      </c>
      <c r="F8" s="5">
        <f t="shared" si="7"/>
        <v>1.4786244899999999E-2</v>
      </c>
      <c r="G8" s="1">
        <f>LOOKUP(RIGHT(D8,5),Ref!$C$4:$C$21,Ref!$E$4:$E$21)*$G$3</f>
        <v>3.5</v>
      </c>
      <c r="H8" s="36">
        <f t="shared" si="1"/>
        <v>6.035202</v>
      </c>
      <c r="I8" s="12">
        <f t="shared" si="1"/>
        <v>6.035202</v>
      </c>
      <c r="J8" s="12">
        <f t="shared" si="1"/>
        <v>6.035202</v>
      </c>
      <c r="K8" s="12">
        <f t="shared" si="1"/>
        <v>6.035202</v>
      </c>
      <c r="L8" s="12">
        <f t="shared" si="1"/>
        <v>6.035202</v>
      </c>
      <c r="M8" s="12">
        <f t="shared" si="8"/>
        <v>6.3214267246529969</v>
      </c>
      <c r="N8" s="12">
        <f t="shared" si="2"/>
        <v>6.4930214397805681</v>
      </c>
      <c r="O8" s="12">
        <f t="shared" si="2"/>
        <v>6.7546157133937283</v>
      </c>
      <c r="P8" s="12">
        <f t="shared" si="2"/>
        <v>7.1361768861271697</v>
      </c>
      <c r="Q8" s="12">
        <f t="shared" si="2"/>
        <v>7.6583178041350379</v>
      </c>
      <c r="R8" s="12">
        <f t="shared" si="2"/>
        <v>8.3137361994119061</v>
      </c>
      <c r="S8" s="12">
        <f t="shared" si="2"/>
        <v>9.0528030000000008</v>
      </c>
      <c r="T8" s="12">
        <f t="shared" si="2"/>
        <v>9.7918698005880938</v>
      </c>
      <c r="U8" s="12">
        <f t="shared" si="2"/>
        <v>10.447288195864962</v>
      </c>
      <c r="V8" s="12">
        <f t="shared" si="2"/>
        <v>10.969429113872831</v>
      </c>
      <c r="W8" s="12">
        <f t="shared" si="2"/>
        <v>11.350990286606271</v>
      </c>
      <c r="X8" s="12">
        <f t="shared" si="2"/>
        <v>11.612584560219432</v>
      </c>
      <c r="Y8" s="12">
        <f t="shared" si="2"/>
        <v>11.784179275347002</v>
      </c>
      <c r="Z8" s="12">
        <f t="shared" si="2"/>
        <v>11.893498766344953</v>
      </c>
      <c r="AA8" s="12">
        <f t="shared" si="2"/>
        <v>11.961853589664365</v>
      </c>
      <c r="AB8" s="12">
        <f t="shared" si="2"/>
        <v>12.004095581861959</v>
      </c>
      <c r="AC8" s="12">
        <f t="shared" si="2"/>
        <v>12.030011292716054</v>
      </c>
      <c r="AD8" s="300">
        <f t="shared" si="3"/>
        <v>2.2772389562982745E-3</v>
      </c>
      <c r="AE8" s="299">
        <f t="shared" si="3"/>
        <v>2.2772389562982745E-3</v>
      </c>
      <c r="AF8" s="299">
        <f t="shared" si="3"/>
        <v>2.2772389562982745E-3</v>
      </c>
      <c r="AG8" s="299">
        <f t="shared" si="3"/>
        <v>2.2772389562982745E-3</v>
      </c>
      <c r="AH8" s="299">
        <f t="shared" si="3"/>
        <v>2.2772389562982745E-3</v>
      </c>
      <c r="AI8" s="299">
        <f t="shared" si="3"/>
        <v>2.1741289905221023E-3</v>
      </c>
      <c r="AJ8" s="299">
        <f t="shared" si="3"/>
        <v>2.1166720656929979E-3</v>
      </c>
      <c r="AK8" s="299">
        <f t="shared" si="3"/>
        <v>2.0346971147858313E-3</v>
      </c>
      <c r="AL8" s="299">
        <f t="shared" si="3"/>
        <v>1.9259047698561129E-3</v>
      </c>
      <c r="AM8" s="299">
        <f t="shared" si="3"/>
        <v>1.7945973848341123E-3</v>
      </c>
      <c r="AN8" s="299">
        <f t="shared" si="3"/>
        <v>1.6531192202732447E-3</v>
      </c>
      <c r="AO8" s="299">
        <f t="shared" si="3"/>
        <v>1.5181593041988495E-3</v>
      </c>
      <c r="AP8" s="299">
        <f t="shared" si="3"/>
        <v>1.4035722883798789E-3</v>
      </c>
      <c r="AQ8" s="299">
        <f t="shared" si="3"/>
        <v>1.3155181369428458E-3</v>
      </c>
      <c r="AR8" s="299">
        <f t="shared" si="3"/>
        <v>1.2528999422721089E-3</v>
      </c>
      <c r="AS8" s="299">
        <f t="shared" si="3"/>
        <v>1.2107839718395472E-3</v>
      </c>
      <c r="AT8" s="299">
        <f t="shared" si="4"/>
        <v>1.1835088934990334E-3</v>
      </c>
      <c r="AU8" s="299">
        <f t="shared" si="4"/>
        <v>1.1662752901495177E-3</v>
      </c>
      <c r="AV8" s="299">
        <f t="shared" si="4"/>
        <v>1.1555554318817883E-3</v>
      </c>
      <c r="AW8" s="299">
        <f t="shared" si="4"/>
        <v>1.148952125229522E-3</v>
      </c>
      <c r="AX8" s="299">
        <f t="shared" si="4"/>
        <v>1.1449090029152771E-3</v>
      </c>
      <c r="AY8" s="299">
        <f t="shared" si="4"/>
        <v>1.1424425770781071E-3</v>
      </c>
      <c r="AZ8" s="306">
        <f t="shared" si="5"/>
        <v>0.12606746539489777</v>
      </c>
      <c r="BA8" s="2">
        <f t="shared" si="5"/>
        <v>0.12606746539489777</v>
      </c>
      <c r="BB8" s="2">
        <f t="shared" si="5"/>
        <v>0.12606746539489777</v>
      </c>
      <c r="BC8" s="2">
        <f t="shared" si="5"/>
        <v>0.12606746539489777</v>
      </c>
      <c r="BD8" s="2">
        <f t="shared" si="5"/>
        <v>0.12606746539489777</v>
      </c>
      <c r="BE8" s="2">
        <f t="shared" si="5"/>
        <v>0.12035931956926746</v>
      </c>
      <c r="BF8" s="2">
        <f t="shared" si="5"/>
        <v>0.11717851640297841</v>
      </c>
      <c r="BG8" s="2">
        <f t="shared" si="5"/>
        <v>0.11264040051568631</v>
      </c>
      <c r="BH8" s="2">
        <f t="shared" si="5"/>
        <v>0.10661767938590574</v>
      </c>
      <c r="BI8" s="2">
        <f t="shared" si="5"/>
        <v>9.9348530414265099E-2</v>
      </c>
      <c r="BJ8" s="2">
        <f t="shared" si="5"/>
        <v>9.1516329245572889E-2</v>
      </c>
      <c r="BK8" s="2">
        <f t="shared" si="5"/>
        <v>8.4044976929931833E-2</v>
      </c>
      <c r="BL8" s="2">
        <f t="shared" si="5"/>
        <v>7.7701464049340405E-2</v>
      </c>
      <c r="BM8" s="2">
        <f t="shared" si="5"/>
        <v>7.2826804910709683E-2</v>
      </c>
      <c r="BN8" s="2">
        <f t="shared" si="5"/>
        <v>6.9360274941199479E-2</v>
      </c>
      <c r="BO8" s="2">
        <f t="shared" si="5"/>
        <v>6.7028743754981676E-2</v>
      </c>
      <c r="BP8" s="2">
        <f t="shared" si="6"/>
        <v>6.5518801205770583E-2</v>
      </c>
      <c r="BQ8" s="2">
        <f t="shared" si="6"/>
        <v>6.456475258127925E-2</v>
      </c>
      <c r="BR8" s="2">
        <f t="shared" si="6"/>
        <v>6.3971303502311283E-2</v>
      </c>
      <c r="BS8" s="2">
        <f t="shared" si="6"/>
        <v>6.3605745847250927E-2</v>
      </c>
      <c r="BT8" s="2">
        <f t="shared" si="6"/>
        <v>6.3381919453877195E-2</v>
      </c>
      <c r="BU8" s="2">
        <f t="shared" si="6"/>
        <v>6.3245378642902333E-2</v>
      </c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</row>
    <row r="9" spans="1:116" x14ac:dyDescent="0.25">
      <c r="A9" t="s">
        <v>4</v>
      </c>
      <c r="B9" s="1" t="s">
        <v>5</v>
      </c>
      <c r="C9" t="s">
        <v>8</v>
      </c>
      <c r="D9" t="s">
        <v>8</v>
      </c>
      <c r="E9" s="97">
        <v>6.5214185000000002</v>
      </c>
      <c r="F9" s="5">
        <f t="shared" si="7"/>
        <v>1.5977475325000001E-2</v>
      </c>
      <c r="G9" s="1">
        <f>LOOKUP(RIGHT(D9,5),Ref!$C$4:$C$21,Ref!$E$4:$E$21)*$G$3</f>
        <v>4</v>
      </c>
      <c r="H9" s="36">
        <f t="shared" si="1"/>
        <v>6.5214185000000002</v>
      </c>
      <c r="I9" s="12">
        <f t="shared" si="1"/>
        <v>6.5214185000000002</v>
      </c>
      <c r="J9" s="12">
        <f t="shared" si="1"/>
        <v>6.5214185000000002</v>
      </c>
      <c r="K9" s="12">
        <f t="shared" si="1"/>
        <v>6.5214185000000002</v>
      </c>
      <c r="L9" s="12">
        <f t="shared" si="1"/>
        <v>6.5214185000000002</v>
      </c>
      <c r="M9" s="12">
        <f t="shared" si="8"/>
        <v>6.8307024667188374</v>
      </c>
      <c r="N9" s="12">
        <f t="shared" si="2"/>
        <v>7.0161214385668673</v>
      </c>
      <c r="O9" s="12">
        <f t="shared" si="2"/>
        <v>7.298790640929095</v>
      </c>
      <c r="P9" s="12">
        <f t="shared" si="2"/>
        <v>7.7110916858229626</v>
      </c>
      <c r="Q9" s="12">
        <f t="shared" si="2"/>
        <v>8.2752980607385833</v>
      </c>
      <c r="R9" s="12">
        <f t="shared" si="2"/>
        <v>8.9835192020025989</v>
      </c>
      <c r="S9" s="12">
        <f t="shared" si="2"/>
        <v>9.7821277500000008</v>
      </c>
      <c r="T9" s="12">
        <f t="shared" si="2"/>
        <v>10.580736297997401</v>
      </c>
      <c r="U9" s="12">
        <f t="shared" si="2"/>
        <v>11.288957439261418</v>
      </c>
      <c r="V9" s="12">
        <f t="shared" si="2"/>
        <v>11.853163814177037</v>
      </c>
      <c r="W9" s="12">
        <f t="shared" si="2"/>
        <v>12.265464859070905</v>
      </c>
      <c r="X9" s="12">
        <f t="shared" si="2"/>
        <v>12.548134061433133</v>
      </c>
      <c r="Y9" s="12">
        <f t="shared" si="2"/>
        <v>12.733553033281163</v>
      </c>
      <c r="Z9" s="12">
        <f t="shared" si="2"/>
        <v>12.851679676101837</v>
      </c>
      <c r="AA9" s="12">
        <f t="shared" si="2"/>
        <v>12.925541397608333</v>
      </c>
      <c r="AB9" s="12">
        <f t="shared" si="2"/>
        <v>12.971186549070412</v>
      </c>
      <c r="AC9" s="12">
        <f t="shared" si="2"/>
        <v>12.999190118164629</v>
      </c>
      <c r="AD9" s="300">
        <f t="shared" si="3"/>
        <v>2.1074551653952676E-3</v>
      </c>
      <c r="AE9" s="299">
        <f t="shared" si="3"/>
        <v>2.1074551653952676E-3</v>
      </c>
      <c r="AF9" s="299">
        <f t="shared" si="3"/>
        <v>2.1074551653952676E-3</v>
      </c>
      <c r="AG9" s="299">
        <f t="shared" si="3"/>
        <v>2.1074551653952676E-3</v>
      </c>
      <c r="AH9" s="299">
        <f t="shared" si="3"/>
        <v>2.1074551653952676E-3</v>
      </c>
      <c r="AI9" s="299">
        <f t="shared" si="3"/>
        <v>2.0120327551217533E-3</v>
      </c>
      <c r="AJ9" s="299">
        <f t="shared" si="3"/>
        <v>1.9588596383155769E-3</v>
      </c>
      <c r="AK9" s="299">
        <f t="shared" si="3"/>
        <v>1.8829964825213532E-3</v>
      </c>
      <c r="AL9" s="299">
        <f t="shared" si="3"/>
        <v>1.7823153534534172E-3</v>
      </c>
      <c r="AM9" s="299">
        <f t="shared" si="3"/>
        <v>1.6607978350332219E-3</v>
      </c>
      <c r="AN9" s="299">
        <f t="shared" si="3"/>
        <v>1.5298678384820003E-3</v>
      </c>
      <c r="AO9" s="299">
        <f t="shared" si="3"/>
        <v>1.4049701102635118E-3</v>
      </c>
      <c r="AP9" s="299">
        <f t="shared" si="3"/>
        <v>1.298926342784905E-3</v>
      </c>
      <c r="AQ9" s="299">
        <f t="shared" si="3"/>
        <v>1.2174372325765839E-3</v>
      </c>
      <c r="AR9" s="299">
        <f t="shared" si="3"/>
        <v>1.1594876540127759E-3</v>
      </c>
      <c r="AS9" s="299">
        <f t="shared" si="3"/>
        <v>1.120511718181248E-3</v>
      </c>
      <c r="AT9" s="299">
        <f t="shared" si="4"/>
        <v>1.0952701840961675E-3</v>
      </c>
      <c r="AU9" s="299">
        <f t="shared" si="4"/>
        <v>1.0793214641355939E-3</v>
      </c>
      <c r="AV9" s="299">
        <f t="shared" si="4"/>
        <v>1.0694008448627907E-3</v>
      </c>
      <c r="AW9" s="299">
        <f t="shared" si="4"/>
        <v>1.063289860034203E-3</v>
      </c>
      <c r="AX9" s="299">
        <f t="shared" si="4"/>
        <v>1.059548180232918E-3</v>
      </c>
      <c r="AY9" s="299">
        <f t="shared" si="4"/>
        <v>1.057265643366845E-3</v>
      </c>
      <c r="AZ9" s="306">
        <f t="shared" si="5"/>
        <v>0.11666827075830477</v>
      </c>
      <c r="BA9" s="2">
        <f t="shared" si="5"/>
        <v>0.11666827075830477</v>
      </c>
      <c r="BB9" s="2">
        <f t="shared" si="5"/>
        <v>0.11666827075830477</v>
      </c>
      <c r="BC9" s="2">
        <f t="shared" si="5"/>
        <v>0.11666827075830477</v>
      </c>
      <c r="BD9" s="2">
        <f t="shared" si="5"/>
        <v>0.11666827075830477</v>
      </c>
      <c r="BE9" s="2">
        <f t="shared" si="5"/>
        <v>0.11138570637401696</v>
      </c>
      <c r="BF9" s="2">
        <f t="shared" si="5"/>
        <v>0.10844205391086127</v>
      </c>
      <c r="BG9" s="2">
        <f t="shared" si="5"/>
        <v>0.1042422857041104</v>
      </c>
      <c r="BH9" s="2">
        <f t="shared" si="5"/>
        <v>9.8668599763253526E-2</v>
      </c>
      <c r="BI9" s="2">
        <f t="shared" si="5"/>
        <v>9.1941415729297774E-2</v>
      </c>
      <c r="BJ9" s="2">
        <f t="shared" si="5"/>
        <v>8.4693158903318355E-2</v>
      </c>
      <c r="BK9" s="2">
        <f t="shared" si="5"/>
        <v>7.777884717220318E-2</v>
      </c>
      <c r="BL9" s="2">
        <f t="shared" si="5"/>
        <v>7.1908286706873242E-2</v>
      </c>
      <c r="BM9" s="2">
        <f t="shared" si="5"/>
        <v>6.7397066857574767E-2</v>
      </c>
      <c r="BN9" s="2">
        <f t="shared" si="5"/>
        <v>6.4188990485072692E-2</v>
      </c>
      <c r="BO9" s="2">
        <f t="shared" si="5"/>
        <v>6.2031290948058752E-2</v>
      </c>
      <c r="BP9" s="2">
        <f t="shared" si="6"/>
        <v>6.0633924977314221E-2</v>
      </c>
      <c r="BQ9" s="2">
        <f t="shared" si="6"/>
        <v>5.9751007224584901E-2</v>
      </c>
      <c r="BR9" s="2">
        <f t="shared" si="6"/>
        <v>5.9201803846779047E-2</v>
      </c>
      <c r="BS9" s="2">
        <f t="shared" si="6"/>
        <v>5.8863501023407781E-2</v>
      </c>
      <c r="BT9" s="2">
        <f t="shared" si="6"/>
        <v>5.8656362423585996E-2</v>
      </c>
      <c r="BU9" s="2">
        <f t="shared" si="6"/>
        <v>5.8530001667030165E-2</v>
      </c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</row>
    <row r="10" spans="1:116" x14ac:dyDescent="0.25">
      <c r="A10" t="s">
        <v>4</v>
      </c>
      <c r="B10" s="1" t="s">
        <v>5</v>
      </c>
      <c r="C10" t="s">
        <v>9</v>
      </c>
      <c r="D10" t="s">
        <v>9</v>
      </c>
      <c r="E10" s="97">
        <v>6.0757899999999996</v>
      </c>
      <c r="F10" s="5">
        <f t="shared" si="7"/>
        <v>1.4885685499999999E-2</v>
      </c>
      <c r="G10" s="1">
        <f>LOOKUP(RIGHT(D10,5),Ref!$C$4:$C$21,Ref!$E$4:$E$21)*$G$3</f>
        <v>4.5</v>
      </c>
      <c r="H10" s="36">
        <f t="shared" si="1"/>
        <v>6.0757899999999996</v>
      </c>
      <c r="I10" s="12">
        <f t="shared" si="1"/>
        <v>6.0757899999999996</v>
      </c>
      <c r="J10" s="12">
        <f t="shared" si="1"/>
        <v>6.0757899999999996</v>
      </c>
      <c r="K10" s="12">
        <f t="shared" si="1"/>
        <v>6.0757899999999996</v>
      </c>
      <c r="L10" s="12">
        <f t="shared" si="1"/>
        <v>6.0757899999999996</v>
      </c>
      <c r="M10" s="12">
        <f t="shared" si="8"/>
        <v>6.3639396459935282</v>
      </c>
      <c r="N10" s="12">
        <f t="shared" si="2"/>
        <v>6.5366883715912705</v>
      </c>
      <c r="O10" s="12">
        <f t="shared" si="2"/>
        <v>6.8000419215927614</v>
      </c>
      <c r="P10" s="12">
        <f t="shared" si="2"/>
        <v>7.1841691732874216</v>
      </c>
      <c r="Q10" s="12">
        <f t="shared" si="2"/>
        <v>7.7098215985456031</v>
      </c>
      <c r="R10" s="12">
        <f t="shared" si="2"/>
        <v>8.3696478200770841</v>
      </c>
      <c r="S10" s="12">
        <f t="shared" si="2"/>
        <v>9.1136850000000003</v>
      </c>
      <c r="T10" s="12">
        <f t="shared" si="2"/>
        <v>9.8577221799229147</v>
      </c>
      <c r="U10" s="12">
        <f t="shared" si="2"/>
        <v>10.517548401454397</v>
      </c>
      <c r="V10" s="12">
        <f t="shared" si="2"/>
        <v>11.043200826712578</v>
      </c>
      <c r="W10" s="12">
        <f t="shared" si="2"/>
        <v>11.427328078407236</v>
      </c>
      <c r="X10" s="12">
        <f t="shared" si="2"/>
        <v>11.690681628408729</v>
      </c>
      <c r="Y10" s="12">
        <f t="shared" si="2"/>
        <v>11.863430354006471</v>
      </c>
      <c r="Z10" s="12">
        <f t="shared" si="2"/>
        <v>11.973485041523217</v>
      </c>
      <c r="AA10" s="12">
        <f t="shared" si="2"/>
        <v>12.042299565374423</v>
      </c>
      <c r="AB10" s="12">
        <f t="shared" si="2"/>
        <v>12.084825643834469</v>
      </c>
      <c r="AC10" s="12">
        <f t="shared" si="2"/>
        <v>12.110915643282739</v>
      </c>
      <c r="AD10" s="300">
        <f t="shared" si="3"/>
        <v>2.2620263543554437E-3</v>
      </c>
      <c r="AE10" s="299">
        <f t="shared" si="3"/>
        <v>2.2620263543554437E-3</v>
      </c>
      <c r="AF10" s="299">
        <f t="shared" si="3"/>
        <v>2.2620263543554437E-3</v>
      </c>
      <c r="AG10" s="299">
        <f t="shared" si="3"/>
        <v>2.2620263543554437E-3</v>
      </c>
      <c r="AH10" s="299">
        <f t="shared" si="3"/>
        <v>2.2620263543554437E-3</v>
      </c>
      <c r="AI10" s="299">
        <f t="shared" si="3"/>
        <v>2.159605192387652E-3</v>
      </c>
      <c r="AJ10" s="299">
        <f t="shared" si="3"/>
        <v>2.1025320961084093E-3</v>
      </c>
      <c r="AK10" s="299">
        <f t="shared" si="3"/>
        <v>2.0211047611174318E-3</v>
      </c>
      <c r="AL10" s="299">
        <f t="shared" si="3"/>
        <v>1.9130391799000877E-3</v>
      </c>
      <c r="AM10" s="299">
        <f t="shared" si="3"/>
        <v>1.7826089654424534E-3</v>
      </c>
      <c r="AN10" s="299">
        <f t="shared" si="3"/>
        <v>1.6420759151372132E-3</v>
      </c>
      <c r="AO10" s="299">
        <f t="shared" si="3"/>
        <v>1.5080175695702956E-3</v>
      </c>
      <c r="AP10" s="299">
        <f t="shared" si="3"/>
        <v>1.3941960275083278E-3</v>
      </c>
      <c r="AQ10" s="299">
        <f t="shared" si="3"/>
        <v>1.3067301027707898E-3</v>
      </c>
      <c r="AR10" s="299">
        <f t="shared" si="3"/>
        <v>1.2445302153959428E-3</v>
      </c>
      <c r="AS10" s="299">
        <f t="shared" si="3"/>
        <v>1.2026955915879218E-3</v>
      </c>
      <c r="AT10" s="299">
        <f t="shared" si="4"/>
        <v>1.1756027185046149E-3</v>
      </c>
      <c r="AU10" s="299">
        <f t="shared" si="4"/>
        <v>1.1584842405120898E-3</v>
      </c>
      <c r="AV10" s="299">
        <f t="shared" si="4"/>
        <v>1.1478359939372219E-3</v>
      </c>
      <c r="AW10" s="299">
        <f t="shared" si="4"/>
        <v>1.141276799245771E-3</v>
      </c>
      <c r="AX10" s="299">
        <f t="shared" si="4"/>
        <v>1.137260686135019E-3</v>
      </c>
      <c r="AY10" s="299">
        <f t="shared" si="4"/>
        <v>1.1348107367218001E-3</v>
      </c>
      <c r="AZ10" s="306">
        <f t="shared" si="5"/>
        <v>0.12522529897942783</v>
      </c>
      <c r="BA10" s="2">
        <f t="shared" si="5"/>
        <v>0.12522529897942783</v>
      </c>
      <c r="BB10" s="2">
        <f t="shared" si="5"/>
        <v>0.12522529897942783</v>
      </c>
      <c r="BC10" s="2">
        <f t="shared" si="5"/>
        <v>0.12522529897942783</v>
      </c>
      <c r="BD10" s="2">
        <f t="shared" si="5"/>
        <v>0.12522529897942783</v>
      </c>
      <c r="BE10" s="2">
        <f t="shared" si="5"/>
        <v>0.11955528518646663</v>
      </c>
      <c r="BF10" s="2">
        <f t="shared" si="5"/>
        <v>0.11639573068725023</v>
      </c>
      <c r="BG10" s="2">
        <f t="shared" si="5"/>
        <v>0.1118879307008753</v>
      </c>
      <c r="BH10" s="2">
        <f t="shared" si="5"/>
        <v>0.10590544305599389</v>
      </c>
      <c r="BI10" s="2">
        <f t="shared" si="5"/>
        <v>9.8684854060662658E-2</v>
      </c>
      <c r="BJ10" s="2">
        <f t="shared" si="5"/>
        <v>9.0904974216610521E-2</v>
      </c>
      <c r="BK10" s="2">
        <f t="shared" si="5"/>
        <v>8.3483532652951886E-2</v>
      </c>
      <c r="BL10" s="2">
        <f t="shared" si="5"/>
        <v>7.7182396237116049E-2</v>
      </c>
      <c r="BM10" s="2">
        <f t="shared" si="5"/>
        <v>7.2340301203748805E-2</v>
      </c>
      <c r="BN10" s="2">
        <f t="shared" si="5"/>
        <v>6.8896928637375066E-2</v>
      </c>
      <c r="BO10" s="2">
        <f t="shared" si="5"/>
        <v>6.6580972740590605E-2</v>
      </c>
      <c r="BP10" s="2">
        <f t="shared" si="6"/>
        <v>6.5081117035754865E-2</v>
      </c>
      <c r="BQ10" s="2">
        <f t="shared" si="6"/>
        <v>6.4133441726597143E-2</v>
      </c>
      <c r="BR10" s="2">
        <f t="shared" si="6"/>
        <v>6.3543957055750125E-2</v>
      </c>
      <c r="BS10" s="2">
        <f t="shared" si="6"/>
        <v>6.3180841429480036E-2</v>
      </c>
      <c r="BT10" s="2">
        <f t="shared" si="6"/>
        <v>6.2958510259880363E-2</v>
      </c>
      <c r="BU10" s="2">
        <f t="shared" si="6"/>
        <v>6.2822881580239187E-2</v>
      </c>
    </row>
    <row r="11" spans="1:116" x14ac:dyDescent="0.25">
      <c r="A11" t="s">
        <v>4</v>
      </c>
      <c r="B11" s="1" t="s">
        <v>5</v>
      </c>
      <c r="C11" t="s">
        <v>10</v>
      </c>
      <c r="D11" t="s">
        <v>10</v>
      </c>
      <c r="E11" s="97">
        <v>4.56907</v>
      </c>
      <c r="F11" s="5">
        <f t="shared" si="7"/>
        <v>1.1194221499999999E-2</v>
      </c>
      <c r="G11" s="1">
        <f>LOOKUP(RIGHT(D11,5),Ref!$C$4:$C$21,Ref!$E$4:$E$21)*$G$3</f>
        <v>4.5</v>
      </c>
      <c r="H11" s="36">
        <f t="shared" si="1"/>
        <v>4.56907</v>
      </c>
      <c r="I11" s="12">
        <f t="shared" si="1"/>
        <v>4.56907</v>
      </c>
      <c r="J11" s="12">
        <f t="shared" si="1"/>
        <v>4.56907</v>
      </c>
      <c r="K11" s="12">
        <f t="shared" si="1"/>
        <v>4.56907</v>
      </c>
      <c r="L11" s="12">
        <f t="shared" si="1"/>
        <v>4.56907</v>
      </c>
      <c r="M11" s="12">
        <f t="shared" si="8"/>
        <v>4.785762134359425</v>
      </c>
      <c r="N11" s="12">
        <f t="shared" si="2"/>
        <v>4.9156713345896623</v>
      </c>
      <c r="O11" s="12">
        <f t="shared" si="2"/>
        <v>5.1137164949235965</v>
      </c>
      <c r="P11" s="12">
        <f t="shared" si="2"/>
        <v>5.4025849880579084</v>
      </c>
      <c r="Q11" s="12">
        <f t="shared" si="2"/>
        <v>5.7978821801390037</v>
      </c>
      <c r="R11" s="12">
        <f t="shared" si="2"/>
        <v>6.2940797435855425</v>
      </c>
      <c r="S11" s="12">
        <f t="shared" si="2"/>
        <v>6.8536049999999999</v>
      </c>
      <c r="T11" s="12">
        <f t="shared" si="2"/>
        <v>7.4131302564144574</v>
      </c>
      <c r="U11" s="12">
        <f t="shared" si="2"/>
        <v>7.9093278198609962</v>
      </c>
      <c r="V11" s="12">
        <f t="shared" si="2"/>
        <v>8.3046250119420915</v>
      </c>
      <c r="W11" s="12">
        <f t="shared" si="2"/>
        <v>8.5934935050764025</v>
      </c>
      <c r="X11" s="12">
        <f t="shared" si="2"/>
        <v>8.7915386654103376</v>
      </c>
      <c r="Y11" s="12">
        <f t="shared" si="2"/>
        <v>8.9214478656405749</v>
      </c>
      <c r="Z11" s="12">
        <f t="shared" si="2"/>
        <v>9.0042103658409012</v>
      </c>
      <c r="AA11" s="12">
        <f t="shared" si="2"/>
        <v>9.0559597476485063</v>
      </c>
      <c r="AB11" s="12">
        <f t="shared" si="2"/>
        <v>9.0879398900348356</v>
      </c>
      <c r="AC11" s="12">
        <f t="shared" si="2"/>
        <v>9.1075598956273787</v>
      </c>
      <c r="AD11" s="300">
        <f t="shared" si="3"/>
        <v>3.007963787713749E-3</v>
      </c>
      <c r="AE11" s="299">
        <f t="shared" si="3"/>
        <v>3.007963787713749E-3</v>
      </c>
      <c r="AF11" s="299">
        <f t="shared" si="3"/>
        <v>3.007963787713749E-3</v>
      </c>
      <c r="AG11" s="299">
        <f t="shared" si="3"/>
        <v>3.007963787713749E-3</v>
      </c>
      <c r="AH11" s="299">
        <f t="shared" si="3"/>
        <v>3.007963787713749E-3</v>
      </c>
      <c r="AI11" s="299">
        <f t="shared" si="3"/>
        <v>2.8717676971149429E-3</v>
      </c>
      <c r="AJ11" s="299">
        <f t="shared" si="3"/>
        <v>2.7958738833536176E-3</v>
      </c>
      <c r="AK11" s="299">
        <f t="shared" si="3"/>
        <v>2.6875946519860018E-3</v>
      </c>
      <c r="AL11" s="299">
        <f t="shared" si="3"/>
        <v>2.5438928094437497E-3</v>
      </c>
      <c r="AM11" s="299">
        <f t="shared" si="3"/>
        <v>2.370451257289909E-3</v>
      </c>
      <c r="AN11" s="299">
        <f t="shared" si="3"/>
        <v>2.1835753062289542E-3</v>
      </c>
      <c r="AO11" s="299">
        <f t="shared" si="3"/>
        <v>2.005309191809166E-3</v>
      </c>
      <c r="AP11" s="299">
        <f t="shared" si="3"/>
        <v>1.8539532731988832E-3</v>
      </c>
      <c r="AQ11" s="299">
        <f t="shared" si="3"/>
        <v>1.7376441357023938E-3</v>
      </c>
      <c r="AR11" s="299">
        <f t="shared" si="3"/>
        <v>1.6549328938712945E-3</v>
      </c>
      <c r="AS11" s="299">
        <f t="shared" si="3"/>
        <v>1.5993026695616346E-3</v>
      </c>
      <c r="AT11" s="299">
        <f t="shared" si="4"/>
        <v>1.5632755114417492E-3</v>
      </c>
      <c r="AU11" s="299">
        <f t="shared" si="4"/>
        <v>1.5405119561882287E-3</v>
      </c>
      <c r="AV11" s="299">
        <f t="shared" si="4"/>
        <v>1.526352289110001E-3</v>
      </c>
      <c r="AW11" s="299">
        <f t="shared" si="4"/>
        <v>1.5176301006746367E-3</v>
      </c>
      <c r="AX11" s="299">
        <f t="shared" si="4"/>
        <v>1.5122896134688868E-3</v>
      </c>
      <c r="AY11" s="299">
        <f t="shared" si="4"/>
        <v>1.5090317561488324E-3</v>
      </c>
      <c r="AZ11" s="306">
        <f t="shared" si="5"/>
        <v>0.16652023700363922</v>
      </c>
      <c r="BA11" s="2">
        <f t="shared" si="5"/>
        <v>0.16652023700363922</v>
      </c>
      <c r="BB11" s="2">
        <f t="shared" si="5"/>
        <v>0.16652023700363922</v>
      </c>
      <c r="BC11" s="2">
        <f t="shared" si="5"/>
        <v>0.16652023700363922</v>
      </c>
      <c r="BD11" s="2">
        <f t="shared" si="5"/>
        <v>0.16652023700363922</v>
      </c>
      <c r="BE11" s="2">
        <f t="shared" si="5"/>
        <v>0.15898045032864064</v>
      </c>
      <c r="BF11" s="2">
        <f t="shared" si="5"/>
        <v>0.15477898490333658</v>
      </c>
      <c r="BG11" s="2">
        <f t="shared" si="5"/>
        <v>0.1487846696314723</v>
      </c>
      <c r="BH11" s="2">
        <f t="shared" si="5"/>
        <v>0.14082936612159086</v>
      </c>
      <c r="BI11" s="2">
        <f t="shared" si="5"/>
        <v>0.13122767859832168</v>
      </c>
      <c r="BJ11" s="2">
        <f t="shared" si="5"/>
        <v>0.12088226560230857</v>
      </c>
      <c r="BK11" s="2">
        <f t="shared" si="5"/>
        <v>0.11101349133575947</v>
      </c>
      <c r="BL11" s="2">
        <f t="shared" si="5"/>
        <v>0.10263445979893222</v>
      </c>
      <c r="BM11" s="2">
        <f t="shared" si="5"/>
        <v>9.6195610627704306E-2</v>
      </c>
      <c r="BN11" s="2">
        <f t="shared" si="5"/>
        <v>9.1616733831102831E-2</v>
      </c>
      <c r="BO11" s="2">
        <f t="shared" si="5"/>
        <v>8.8537056417947832E-2</v>
      </c>
      <c r="BP11" s="2">
        <f t="shared" si="6"/>
        <v>8.6542600589325405E-2</v>
      </c>
      <c r="BQ11" s="2">
        <f t="shared" si="6"/>
        <v>8.5282415000873621E-2</v>
      </c>
      <c r="BR11" s="2">
        <f t="shared" si="6"/>
        <v>8.4498538836077372E-2</v>
      </c>
      <c r="BS11" s="2">
        <f t="shared" si="6"/>
        <v>8.401568033512738E-2</v>
      </c>
      <c r="BT11" s="2">
        <f t="shared" si="6"/>
        <v>8.3720032096658306E-2</v>
      </c>
      <c r="BU11" s="2">
        <f t="shared" si="6"/>
        <v>8.3539677806731216E-2</v>
      </c>
    </row>
    <row r="12" spans="1:116" x14ac:dyDescent="0.25">
      <c r="A12" t="s">
        <v>4</v>
      </c>
      <c r="B12" s="1" t="s">
        <v>5</v>
      </c>
      <c r="C12" t="s">
        <v>11</v>
      </c>
      <c r="D12" t="s">
        <v>11</v>
      </c>
      <c r="E12" s="97">
        <v>4.897716</v>
      </c>
      <c r="F12" s="5">
        <f t="shared" si="7"/>
        <v>1.1999404199999999E-2</v>
      </c>
      <c r="G12" s="1">
        <f>LOOKUP(RIGHT(D12,5),Ref!$C$4:$C$21,Ref!$E$4:$E$21)*$G$3</f>
        <v>4.5</v>
      </c>
      <c r="H12" s="36">
        <f t="shared" si="1"/>
        <v>4.897716</v>
      </c>
      <c r="I12" s="12">
        <f t="shared" si="1"/>
        <v>4.897716</v>
      </c>
      <c r="J12" s="12">
        <f t="shared" si="1"/>
        <v>4.897716</v>
      </c>
      <c r="K12" s="12">
        <f t="shared" si="1"/>
        <v>4.897716</v>
      </c>
      <c r="L12" s="12">
        <f t="shared" si="1"/>
        <v>4.897716</v>
      </c>
      <c r="M12" s="12">
        <f t="shared" si="8"/>
        <v>5.129994457875739</v>
      </c>
      <c r="N12" s="12">
        <f t="shared" si="2"/>
        <v>5.2692478220209242</v>
      </c>
      <c r="O12" s="12">
        <f t="shared" si="2"/>
        <v>5.4815380584344773</v>
      </c>
      <c r="P12" s="12">
        <f t="shared" si="2"/>
        <v>5.7911844067547724</v>
      </c>
      <c r="Q12" s="12">
        <f t="shared" si="2"/>
        <v>6.2149147025065679</v>
      </c>
      <c r="R12" s="12">
        <f t="shared" si="2"/>
        <v>6.7468029742233782</v>
      </c>
      <c r="S12" s="12">
        <f t="shared" si="2"/>
        <v>7.3465740000000004</v>
      </c>
      <c r="T12" s="12">
        <f t="shared" si="2"/>
        <v>7.9463450257766217</v>
      </c>
      <c r="U12" s="12">
        <f t="shared" si="2"/>
        <v>8.478233297493432</v>
      </c>
      <c r="V12" s="12">
        <f t="shared" si="2"/>
        <v>8.9019635932452275</v>
      </c>
      <c r="W12" s="12">
        <f t="shared" si="2"/>
        <v>9.2116099415655217</v>
      </c>
      <c r="X12" s="12">
        <f t="shared" si="2"/>
        <v>9.4239001779790748</v>
      </c>
      <c r="Y12" s="12">
        <f t="shared" si="2"/>
        <v>9.5631535421242599</v>
      </c>
      <c r="Z12" s="12">
        <f t="shared" si="2"/>
        <v>9.6518690184533895</v>
      </c>
      <c r="AA12" s="12">
        <f t="shared" si="2"/>
        <v>9.7073406516893055</v>
      </c>
      <c r="AB12" s="12">
        <f t="shared" si="2"/>
        <v>9.7416210752870622</v>
      </c>
      <c r="AC12" s="12">
        <f t="shared" si="2"/>
        <v>9.7626523169425159</v>
      </c>
      <c r="AD12" s="300">
        <f t="shared" si="3"/>
        <v>2.8061237326805514E-3</v>
      </c>
      <c r="AE12" s="299">
        <f t="shared" si="3"/>
        <v>2.8061237326805514E-3</v>
      </c>
      <c r="AF12" s="299">
        <f t="shared" si="3"/>
        <v>2.8061237326805514E-3</v>
      </c>
      <c r="AG12" s="299">
        <f t="shared" si="3"/>
        <v>2.8061237326805514E-3</v>
      </c>
      <c r="AH12" s="299">
        <f t="shared" si="3"/>
        <v>2.8061237326805514E-3</v>
      </c>
      <c r="AI12" s="299">
        <f t="shared" si="3"/>
        <v>2.6790666571636602E-3</v>
      </c>
      <c r="AJ12" s="299">
        <f t="shared" si="3"/>
        <v>2.6082654617406386E-3</v>
      </c>
      <c r="AK12" s="299">
        <f t="shared" si="3"/>
        <v>2.5072519714392752E-3</v>
      </c>
      <c r="AL12" s="299">
        <f t="shared" si="3"/>
        <v>2.37319279411978E-3</v>
      </c>
      <c r="AM12" s="299">
        <f t="shared" si="3"/>
        <v>2.2113894979099652E-3</v>
      </c>
      <c r="AN12" s="299">
        <f t="shared" si="3"/>
        <v>2.0370532763499412E-3</v>
      </c>
      <c r="AO12" s="299">
        <f t="shared" si="3"/>
        <v>1.8707491551203676E-3</v>
      </c>
      <c r="AP12" s="299">
        <f t="shared" si="3"/>
        <v>1.729549504702768E-3</v>
      </c>
      <c r="AQ12" s="299">
        <f t="shared" si="3"/>
        <v>1.6210449301498366E-3</v>
      </c>
      <c r="AR12" s="299">
        <f t="shared" si="3"/>
        <v>1.5438837689650679E-3</v>
      </c>
      <c r="AS12" s="299">
        <f t="shared" si="3"/>
        <v>1.4919864378444929E-3</v>
      </c>
      <c r="AT12" s="299">
        <f t="shared" si="4"/>
        <v>1.4583767701236974E-3</v>
      </c>
      <c r="AU12" s="299">
        <f t="shared" si="4"/>
        <v>1.4371406924494907E-3</v>
      </c>
      <c r="AV12" s="299">
        <f t="shared" si="4"/>
        <v>1.4239311657931644E-3</v>
      </c>
      <c r="AW12" s="299">
        <f t="shared" si="4"/>
        <v>1.4157942526862443E-3</v>
      </c>
      <c r="AX12" s="299">
        <f t="shared" si="4"/>
        <v>1.4108121222652123E-3</v>
      </c>
      <c r="AY12" s="299">
        <f t="shared" si="4"/>
        <v>1.4077728733284955E-3</v>
      </c>
      <c r="AZ12" s="306">
        <f t="shared" si="5"/>
        <v>0.15534641438707711</v>
      </c>
      <c r="BA12" s="2">
        <f t="shared" si="5"/>
        <v>0.15534641438707711</v>
      </c>
      <c r="BB12" s="2">
        <f t="shared" si="5"/>
        <v>0.15534641438707711</v>
      </c>
      <c r="BC12" s="2">
        <f t="shared" si="5"/>
        <v>0.15534641438707711</v>
      </c>
      <c r="BD12" s="2">
        <f t="shared" si="5"/>
        <v>0.15534641438707711</v>
      </c>
      <c r="BE12" s="2">
        <f t="shared" si="5"/>
        <v>0.14831256164773174</v>
      </c>
      <c r="BF12" s="2">
        <f t="shared" si="5"/>
        <v>0.14439302249299227</v>
      </c>
      <c r="BG12" s="2">
        <f t="shared" si="5"/>
        <v>0.13880093710477928</v>
      </c>
      <c r="BH12" s="2">
        <f t="shared" si="5"/>
        <v>0.13137944949547445</v>
      </c>
      <c r="BI12" s="2">
        <f t="shared" si="5"/>
        <v>0.12242205335165077</v>
      </c>
      <c r="BJ12" s="2">
        <f t="shared" si="5"/>
        <v>0.11277083711990242</v>
      </c>
      <c r="BK12" s="2">
        <f t="shared" si="5"/>
        <v>0.1035642762580514</v>
      </c>
      <c r="BL12" s="2">
        <f t="shared" si="5"/>
        <v>9.5747493573230313E-2</v>
      </c>
      <c r="BM12" s="2">
        <f t="shared" si="5"/>
        <v>8.9740703350444359E-2</v>
      </c>
      <c r="BN12" s="2">
        <f t="shared" si="5"/>
        <v>8.5469077840707189E-2</v>
      </c>
      <c r="BO12" s="2">
        <f t="shared" si="5"/>
        <v>8.2596052602387102E-2</v>
      </c>
      <c r="BP12" s="2">
        <f t="shared" si="6"/>
        <v>8.0735428529271416E-2</v>
      </c>
      <c r="BQ12" s="2">
        <f t="shared" si="6"/>
        <v>7.9559803775482635E-2</v>
      </c>
      <c r="BR12" s="2">
        <f t="shared" si="6"/>
        <v>7.882852718282482E-2</v>
      </c>
      <c r="BS12" s="2">
        <f t="shared" si="6"/>
        <v>7.8378069399863207E-2</v>
      </c>
      <c r="BT12" s="2">
        <f t="shared" si="6"/>
        <v>7.8102259716953476E-2</v>
      </c>
      <c r="BU12" s="2">
        <f t="shared" si="6"/>
        <v>7.7934007540739689E-2</v>
      </c>
    </row>
    <row r="13" spans="1:116" x14ac:dyDescent="0.25">
      <c r="A13" t="s">
        <v>12</v>
      </c>
      <c r="B13" s="1" t="s">
        <v>5</v>
      </c>
      <c r="C13" t="s">
        <v>13</v>
      </c>
      <c r="D13" t="s">
        <v>13</v>
      </c>
      <c r="E13" s="97">
        <v>7.0547199999999997</v>
      </c>
      <c r="F13" s="5">
        <f t="shared" si="7"/>
        <v>1.7284064000000002E-2</v>
      </c>
      <c r="G13" s="1">
        <f>LOOKUP(RIGHT(D13,5),Ref!$C$4:$C$21,Ref!$E$4:$E$21)*$G$3</f>
        <v>1.5</v>
      </c>
      <c r="H13" s="36">
        <f t="shared" si="1"/>
        <v>7.0547199999999997</v>
      </c>
      <c r="I13" s="12">
        <f t="shared" si="1"/>
        <v>7.0547199999999997</v>
      </c>
      <c r="J13" s="12">
        <f t="shared" si="1"/>
        <v>7.0547199999999997</v>
      </c>
      <c r="K13" s="12">
        <f t="shared" si="1"/>
        <v>7.0547199999999997</v>
      </c>
      <c r="L13" s="12">
        <f t="shared" si="1"/>
        <v>7.0547199999999997</v>
      </c>
      <c r="M13" s="12">
        <f t="shared" si="8"/>
        <v>7.3892962560232434</v>
      </c>
      <c r="N13" s="12">
        <f t="shared" si="2"/>
        <v>7.5898782197594663</v>
      </c>
      <c r="O13" s="12">
        <f t="shared" si="2"/>
        <v>7.8956632380478728</v>
      </c>
      <c r="P13" s="12">
        <f t="shared" si="2"/>
        <v>8.341680991307177</v>
      </c>
      <c r="Q13" s="12">
        <f t="shared" si="2"/>
        <v>8.9520264241673324</v>
      </c>
      <c r="R13" s="12">
        <f t="shared" si="2"/>
        <v>9.7181637069836526</v>
      </c>
      <c r="S13" s="12">
        <f t="shared" si="2"/>
        <v>10.582079999999999</v>
      </c>
      <c r="T13" s="12">
        <f t="shared" si="2"/>
        <v>11.445996293016346</v>
      </c>
      <c r="U13" s="12">
        <f t="shared" si="2"/>
        <v>12.212133575832667</v>
      </c>
      <c r="V13" s="12">
        <f t="shared" si="2"/>
        <v>12.822479008692822</v>
      </c>
      <c r="W13" s="12">
        <f t="shared" si="2"/>
        <v>13.268496761952125</v>
      </c>
      <c r="X13" s="12">
        <f t="shared" si="2"/>
        <v>13.574281780240533</v>
      </c>
      <c r="Y13" s="12">
        <f t="shared" si="2"/>
        <v>13.774863743976756</v>
      </c>
      <c r="Z13" s="12">
        <f t="shared" si="2"/>
        <v>13.902650419473792</v>
      </c>
      <c r="AA13" s="12">
        <f t="shared" si="2"/>
        <v>13.982552324856233</v>
      </c>
      <c r="AB13" s="12">
        <f t="shared" si="2"/>
        <v>14.031930196085101</v>
      </c>
      <c r="AC13" s="12">
        <f t="shared" si="2"/>
        <v>14.06222381072743</v>
      </c>
      <c r="AD13" s="300">
        <f t="shared" si="3"/>
        <v>1.9481421096130336E-3</v>
      </c>
      <c r="AE13" s="299">
        <f t="shared" si="3"/>
        <v>1.9481421096130336E-3</v>
      </c>
      <c r="AF13" s="299">
        <f t="shared" si="3"/>
        <v>1.9481421096130336E-3</v>
      </c>
      <c r="AG13" s="299">
        <f t="shared" si="3"/>
        <v>1.9481421096130336E-3</v>
      </c>
      <c r="AH13" s="299">
        <f t="shared" si="3"/>
        <v>1.9481421096130336E-3</v>
      </c>
      <c r="AI13" s="299">
        <f t="shared" si="3"/>
        <v>1.8599331556542248E-3</v>
      </c>
      <c r="AJ13" s="299">
        <f t="shared" si="3"/>
        <v>1.8107796601728365E-3</v>
      </c>
      <c r="AK13" s="299">
        <f t="shared" si="3"/>
        <v>1.740651379012871E-3</v>
      </c>
      <c r="AL13" s="299">
        <f t="shared" si="3"/>
        <v>1.6475812390633724E-3</v>
      </c>
      <c r="AM13" s="299">
        <f t="shared" si="3"/>
        <v>1.5352498364422122E-3</v>
      </c>
      <c r="AN13" s="299">
        <f t="shared" si="3"/>
        <v>1.4142174918964224E-3</v>
      </c>
      <c r="AO13" s="299">
        <f t="shared" si="3"/>
        <v>1.2987614064086891E-3</v>
      </c>
      <c r="AP13" s="299">
        <f t="shared" si="3"/>
        <v>1.2007340166547817E-3</v>
      </c>
      <c r="AQ13" s="299">
        <f t="shared" si="3"/>
        <v>1.1254050750580799E-3</v>
      </c>
      <c r="AR13" s="299">
        <f t="shared" si="3"/>
        <v>1.0718361944060879E-3</v>
      </c>
      <c r="AS13" s="299">
        <f t="shared" si="3"/>
        <v>1.0358066441210961E-3</v>
      </c>
      <c r="AT13" s="299">
        <f t="shared" si="4"/>
        <v>1.0124732435962242E-3</v>
      </c>
      <c r="AU13" s="299">
        <f t="shared" si="4"/>
        <v>9.9773016698904418E-4</v>
      </c>
      <c r="AV13" s="299">
        <f t="shared" si="4"/>
        <v>9.8855949684804401E-4</v>
      </c>
      <c r="AW13" s="299">
        <f t="shared" si="4"/>
        <v>9.8291047186698584E-4</v>
      </c>
      <c r="AX13" s="299">
        <f t="shared" si="4"/>
        <v>9.7945164431930505E-4</v>
      </c>
      <c r="AY13" s="299">
        <f t="shared" si="4"/>
        <v>9.7734165580872748E-4</v>
      </c>
      <c r="AZ13" s="306">
        <f t="shared" si="5"/>
        <v>0.10784873379612767</v>
      </c>
      <c r="BA13" s="2">
        <f t="shared" si="5"/>
        <v>0.10784873379612767</v>
      </c>
      <c r="BB13" s="2">
        <f t="shared" si="5"/>
        <v>0.10784873379612767</v>
      </c>
      <c r="BC13" s="2">
        <f t="shared" si="5"/>
        <v>0.10784873379612767</v>
      </c>
      <c r="BD13" s="2">
        <f t="shared" si="5"/>
        <v>0.10784873379612767</v>
      </c>
      <c r="BE13" s="2">
        <f t="shared" si="5"/>
        <v>0.10296550482274025</v>
      </c>
      <c r="BF13" s="2">
        <f t="shared" si="5"/>
        <v>0.10024437774316884</v>
      </c>
      <c r="BG13" s="2">
        <f t="shared" si="5"/>
        <v>9.6362090979241005E-2</v>
      </c>
      <c r="BH13" s="2">
        <f t="shared" si="5"/>
        <v>9.1209747780943429E-2</v>
      </c>
      <c r="BI13" s="2">
        <f t="shared" si="5"/>
        <v>8.499110516834596E-2</v>
      </c>
      <c r="BJ13" s="2">
        <f t="shared" si="5"/>
        <v>7.8290780257124312E-2</v>
      </c>
      <c r="BK13" s="2">
        <f t="shared" si="5"/>
        <v>7.1899155864085115E-2</v>
      </c>
      <c r="BL13" s="2">
        <f t="shared" si="5"/>
        <v>6.6472380368534437E-2</v>
      </c>
      <c r="BM13" s="2">
        <f t="shared" si="5"/>
        <v>6.2302186146399138E-2</v>
      </c>
      <c r="BN13" s="2">
        <f t="shared" si="5"/>
        <v>5.9336624280719438E-2</v>
      </c>
      <c r="BO13" s="2">
        <f t="shared" si="5"/>
        <v>5.734203602234432E-2</v>
      </c>
      <c r="BP13" s="2">
        <f t="shared" si="6"/>
        <v>5.605030392059062E-2</v>
      </c>
      <c r="BQ13" s="2">
        <f t="shared" si="6"/>
        <v>5.5234130328069952E-2</v>
      </c>
      <c r="BR13" s="2">
        <f t="shared" si="6"/>
        <v>5.472644397506294E-2</v>
      </c>
      <c r="BS13" s="2">
        <f t="shared" si="6"/>
        <v>5.4413715150823917E-2</v>
      </c>
      <c r="BT13" s="2">
        <f t="shared" si="6"/>
        <v>5.4222235191740929E-2</v>
      </c>
      <c r="BU13" s="2">
        <f t="shared" si="6"/>
        <v>5.4105426675530907E-2</v>
      </c>
    </row>
    <row r="14" spans="1:116" x14ac:dyDescent="0.25">
      <c r="A14" t="s">
        <v>12</v>
      </c>
      <c r="B14" s="1" t="s">
        <v>5</v>
      </c>
      <c r="C14" t="s">
        <v>14</v>
      </c>
      <c r="D14" t="s">
        <v>14</v>
      </c>
      <c r="E14" s="97">
        <v>7.4211799999999997</v>
      </c>
      <c r="F14" s="5">
        <f t="shared" si="7"/>
        <v>1.8181890999999999E-2</v>
      </c>
      <c r="G14" s="1">
        <f>LOOKUP(RIGHT(D14,5),Ref!$C$4:$C$21,Ref!$E$4:$E$21)*$G$3</f>
        <v>2</v>
      </c>
      <c r="H14" s="36">
        <f t="shared" si="1"/>
        <v>7.4211799999999997</v>
      </c>
      <c r="I14" s="12">
        <f t="shared" si="1"/>
        <v>7.4211799999999997</v>
      </c>
      <c r="J14" s="12">
        <f t="shared" si="1"/>
        <v>7.4211799999999997</v>
      </c>
      <c r="K14" s="12">
        <f t="shared" si="1"/>
        <v>7.4211799999999997</v>
      </c>
      <c r="L14" s="12">
        <f t="shared" si="1"/>
        <v>7.4211799999999997</v>
      </c>
      <c r="M14" s="12">
        <f t="shared" si="8"/>
        <v>7.7731359415078947</v>
      </c>
      <c r="N14" s="12">
        <f t="shared" si="2"/>
        <v>7.9841372084100515</v>
      </c>
      <c r="O14" s="12">
        <f t="shared" si="2"/>
        <v>8.305806340852099</v>
      </c>
      <c r="P14" s="12">
        <f t="shared" si="2"/>
        <v>8.7749926487612555</v>
      </c>
      <c r="Q14" s="12">
        <f t="shared" si="2"/>
        <v>9.4170426974425805</v>
      </c>
      <c r="R14" s="12">
        <f t="shared" si="2"/>
        <v>10.222977260471421</v>
      </c>
      <c r="S14" s="12">
        <f t="shared" si="2"/>
        <v>11.131769999999999</v>
      </c>
      <c r="T14" s="12">
        <f t="shared" si="2"/>
        <v>12.040562739528578</v>
      </c>
      <c r="U14" s="12">
        <f t="shared" si="2"/>
        <v>12.846497302557419</v>
      </c>
      <c r="V14" s="12">
        <f t="shared" si="2"/>
        <v>13.488547351238743</v>
      </c>
      <c r="W14" s="12">
        <f t="shared" si="2"/>
        <v>13.9577336591479</v>
      </c>
      <c r="X14" s="12">
        <f t="shared" si="2"/>
        <v>14.279402791589948</v>
      </c>
      <c r="Y14" s="12">
        <f t="shared" si="2"/>
        <v>14.490404058492105</v>
      </c>
      <c r="Z14" s="12">
        <f t="shared" si="2"/>
        <v>14.62482865939265</v>
      </c>
      <c r="AA14" s="12">
        <f t="shared" si="2"/>
        <v>14.708881098353524</v>
      </c>
      <c r="AB14" s="12">
        <f t="shared" si="2"/>
        <v>14.760823921088695</v>
      </c>
      <c r="AC14" s="12">
        <f t="shared" si="2"/>
        <v>14.792691148577717</v>
      </c>
      <c r="AD14" s="300">
        <f t="shared" si="3"/>
        <v>1.8519422926716856E-3</v>
      </c>
      <c r="AE14" s="299">
        <f t="shared" si="3"/>
        <v>1.8519422926716856E-3</v>
      </c>
      <c r="AF14" s="299">
        <f t="shared" si="3"/>
        <v>1.8519422926716856E-3</v>
      </c>
      <c r="AG14" s="299">
        <f t="shared" si="3"/>
        <v>1.8519422926716856E-3</v>
      </c>
      <c r="AH14" s="299">
        <f t="shared" si="3"/>
        <v>1.8519422926716856E-3</v>
      </c>
      <c r="AI14" s="299">
        <f t="shared" si="3"/>
        <v>1.7680891221957926E-3</v>
      </c>
      <c r="AJ14" s="299">
        <f t="shared" si="3"/>
        <v>1.7213628404397297E-3</v>
      </c>
      <c r="AK14" s="299">
        <f t="shared" si="3"/>
        <v>1.6546975139465259E-3</v>
      </c>
      <c r="AL14" s="299">
        <f t="shared" si="3"/>
        <v>1.5662232042404514E-3</v>
      </c>
      <c r="AM14" s="299">
        <f t="shared" si="3"/>
        <v>1.4594387585458923E-3</v>
      </c>
      <c r="AN14" s="299">
        <f t="shared" si="3"/>
        <v>1.3443830259381297E-3</v>
      </c>
      <c r="AO14" s="299">
        <f t="shared" si="3"/>
        <v>1.2346281951144571E-3</v>
      </c>
      <c r="AP14" s="299">
        <f t="shared" si="3"/>
        <v>1.1414414260231959E-3</v>
      </c>
      <c r="AQ14" s="299">
        <f t="shared" si="3"/>
        <v>1.069832249199418E-3</v>
      </c>
      <c r="AR14" s="299">
        <f t="shared" si="3"/>
        <v>1.0189086152607154E-3</v>
      </c>
      <c r="AS14" s="299">
        <f t="shared" si="3"/>
        <v>9.8465821451763436E-4</v>
      </c>
      <c r="AT14" s="299">
        <f t="shared" si="4"/>
        <v>9.6247702401277885E-4</v>
      </c>
      <c r="AU14" s="299">
        <f t="shared" si="4"/>
        <v>9.484619647631441E-4</v>
      </c>
      <c r="AV14" s="299">
        <f t="shared" si="4"/>
        <v>9.3974414494781596E-4</v>
      </c>
      <c r="AW14" s="299">
        <f t="shared" si="4"/>
        <v>9.34374070442903E-4</v>
      </c>
      <c r="AX14" s="299">
        <f t="shared" si="4"/>
        <v>9.3108604079301222E-4</v>
      </c>
      <c r="AY14" s="299">
        <f t="shared" si="4"/>
        <v>9.2908024412114321E-4</v>
      </c>
      <c r="AZ14" s="306">
        <f t="shared" si="5"/>
        <v>0.10252313234367282</v>
      </c>
      <c r="BA14" s="2">
        <f t="shared" si="5"/>
        <v>0.10252313234367282</v>
      </c>
      <c r="BB14" s="2">
        <f t="shared" si="5"/>
        <v>0.10252313234367282</v>
      </c>
      <c r="BC14" s="2">
        <f t="shared" si="5"/>
        <v>0.10252313234367282</v>
      </c>
      <c r="BD14" s="2">
        <f t="shared" si="5"/>
        <v>0.10252313234367282</v>
      </c>
      <c r="BE14" s="2">
        <f t="shared" si="5"/>
        <v>9.7881038619610644E-2</v>
      </c>
      <c r="BF14" s="2">
        <f t="shared" si="5"/>
        <v>9.5294281576823098E-2</v>
      </c>
      <c r="BG14" s="2">
        <f t="shared" si="5"/>
        <v>9.1603703248414811E-2</v>
      </c>
      <c r="BH14" s="2">
        <f t="shared" si="5"/>
        <v>8.6705784237166753E-2</v>
      </c>
      <c r="BI14" s="2">
        <f t="shared" si="5"/>
        <v>8.0794219982972204E-2</v>
      </c>
      <c r="BJ14" s="2">
        <f t="shared" si="5"/>
        <v>7.4424759040414068E-2</v>
      </c>
      <c r="BK14" s="2">
        <f t="shared" si="5"/>
        <v>6.8348754895781877E-2</v>
      </c>
      <c r="BL14" s="2">
        <f t="shared" si="5"/>
        <v>6.31899551329448E-2</v>
      </c>
      <c r="BM14" s="2">
        <f t="shared" si="5"/>
        <v>5.9225686299311554E-2</v>
      </c>
      <c r="BN14" s="2">
        <f t="shared" si="5"/>
        <v>5.6406564730363234E-2</v>
      </c>
      <c r="BO14" s="2">
        <f t="shared" si="5"/>
        <v>5.4510469813096159E-2</v>
      </c>
      <c r="BP14" s="2">
        <f t="shared" si="6"/>
        <v>5.3282523813553778E-2</v>
      </c>
      <c r="BQ14" s="2">
        <f t="shared" si="6"/>
        <v>5.2506653107462921E-2</v>
      </c>
      <c r="BR14" s="2">
        <f t="shared" si="6"/>
        <v>5.2024036452391134E-2</v>
      </c>
      <c r="BS14" s="2">
        <f t="shared" si="6"/>
        <v>5.1726750267318745E-2</v>
      </c>
      <c r="BT14" s="2">
        <f t="shared" si="6"/>
        <v>5.1544725643614432E-2</v>
      </c>
      <c r="BU14" s="2">
        <f t="shared" si="6"/>
        <v>5.1433685165486E-2</v>
      </c>
    </row>
    <row r="15" spans="1:116" x14ac:dyDescent="0.25">
      <c r="A15" t="s">
        <v>12</v>
      </c>
      <c r="B15" s="1" t="s">
        <v>5</v>
      </c>
      <c r="C15" t="s">
        <v>15</v>
      </c>
      <c r="D15" t="s">
        <v>15</v>
      </c>
      <c r="E15" s="97">
        <v>7.2018149999999999</v>
      </c>
      <c r="F15" s="5">
        <f t="shared" si="7"/>
        <v>1.7644446750000001E-2</v>
      </c>
      <c r="G15" s="1">
        <f>LOOKUP(RIGHT(D15,5),Ref!$C$4:$C$21,Ref!$E$4:$E$21)*$G$3</f>
        <v>2.5</v>
      </c>
      <c r="H15" s="36">
        <f t="shared" si="1"/>
        <v>7.2018149999999999</v>
      </c>
      <c r="I15" s="12">
        <f t="shared" si="1"/>
        <v>7.2018149999999999</v>
      </c>
      <c r="J15" s="12">
        <f t="shared" si="1"/>
        <v>7.2018149999999999</v>
      </c>
      <c r="K15" s="12">
        <f t="shared" si="1"/>
        <v>7.2018149999999999</v>
      </c>
      <c r="L15" s="12">
        <f t="shared" si="1"/>
        <v>7.2018149999999999</v>
      </c>
      <c r="M15" s="12">
        <f t="shared" si="8"/>
        <v>7.5433673648382973</v>
      </c>
      <c r="N15" s="12">
        <f t="shared" si="2"/>
        <v>7.7481315787496916</v>
      </c>
      <c r="O15" s="12">
        <f t="shared" si="2"/>
        <v>8.060292391862717</v>
      </c>
      <c r="P15" s="12">
        <f t="shared" si="2"/>
        <v>8.5156098737314743</v>
      </c>
      <c r="Q15" s="12">
        <f t="shared" si="2"/>
        <v>9.1386813625437515</v>
      </c>
      <c r="R15" s="12">
        <f t="shared" si="2"/>
        <v>9.9207930516605156</v>
      </c>
      <c r="S15" s="12">
        <f t="shared" si="2"/>
        <v>10.8027225</v>
      </c>
      <c r="T15" s="12">
        <f t="shared" si="2"/>
        <v>11.684651948339484</v>
      </c>
      <c r="U15" s="12">
        <f t="shared" si="2"/>
        <v>12.466763637456248</v>
      </c>
      <c r="V15" s="12">
        <f t="shared" si="2"/>
        <v>13.089835126268525</v>
      </c>
      <c r="W15" s="12">
        <f t="shared" si="2"/>
        <v>13.545152608137281</v>
      </c>
      <c r="X15" s="12">
        <f t="shared" si="2"/>
        <v>13.857313421250309</v>
      </c>
      <c r="Y15" s="12">
        <f t="shared" si="2"/>
        <v>14.062077635161701</v>
      </c>
      <c r="Z15" s="12">
        <f t="shared" si="2"/>
        <v>14.19252873689142</v>
      </c>
      <c r="AA15" s="12">
        <f t="shared" si="2"/>
        <v>14.27409664330186</v>
      </c>
      <c r="AB15" s="12">
        <f t="shared" si="2"/>
        <v>14.324504071758856</v>
      </c>
      <c r="AC15" s="12">
        <f t="shared" si="2"/>
        <v>14.355429325820722</v>
      </c>
      <c r="AD15" s="300">
        <f t="shared" si="3"/>
        <v>1.9083518673458371E-3</v>
      </c>
      <c r="AE15" s="299">
        <f t="shared" si="3"/>
        <v>1.9083518673458371E-3</v>
      </c>
      <c r="AF15" s="299">
        <f t="shared" si="3"/>
        <v>1.9083518673458371E-3</v>
      </c>
      <c r="AG15" s="299">
        <f t="shared" si="3"/>
        <v>1.9083518673458371E-3</v>
      </c>
      <c r="AH15" s="299">
        <f t="shared" si="3"/>
        <v>1.9083518673458371E-3</v>
      </c>
      <c r="AI15" s="299">
        <f t="shared" si="3"/>
        <v>1.8219445559011129E-3</v>
      </c>
      <c r="AJ15" s="299">
        <f t="shared" si="3"/>
        <v>1.7737950064274787E-3</v>
      </c>
      <c r="AK15" s="299">
        <f t="shared" si="3"/>
        <v>1.7050990752400165E-3</v>
      </c>
      <c r="AL15" s="299">
        <f t="shared" si="3"/>
        <v>1.6139298661302954E-3</v>
      </c>
      <c r="AM15" s="299">
        <f t="shared" si="3"/>
        <v>1.5038928000990868E-3</v>
      </c>
      <c r="AN15" s="299">
        <f t="shared" si="3"/>
        <v>1.3853325063795069E-3</v>
      </c>
      <c r="AO15" s="299">
        <f t="shared" si="3"/>
        <v>1.2722345782305582E-3</v>
      </c>
      <c r="AP15" s="299">
        <f t="shared" si="3"/>
        <v>1.1762093697178866E-3</v>
      </c>
      <c r="AQ15" s="299">
        <f t="shared" si="3"/>
        <v>1.1024190000873024E-3</v>
      </c>
      <c r="AR15" s="299">
        <f t="shared" si="3"/>
        <v>1.0499442484152282E-3</v>
      </c>
      <c r="AS15" s="299">
        <f t="shared" si="3"/>
        <v>1.0146505913320432E-3</v>
      </c>
      <c r="AT15" s="299">
        <f t="shared" si="4"/>
        <v>9.9179376880177477E-4</v>
      </c>
      <c r="AU15" s="299">
        <f t="shared" si="4"/>
        <v>9.773518152939155E-4</v>
      </c>
      <c r="AV15" s="299">
        <f t="shared" si="4"/>
        <v>9.6836845345289117E-4</v>
      </c>
      <c r="AW15" s="299">
        <f t="shared" si="4"/>
        <v>9.6283480818230708E-4</v>
      </c>
      <c r="AX15" s="299">
        <f t="shared" si="4"/>
        <v>9.5944662619246483E-4</v>
      </c>
      <c r="AY15" s="299">
        <f t="shared" si="4"/>
        <v>9.5737973359034435E-4</v>
      </c>
      <c r="AZ15" s="306">
        <f t="shared" si="5"/>
        <v>0.10564595442762939</v>
      </c>
      <c r="BA15" s="2">
        <f t="shared" si="5"/>
        <v>0.10564595442762939</v>
      </c>
      <c r="BB15" s="2">
        <f t="shared" si="5"/>
        <v>0.10564595442762939</v>
      </c>
      <c r="BC15" s="2">
        <f t="shared" si="5"/>
        <v>0.10564595442762939</v>
      </c>
      <c r="BD15" s="2">
        <f t="shared" si="5"/>
        <v>0.10564595442762939</v>
      </c>
      <c r="BE15" s="2">
        <f t="shared" si="5"/>
        <v>0.10086246400151658</v>
      </c>
      <c r="BF15" s="2">
        <f t="shared" si="5"/>
        <v>9.8196915159899006E-2</v>
      </c>
      <c r="BG15" s="2">
        <f t="shared" si="5"/>
        <v>9.439392298650702E-2</v>
      </c>
      <c r="BH15" s="2">
        <f t="shared" si="5"/>
        <v>8.9346814916125603E-2</v>
      </c>
      <c r="BI15" s="2">
        <f t="shared" si="5"/>
        <v>8.3255186290293992E-2</v>
      </c>
      <c r="BJ15" s="2">
        <f t="shared" si="5"/>
        <v>7.6691713588246863E-2</v>
      </c>
      <c r="BK15" s="2">
        <f t="shared" si="5"/>
        <v>7.0430636285086265E-2</v>
      </c>
      <c r="BL15" s="2">
        <f t="shared" si="5"/>
        <v>6.5114701118191357E-2</v>
      </c>
      <c r="BM15" s="2">
        <f t="shared" si="5"/>
        <v>6.1029681913618294E-2</v>
      </c>
      <c r="BN15" s="2">
        <f t="shared" si="5"/>
        <v>5.8124690796094738E-2</v>
      </c>
      <c r="BO15" s="2">
        <f t="shared" si="5"/>
        <v>5.6170841429216523E-2</v>
      </c>
      <c r="BP15" s="2">
        <f t="shared" si="6"/>
        <v>5.4905492584115125E-2</v>
      </c>
      <c r="BQ15" s="2">
        <f t="shared" si="6"/>
        <v>5.4105989102475098E-2</v>
      </c>
      <c r="BR15" s="2">
        <f t="shared" si="6"/>
        <v>5.3608672097208279E-2</v>
      </c>
      <c r="BS15" s="2">
        <f t="shared" si="6"/>
        <v>5.3302330669257748E-2</v>
      </c>
      <c r="BT15" s="2">
        <f t="shared" si="6"/>
        <v>5.3114761633265853E-2</v>
      </c>
      <c r="BU15" s="2">
        <f t="shared" si="6"/>
        <v>5.3000338897403139E-2</v>
      </c>
    </row>
    <row r="16" spans="1:116" x14ac:dyDescent="0.25">
      <c r="A16" t="s">
        <v>12</v>
      </c>
      <c r="B16" s="1" t="s">
        <v>5</v>
      </c>
      <c r="C16" t="s">
        <v>16</v>
      </c>
      <c r="D16" t="s">
        <v>16</v>
      </c>
      <c r="E16" s="97">
        <v>7.43393675</v>
      </c>
      <c r="F16" s="5">
        <f t="shared" si="7"/>
        <v>1.82131450375E-2</v>
      </c>
      <c r="G16" s="1">
        <f>LOOKUP(RIGHT(D16,5),Ref!$C$4:$C$21,Ref!$E$4:$E$21)*$G$3</f>
        <v>3</v>
      </c>
      <c r="H16" s="36">
        <f t="shared" si="1"/>
        <v>7.43393675</v>
      </c>
      <c r="I16" s="12">
        <f t="shared" si="1"/>
        <v>7.43393675</v>
      </c>
      <c r="J16" s="12">
        <f t="shared" si="1"/>
        <v>7.43393675</v>
      </c>
      <c r="K16" s="12">
        <f t="shared" si="1"/>
        <v>7.43393675</v>
      </c>
      <c r="L16" s="12">
        <f t="shared" si="1"/>
        <v>7.43393675</v>
      </c>
      <c r="M16" s="12">
        <f t="shared" si="8"/>
        <v>7.786497691515553</v>
      </c>
      <c r="N16" s="12">
        <f t="shared" si="2"/>
        <v>7.9978616622480372</v>
      </c>
      <c r="O16" s="12">
        <f t="shared" si="2"/>
        <v>8.3200837327276034</v>
      </c>
      <c r="P16" s="12">
        <f t="shared" si="2"/>
        <v>8.7900765555620719</v>
      </c>
      <c r="Q16" s="12">
        <f t="shared" si="2"/>
        <v>9.4332302659196419</v>
      </c>
      <c r="R16" s="12">
        <f t="shared" si="2"/>
        <v>10.240550202398111</v>
      </c>
      <c r="S16" s="12">
        <f t="shared" si="2"/>
        <v>11.150905125</v>
      </c>
      <c r="T16" s="12">
        <f t="shared" si="2"/>
        <v>12.061260047601888</v>
      </c>
      <c r="U16" s="12">
        <f t="shared" si="2"/>
        <v>12.868579984080357</v>
      </c>
      <c r="V16" s="12">
        <f t="shared" si="2"/>
        <v>13.511733694437927</v>
      </c>
      <c r="W16" s="12">
        <f t="shared" si="2"/>
        <v>13.981726517272394</v>
      </c>
      <c r="X16" s="12">
        <f t="shared" si="2"/>
        <v>14.303948587751963</v>
      </c>
      <c r="Y16" s="12">
        <f t="shared" si="2"/>
        <v>14.515312558484448</v>
      </c>
      <c r="Z16" s="12">
        <f t="shared" si="2"/>
        <v>14.649968230593013</v>
      </c>
      <c r="AA16" s="12">
        <f t="shared" si="2"/>
        <v>14.734165152769592</v>
      </c>
      <c r="AB16" s="12">
        <f t="shared" si="2"/>
        <v>14.786197263408292</v>
      </c>
      <c r="AC16" s="12">
        <f t="shared" si="2"/>
        <v>14.818119269551689</v>
      </c>
      <c r="AD16" s="300">
        <f t="shared" si="3"/>
        <v>1.8487643311640039E-3</v>
      </c>
      <c r="AE16" s="299">
        <f t="shared" si="3"/>
        <v>1.8487643311640039E-3</v>
      </c>
      <c r="AF16" s="299">
        <f t="shared" si="3"/>
        <v>1.8487643311640039E-3</v>
      </c>
      <c r="AG16" s="299">
        <f t="shared" si="3"/>
        <v>1.8487643311640039E-3</v>
      </c>
      <c r="AH16" s="299">
        <f t="shared" si="3"/>
        <v>1.8487643311640039E-3</v>
      </c>
      <c r="AI16" s="299">
        <f t="shared" si="3"/>
        <v>1.7650550540205998E-3</v>
      </c>
      <c r="AJ16" s="299">
        <f t="shared" si="3"/>
        <v>1.7184089552839568E-3</v>
      </c>
      <c r="AK16" s="299">
        <f t="shared" si="3"/>
        <v>1.6518580275181492E-3</v>
      </c>
      <c r="AL16" s="299">
        <f t="shared" si="3"/>
        <v>1.5635355410906816E-3</v>
      </c>
      <c r="AM16" s="299">
        <f t="shared" si="3"/>
        <v>1.4569343391501958E-3</v>
      </c>
      <c r="AN16" s="299">
        <f t="shared" si="3"/>
        <v>1.342076043952288E-3</v>
      </c>
      <c r="AO16" s="299">
        <f t="shared" si="3"/>
        <v>1.232509554109336E-3</v>
      </c>
      <c r="AP16" s="299">
        <f t="shared" si="3"/>
        <v>1.1394826949495934E-3</v>
      </c>
      <c r="AQ16" s="299">
        <f t="shared" si="3"/>
        <v>1.0679964005765501E-3</v>
      </c>
      <c r="AR16" s="299">
        <f t="shared" si="3"/>
        <v>1.0171601523782828E-3</v>
      </c>
      <c r="AS16" s="299">
        <f t="shared" si="3"/>
        <v>9.8296852585058364E-4</v>
      </c>
      <c r="AT16" s="299">
        <f t="shared" si="4"/>
        <v>9.6082539861038689E-4</v>
      </c>
      <c r="AU16" s="299">
        <f t="shared" si="4"/>
        <v>9.4683438941835891E-4</v>
      </c>
      <c r="AV16" s="299">
        <f t="shared" si="4"/>
        <v>9.381315295161521E-4</v>
      </c>
      <c r="AW16" s="299">
        <f t="shared" si="4"/>
        <v>9.3277067014182786E-4</v>
      </c>
      <c r="AX16" s="299">
        <f t="shared" si="4"/>
        <v>9.2948828280147615E-4</v>
      </c>
      <c r="AY16" s="299">
        <f t="shared" si="4"/>
        <v>9.2748592810760002E-4</v>
      </c>
      <c r="AZ16" s="306">
        <f t="shared" si="5"/>
        <v>0.10234720106896494</v>
      </c>
      <c r="BA16" s="2">
        <f t="shared" si="5"/>
        <v>0.10234720106896494</v>
      </c>
      <c r="BB16" s="2">
        <f t="shared" si="5"/>
        <v>0.10234720106896494</v>
      </c>
      <c r="BC16" s="2">
        <f t="shared" si="5"/>
        <v>0.10234720106896494</v>
      </c>
      <c r="BD16" s="2">
        <f t="shared" si="5"/>
        <v>0.10234720106896494</v>
      </c>
      <c r="BE16" s="2">
        <f t="shared" si="5"/>
        <v>9.7713073249255461E-2</v>
      </c>
      <c r="BF16" s="2">
        <f t="shared" si="5"/>
        <v>9.5130755121408325E-2</v>
      </c>
      <c r="BG16" s="2">
        <f t="shared" si="5"/>
        <v>9.14465098822735E-2</v>
      </c>
      <c r="BH16" s="2">
        <f t="shared" si="5"/>
        <v>8.6556995775512499E-2</v>
      </c>
      <c r="BI16" s="2">
        <f t="shared" si="5"/>
        <v>8.0655575856659487E-2</v>
      </c>
      <c r="BJ16" s="2">
        <f t="shared" si="5"/>
        <v>7.4297045007215054E-2</v>
      </c>
      <c r="BK16" s="2">
        <f t="shared" si="5"/>
        <v>6.8231467379309962E-2</v>
      </c>
      <c r="BL16" s="2">
        <f t="shared" si="5"/>
        <v>6.3081520196349161E-2</v>
      </c>
      <c r="BM16" s="2">
        <f t="shared" si="5"/>
        <v>5.9124054109113172E-2</v>
      </c>
      <c r="BN16" s="2">
        <f t="shared" si="5"/>
        <v>5.6309770196212264E-2</v>
      </c>
      <c r="BO16" s="2">
        <f t="shared" si="5"/>
        <v>5.4416929007036943E-2</v>
      </c>
      <c r="BP16" s="2">
        <f t="shared" si="6"/>
        <v>5.3191090181749133E-2</v>
      </c>
      <c r="BQ16" s="2">
        <f t="shared" si="6"/>
        <v>5.2416550881744003E-2</v>
      </c>
      <c r="BR16" s="2">
        <f t="shared" si="6"/>
        <v>5.1934762404288147E-2</v>
      </c>
      <c r="BS16" s="2">
        <f t="shared" si="6"/>
        <v>5.1637986366889724E-2</v>
      </c>
      <c r="BT16" s="2">
        <f t="shared" si="6"/>
        <v>5.1456274100244198E-2</v>
      </c>
      <c r="BU16" s="2">
        <f t="shared" si="6"/>
        <v>5.1345424169287071E-2</v>
      </c>
    </row>
    <row r="17" spans="1:73" x14ac:dyDescent="0.25">
      <c r="A17" t="s">
        <v>12</v>
      </c>
      <c r="B17" s="1" t="s">
        <v>5</v>
      </c>
      <c r="C17" t="s">
        <v>17</v>
      </c>
      <c r="D17" t="s">
        <v>17</v>
      </c>
      <c r="E17" s="97">
        <v>7.5049109999999999</v>
      </c>
      <c r="F17" s="5">
        <f t="shared" si="7"/>
        <v>1.838703195E-2</v>
      </c>
      <c r="G17" s="1">
        <f>LOOKUP(RIGHT(D17,5),Ref!$C$4:$C$21,Ref!$E$4:$E$21)*$G$3</f>
        <v>3</v>
      </c>
      <c r="H17" s="36">
        <f t="shared" si="1"/>
        <v>7.5049109999999999</v>
      </c>
      <c r="I17" s="12">
        <f t="shared" si="1"/>
        <v>7.5049109999999999</v>
      </c>
      <c r="J17" s="12">
        <f t="shared" si="1"/>
        <v>7.5049109999999999</v>
      </c>
      <c r="K17" s="12">
        <f t="shared" si="1"/>
        <v>7.5049109999999999</v>
      </c>
      <c r="L17" s="12">
        <f t="shared" si="1"/>
        <v>7.5049109999999999</v>
      </c>
      <c r="M17" s="12">
        <f t="shared" si="8"/>
        <v>7.8608379572949252</v>
      </c>
      <c r="N17" s="12">
        <f t="shared" si="2"/>
        <v>8.0742198896814106</v>
      </c>
      <c r="O17" s="12">
        <f t="shared" si="2"/>
        <v>8.3995183207159325</v>
      </c>
      <c r="P17" s="12">
        <f t="shared" si="2"/>
        <v>8.873998320295085</v>
      </c>
      <c r="Q17" s="12">
        <f t="shared" si="2"/>
        <v>9.523292431595312</v>
      </c>
      <c r="R17" s="12">
        <f t="shared" si="2"/>
        <v>10.338320118210559</v>
      </c>
      <c r="S17" s="12">
        <f t="shared" si="2"/>
        <v>11.2573665</v>
      </c>
      <c r="T17" s="12">
        <f t="shared" si="2"/>
        <v>12.176412881789441</v>
      </c>
      <c r="U17" s="12">
        <f t="shared" si="2"/>
        <v>12.991440568404688</v>
      </c>
      <c r="V17" s="12">
        <f t="shared" si="2"/>
        <v>13.640734679704915</v>
      </c>
      <c r="W17" s="12">
        <f t="shared" si="2"/>
        <v>14.115214679284065</v>
      </c>
      <c r="X17" s="12">
        <f t="shared" si="2"/>
        <v>14.440513110318589</v>
      </c>
      <c r="Y17" s="12">
        <f t="shared" si="2"/>
        <v>14.653895042705074</v>
      </c>
      <c r="Z17" s="12">
        <f t="shared" si="2"/>
        <v>14.789836316999608</v>
      </c>
      <c r="AA17" s="12">
        <f t="shared" si="2"/>
        <v>14.874837095007189</v>
      </c>
      <c r="AB17" s="12">
        <f t="shared" si="2"/>
        <v>14.927365973395293</v>
      </c>
      <c r="AC17" s="12">
        <f t="shared" si="2"/>
        <v>14.959592749476975</v>
      </c>
      <c r="AD17" s="300">
        <f t="shared" si="3"/>
        <v>1.8312804913381731E-3</v>
      </c>
      <c r="AE17" s="299">
        <f t="shared" si="3"/>
        <v>1.8312804913381731E-3</v>
      </c>
      <c r="AF17" s="299">
        <f t="shared" si="3"/>
        <v>1.8312804913381731E-3</v>
      </c>
      <c r="AG17" s="299">
        <f t="shared" si="3"/>
        <v>1.8312804913381731E-3</v>
      </c>
      <c r="AH17" s="299">
        <f t="shared" si="3"/>
        <v>1.8312804913381731E-3</v>
      </c>
      <c r="AI17" s="299">
        <f t="shared" si="3"/>
        <v>1.7483628562493243E-3</v>
      </c>
      <c r="AJ17" s="299">
        <f t="shared" si="3"/>
        <v>1.702157891574532E-3</v>
      </c>
      <c r="AK17" s="299">
        <f t="shared" si="3"/>
        <v>1.6362363386520746E-3</v>
      </c>
      <c r="AL17" s="299">
        <f t="shared" si="3"/>
        <v>1.5487491215878714E-3</v>
      </c>
      <c r="AM17" s="299">
        <f t="shared" si="3"/>
        <v>1.443156051570179E-3</v>
      </c>
      <c r="AN17" s="299">
        <f t="shared" si="3"/>
        <v>1.3293839759634097E-3</v>
      </c>
      <c r="AO17" s="299">
        <f t="shared" si="3"/>
        <v>1.2208536608921154E-3</v>
      </c>
      <c r="AP17" s="299">
        <f t="shared" si="3"/>
        <v>1.1287065605408008E-3</v>
      </c>
      <c r="AQ17" s="299">
        <f t="shared" si="3"/>
        <v>1.0578963149747861E-3</v>
      </c>
      <c r="AR17" s="299">
        <f t="shared" si="3"/>
        <v>1.00754082725305E-3</v>
      </c>
      <c r="AS17" s="299">
        <f t="shared" si="3"/>
        <v>9.7367255233459513E-4</v>
      </c>
      <c r="AT17" s="299">
        <f t="shared" si="4"/>
        <v>9.5173883355354307E-4</v>
      </c>
      <c r="AU17" s="299">
        <f t="shared" si="4"/>
        <v>9.3788013790715844E-4</v>
      </c>
      <c r="AV17" s="299">
        <f t="shared" si="4"/>
        <v>9.2925958130667141E-4</v>
      </c>
      <c r="AW17" s="299">
        <f t="shared" si="4"/>
        <v>9.2394941979851092E-4</v>
      </c>
      <c r="AX17" s="299">
        <f t="shared" si="4"/>
        <v>9.2069807412936493E-4</v>
      </c>
      <c r="AY17" s="299">
        <f t="shared" si="4"/>
        <v>9.1871465578565099E-4</v>
      </c>
      <c r="AZ17" s="306">
        <f t="shared" si="5"/>
        <v>0.10137929940624449</v>
      </c>
      <c r="BA17" s="2">
        <f t="shared" si="5"/>
        <v>0.10137929940624449</v>
      </c>
      <c r="BB17" s="2">
        <f t="shared" si="5"/>
        <v>0.10137929940624449</v>
      </c>
      <c r="BC17" s="2">
        <f t="shared" si="5"/>
        <v>0.10137929940624449</v>
      </c>
      <c r="BD17" s="2">
        <f t="shared" si="5"/>
        <v>0.10137929940624449</v>
      </c>
      <c r="BE17" s="2">
        <f t="shared" si="5"/>
        <v>9.6788996722690271E-2</v>
      </c>
      <c r="BF17" s="2">
        <f t="shared" si="5"/>
        <v>9.4231099682899375E-2</v>
      </c>
      <c r="BG17" s="2">
        <f t="shared" si="5"/>
        <v>9.0581696501540271E-2</v>
      </c>
      <c r="BH17" s="2">
        <f t="shared" si="5"/>
        <v>8.5738422729487021E-2</v>
      </c>
      <c r="BI17" s="2">
        <f t="shared" si="5"/>
        <v>7.9892812779956163E-2</v>
      </c>
      <c r="BJ17" s="2">
        <f t="shared" si="5"/>
        <v>7.3594414816583437E-2</v>
      </c>
      <c r="BK17" s="2">
        <f t="shared" si="5"/>
        <v>6.7586199604162997E-2</v>
      </c>
      <c r="BL17" s="2">
        <f t="shared" si="5"/>
        <v>6.2484955682153634E-2</v>
      </c>
      <c r="BM17" s="2">
        <f t="shared" si="5"/>
        <v>5.856491551341847E-2</v>
      </c>
      <c r="BN17" s="2">
        <f t="shared" si="5"/>
        <v>5.5777246398481875E-2</v>
      </c>
      <c r="BO17" s="2">
        <f t="shared" si="5"/>
        <v>5.3902305885779718E-2</v>
      </c>
      <c r="BP17" s="2">
        <f t="shared" si="6"/>
        <v>5.2688059868354079E-2</v>
      </c>
      <c r="BQ17" s="2">
        <f t="shared" si="6"/>
        <v>5.1920845418159077E-2</v>
      </c>
      <c r="BR17" s="2">
        <f t="shared" si="6"/>
        <v>5.1443613234021836E-2</v>
      </c>
      <c r="BS17" s="2">
        <f t="shared" si="6"/>
        <v>5.1149643819736239E-2</v>
      </c>
      <c r="BT17" s="2">
        <f t="shared" si="6"/>
        <v>5.0969650013421679E-2</v>
      </c>
      <c r="BU17" s="2">
        <f t="shared" si="6"/>
        <v>5.0859848394791275E-2</v>
      </c>
    </row>
    <row r="18" spans="1:73" x14ac:dyDescent="0.25">
      <c r="A18" t="s">
        <v>12</v>
      </c>
      <c r="B18" s="1" t="s">
        <v>5</v>
      </c>
      <c r="C18" t="s">
        <v>18</v>
      </c>
      <c r="D18" t="s">
        <v>18</v>
      </c>
      <c r="E18" s="97">
        <v>7.5172480000000004</v>
      </c>
      <c r="F18" s="5">
        <f t="shared" si="7"/>
        <v>1.8417257600000004E-2</v>
      </c>
      <c r="G18" s="1">
        <f>LOOKUP(RIGHT(D18,5),Ref!$C$4:$C$21,Ref!$E$4:$E$21)*$G$3</f>
        <v>3</v>
      </c>
      <c r="H18" s="36">
        <f t="shared" si="1"/>
        <v>7.5172480000000004</v>
      </c>
      <c r="I18" s="12">
        <f t="shared" si="1"/>
        <v>7.5172480000000004</v>
      </c>
      <c r="J18" s="12">
        <f t="shared" si="1"/>
        <v>7.5172480000000004</v>
      </c>
      <c r="K18" s="12">
        <f t="shared" si="1"/>
        <v>7.5172480000000004</v>
      </c>
      <c r="L18" s="12">
        <f t="shared" si="1"/>
        <v>7.5172480000000004</v>
      </c>
      <c r="M18" s="12">
        <f t="shared" si="8"/>
        <v>7.8737600502923177</v>
      </c>
      <c r="N18" s="12">
        <f t="shared" si="2"/>
        <v>8.0874927520483322</v>
      </c>
      <c r="O18" s="12">
        <f t="shared" si="2"/>
        <v>8.4133259271649194</v>
      </c>
      <c r="P18" s="12">
        <f t="shared" si="2"/>
        <v>8.8885859039822854</v>
      </c>
      <c r="Q18" s="12">
        <f t="shared" si="2"/>
        <v>9.5389473619107541</v>
      </c>
      <c r="R18" s="12">
        <f t="shared" si="2"/>
        <v>10.355314837441522</v>
      </c>
      <c r="S18" s="12">
        <f t="shared" si="2"/>
        <v>11.275872</v>
      </c>
      <c r="T18" s="12">
        <f t="shared" si="2"/>
        <v>12.196429162558479</v>
      </c>
      <c r="U18" s="12">
        <f t="shared" si="2"/>
        <v>13.012796638089247</v>
      </c>
      <c r="V18" s="12">
        <f t="shared" si="2"/>
        <v>13.663158096017716</v>
      </c>
      <c r="W18" s="12">
        <f t="shared" si="2"/>
        <v>14.13841807283508</v>
      </c>
      <c r="X18" s="12">
        <f t="shared" si="2"/>
        <v>14.464251247951669</v>
      </c>
      <c r="Y18" s="12">
        <f t="shared" si="2"/>
        <v>14.677983949707684</v>
      </c>
      <c r="Z18" s="12">
        <f t="shared" si="2"/>
        <v>14.81414869200883</v>
      </c>
      <c r="AA18" s="12">
        <f t="shared" si="2"/>
        <v>14.899289199134888</v>
      </c>
      <c r="AB18" s="12">
        <f t="shared" si="2"/>
        <v>14.95190442748406</v>
      </c>
      <c r="AC18" s="12">
        <f t="shared" si="2"/>
        <v>14.984184179775124</v>
      </c>
      <c r="AD18" s="300">
        <f t="shared" si="3"/>
        <v>1.8282750686859418E-3</v>
      </c>
      <c r="AE18" s="299">
        <f t="shared" si="3"/>
        <v>1.8282750686859418E-3</v>
      </c>
      <c r="AF18" s="299">
        <f t="shared" si="3"/>
        <v>1.8282750686859418E-3</v>
      </c>
      <c r="AG18" s="299">
        <f t="shared" si="3"/>
        <v>1.8282750686859418E-3</v>
      </c>
      <c r="AH18" s="299">
        <f t="shared" si="3"/>
        <v>1.8282750686859418E-3</v>
      </c>
      <c r="AI18" s="299">
        <f t="shared" si="3"/>
        <v>1.7454935146288869E-3</v>
      </c>
      <c r="AJ18" s="299">
        <f t="shared" si="3"/>
        <v>1.6993643796525688E-3</v>
      </c>
      <c r="AK18" s="299">
        <f t="shared" si="3"/>
        <v>1.633551014486908E-3</v>
      </c>
      <c r="AL18" s="299">
        <f t="shared" si="3"/>
        <v>1.5462073778655637E-3</v>
      </c>
      <c r="AM18" s="299">
        <f t="shared" si="3"/>
        <v>1.4407876028761594E-3</v>
      </c>
      <c r="AN18" s="299">
        <f t="shared" si="3"/>
        <v>1.3272022453471707E-3</v>
      </c>
      <c r="AO18" s="299">
        <f t="shared" si="3"/>
        <v>1.2188500457906281E-3</v>
      </c>
      <c r="AP18" s="299">
        <f t="shared" si="3"/>
        <v>1.1268541734920574E-3</v>
      </c>
      <c r="AQ18" s="299">
        <f t="shared" si="3"/>
        <v>1.056160138805283E-3</v>
      </c>
      <c r="AR18" s="299">
        <f t="shared" si="3"/>
        <v>1.0058872924507101E-3</v>
      </c>
      <c r="AS18" s="299">
        <f t="shared" si="3"/>
        <v>9.7207460076000919E-4</v>
      </c>
      <c r="AT18" s="299">
        <f t="shared" si="4"/>
        <v>9.5017687870124193E-4</v>
      </c>
      <c r="AU18" s="299">
        <f t="shared" si="4"/>
        <v>9.3634092737940127E-4</v>
      </c>
      <c r="AV18" s="299">
        <f t="shared" si="4"/>
        <v>9.2773451848386971E-4</v>
      </c>
      <c r="AW18" s="299">
        <f t="shared" si="4"/>
        <v>9.2243307179561747E-4</v>
      </c>
      <c r="AX18" s="299">
        <f t="shared" si="4"/>
        <v>9.1918706210202005E-4</v>
      </c>
      <c r="AY18" s="299">
        <f t="shared" si="4"/>
        <v>9.1720689886337994E-4</v>
      </c>
      <c r="AZ18" s="306">
        <f t="shared" si="5"/>
        <v>0.10121291984596194</v>
      </c>
      <c r="BA18" s="2">
        <f t="shared" si="5"/>
        <v>0.10121291984596194</v>
      </c>
      <c r="BB18" s="2">
        <f t="shared" si="5"/>
        <v>0.10121291984596194</v>
      </c>
      <c r="BC18" s="2">
        <f t="shared" si="5"/>
        <v>0.10121291984596194</v>
      </c>
      <c r="BD18" s="2">
        <f t="shared" si="5"/>
        <v>0.10121291984596194</v>
      </c>
      <c r="BE18" s="2">
        <f t="shared" si="5"/>
        <v>9.6630150579451693E-2</v>
      </c>
      <c r="BF18" s="2">
        <f t="shared" si="5"/>
        <v>9.4076451455677404E-2</v>
      </c>
      <c r="BG18" s="2">
        <f t="shared" si="5"/>
        <v>9.0433037525577326E-2</v>
      </c>
      <c r="BH18" s="2">
        <f t="shared" si="5"/>
        <v>8.5597712336373241E-2</v>
      </c>
      <c r="BI18" s="2">
        <f t="shared" si="5"/>
        <v>7.9761695962835541E-2</v>
      </c>
      <c r="BJ18" s="2">
        <f t="shared" si="5"/>
        <v>7.3473634672627533E-2</v>
      </c>
      <c r="BK18" s="2">
        <f t="shared" si="5"/>
        <v>6.7475279897307963E-2</v>
      </c>
      <c r="BL18" s="2">
        <f t="shared" si="5"/>
        <v>6.2382407928208199E-2</v>
      </c>
      <c r="BM18" s="2">
        <f t="shared" si="5"/>
        <v>5.8468801169088064E-2</v>
      </c>
      <c r="BN18" s="2">
        <f t="shared" si="5"/>
        <v>5.5685707062701269E-2</v>
      </c>
      <c r="BO18" s="2">
        <f t="shared" si="5"/>
        <v>5.3813843625692928E-2</v>
      </c>
      <c r="BP18" s="2">
        <f t="shared" si="6"/>
        <v>5.2601590379174536E-2</v>
      </c>
      <c r="BQ18" s="2">
        <f t="shared" si="6"/>
        <v>5.1835635049959985E-2</v>
      </c>
      <c r="BR18" s="2">
        <f t="shared" si="6"/>
        <v>5.1359186079766958E-2</v>
      </c>
      <c r="BS18" s="2">
        <f t="shared" si="6"/>
        <v>5.1065699116062215E-2</v>
      </c>
      <c r="BT18" s="2">
        <f t="shared" si="6"/>
        <v>5.0886000708221753E-2</v>
      </c>
      <c r="BU18" s="2">
        <f t="shared" si="6"/>
        <v>5.0776379291517501E-2</v>
      </c>
    </row>
    <row r="19" spans="1:73" x14ac:dyDescent="0.25">
      <c r="A19" t="s">
        <v>12</v>
      </c>
      <c r="B19" s="1" t="s">
        <v>5</v>
      </c>
      <c r="C19" t="s">
        <v>6</v>
      </c>
      <c r="D19" t="s">
        <v>6</v>
      </c>
      <c r="E19" s="97">
        <v>7.1419185000000001</v>
      </c>
      <c r="F19" s="5">
        <f t="shared" si="7"/>
        <v>1.7497700325000001E-2</v>
      </c>
      <c r="G19" s="1">
        <f>LOOKUP(RIGHT(D19,5),Ref!$C$4:$C$21,Ref!$E$4:$E$21)*$G$3</f>
        <v>3</v>
      </c>
      <c r="H19" s="36">
        <f t="shared" si="1"/>
        <v>7.1419185000000001</v>
      </c>
      <c r="I19" s="12">
        <f t="shared" si="1"/>
        <v>7.1419185000000001</v>
      </c>
      <c r="J19" s="12">
        <f t="shared" si="1"/>
        <v>7.1419185000000001</v>
      </c>
      <c r="K19" s="12">
        <f t="shared" si="1"/>
        <v>7.1419185000000001</v>
      </c>
      <c r="L19" s="12">
        <f t="shared" si="1"/>
        <v>7.1419185000000001</v>
      </c>
      <c r="M19" s="12">
        <f t="shared" si="8"/>
        <v>7.4806302210255176</v>
      </c>
      <c r="N19" s="12">
        <f t="shared" si="2"/>
        <v>7.6836914392700493</v>
      </c>
      <c r="O19" s="12">
        <f t="shared" si="2"/>
        <v>7.9932560540438189</v>
      </c>
      <c r="P19" s="12">
        <f t="shared" si="2"/>
        <v>8.4447867233448068</v>
      </c>
      <c r="Q19" s="12">
        <f t="shared" si="2"/>
        <v>9.0626762126986637</v>
      </c>
      <c r="R19" s="12">
        <f t="shared" si="2"/>
        <v>9.8382831869918483</v>
      </c>
      <c r="S19" s="12">
        <f t="shared" si="2"/>
        <v>10.712877750000001</v>
      </c>
      <c r="T19" s="12">
        <f t="shared" si="2"/>
        <v>11.587472313008153</v>
      </c>
      <c r="U19" s="12">
        <f t="shared" si="2"/>
        <v>12.363079287301336</v>
      </c>
      <c r="V19" s="12">
        <f t="shared" si="2"/>
        <v>12.980968776655192</v>
      </c>
      <c r="W19" s="12">
        <f t="shared" si="2"/>
        <v>13.43249944595618</v>
      </c>
      <c r="X19" s="12">
        <f t="shared" si="2"/>
        <v>13.742064060729952</v>
      </c>
      <c r="Y19" s="12">
        <f t="shared" si="2"/>
        <v>13.945125278974482</v>
      </c>
      <c r="Z19" s="12">
        <f t="shared" si="2"/>
        <v>14.074491436920621</v>
      </c>
      <c r="AA19" s="12">
        <f t="shared" si="2"/>
        <v>14.155380954326855</v>
      </c>
      <c r="AB19" s="12">
        <f t="shared" si="2"/>
        <v>14.205369151168128</v>
      </c>
      <c r="AC19" s="12">
        <f t="shared" si="2"/>
        <v>14.236037204166109</v>
      </c>
      <c r="AD19" s="300">
        <f t="shared" si="3"/>
        <v>1.9243564741783681E-3</v>
      </c>
      <c r="AE19" s="299">
        <f t="shared" si="3"/>
        <v>1.9243564741783681E-3</v>
      </c>
      <c r="AF19" s="299">
        <f t="shared" si="3"/>
        <v>1.9243564741783681E-3</v>
      </c>
      <c r="AG19" s="299">
        <f t="shared" si="3"/>
        <v>1.9243564741783681E-3</v>
      </c>
      <c r="AH19" s="299">
        <f t="shared" si="3"/>
        <v>1.9243564741783681E-3</v>
      </c>
      <c r="AI19" s="299">
        <f t="shared" si="3"/>
        <v>1.8372244981312755E-3</v>
      </c>
      <c r="AJ19" s="299">
        <f t="shared" si="3"/>
        <v>1.7886711370641534E-3</v>
      </c>
      <c r="AK19" s="299">
        <f t="shared" si="3"/>
        <v>1.7193990797500251E-3</v>
      </c>
      <c r="AL19" s="299">
        <f t="shared" si="3"/>
        <v>1.6274652698494323E-3</v>
      </c>
      <c r="AM19" s="299">
        <f t="shared" si="3"/>
        <v>1.5165053656304821E-3</v>
      </c>
      <c r="AN19" s="299">
        <f t="shared" si="3"/>
        <v>1.3969507527188288E-3</v>
      </c>
      <c r="AO19" s="299">
        <f t="shared" si="3"/>
        <v>1.2829043161189119E-3</v>
      </c>
      <c r="AP19" s="299">
        <f t="shared" si="3"/>
        <v>1.1860737814320928E-3</v>
      </c>
      <c r="AQ19" s="299">
        <f t="shared" si="3"/>
        <v>1.1116645605958311E-3</v>
      </c>
      <c r="AR19" s="299">
        <f t="shared" si="3"/>
        <v>1.0587497235372424E-3</v>
      </c>
      <c r="AS19" s="299">
        <f t="shared" si="3"/>
        <v>1.0231600722430505E-3</v>
      </c>
      <c r="AT19" s="299">
        <f t="shared" si="4"/>
        <v>1.0001115584087319E-3</v>
      </c>
      <c r="AU19" s="299">
        <f t="shared" si="4"/>
        <v>9.8554848583905707E-4</v>
      </c>
      <c r="AV19" s="299">
        <f t="shared" si="4"/>
        <v>9.764897840270555E-4</v>
      </c>
      <c r="AW19" s="299">
        <f t="shared" si="4"/>
        <v>9.7090973022017279E-4</v>
      </c>
      <c r="AX19" s="299">
        <f t="shared" si="4"/>
        <v>9.6749313286230963E-4</v>
      </c>
      <c r="AY19" s="299">
        <f t="shared" si="4"/>
        <v>9.6540890603371426E-4</v>
      </c>
      <c r="AZ19" s="306">
        <f t="shared" si="5"/>
        <v>0.10653196606573119</v>
      </c>
      <c r="BA19" s="2">
        <f t="shared" si="5"/>
        <v>0.10653196606573119</v>
      </c>
      <c r="BB19" s="2">
        <f t="shared" si="5"/>
        <v>0.10653196606573119</v>
      </c>
      <c r="BC19" s="2">
        <f t="shared" si="5"/>
        <v>0.10653196606573119</v>
      </c>
      <c r="BD19" s="2">
        <f t="shared" si="5"/>
        <v>0.10653196606573119</v>
      </c>
      <c r="BE19" s="2">
        <f t="shared" si="5"/>
        <v>0.10170835836100371</v>
      </c>
      <c r="BF19" s="2">
        <f t="shared" si="5"/>
        <v>9.9020454595258683E-2</v>
      </c>
      <c r="BG19" s="2">
        <f t="shared" si="5"/>
        <v>9.5185568201747339E-2</v>
      </c>
      <c r="BH19" s="2">
        <f t="shared" si="5"/>
        <v>9.0096131993830111E-2</v>
      </c>
      <c r="BI19" s="2">
        <f t="shared" si="5"/>
        <v>8.3953415241749624E-2</v>
      </c>
      <c r="BJ19" s="2">
        <f t="shared" si="5"/>
        <v>7.7334897240221939E-2</v>
      </c>
      <c r="BK19" s="2">
        <f t="shared" si="5"/>
        <v>7.1021310710487451E-2</v>
      </c>
      <c r="BL19" s="2">
        <f t="shared" si="5"/>
        <v>6.5660792857480416E-2</v>
      </c>
      <c r="BM19" s="2">
        <f t="shared" si="5"/>
        <v>6.154151418148008E-2</v>
      </c>
      <c r="BN19" s="2">
        <f t="shared" si="5"/>
        <v>5.8612160030344376E-2</v>
      </c>
      <c r="BO19" s="2">
        <f t="shared" si="5"/>
        <v>5.664192448675421E-2</v>
      </c>
      <c r="BP19" s="2">
        <f t="shared" si="6"/>
        <v>5.5365963651737141E-2</v>
      </c>
      <c r="BQ19" s="2">
        <f t="shared" si="6"/>
        <v>5.4559755044536237E-2</v>
      </c>
      <c r="BR19" s="2">
        <f t="shared" si="6"/>
        <v>5.4058267234463123E-2</v>
      </c>
      <c r="BS19" s="2">
        <f t="shared" si="6"/>
        <v>5.3749356639790899E-2</v>
      </c>
      <c r="BT19" s="2">
        <f t="shared" si="6"/>
        <v>5.3560214535055051E-2</v>
      </c>
      <c r="BU19" s="2">
        <f t="shared" si="6"/>
        <v>5.344483218009298E-2</v>
      </c>
    </row>
    <row r="20" spans="1:73" x14ac:dyDescent="0.25">
      <c r="A20" t="s">
        <v>12</v>
      </c>
      <c r="B20" s="1" t="s">
        <v>5</v>
      </c>
      <c r="C20" t="s">
        <v>7</v>
      </c>
      <c r="D20" t="s">
        <v>7</v>
      </c>
      <c r="E20" s="97">
        <v>7.3267179999999996</v>
      </c>
      <c r="F20" s="5">
        <f t="shared" si="7"/>
        <v>1.79504591E-2</v>
      </c>
      <c r="G20" s="1">
        <f>LOOKUP(RIGHT(D20,5),Ref!$C$4:$C$21,Ref!$E$4:$E$21)*$G$3</f>
        <v>3.5</v>
      </c>
      <c r="H20" s="36">
        <f t="shared" si="1"/>
        <v>7.3267179999999996</v>
      </c>
      <c r="I20" s="12">
        <f t="shared" si="1"/>
        <v>7.3267179999999996</v>
      </c>
      <c r="J20" s="12">
        <f t="shared" si="1"/>
        <v>7.3267179999999996</v>
      </c>
      <c r="K20" s="12">
        <f t="shared" si="1"/>
        <v>7.3267179999999996</v>
      </c>
      <c r="L20" s="12">
        <f t="shared" si="1"/>
        <v>7.3267179999999996</v>
      </c>
      <c r="M20" s="12">
        <f t="shared" si="8"/>
        <v>7.6741939986757952</v>
      </c>
      <c r="N20" s="12">
        <f t="shared" si="2"/>
        <v>7.8825094930088841</v>
      </c>
      <c r="O20" s="12">
        <f t="shared" si="2"/>
        <v>8.2000841944320442</v>
      </c>
      <c r="P20" s="12">
        <f t="shared" si="2"/>
        <v>8.6632983689314589</v>
      </c>
      <c r="Q20" s="12">
        <f t="shared" si="2"/>
        <v>9.2971759528971276</v>
      </c>
      <c r="R20" s="12">
        <f t="shared" si="2"/>
        <v>10.09285201381541</v>
      </c>
      <c r="S20" s="12">
        <f t="shared" si="2"/>
        <v>10.990076999999999</v>
      </c>
      <c r="T20" s="12">
        <f t="shared" si="2"/>
        <v>11.887301986184589</v>
      </c>
      <c r="U20" s="12">
        <f t="shared" si="2"/>
        <v>12.682978047102871</v>
      </c>
      <c r="V20" s="12">
        <f t="shared" si="2"/>
        <v>13.31685563106854</v>
      </c>
      <c r="W20" s="12">
        <f t="shared" si="2"/>
        <v>13.780069805567953</v>
      </c>
      <c r="X20" s="12">
        <f t="shared" si="2"/>
        <v>14.097644506991115</v>
      </c>
      <c r="Y20" s="12">
        <f t="shared" si="2"/>
        <v>14.305960001324204</v>
      </c>
      <c r="Z20" s="12">
        <f t="shared" si="2"/>
        <v>14.438673551333883</v>
      </c>
      <c r="AA20" s="12">
        <f t="shared" si="2"/>
        <v>14.521656111718963</v>
      </c>
      <c r="AB20" s="12">
        <f t="shared" si="2"/>
        <v>14.572937769663465</v>
      </c>
      <c r="AC20" s="12">
        <f t="shared" si="2"/>
        <v>14.604399368661726</v>
      </c>
      <c r="AD20" s="300">
        <f t="shared" si="3"/>
        <v>1.8758190370544165E-3</v>
      </c>
      <c r="AE20" s="299">
        <f t="shared" si="3"/>
        <v>1.8758190370544165E-3</v>
      </c>
      <c r="AF20" s="299">
        <f t="shared" si="3"/>
        <v>1.8758190370544165E-3</v>
      </c>
      <c r="AG20" s="299">
        <f t="shared" si="3"/>
        <v>1.8758190370544165E-3</v>
      </c>
      <c r="AH20" s="299">
        <f t="shared" si="3"/>
        <v>1.8758190370544165E-3</v>
      </c>
      <c r="AI20" s="299">
        <f t="shared" si="3"/>
        <v>1.7908847633902347E-3</v>
      </c>
      <c r="AJ20" s="299">
        <f t="shared" si="3"/>
        <v>1.7435560484536888E-3</v>
      </c>
      <c r="AK20" s="299">
        <f t="shared" si="3"/>
        <v>1.6760312184186264E-3</v>
      </c>
      <c r="AL20" s="299">
        <f t="shared" si="3"/>
        <v>1.5864162260435237E-3</v>
      </c>
      <c r="AM20" s="299">
        <f t="shared" si="3"/>
        <v>1.4782550285333221E-3</v>
      </c>
      <c r="AN20" s="299">
        <f t="shared" si="3"/>
        <v>1.3617159039602082E-3</v>
      </c>
      <c r="AO20" s="299">
        <f t="shared" si="3"/>
        <v>1.2505460247029443E-3</v>
      </c>
      <c r="AP20" s="299">
        <f t="shared" si="3"/>
        <v>1.1561578160882977E-3</v>
      </c>
      <c r="AQ20" s="299">
        <f t="shared" si="3"/>
        <v>1.0836253955882752E-3</v>
      </c>
      <c r="AR20" s="299">
        <f t="shared" si="3"/>
        <v>1.0320452127952128E-3</v>
      </c>
      <c r="AS20" s="299">
        <f t="shared" si="3"/>
        <v>9.9735322806391333E-4</v>
      </c>
      <c r="AT20" s="299">
        <f t="shared" si="4"/>
        <v>9.7488605963313372E-4</v>
      </c>
      <c r="AU20" s="299">
        <f t="shared" si="4"/>
        <v>9.6069030685512263E-4</v>
      </c>
      <c r="AV20" s="299">
        <f t="shared" si="4"/>
        <v>9.5186008982518961E-4</v>
      </c>
      <c r="AW20" s="299">
        <f t="shared" si="4"/>
        <v>9.4642077995761033E-4</v>
      </c>
      <c r="AX20" s="299">
        <f t="shared" si="4"/>
        <v>9.4309035835858385E-4</v>
      </c>
      <c r="AY20" s="299">
        <f t="shared" si="4"/>
        <v>9.4105870132669847E-4</v>
      </c>
      <c r="AZ20" s="306">
        <f t="shared" si="5"/>
        <v>0.10384494384610105</v>
      </c>
      <c r="BA20" s="2">
        <f t="shared" si="5"/>
        <v>0.10384494384610105</v>
      </c>
      <c r="BB20" s="2">
        <f t="shared" si="5"/>
        <v>0.10384494384610105</v>
      </c>
      <c r="BC20" s="2">
        <f t="shared" si="5"/>
        <v>0.10384494384610105</v>
      </c>
      <c r="BD20" s="2">
        <f t="shared" si="5"/>
        <v>0.10384494384610105</v>
      </c>
      <c r="BE20" s="2">
        <f t="shared" si="5"/>
        <v>9.9143000478943255E-2</v>
      </c>
      <c r="BF20" s="2">
        <f t="shared" si="5"/>
        <v>9.6522892863119353E-2</v>
      </c>
      <c r="BG20" s="2">
        <f t="shared" si="5"/>
        <v>9.2784732601018785E-2</v>
      </c>
      <c r="BH20" s="2">
        <f t="shared" si="5"/>
        <v>8.7823665639264012E-2</v>
      </c>
      <c r="BI20" s="2">
        <f t="shared" si="5"/>
        <v>8.1835884696699626E-2</v>
      </c>
      <c r="BJ20" s="2">
        <f t="shared" si="5"/>
        <v>7.538430348971259E-2</v>
      </c>
      <c r="BK20" s="2">
        <f t="shared" si="5"/>
        <v>6.9229962564067368E-2</v>
      </c>
      <c r="BL20" s="2">
        <f t="shared" si="5"/>
        <v>6.4004651364158865E-2</v>
      </c>
      <c r="BM20" s="2">
        <f t="shared" si="5"/>
        <v>5.9989271956519263E-2</v>
      </c>
      <c r="BN20" s="2">
        <f t="shared" si="5"/>
        <v>5.7133803982311999E-2</v>
      </c>
      <c r="BO20" s="2">
        <f t="shared" si="5"/>
        <v>5.5213263069160426E-2</v>
      </c>
      <c r="BP20" s="2">
        <f t="shared" si="6"/>
        <v>5.3969485392322873E-2</v>
      </c>
      <c r="BQ20" s="2">
        <f t="shared" si="6"/>
        <v>5.3183611530843916E-2</v>
      </c>
      <c r="BR20" s="2">
        <f t="shared" si="6"/>
        <v>5.2694772589822081E-2</v>
      </c>
      <c r="BS20" s="2">
        <f t="shared" si="6"/>
        <v>5.2393653549764101E-2</v>
      </c>
      <c r="BT20" s="2">
        <f t="shared" si="6"/>
        <v>5.2209282116751125E-2</v>
      </c>
      <c r="BU20" s="2">
        <f t="shared" si="6"/>
        <v>5.2096810014579706E-2</v>
      </c>
    </row>
    <row r="21" spans="1:73" x14ac:dyDescent="0.25">
      <c r="A21" t="s">
        <v>12</v>
      </c>
      <c r="B21" s="1" t="s">
        <v>5</v>
      </c>
      <c r="C21" t="s">
        <v>8</v>
      </c>
      <c r="D21" t="s">
        <v>8</v>
      </c>
      <c r="E21" s="97">
        <v>7.532578</v>
      </c>
      <c r="F21" s="5">
        <f t="shared" si="7"/>
        <v>1.84548161E-2</v>
      </c>
      <c r="G21" s="1">
        <f>LOOKUP(RIGHT(D21,5),Ref!$C$4:$C$21,Ref!$E$4:$E$21)*$G$3</f>
        <v>4</v>
      </c>
      <c r="H21" s="36">
        <f t="shared" si="1"/>
        <v>7.532578</v>
      </c>
      <c r="I21" s="12">
        <f t="shared" si="1"/>
        <v>7.532578</v>
      </c>
      <c r="J21" s="12">
        <f t="shared" si="1"/>
        <v>7.532578</v>
      </c>
      <c r="K21" s="12">
        <f t="shared" si="1"/>
        <v>7.532578</v>
      </c>
      <c r="L21" s="12">
        <f t="shared" si="1"/>
        <v>7.532578</v>
      </c>
      <c r="M21" s="12">
        <f t="shared" si="8"/>
        <v>7.8898170889281296</v>
      </c>
      <c r="N21" s="12">
        <f t="shared" si="2"/>
        <v>8.1039856579480585</v>
      </c>
      <c r="O21" s="12">
        <f t="shared" si="2"/>
        <v>8.4304833079595181</v>
      </c>
      <c r="P21" s="12">
        <f t="shared" si="2"/>
        <v>8.9067124872622365</v>
      </c>
      <c r="Q21" s="12">
        <f t="shared" si="2"/>
        <v>9.5584002339003558</v>
      </c>
      <c r="R21" s="12">
        <f t="shared" si="2"/>
        <v>10.376432535894198</v>
      </c>
      <c r="S21" s="12">
        <f t="shared" si="2"/>
        <v>11.298867</v>
      </c>
      <c r="T21" s="12">
        <f t="shared" si="2"/>
        <v>12.221301464105803</v>
      </c>
      <c r="U21" s="12">
        <f t="shared" si="2"/>
        <v>13.039333766099643</v>
      </c>
      <c r="V21" s="12">
        <f t="shared" si="2"/>
        <v>13.691021512737764</v>
      </c>
      <c r="W21" s="12">
        <f t="shared" si="2"/>
        <v>14.167250692040479</v>
      </c>
      <c r="X21" s="12">
        <f t="shared" si="2"/>
        <v>14.493748342051942</v>
      </c>
      <c r="Y21" s="12">
        <f t="shared" si="2"/>
        <v>14.707916911071871</v>
      </c>
      <c r="Z21" s="12">
        <f t="shared" si="2"/>
        <v>14.84435933551141</v>
      </c>
      <c r="AA21" s="12">
        <f t="shared" si="2"/>
        <v>14.929673470536168</v>
      </c>
      <c r="AB21" s="12">
        <f t="shared" si="2"/>
        <v>14.982395997653532</v>
      </c>
      <c r="AC21" s="12">
        <f t="shared" ref="AC21:AC51" si="9">AC$3*$E21</f>
        <v>15.014741578370453</v>
      </c>
      <c r="AD21" s="300">
        <f t="shared" si="3"/>
        <v>1.8245542367472676E-3</v>
      </c>
      <c r="AE21" s="299">
        <f t="shared" si="3"/>
        <v>1.8245542367472676E-3</v>
      </c>
      <c r="AF21" s="299">
        <f t="shared" si="3"/>
        <v>1.8245542367472676E-3</v>
      </c>
      <c r="AG21" s="299">
        <f t="shared" si="3"/>
        <v>1.8245542367472676E-3</v>
      </c>
      <c r="AH21" s="299">
        <f t="shared" si="3"/>
        <v>1.8245542367472676E-3</v>
      </c>
      <c r="AI21" s="299">
        <f t="shared" si="3"/>
        <v>1.7419411563819149E-3</v>
      </c>
      <c r="AJ21" s="299">
        <f t="shared" si="3"/>
        <v>1.6959059015671011E-3</v>
      </c>
      <c r="AK21" s="299">
        <f t="shared" si="3"/>
        <v>1.6302264771170881E-3</v>
      </c>
      <c r="AL21" s="299">
        <f t="shared" si="3"/>
        <v>1.5430605987545238E-3</v>
      </c>
      <c r="AM21" s="299">
        <f t="shared" si="3"/>
        <v>1.4378553698541992E-3</v>
      </c>
      <c r="AN21" s="299">
        <f t="shared" si="3"/>
        <v>1.3245011766796877E-3</v>
      </c>
      <c r="AO21" s="299">
        <f t="shared" si="3"/>
        <v>1.216369491164845E-3</v>
      </c>
      <c r="AP21" s="299">
        <f t="shared" si="3"/>
        <v>1.1245608451681244E-3</v>
      </c>
      <c r="AQ21" s="299">
        <f t="shared" si="3"/>
        <v>1.0540106841394456E-3</v>
      </c>
      <c r="AR21" s="299">
        <f t="shared" si="3"/>
        <v>1.0038401510612323E-3</v>
      </c>
      <c r="AS21" s="299">
        <f t="shared" ref="AS21:AV84" si="10">Algae_electricity_factor/W21</f>
        <v>9.7009627360167782E-4</v>
      </c>
      <c r="AT21" s="299">
        <f t="shared" si="4"/>
        <v>9.4824311690674208E-4</v>
      </c>
      <c r="AU21" s="299">
        <f t="shared" si="4"/>
        <v>9.3443532395694401E-4</v>
      </c>
      <c r="AV21" s="299">
        <f t="shared" si="4"/>
        <v>9.2584643047889225E-4</v>
      </c>
      <c r="AW21" s="299">
        <f t="shared" si="4"/>
        <v>9.2055577308186684E-4</v>
      </c>
      <c r="AX21" s="299">
        <f t="shared" si="4"/>
        <v>9.173163695367359E-4</v>
      </c>
      <c r="AY21" s="299">
        <f t="shared" si="4"/>
        <v>9.1534023624673328E-4</v>
      </c>
      <c r="AZ21" s="306">
        <f t="shared" si="5"/>
        <v>0.1010069353793904</v>
      </c>
      <c r="BA21" s="2">
        <f t="shared" si="5"/>
        <v>0.1010069353793904</v>
      </c>
      <c r="BB21" s="2">
        <f t="shared" si="5"/>
        <v>0.1010069353793904</v>
      </c>
      <c r="BC21" s="2">
        <f t="shared" si="5"/>
        <v>0.1010069353793904</v>
      </c>
      <c r="BD21" s="2">
        <f t="shared" si="5"/>
        <v>0.1010069353793904</v>
      </c>
      <c r="BE21" s="2">
        <f t="shared" si="5"/>
        <v>9.6433492780702984E-2</v>
      </c>
      <c r="BF21" s="2">
        <f t="shared" si="5"/>
        <v>9.3884990842748386E-2</v>
      </c>
      <c r="BG21" s="2">
        <f t="shared" si="5"/>
        <v>9.0248991842244594E-2</v>
      </c>
      <c r="BH21" s="2">
        <f t="shared" si="5"/>
        <v>8.5423507312526611E-2</v>
      </c>
      <c r="BI21" s="2">
        <f t="shared" si="5"/>
        <v>7.9599368164954096E-2</v>
      </c>
      <c r="BJ21" s="2">
        <f t="shared" si="5"/>
        <v>7.33241040843573E-2</v>
      </c>
      <c r="BK21" s="2">
        <f t="shared" si="5"/>
        <v>6.73379569195936E-2</v>
      </c>
      <c r="BL21" s="2">
        <f t="shared" si="5"/>
        <v>6.2255449758835187E-2</v>
      </c>
      <c r="BM21" s="2">
        <f t="shared" si="5"/>
        <v>5.8349807814897493E-2</v>
      </c>
      <c r="BN21" s="2">
        <f t="shared" si="5"/>
        <v>5.5572377749779293E-2</v>
      </c>
      <c r="BO21" s="2">
        <f t="shared" ref="BO21:BR84" si="11">Algae_yield_cost_factor/W21</f>
        <v>5.3704323854004955E-2</v>
      </c>
      <c r="BP21" s="2">
        <f t="shared" si="6"/>
        <v>5.2494537736571603E-2</v>
      </c>
      <c r="BQ21" s="2">
        <f t="shared" si="6"/>
        <v>5.1730141248858177E-2</v>
      </c>
      <c r="BR21" s="2">
        <f t="shared" si="6"/>
        <v>5.1254661928460094E-2</v>
      </c>
      <c r="BS21" s="2">
        <f t="shared" si="6"/>
        <v>5.0961772257628199E-2</v>
      </c>
      <c r="BT21" s="2">
        <f t="shared" si="6"/>
        <v>5.0782439564765018E-2</v>
      </c>
      <c r="BU21" s="2">
        <f t="shared" si="6"/>
        <v>5.0673041245162205E-2</v>
      </c>
    </row>
    <row r="22" spans="1:73" x14ac:dyDescent="0.25">
      <c r="A22" t="s">
        <v>12</v>
      </c>
      <c r="B22" s="1" t="s">
        <v>5</v>
      </c>
      <c r="C22" t="s">
        <v>9</v>
      </c>
      <c r="D22" t="s">
        <v>9</v>
      </c>
      <c r="E22" s="97">
        <v>7.5971099999999998</v>
      </c>
      <c r="F22" s="5">
        <f t="shared" si="7"/>
        <v>1.8612919500000002E-2</v>
      </c>
      <c r="G22" s="1">
        <f>LOOKUP(RIGHT(D22,5),Ref!$C$4:$C$21,Ref!$E$4:$E$21)*$G$3</f>
        <v>4.5</v>
      </c>
      <c r="H22" s="36">
        <f t="shared" ref="H22:L37" si="12">$E22</f>
        <v>7.5971099999999998</v>
      </c>
      <c r="I22" s="12">
        <f t="shared" si="12"/>
        <v>7.5971099999999998</v>
      </c>
      <c r="J22" s="12">
        <f t="shared" si="12"/>
        <v>7.5971099999999998</v>
      </c>
      <c r="K22" s="12">
        <f t="shared" si="12"/>
        <v>7.5971099999999998</v>
      </c>
      <c r="L22" s="12">
        <f t="shared" si="12"/>
        <v>7.5971099999999998</v>
      </c>
      <c r="M22" s="12">
        <f t="shared" si="8"/>
        <v>7.9574095753760243</v>
      </c>
      <c r="N22" s="12">
        <f t="shared" si="8"/>
        <v>8.1734129380211886</v>
      </c>
      <c r="O22" s="12">
        <f t="shared" si="8"/>
        <v>8.502707710923449</v>
      </c>
      <c r="P22" s="12">
        <f t="shared" si="8"/>
        <v>8.9830167711645075</v>
      </c>
      <c r="Q22" s="12">
        <f t="shared" si="8"/>
        <v>9.6402875617042039</v>
      </c>
      <c r="R22" s="12">
        <f t="shared" si="8"/>
        <v>10.46532799033308</v>
      </c>
      <c r="S22" s="12">
        <f t="shared" si="8"/>
        <v>11.395664999999999</v>
      </c>
      <c r="T22" s="12">
        <f t="shared" si="8"/>
        <v>12.326002009666921</v>
      </c>
      <c r="U22" s="12">
        <f t="shared" si="8"/>
        <v>13.151042438295795</v>
      </c>
      <c r="V22" s="12">
        <f t="shared" si="8"/>
        <v>13.808313228835491</v>
      </c>
      <c r="W22" s="12">
        <f t="shared" si="8"/>
        <v>14.288622289076548</v>
      </c>
      <c r="X22" s="12">
        <f t="shared" si="8"/>
        <v>14.617917061978812</v>
      </c>
      <c r="Y22" s="12">
        <f t="shared" si="8"/>
        <v>14.833920424623976</v>
      </c>
      <c r="Z22" s="12">
        <f t="shared" si="8"/>
        <v>14.971531758636564</v>
      </c>
      <c r="AA22" s="12">
        <f t="shared" si="8"/>
        <v>15.057576784434895</v>
      </c>
      <c r="AB22" s="12">
        <f t="shared" si="8"/>
        <v>15.110750988271695</v>
      </c>
      <c r="AC22" s="12">
        <f t="shared" si="9"/>
        <v>15.143373675314606</v>
      </c>
      <c r="AD22" s="300">
        <f t="shared" ref="AD22:AR38" si="13">Algae_electricity_factor/H22</f>
        <v>1.8090559572691799E-3</v>
      </c>
      <c r="AE22" s="299">
        <f t="shared" si="13"/>
        <v>1.8090559572691799E-3</v>
      </c>
      <c r="AF22" s="299">
        <f t="shared" si="13"/>
        <v>1.8090559572691799E-3</v>
      </c>
      <c r="AG22" s="299">
        <f t="shared" si="13"/>
        <v>1.8090559572691799E-3</v>
      </c>
      <c r="AH22" s="299">
        <f t="shared" si="13"/>
        <v>1.8090559572691799E-3</v>
      </c>
      <c r="AI22" s="299">
        <f t="shared" si="13"/>
        <v>1.7271446157627007E-3</v>
      </c>
      <c r="AJ22" s="299">
        <f t="shared" si="13"/>
        <v>1.6815003974161903E-3</v>
      </c>
      <c r="AK22" s="299">
        <f t="shared" si="13"/>
        <v>1.6163788725646569E-3</v>
      </c>
      <c r="AL22" s="299">
        <f t="shared" si="13"/>
        <v>1.5299534058142049E-3</v>
      </c>
      <c r="AM22" s="299">
        <f t="shared" si="13"/>
        <v>1.4256418198690824E-3</v>
      </c>
      <c r="AN22" s="299">
        <f t="shared" si="13"/>
        <v>1.3132504892559838E-3</v>
      </c>
      <c r="AO22" s="299">
        <f t="shared" si="13"/>
        <v>1.20603730484612E-3</v>
      </c>
      <c r="AP22" s="299">
        <f t="shared" si="13"/>
        <v>1.1150085074422803E-3</v>
      </c>
      <c r="AQ22" s="299">
        <f t="shared" si="13"/>
        <v>1.0450576194255101E-3</v>
      </c>
      <c r="AR22" s="299">
        <f t="shared" si="13"/>
        <v>9.95313249038189E-4</v>
      </c>
      <c r="AS22" s="299">
        <f t="shared" si="10"/>
        <v>9.6185600161297904E-4</v>
      </c>
      <c r="AT22" s="299">
        <f t="shared" si="4"/>
        <v>9.401884718087738E-4</v>
      </c>
      <c r="AU22" s="299">
        <f t="shared" si="4"/>
        <v>9.2649796615567627E-4</v>
      </c>
      <c r="AV22" s="299">
        <f t="shared" si="4"/>
        <v>9.1798202916685862E-4</v>
      </c>
      <c r="AW22" s="299">
        <f t="shared" si="4"/>
        <v>9.1273631210940238E-4</v>
      </c>
      <c r="AX22" s="299">
        <f t="shared" si="4"/>
        <v>9.0952442497374477E-4</v>
      </c>
      <c r="AY22" s="299">
        <f t="shared" si="4"/>
        <v>9.0756507751854935E-4</v>
      </c>
      <c r="AZ22" s="306">
        <f t="shared" ref="AZ22:BN38" si="14">Algae_yield_cost_factor/H22</f>
        <v>0.10014895391618889</v>
      </c>
      <c r="BA22" s="2">
        <f t="shared" si="14"/>
        <v>0.10014895391618889</v>
      </c>
      <c r="BB22" s="2">
        <f t="shared" si="14"/>
        <v>0.10014895391618889</v>
      </c>
      <c r="BC22" s="2">
        <f t="shared" si="14"/>
        <v>0.10014895391618889</v>
      </c>
      <c r="BD22" s="2">
        <f t="shared" si="14"/>
        <v>0.10014895391618889</v>
      </c>
      <c r="BE22" s="2">
        <f t="shared" si="14"/>
        <v>9.5614359431821061E-2</v>
      </c>
      <c r="BF22" s="2">
        <f t="shared" si="14"/>
        <v>9.3087505189774544E-2</v>
      </c>
      <c r="BG22" s="2">
        <f t="shared" si="14"/>
        <v>8.9482391392657359E-2</v>
      </c>
      <c r="BH22" s="2">
        <f t="shared" si="14"/>
        <v>8.4697895892671973E-2</v>
      </c>
      <c r="BI22" s="2">
        <f t="shared" si="14"/>
        <v>7.8923228629470099E-2</v>
      </c>
      <c r="BJ22" s="2">
        <f t="shared" si="14"/>
        <v>7.2701268415955533E-2</v>
      </c>
      <c r="BK22" s="2">
        <f t="shared" si="14"/>
        <v>6.6765969277459258E-2</v>
      </c>
      <c r="BL22" s="2">
        <f t="shared" si="14"/>
        <v>6.1726634369320348E-2</v>
      </c>
      <c r="BM22" s="2">
        <f t="shared" si="14"/>
        <v>5.7854168052157325E-2</v>
      </c>
      <c r="BN22" s="2">
        <f t="shared" si="14"/>
        <v>5.5100330263176005E-2</v>
      </c>
      <c r="BO22" s="2">
        <f t="shared" si="11"/>
        <v>5.3248144145280639E-2</v>
      </c>
      <c r="BP22" s="2">
        <f t="shared" si="6"/>
        <v>5.2048634293128442E-2</v>
      </c>
      <c r="BQ22" s="2">
        <f t="shared" si="6"/>
        <v>5.1290730805272224E-2</v>
      </c>
      <c r="BR22" s="2">
        <f t="shared" si="6"/>
        <v>5.0819290340636904E-2</v>
      </c>
      <c r="BS22" s="2">
        <f t="shared" si="6"/>
        <v>5.0528888557467309E-2</v>
      </c>
      <c r="BT22" s="2">
        <f t="shared" si="6"/>
        <v>5.0351079167193648E-2</v>
      </c>
      <c r="BU22" s="2">
        <f t="shared" si="6"/>
        <v>5.0242610107843824E-2</v>
      </c>
    </row>
    <row r="23" spans="1:73" x14ac:dyDescent="0.25">
      <c r="A23" t="s">
        <v>12</v>
      </c>
      <c r="B23" s="1" t="s">
        <v>5</v>
      </c>
      <c r="C23" t="s">
        <v>10</v>
      </c>
      <c r="D23" t="s">
        <v>10</v>
      </c>
      <c r="E23" s="97">
        <v>7.6405450000000004</v>
      </c>
      <c r="F23" s="5">
        <f t="shared" si="7"/>
        <v>1.871933525E-2</v>
      </c>
      <c r="G23" s="1">
        <f>LOOKUP(RIGHT(D23,5),Ref!$C$4:$C$21,Ref!$E$4:$E$21)*$G$3</f>
        <v>4.5</v>
      </c>
      <c r="H23" s="36">
        <f t="shared" si="12"/>
        <v>7.6405450000000004</v>
      </c>
      <c r="I23" s="12">
        <f t="shared" si="12"/>
        <v>7.6405450000000004</v>
      </c>
      <c r="J23" s="12">
        <f t="shared" si="12"/>
        <v>7.6405450000000004</v>
      </c>
      <c r="K23" s="12">
        <f t="shared" si="12"/>
        <v>7.6405450000000004</v>
      </c>
      <c r="L23" s="12">
        <f t="shared" si="12"/>
        <v>7.6405450000000004</v>
      </c>
      <c r="M23" s="12">
        <f t="shared" si="8"/>
        <v>8.0029045181774929</v>
      </c>
      <c r="N23" s="12">
        <f t="shared" si="8"/>
        <v>8.2201428380704122</v>
      </c>
      <c r="O23" s="12">
        <f t="shared" si="8"/>
        <v>8.5513202898414811</v>
      </c>
      <c r="P23" s="12">
        <f t="shared" si="8"/>
        <v>9.0343754237910368</v>
      </c>
      <c r="Q23" s="12">
        <f t="shared" si="8"/>
        <v>9.6954040323414112</v>
      </c>
      <c r="R23" s="12">
        <f t="shared" si="8"/>
        <v>10.525161469282327</v>
      </c>
      <c r="S23" s="12">
        <f t="shared" si="8"/>
        <v>11.460817500000001</v>
      </c>
      <c r="T23" s="12">
        <f t="shared" si="8"/>
        <v>12.396473530717675</v>
      </c>
      <c r="U23" s="12">
        <f t="shared" si="8"/>
        <v>13.226230967658591</v>
      </c>
      <c r="V23" s="12">
        <f t="shared" si="8"/>
        <v>13.887259576208963</v>
      </c>
      <c r="W23" s="12">
        <f t="shared" si="8"/>
        <v>14.370314710158519</v>
      </c>
      <c r="X23" s="12">
        <f t="shared" si="8"/>
        <v>14.70149216192959</v>
      </c>
      <c r="Y23" s="12">
        <f t="shared" si="8"/>
        <v>14.918730481822509</v>
      </c>
      <c r="Z23" s="12">
        <f t="shared" si="8"/>
        <v>15.057128581893879</v>
      </c>
      <c r="AA23" s="12">
        <f t="shared" si="8"/>
        <v>15.143665553405192</v>
      </c>
      <c r="AB23" s="12">
        <f t="shared" si="8"/>
        <v>15.197143770418537</v>
      </c>
      <c r="AC23" s="12">
        <f t="shared" si="9"/>
        <v>15.229952971334711</v>
      </c>
      <c r="AD23" s="300">
        <f t="shared" si="13"/>
        <v>1.7987718289113222E-3</v>
      </c>
      <c r="AE23" s="299">
        <f t="shared" si="13"/>
        <v>1.7987718289113222E-3</v>
      </c>
      <c r="AF23" s="299">
        <f t="shared" si="13"/>
        <v>1.7987718289113222E-3</v>
      </c>
      <c r="AG23" s="299">
        <f t="shared" si="13"/>
        <v>1.7987718289113222E-3</v>
      </c>
      <c r="AH23" s="299">
        <f t="shared" si="13"/>
        <v>1.7987718289113222E-3</v>
      </c>
      <c r="AI23" s="299">
        <f t="shared" si="13"/>
        <v>1.7173261373183419E-3</v>
      </c>
      <c r="AJ23" s="299">
        <f t="shared" si="13"/>
        <v>1.6719413974022157E-3</v>
      </c>
      <c r="AK23" s="299">
        <f t="shared" si="13"/>
        <v>1.6071900756490119E-3</v>
      </c>
      <c r="AL23" s="299">
        <f t="shared" si="13"/>
        <v>1.5212559207288423E-3</v>
      </c>
      <c r="AM23" s="299">
        <f t="shared" si="13"/>
        <v>1.4175373256941229E-3</v>
      </c>
      <c r="AN23" s="299">
        <f t="shared" si="13"/>
        <v>1.3057849177554124E-3</v>
      </c>
      <c r="AO23" s="299">
        <f t="shared" si="13"/>
        <v>1.1991812192742148E-3</v>
      </c>
      <c r="AP23" s="299">
        <f t="shared" si="13"/>
        <v>1.1086699027327005E-3</v>
      </c>
      <c r="AQ23" s="299">
        <f t="shared" si="13"/>
        <v>1.0391166717968073E-3</v>
      </c>
      <c r="AR23" s="299">
        <f t="shared" si="13"/>
        <v>9.8965508840017508E-4</v>
      </c>
      <c r="AS23" s="299">
        <f t="shared" si="10"/>
        <v>9.563880388655492E-4</v>
      </c>
      <c r="AT23" s="299">
        <f t="shared" si="4"/>
        <v>9.3484368471923843E-4</v>
      </c>
      <c r="AU23" s="299">
        <f t="shared" si="4"/>
        <v>9.2123100690604529E-4</v>
      </c>
      <c r="AV23" s="299">
        <f t="shared" si="4"/>
        <v>9.1276348134901797E-4</v>
      </c>
      <c r="AW23" s="299">
        <f t="shared" si="4"/>
        <v>9.0754758516433862E-4</v>
      </c>
      <c r="AX23" s="299">
        <f t="shared" si="4"/>
        <v>9.0435395697719019E-4</v>
      </c>
      <c r="AY23" s="299">
        <f t="shared" si="4"/>
        <v>9.0240574802804587E-4</v>
      </c>
      <c r="AZ23" s="306">
        <f t="shared" si="14"/>
        <v>9.9579626752570358E-2</v>
      </c>
      <c r="BA23" s="2">
        <f t="shared" si="14"/>
        <v>9.9579626752570358E-2</v>
      </c>
      <c r="BB23" s="2">
        <f t="shared" si="14"/>
        <v>9.9579626752570358E-2</v>
      </c>
      <c r="BC23" s="2">
        <f t="shared" si="14"/>
        <v>9.9579626752570358E-2</v>
      </c>
      <c r="BD23" s="2">
        <f t="shared" si="14"/>
        <v>9.9579626752570358E-2</v>
      </c>
      <c r="BE23" s="2">
        <f t="shared" si="14"/>
        <v>9.5070810548603793E-2</v>
      </c>
      <c r="BF23" s="2">
        <f t="shared" si="14"/>
        <v>9.255832097740252E-2</v>
      </c>
      <c r="BG23" s="2">
        <f t="shared" si="14"/>
        <v>8.897370154525247E-2</v>
      </c>
      <c r="BH23" s="2">
        <f t="shared" si="14"/>
        <v>8.4216404963936106E-2</v>
      </c>
      <c r="BI23" s="2">
        <f t="shared" si="14"/>
        <v>7.8474565551702596E-2</v>
      </c>
      <c r="BJ23" s="2">
        <f t="shared" si="14"/>
        <v>7.2287975961863968E-2</v>
      </c>
      <c r="BK23" s="2">
        <f t="shared" si="14"/>
        <v>6.638641783504691E-2</v>
      </c>
      <c r="BL23" s="2">
        <f t="shared" si="14"/>
        <v>6.137573055763787E-2</v>
      </c>
      <c r="BM23" s="2">
        <f t="shared" si="14"/>
        <v>5.7525278452090121E-2</v>
      </c>
      <c r="BN23" s="2">
        <f t="shared" si="14"/>
        <v>5.4787095690906472E-2</v>
      </c>
      <c r="BO23" s="2">
        <f t="shared" si="11"/>
        <v>5.2945438887874216E-2</v>
      </c>
      <c r="BP23" s="2">
        <f t="shared" si="6"/>
        <v>5.1752748014005416E-2</v>
      </c>
      <c r="BQ23" s="2">
        <f t="shared" si="6"/>
        <v>5.0999153058851381E-2</v>
      </c>
      <c r="BR23" s="2">
        <f t="shared" si="6"/>
        <v>5.0530392640807172E-2</v>
      </c>
      <c r="BS23" s="2">
        <f t="shared" si="6"/>
        <v>5.0241641734826564E-2</v>
      </c>
      <c r="BT23" s="2">
        <f t="shared" si="6"/>
        <v>5.0064843156067858E-2</v>
      </c>
      <c r="BU23" s="2">
        <f t="shared" si="6"/>
        <v>4.9956990722049462E-2</v>
      </c>
    </row>
    <row r="24" spans="1:73" x14ac:dyDescent="0.25">
      <c r="A24" t="s">
        <v>12</v>
      </c>
      <c r="B24" s="1" t="s">
        <v>5</v>
      </c>
      <c r="C24" t="s">
        <v>11</v>
      </c>
      <c r="D24" t="s">
        <v>11</v>
      </c>
      <c r="E24" s="97">
        <v>7.4933040000000002</v>
      </c>
      <c r="F24" s="5">
        <f t="shared" si="7"/>
        <v>1.8358594800000003E-2</v>
      </c>
      <c r="G24" s="1">
        <f>LOOKUP(RIGHT(D24,5),Ref!$C$4:$C$21,Ref!$E$4:$E$21)*$G$3</f>
        <v>4.5</v>
      </c>
      <c r="H24" s="36">
        <f t="shared" si="12"/>
        <v>7.4933040000000002</v>
      </c>
      <c r="I24" s="12">
        <f t="shared" si="12"/>
        <v>7.4933040000000002</v>
      </c>
      <c r="J24" s="12">
        <f t="shared" si="12"/>
        <v>7.4933040000000002</v>
      </c>
      <c r="K24" s="12">
        <f t="shared" si="12"/>
        <v>7.4933040000000002</v>
      </c>
      <c r="L24" s="12">
        <f t="shared" si="12"/>
        <v>7.4933040000000002</v>
      </c>
      <c r="M24" s="12">
        <f t="shared" si="8"/>
        <v>7.8486804851849534</v>
      </c>
      <c r="N24" s="12">
        <f t="shared" si="8"/>
        <v>8.0617324037859035</v>
      </c>
      <c r="O24" s="12">
        <f t="shared" si="8"/>
        <v>8.3865277324000225</v>
      </c>
      <c r="P24" s="12">
        <f t="shared" si="8"/>
        <v>8.8602739072402663</v>
      </c>
      <c r="Q24" s="12">
        <f t="shared" si="8"/>
        <v>9.5085638285174703</v>
      </c>
      <c r="R24" s="12">
        <f t="shared" si="8"/>
        <v>10.32233100366782</v>
      </c>
      <c r="S24" s="12">
        <f t="shared" si="8"/>
        <v>11.239955999999999</v>
      </c>
      <c r="T24" s="12">
        <f t="shared" si="8"/>
        <v>12.157580996332181</v>
      </c>
      <c r="U24" s="12">
        <f t="shared" si="8"/>
        <v>12.97134817148253</v>
      </c>
      <c r="V24" s="12">
        <f t="shared" si="8"/>
        <v>13.619638092759734</v>
      </c>
      <c r="W24" s="12">
        <f t="shared" si="8"/>
        <v>14.093384267599976</v>
      </c>
      <c r="X24" s="12">
        <f t="shared" si="8"/>
        <v>14.418179596214097</v>
      </c>
      <c r="Y24" s="12">
        <f t="shared" si="8"/>
        <v>14.631231514815047</v>
      </c>
      <c r="Z24" s="12">
        <f t="shared" si="8"/>
        <v>14.76696254406194</v>
      </c>
      <c r="AA24" s="12">
        <f t="shared" si="8"/>
        <v>14.85183186094622</v>
      </c>
      <c r="AB24" s="12">
        <f t="shared" si="8"/>
        <v>14.904279498838406</v>
      </c>
      <c r="AC24" s="12">
        <f t="shared" si="9"/>
        <v>14.936456433397653</v>
      </c>
      <c r="AD24" s="300">
        <f t="shared" si="13"/>
        <v>1.8341171135628901E-3</v>
      </c>
      <c r="AE24" s="299">
        <f t="shared" si="13"/>
        <v>1.8341171135628901E-3</v>
      </c>
      <c r="AF24" s="299">
        <f t="shared" si="13"/>
        <v>1.8341171135628901E-3</v>
      </c>
      <c r="AG24" s="299">
        <f t="shared" si="13"/>
        <v>1.8341171135628901E-3</v>
      </c>
      <c r="AH24" s="299">
        <f t="shared" si="13"/>
        <v>1.8341171135628901E-3</v>
      </c>
      <c r="AI24" s="299">
        <f t="shared" si="13"/>
        <v>1.7510710404725302E-3</v>
      </c>
      <c r="AJ24" s="299">
        <f t="shared" si="13"/>
        <v>1.7047945050960849E-3</v>
      </c>
      <c r="AK24" s="299">
        <f t="shared" si="13"/>
        <v>1.6387708408133019E-3</v>
      </c>
      <c r="AL24" s="299">
        <f t="shared" si="13"/>
        <v>1.5511481075431014E-3</v>
      </c>
      <c r="AM24" s="299">
        <f t="shared" si="13"/>
        <v>1.4453914756622185E-3</v>
      </c>
      <c r="AN24" s="299">
        <f t="shared" si="13"/>
        <v>1.3314431690522001E-3</v>
      </c>
      <c r="AO24" s="299">
        <f t="shared" si="13"/>
        <v>1.2227447423752602E-3</v>
      </c>
      <c r="AP24" s="299">
        <f t="shared" si="13"/>
        <v>1.1304549077382716E-3</v>
      </c>
      <c r="AQ24" s="299">
        <f t="shared" si="13"/>
        <v>1.0595349783104671E-3</v>
      </c>
      <c r="AR24" s="299">
        <f t="shared" si="13"/>
        <v>1.0091014907977196E-3</v>
      </c>
      <c r="AS24" s="299">
        <f t="shared" si="10"/>
        <v>9.7518075449948098E-4</v>
      </c>
      <c r="AT24" s="299">
        <f t="shared" si="4"/>
        <v>9.5321306076240244E-4</v>
      </c>
      <c r="AU24" s="299">
        <f t="shared" si="4"/>
        <v>9.3933289823300238E-4</v>
      </c>
      <c r="AV24" s="299">
        <f t="shared" si="4"/>
        <v>9.3069898853747723E-4</v>
      </c>
      <c r="AW24" s="299">
        <f t="shared" si="4"/>
        <v>9.2538060167977464E-4</v>
      </c>
      <c r="AX24" s="299">
        <f t="shared" si="4"/>
        <v>9.2212421973168128E-4</v>
      </c>
      <c r="AY24" s="299">
        <f t="shared" si="4"/>
        <v>9.2013772910680598E-4</v>
      </c>
      <c r="AZ24" s="306">
        <f t="shared" si="14"/>
        <v>0.10153633421067899</v>
      </c>
      <c r="BA24" s="2">
        <f t="shared" si="14"/>
        <v>0.10153633421067899</v>
      </c>
      <c r="BB24" s="2">
        <f t="shared" si="14"/>
        <v>0.10153633421067899</v>
      </c>
      <c r="BC24" s="2">
        <f t="shared" si="14"/>
        <v>0.10153633421067899</v>
      </c>
      <c r="BD24" s="2">
        <f t="shared" si="14"/>
        <v>0.10153633421067899</v>
      </c>
      <c r="BE24" s="2">
        <f t="shared" si="14"/>
        <v>9.6938921226615404E-2</v>
      </c>
      <c r="BF24" s="2">
        <f t="shared" si="14"/>
        <v>9.4377062047968169E-2</v>
      </c>
      <c r="BG24" s="2">
        <f t="shared" si="14"/>
        <v>9.0722006003369271E-2</v>
      </c>
      <c r="BH24" s="2">
        <f t="shared" si="14"/>
        <v>8.5871230082908298E-2</v>
      </c>
      <c r="BI24" s="2">
        <f t="shared" si="14"/>
        <v>8.0016565383338734E-2</v>
      </c>
      <c r="BJ24" s="2">
        <f t="shared" si="14"/>
        <v>7.3708411309022018E-2</v>
      </c>
      <c r="BK24" s="2">
        <f t="shared" si="14"/>
        <v>6.7690889473786001E-2</v>
      </c>
      <c r="BL24" s="2">
        <f t="shared" si="14"/>
        <v>6.2581743812009663E-2</v>
      </c>
      <c r="BM24" s="2">
        <f t="shared" si="14"/>
        <v>5.8655631567960526E-2</v>
      </c>
      <c r="BN24" s="2">
        <f t="shared" si="14"/>
        <v>5.5863644401144948E-2</v>
      </c>
      <c r="BO24" s="2">
        <f t="shared" si="11"/>
        <v>5.3985799637590169E-2</v>
      </c>
      <c r="BP24" s="2">
        <f t="shared" si="6"/>
        <v>5.2769672773808327E-2</v>
      </c>
      <c r="BQ24" s="2">
        <f t="shared" si="6"/>
        <v>5.2001269921524824E-2</v>
      </c>
      <c r="BR24" s="2">
        <f t="shared" si="6"/>
        <v>5.1523298512879769E-2</v>
      </c>
      <c r="BS24" s="2">
        <f t="shared" si="6"/>
        <v>5.1228873744988919E-2</v>
      </c>
      <c r="BT24" s="2">
        <f t="shared" si="6"/>
        <v>5.1048601131340535E-2</v>
      </c>
      <c r="BU24" s="2">
        <f t="shared" si="6"/>
        <v>5.0938629431876964E-2</v>
      </c>
    </row>
    <row r="25" spans="1:73" x14ac:dyDescent="0.25">
      <c r="A25" t="s">
        <v>19</v>
      </c>
      <c r="B25" s="1" t="s">
        <v>5</v>
      </c>
      <c r="C25" t="s">
        <v>13</v>
      </c>
      <c r="D25" t="s">
        <v>13</v>
      </c>
      <c r="E25" s="97">
        <v>7.7438399999999996</v>
      </c>
      <c r="F25" s="5">
        <f t="shared" si="7"/>
        <v>1.8972408E-2</v>
      </c>
      <c r="G25" s="1">
        <f>LOOKUP(RIGHT(D25,5),Ref!$C$4:$C$21,Ref!$E$4:$E$21)*$G$3</f>
        <v>1.5</v>
      </c>
      <c r="H25" s="36">
        <f t="shared" si="12"/>
        <v>7.7438399999999996</v>
      </c>
      <c r="I25" s="12">
        <f t="shared" si="12"/>
        <v>7.7438399999999996</v>
      </c>
      <c r="J25" s="12">
        <f t="shared" si="12"/>
        <v>7.7438399999999996</v>
      </c>
      <c r="K25" s="12">
        <f t="shared" si="12"/>
        <v>7.7438399999999996</v>
      </c>
      <c r="L25" s="12">
        <f t="shared" si="12"/>
        <v>7.7438399999999996</v>
      </c>
      <c r="M25" s="12">
        <f t="shared" si="8"/>
        <v>8.1110983737473674</v>
      </c>
      <c r="N25" s="12">
        <f t="shared" si="8"/>
        <v>8.3312736087757049</v>
      </c>
      <c r="O25" s="12">
        <f t="shared" si="8"/>
        <v>8.6669283556717538</v>
      </c>
      <c r="P25" s="12">
        <f t="shared" si="8"/>
        <v>9.1565140682726138</v>
      </c>
      <c r="Q25" s="12">
        <f t="shared" si="8"/>
        <v>9.8264793364618228</v>
      </c>
      <c r="R25" s="12">
        <f t="shared" si="8"/>
        <v>10.667454532665831</v>
      </c>
      <c r="S25" s="12">
        <f t="shared" si="8"/>
        <v>11.61576</v>
      </c>
      <c r="T25" s="12">
        <f t="shared" si="8"/>
        <v>12.564065467334169</v>
      </c>
      <c r="U25" s="12">
        <f t="shared" si="8"/>
        <v>13.405040663538175</v>
      </c>
      <c r="V25" s="12">
        <f t="shared" si="8"/>
        <v>14.075005931727384</v>
      </c>
      <c r="W25" s="12">
        <f t="shared" si="8"/>
        <v>14.564591644328242</v>
      </c>
      <c r="X25" s="12">
        <f t="shared" si="8"/>
        <v>14.900246391224293</v>
      </c>
      <c r="Y25" s="12">
        <f t="shared" si="8"/>
        <v>15.120421626252631</v>
      </c>
      <c r="Z25" s="12">
        <f t="shared" si="8"/>
        <v>15.260690775018416</v>
      </c>
      <c r="AA25" s="12">
        <f t="shared" si="8"/>
        <v>15.348397667847156</v>
      </c>
      <c r="AB25" s="12">
        <f t="shared" si="8"/>
        <v>15.402598874179507</v>
      </c>
      <c r="AC25" s="12">
        <f t="shared" si="9"/>
        <v>15.435851633298487</v>
      </c>
      <c r="AD25" s="300">
        <f t="shared" si="13"/>
        <v>1.774778030477032E-3</v>
      </c>
      <c r="AE25" s="299">
        <f t="shared" si="13"/>
        <v>1.774778030477032E-3</v>
      </c>
      <c r="AF25" s="299">
        <f t="shared" si="13"/>
        <v>1.774778030477032E-3</v>
      </c>
      <c r="AG25" s="299">
        <f t="shared" si="13"/>
        <v>1.774778030477032E-3</v>
      </c>
      <c r="AH25" s="299">
        <f t="shared" si="13"/>
        <v>1.774778030477032E-3</v>
      </c>
      <c r="AI25" s="299">
        <f t="shared" si="13"/>
        <v>1.6944187421043015E-3</v>
      </c>
      <c r="AJ25" s="299">
        <f t="shared" si="13"/>
        <v>1.6496393887547411E-3</v>
      </c>
      <c r="AK25" s="299">
        <f t="shared" si="13"/>
        <v>1.5857517841987544E-3</v>
      </c>
      <c r="AL25" s="299">
        <f t="shared" si="13"/>
        <v>1.500963904063766E-3</v>
      </c>
      <c r="AM25" s="299">
        <f t="shared" si="13"/>
        <v>1.3986288102731468E-3</v>
      </c>
      <c r="AN25" s="299">
        <f t="shared" si="13"/>
        <v>1.2883670665240409E-3</v>
      </c>
      <c r="AO25" s="299">
        <f t="shared" si="13"/>
        <v>1.1831853536513547E-3</v>
      </c>
      <c r="AP25" s="299">
        <f t="shared" si="13"/>
        <v>1.0938813666055629E-3</v>
      </c>
      <c r="AQ25" s="299">
        <f t="shared" si="13"/>
        <v>1.0252559054827757E-3</v>
      </c>
      <c r="AR25" s="299">
        <f t="shared" si="13"/>
        <v>9.7645408962485233E-4</v>
      </c>
      <c r="AS25" s="299">
        <f t="shared" si="10"/>
        <v>9.4363078891273309E-4</v>
      </c>
      <c r="AT25" s="299">
        <f t="shared" si="4"/>
        <v>9.2237381467891308E-4</v>
      </c>
      <c r="AU25" s="299">
        <f t="shared" si="4"/>
        <v>9.0894271623134652E-4</v>
      </c>
      <c r="AV25" s="299">
        <f t="shared" si="4"/>
        <v>9.0058813890832377E-4</v>
      </c>
      <c r="AW25" s="299">
        <f t="shared" si="4"/>
        <v>8.9544181750778203E-4</v>
      </c>
      <c r="AX25" s="299">
        <f t="shared" si="4"/>
        <v>8.922907890933034E-4</v>
      </c>
      <c r="AY25" s="299">
        <f t="shared" si="4"/>
        <v>8.9036856728276221E-4</v>
      </c>
      <c r="AZ25" s="306">
        <f t="shared" si="14"/>
        <v>9.8251335162686443E-2</v>
      </c>
      <c r="BA25" s="2">
        <f t="shared" si="14"/>
        <v>9.8251335162686443E-2</v>
      </c>
      <c r="BB25" s="2">
        <f t="shared" si="14"/>
        <v>9.8251335162686443E-2</v>
      </c>
      <c r="BC25" s="2">
        <f t="shared" si="14"/>
        <v>9.8251335162686443E-2</v>
      </c>
      <c r="BD25" s="2">
        <f t="shared" si="14"/>
        <v>9.8251335162686443E-2</v>
      </c>
      <c r="BE25" s="2">
        <f t="shared" si="14"/>
        <v>9.3802662010460211E-2</v>
      </c>
      <c r="BF25" s="2">
        <f t="shared" si="14"/>
        <v>9.1323686511122146E-2</v>
      </c>
      <c r="BG25" s="2">
        <f t="shared" si="14"/>
        <v>8.7786882279730874E-2</v>
      </c>
      <c r="BH25" s="2">
        <f t="shared" si="14"/>
        <v>8.3093043227284807E-2</v>
      </c>
      <c r="BI25" s="2">
        <f t="shared" si="14"/>
        <v>7.7427794150348367E-2</v>
      </c>
      <c r="BJ25" s="2">
        <f t="shared" si="14"/>
        <v>7.1323727413730137E-2</v>
      </c>
      <c r="BK25" s="2">
        <f t="shared" si="14"/>
        <v>6.5500890108457624E-2</v>
      </c>
      <c r="BL25" s="2">
        <f t="shared" si="14"/>
        <v>6.0557040335738763E-2</v>
      </c>
      <c r="BM25" s="2">
        <f t="shared" si="14"/>
        <v>5.6757949370173581E-2</v>
      </c>
      <c r="BN25" s="2">
        <f t="shared" si="14"/>
        <v>5.4056291199931439E-2</v>
      </c>
      <c r="BO25" s="2">
        <f t="shared" si="11"/>
        <v>5.2239200237550486E-2</v>
      </c>
      <c r="BP25" s="2">
        <f t="shared" si="6"/>
        <v>5.106241865465571E-2</v>
      </c>
      <c r="BQ25" s="2">
        <f t="shared" si="6"/>
        <v>5.0318875894651963E-2</v>
      </c>
      <c r="BR25" s="2">
        <f t="shared" si="6"/>
        <v>4.985636826687484E-2</v>
      </c>
      <c r="BS25" s="2">
        <f t="shared" si="6"/>
        <v>4.9571469006180466E-2</v>
      </c>
      <c r="BT25" s="2">
        <f t="shared" si="6"/>
        <v>4.9397028741797168E-2</v>
      </c>
      <c r="BU25" s="2">
        <f t="shared" si="6"/>
        <v>4.9290614950257418E-2</v>
      </c>
    </row>
    <row r="26" spans="1:73" x14ac:dyDescent="0.25">
      <c r="A26" t="s">
        <v>19</v>
      </c>
      <c r="B26" s="1" t="s">
        <v>5</v>
      </c>
      <c r="C26" t="s">
        <v>14</v>
      </c>
      <c r="D26" t="s">
        <v>14</v>
      </c>
      <c r="E26" s="97">
        <v>6.9837092500000004</v>
      </c>
      <c r="F26" s="5">
        <f t="shared" si="7"/>
        <v>1.7110087662500002E-2</v>
      </c>
      <c r="G26" s="1">
        <f>LOOKUP(RIGHT(D26,5),Ref!$C$4:$C$21,Ref!$E$4:$E$21)*$G$3</f>
        <v>2</v>
      </c>
      <c r="H26" s="36">
        <f t="shared" si="12"/>
        <v>6.9837092500000004</v>
      </c>
      <c r="I26" s="12">
        <f t="shared" si="12"/>
        <v>6.9837092500000004</v>
      </c>
      <c r="J26" s="12">
        <f t="shared" si="12"/>
        <v>6.9837092500000004</v>
      </c>
      <c r="K26" s="12">
        <f t="shared" si="12"/>
        <v>6.9837092500000004</v>
      </c>
      <c r="L26" s="12">
        <f t="shared" si="12"/>
        <v>6.9837092500000004</v>
      </c>
      <c r="M26" s="12">
        <f t="shared" si="8"/>
        <v>7.3149177591995</v>
      </c>
      <c r="N26" s="12">
        <f t="shared" si="8"/>
        <v>7.5134807235025232</v>
      </c>
      <c r="O26" s="12">
        <f t="shared" si="8"/>
        <v>7.8161877991528916</v>
      </c>
      <c r="P26" s="12">
        <f t="shared" si="8"/>
        <v>8.2577160680425461</v>
      </c>
      <c r="Q26" s="12">
        <f t="shared" si="8"/>
        <v>8.861917942129784</v>
      </c>
      <c r="R26" s="12">
        <f t="shared" si="8"/>
        <v>9.6203435109367952</v>
      </c>
      <c r="S26" s="12">
        <f t="shared" si="8"/>
        <v>10.475563875000001</v>
      </c>
      <c r="T26" s="12">
        <f t="shared" si="8"/>
        <v>11.330784239063206</v>
      </c>
      <c r="U26" s="12">
        <f t="shared" si="8"/>
        <v>12.089209807870217</v>
      </c>
      <c r="V26" s="12">
        <f t="shared" si="8"/>
        <v>12.693411681957455</v>
      </c>
      <c r="W26" s="12">
        <f t="shared" si="8"/>
        <v>13.134939950847109</v>
      </c>
      <c r="X26" s="12">
        <f t="shared" si="8"/>
        <v>13.437647026497478</v>
      </c>
      <c r="Y26" s="12">
        <f t="shared" si="8"/>
        <v>13.6362099908005</v>
      </c>
      <c r="Z26" s="12">
        <f t="shared" si="8"/>
        <v>13.76271040296362</v>
      </c>
      <c r="AA26" s="12">
        <f t="shared" si="8"/>
        <v>13.8418080391153</v>
      </c>
      <c r="AB26" s="12">
        <f t="shared" si="8"/>
        <v>13.89068888712151</v>
      </c>
      <c r="AC26" s="12">
        <f t="shared" si="9"/>
        <v>13.920677575091203</v>
      </c>
      <c r="AD26" s="300">
        <f t="shared" si="13"/>
        <v>1.9679509285884518E-3</v>
      </c>
      <c r="AE26" s="299">
        <f t="shared" si="13"/>
        <v>1.9679509285884518E-3</v>
      </c>
      <c r="AF26" s="299">
        <f t="shared" si="13"/>
        <v>1.9679509285884518E-3</v>
      </c>
      <c r="AG26" s="299">
        <f t="shared" si="13"/>
        <v>1.9679509285884518E-3</v>
      </c>
      <c r="AH26" s="299">
        <f t="shared" si="13"/>
        <v>1.9679509285884518E-3</v>
      </c>
      <c r="AI26" s="299">
        <f t="shared" si="13"/>
        <v>1.878845061004934E-3</v>
      </c>
      <c r="AJ26" s="299">
        <f t="shared" si="13"/>
        <v>1.8291917700059624E-3</v>
      </c>
      <c r="AK26" s="299">
        <f t="shared" si="13"/>
        <v>1.7583504205232598E-3</v>
      </c>
      <c r="AL26" s="299">
        <f t="shared" si="13"/>
        <v>1.6643339381354047E-3</v>
      </c>
      <c r="AM26" s="299">
        <f t="shared" si="13"/>
        <v>1.5508603434694253E-3</v>
      </c>
      <c r="AN26" s="299">
        <f t="shared" si="13"/>
        <v>1.4285973352100145E-3</v>
      </c>
      <c r="AO26" s="299">
        <f t="shared" si="13"/>
        <v>1.3119672857256344E-3</v>
      </c>
      <c r="AP26" s="299">
        <f t="shared" si="13"/>
        <v>1.2129431479374403E-3</v>
      </c>
      <c r="AQ26" s="299">
        <f t="shared" si="13"/>
        <v>1.1368482574090175E-3</v>
      </c>
      <c r="AR26" s="299">
        <f t="shared" si="13"/>
        <v>1.0827346853537058E-3</v>
      </c>
      <c r="AS26" s="299">
        <f t="shared" si="10"/>
        <v>1.0463387845669517E-3</v>
      </c>
      <c r="AT26" s="299">
        <f t="shared" si="4"/>
        <v>1.0227681287079862E-3</v>
      </c>
      <c r="AU26" s="299">
        <f t="shared" si="4"/>
        <v>1.0078751436653737E-3</v>
      </c>
      <c r="AV26" s="299">
        <f t="shared" si="4"/>
        <v>9.9861122563254363E-4</v>
      </c>
      <c r="AW26" s="299">
        <f t="shared" si="4"/>
        <v>9.9290476104649705E-4</v>
      </c>
      <c r="AX26" s="299">
        <f t="shared" si="4"/>
        <v>9.8941076394500321E-4</v>
      </c>
      <c r="AY26" s="299">
        <f t="shared" si="4"/>
        <v>9.8727932095210645E-4</v>
      </c>
      <c r="AZ26" s="306">
        <f t="shared" si="14"/>
        <v>0.10894534581121311</v>
      </c>
      <c r="BA26" s="2">
        <f t="shared" si="14"/>
        <v>0.10894534581121311</v>
      </c>
      <c r="BB26" s="2">
        <f t="shared" si="14"/>
        <v>0.10894534581121311</v>
      </c>
      <c r="BC26" s="2">
        <f t="shared" si="14"/>
        <v>0.10894534581121311</v>
      </c>
      <c r="BD26" s="2">
        <f t="shared" si="14"/>
        <v>0.10894534581121311</v>
      </c>
      <c r="BE26" s="2">
        <f t="shared" si="14"/>
        <v>0.10401246388988518</v>
      </c>
      <c r="BF26" s="2">
        <f t="shared" si="14"/>
        <v>0.101263668236516</v>
      </c>
      <c r="BG26" s="2">
        <f t="shared" si="14"/>
        <v>9.7341906161553193E-2</v>
      </c>
      <c r="BH26" s="2">
        <f t="shared" si="14"/>
        <v>9.2137173646680254E-2</v>
      </c>
      <c r="BI26" s="2">
        <f t="shared" si="14"/>
        <v>8.5855299524852574E-2</v>
      </c>
      <c r="BJ26" s="2">
        <f t="shared" si="14"/>
        <v>7.908684533158937E-2</v>
      </c>
      <c r="BK26" s="2">
        <f t="shared" si="14"/>
        <v>7.2630230540808735E-2</v>
      </c>
      <c r="BL26" s="2">
        <f t="shared" si="14"/>
        <v>6.7148275285587991E-2</v>
      </c>
      <c r="BM26" s="2">
        <f t="shared" si="14"/>
        <v>6.2935678293125519E-2</v>
      </c>
      <c r="BN26" s="2">
        <f t="shared" si="14"/>
        <v>5.9939962426940524E-2</v>
      </c>
      <c r="BO26" s="2">
        <f t="shared" si="11"/>
        <v>5.7925093082526725E-2</v>
      </c>
      <c r="BP26" s="2">
        <f t="shared" si="6"/>
        <v>5.6620226575822726E-2</v>
      </c>
      <c r="BQ26" s="2">
        <f t="shared" si="6"/>
        <v>5.5795754084126806E-2</v>
      </c>
      <c r="BR26" s="2">
        <f t="shared" si="6"/>
        <v>5.5282905547615113E-2</v>
      </c>
      <c r="BS26" s="2">
        <f t="shared" si="6"/>
        <v>5.4966996879032511E-2</v>
      </c>
      <c r="BT26" s="2">
        <f t="shared" si="6"/>
        <v>5.4773569940913348E-2</v>
      </c>
      <c r="BU26" s="2">
        <f t="shared" si="6"/>
        <v>5.4655573709114731E-2</v>
      </c>
    </row>
    <row r="27" spans="1:73" x14ac:dyDescent="0.25">
      <c r="A27" t="s">
        <v>19</v>
      </c>
      <c r="B27" s="1" t="s">
        <v>5</v>
      </c>
      <c r="C27" t="s">
        <v>16</v>
      </c>
      <c r="D27" t="s">
        <v>16</v>
      </c>
      <c r="E27" s="97">
        <v>6.8853600000000004</v>
      </c>
      <c r="F27" s="5">
        <f t="shared" si="7"/>
        <v>1.6869132000000002E-2</v>
      </c>
      <c r="G27" s="1">
        <f>LOOKUP(RIGHT(D27,5),Ref!$C$4:$C$21,Ref!$E$4:$E$21)*$G$3</f>
        <v>3</v>
      </c>
      <c r="H27" s="36">
        <f t="shared" si="12"/>
        <v>6.8853600000000004</v>
      </c>
      <c r="I27" s="12">
        <f t="shared" si="12"/>
        <v>6.8853600000000004</v>
      </c>
      <c r="J27" s="12">
        <f t="shared" si="12"/>
        <v>6.8853600000000004</v>
      </c>
      <c r="K27" s="12">
        <f t="shared" si="12"/>
        <v>6.8853600000000004</v>
      </c>
      <c r="L27" s="12">
        <f t="shared" si="12"/>
        <v>6.8853600000000004</v>
      </c>
      <c r="M27" s="12">
        <f t="shared" si="8"/>
        <v>7.2119042101418911</v>
      </c>
      <c r="N27" s="12">
        <f t="shared" si="8"/>
        <v>7.4076708783910687</v>
      </c>
      <c r="O27" s="12">
        <f t="shared" si="8"/>
        <v>7.7061150311742077</v>
      </c>
      <c r="P27" s="12">
        <f t="shared" si="8"/>
        <v>8.1414254045953349</v>
      </c>
      <c r="Q27" s="12">
        <f t="shared" si="8"/>
        <v>8.7371185050441103</v>
      </c>
      <c r="R27" s="12">
        <f t="shared" si="8"/>
        <v>9.4848634193159995</v>
      </c>
      <c r="S27" s="12">
        <f t="shared" si="8"/>
        <v>10.328040000000001</v>
      </c>
      <c r="T27" s="12">
        <f t="shared" si="8"/>
        <v>11.171216580684002</v>
      </c>
      <c r="U27" s="12">
        <f t="shared" si="8"/>
        <v>11.918961494955891</v>
      </c>
      <c r="V27" s="12">
        <f t="shared" si="8"/>
        <v>12.514654595404666</v>
      </c>
      <c r="W27" s="12">
        <f>W$3*$E27</f>
        <v>12.949964968825793</v>
      </c>
      <c r="X27" s="12">
        <f t="shared" si="8"/>
        <v>13.248409121608931</v>
      </c>
      <c r="Y27" s="12">
        <f t="shared" si="8"/>
        <v>13.444175789858109</v>
      </c>
      <c r="Z27" s="12">
        <f t="shared" si="8"/>
        <v>13.568894738873842</v>
      </c>
      <c r="AA27" s="12">
        <f t="shared" si="8"/>
        <v>13.646878469375414</v>
      </c>
      <c r="AB27" s="12">
        <f t="shared" si="8"/>
        <v>13.69507094468902</v>
      </c>
      <c r="AC27" s="12">
        <f t="shared" si="9"/>
        <v>13.724637311959967</v>
      </c>
      <c r="AD27" s="300">
        <f t="shared" si="13"/>
        <v>1.9960607874576286E-3</v>
      </c>
      <c r="AE27" s="299">
        <f t="shared" si="13"/>
        <v>1.9960607874576286E-3</v>
      </c>
      <c r="AF27" s="299">
        <f t="shared" si="13"/>
        <v>1.9960607874576286E-3</v>
      </c>
      <c r="AG27" s="299">
        <f t="shared" si="13"/>
        <v>1.9960607874576286E-3</v>
      </c>
      <c r="AH27" s="299">
        <f t="shared" si="13"/>
        <v>1.9960607874576286E-3</v>
      </c>
      <c r="AI27" s="299">
        <f t="shared" si="13"/>
        <v>1.9056821476083998E-3</v>
      </c>
      <c r="AJ27" s="299">
        <f t="shared" si="13"/>
        <v>1.8553196178870113E-3</v>
      </c>
      <c r="AK27" s="299">
        <f t="shared" si="13"/>
        <v>1.7834663832464359E-3</v>
      </c>
      <c r="AL27" s="299">
        <f t="shared" si="13"/>
        <v>1.6881069862498331E-3</v>
      </c>
      <c r="AM27" s="299">
        <f t="shared" si="13"/>
        <v>1.5730125550654727E-3</v>
      </c>
      <c r="AN27" s="299">
        <f t="shared" si="13"/>
        <v>1.4490031638769111E-3</v>
      </c>
      <c r="AO27" s="299">
        <f t="shared" si="13"/>
        <v>1.3307071916384191E-3</v>
      </c>
      <c r="AP27" s="299">
        <f t="shared" si="13"/>
        <v>1.2302686107879357E-3</v>
      </c>
      <c r="AQ27" s="299">
        <f t="shared" si="13"/>
        <v>1.1530867944615439E-3</v>
      </c>
      <c r="AR27" s="299">
        <f t="shared" si="13"/>
        <v>1.098200273827442E-3</v>
      </c>
      <c r="AS27" s="299">
        <f t="shared" si="10"/>
        <v>1.0612845005074502E-3</v>
      </c>
      <c r="AT27" s="299">
        <f t="shared" si="4"/>
        <v>1.0373771656185229E-3</v>
      </c>
      <c r="AU27" s="299">
        <f t="shared" si="4"/>
        <v>1.0222714518428884E-3</v>
      </c>
      <c r="AV27" s="299">
        <f t="shared" si="4"/>
        <v>1.0128752096627966E-3</v>
      </c>
      <c r="AW27" s="299">
        <f t="shared" si="4"/>
        <v>1.0070872349578616E-3</v>
      </c>
      <c r="AX27" s="299">
        <f t="shared" si="4"/>
        <v>1.003543330227074E-3</v>
      </c>
      <c r="AY27" s="299">
        <f t="shared" si="4"/>
        <v>1.0013814420839209E-3</v>
      </c>
      <c r="AZ27" s="306">
        <f t="shared" si="14"/>
        <v>0.11050150163335218</v>
      </c>
      <c r="BA27" s="2">
        <f t="shared" si="14"/>
        <v>0.11050150163335218</v>
      </c>
      <c r="BB27" s="2">
        <f t="shared" si="14"/>
        <v>0.11050150163335218</v>
      </c>
      <c r="BC27" s="2">
        <f t="shared" si="14"/>
        <v>0.11050150163335218</v>
      </c>
      <c r="BD27" s="2">
        <f t="shared" si="14"/>
        <v>0.11050150163335218</v>
      </c>
      <c r="BE27" s="2">
        <f t="shared" si="14"/>
        <v>0.10549815930947432</v>
      </c>
      <c r="BF27" s="2">
        <f t="shared" si="14"/>
        <v>0.10271010035093125</v>
      </c>
      <c r="BG27" s="2">
        <f t="shared" si="14"/>
        <v>9.873232052834871E-2</v>
      </c>
      <c r="BH27" s="2">
        <f t="shared" si="14"/>
        <v>9.3453244545699435E-2</v>
      </c>
      <c r="BI27" s="2">
        <f t="shared" si="14"/>
        <v>8.7081641258152598E-2</v>
      </c>
      <c r="BJ27" s="2">
        <f t="shared" si="14"/>
        <v>8.0216507676510743E-2</v>
      </c>
      <c r="BK27" s="2">
        <f t="shared" si="14"/>
        <v>7.3667667755568114E-2</v>
      </c>
      <c r="BL27" s="2">
        <f t="shared" si="14"/>
        <v>6.8107409232561145E-2</v>
      </c>
      <c r="BM27" s="2">
        <f t="shared" si="14"/>
        <v>6.3834640258566708E-2</v>
      </c>
      <c r="BN27" s="2">
        <f t="shared" si="14"/>
        <v>6.0796134123078098E-2</v>
      </c>
      <c r="BO27" s="2">
        <f t="shared" si="11"/>
        <v>5.8752484745540234E-2</v>
      </c>
      <c r="BP27" s="2">
        <f t="shared" si="6"/>
        <v>5.742897975918021E-2</v>
      </c>
      <c r="BQ27" s="2">
        <f t="shared" si="6"/>
        <v>5.6592730649964805E-2</v>
      </c>
      <c r="BR27" s="2">
        <f t="shared" si="6"/>
        <v>5.6072556676739632E-2</v>
      </c>
      <c r="BS27" s="2">
        <f t="shared" si="6"/>
        <v>5.5752135625271655E-2</v>
      </c>
      <c r="BT27" s="2">
        <f t="shared" si="6"/>
        <v>5.55559458113851E-2</v>
      </c>
      <c r="BU27" s="2">
        <f t="shared" si="6"/>
        <v>5.5436264142528696E-2</v>
      </c>
    </row>
    <row r="28" spans="1:73" x14ac:dyDescent="0.25">
      <c r="A28" t="s">
        <v>19</v>
      </c>
      <c r="B28" s="1" t="s">
        <v>5</v>
      </c>
      <c r="C28" t="s">
        <v>6</v>
      </c>
      <c r="D28" t="s">
        <v>6</v>
      </c>
      <c r="E28" s="97">
        <v>7.0747949999999999</v>
      </c>
      <c r="F28" s="5">
        <f t="shared" si="7"/>
        <v>1.7333247750000003E-2</v>
      </c>
      <c r="G28" s="1">
        <f>LOOKUP(RIGHT(D28,5),Ref!$C$4:$C$21,Ref!$E$4:$E$21)*$G$3</f>
        <v>3</v>
      </c>
      <c r="H28" s="36">
        <f t="shared" si="12"/>
        <v>7.0747949999999999</v>
      </c>
      <c r="I28" s="12">
        <f t="shared" si="12"/>
        <v>7.0747949999999999</v>
      </c>
      <c r="J28" s="12">
        <f t="shared" si="12"/>
        <v>7.0747949999999999</v>
      </c>
      <c r="K28" s="12">
        <f t="shared" si="12"/>
        <v>7.0747949999999999</v>
      </c>
      <c r="L28" s="12">
        <f t="shared" si="12"/>
        <v>7.0747949999999999</v>
      </c>
      <c r="M28" s="12">
        <f t="shared" si="8"/>
        <v>7.4103233304272829</v>
      </c>
      <c r="N28" s="12">
        <f t="shared" si="8"/>
        <v>7.6114760727233932</v>
      </c>
      <c r="O28" s="12">
        <f t="shared" si="8"/>
        <v>7.9181312367074677</v>
      </c>
      <c r="P28" s="12">
        <f t="shared" si="8"/>
        <v>8.3654181836975905</v>
      </c>
      <c r="Q28" s="12">
        <f t="shared" si="8"/>
        <v>8.9775004232013345</v>
      </c>
      <c r="R28" s="12">
        <f t="shared" si="8"/>
        <v>9.7458178359097758</v>
      </c>
      <c r="S28" s="12">
        <f t="shared" si="8"/>
        <v>10.612192499999999</v>
      </c>
      <c r="T28" s="12">
        <f t="shared" si="8"/>
        <v>11.478567164090224</v>
      </c>
      <c r="U28" s="12">
        <f t="shared" si="8"/>
        <v>12.246884576798665</v>
      </c>
      <c r="V28" s="12">
        <f t="shared" si="8"/>
        <v>12.858966816302409</v>
      </c>
      <c r="W28" s="12">
        <f t="shared" si="8"/>
        <v>13.306253763292531</v>
      </c>
      <c r="X28" s="12">
        <f t="shared" si="8"/>
        <v>13.612908927276607</v>
      </c>
      <c r="Y28" s="12">
        <f t="shared" si="8"/>
        <v>13.814061669572716</v>
      </c>
      <c r="Z28" s="12">
        <f t="shared" si="8"/>
        <v>13.942211976441458</v>
      </c>
      <c r="AA28" s="12">
        <f t="shared" si="8"/>
        <v>14.022341251691245</v>
      </c>
      <c r="AB28" s="12">
        <f t="shared" si="8"/>
        <v>14.071859633211794</v>
      </c>
      <c r="AC28" s="12">
        <f t="shared" si="9"/>
        <v>14.102239451745126</v>
      </c>
      <c r="AD28" s="300">
        <f t="shared" si="13"/>
        <v>1.9426141822525261E-3</v>
      </c>
      <c r="AE28" s="299">
        <f t="shared" si="13"/>
        <v>1.9426141822525261E-3</v>
      </c>
      <c r="AF28" s="299">
        <f t="shared" si="13"/>
        <v>1.9426141822525261E-3</v>
      </c>
      <c r="AG28" s="299">
        <f t="shared" si="13"/>
        <v>1.9426141822525261E-3</v>
      </c>
      <c r="AH28" s="299">
        <f t="shared" si="13"/>
        <v>1.9426141822525261E-3</v>
      </c>
      <c r="AI28" s="299">
        <f t="shared" si="13"/>
        <v>1.8546555245568207E-3</v>
      </c>
      <c r="AJ28" s="299">
        <f t="shared" si="13"/>
        <v>1.8056415039890926E-3</v>
      </c>
      <c r="AK28" s="299">
        <f t="shared" si="13"/>
        <v>1.7357122144952158E-3</v>
      </c>
      <c r="AL28" s="299">
        <f t="shared" si="13"/>
        <v>1.6429061646090317E-3</v>
      </c>
      <c r="AM28" s="299">
        <f t="shared" si="13"/>
        <v>1.5308935066168849E-3</v>
      </c>
      <c r="AN28" s="299">
        <f t="shared" si="13"/>
        <v>1.4102045959538797E-3</v>
      </c>
      <c r="AO28" s="299">
        <f t="shared" si="13"/>
        <v>1.2950761215016842E-3</v>
      </c>
      <c r="AP28" s="299">
        <f t="shared" si="13"/>
        <v>1.1973268881960285E-3</v>
      </c>
      <c r="AQ28" s="299">
        <f t="shared" si="13"/>
        <v>1.1222116953372835E-3</v>
      </c>
      <c r="AR28" s="299">
        <f t="shared" si="13"/>
        <v>1.0687948184223736E-3</v>
      </c>
      <c r="AS28" s="299">
        <f t="shared" si="10"/>
        <v>1.0328675033571967E-3</v>
      </c>
      <c r="AT28" s="299">
        <f t="shared" si="4"/>
        <v>1.0096003122441221E-3</v>
      </c>
      <c r="AU28" s="299">
        <f t="shared" si="4"/>
        <v>9.9489906967777163E-4</v>
      </c>
      <c r="AV28" s="299">
        <f t="shared" si="4"/>
        <v>9.8575442166222958E-4</v>
      </c>
      <c r="AW28" s="299">
        <f t="shared" si="4"/>
        <v>9.8012142600449365E-4</v>
      </c>
      <c r="AX28" s="299">
        <f t="shared" si="4"/>
        <v>9.7667241301158353E-4</v>
      </c>
      <c r="AY28" s="299">
        <f t="shared" si="4"/>
        <v>9.7456841167368742E-4</v>
      </c>
      <c r="AZ28" s="306">
        <f t="shared" si="14"/>
        <v>0.10754270891046565</v>
      </c>
      <c r="BA28" s="2">
        <f t="shared" si="14"/>
        <v>0.10754270891046565</v>
      </c>
      <c r="BB28" s="2">
        <f t="shared" si="14"/>
        <v>0.10754270891046565</v>
      </c>
      <c r="BC28" s="2">
        <f t="shared" si="14"/>
        <v>0.10754270891046565</v>
      </c>
      <c r="BD28" s="2">
        <f t="shared" si="14"/>
        <v>0.10754270891046565</v>
      </c>
      <c r="BE28" s="2">
        <f t="shared" si="14"/>
        <v>0.10267333628509125</v>
      </c>
      <c r="BF28" s="2">
        <f t="shared" si="14"/>
        <v>9.9959930507143746E-2</v>
      </c>
      <c r="BG28" s="2">
        <f t="shared" si="14"/>
        <v>9.6088659879624935E-2</v>
      </c>
      <c r="BH28" s="2">
        <f t="shared" si="14"/>
        <v>9.0950936651193026E-2</v>
      </c>
      <c r="BI28" s="2">
        <f t="shared" si="14"/>
        <v>8.4749939673620739E-2</v>
      </c>
      <c r="BJ28" s="2">
        <f t="shared" si="14"/>
        <v>7.8068627189274042E-2</v>
      </c>
      <c r="BK28" s="2">
        <f t="shared" si="14"/>
        <v>7.1695139273643765E-2</v>
      </c>
      <c r="BL28" s="2">
        <f t="shared" si="14"/>
        <v>6.6283762460044041E-2</v>
      </c>
      <c r="BM28" s="2">
        <f t="shared" si="14"/>
        <v>6.2125401322684952E-2</v>
      </c>
      <c r="BN28" s="2">
        <f t="shared" si="14"/>
        <v>5.9168254351635211E-2</v>
      </c>
      <c r="BO28" s="2">
        <f t="shared" si="11"/>
        <v>5.7179325813334937E-2</v>
      </c>
      <c r="BP28" s="2">
        <f t="shared" si="6"/>
        <v>5.5891259050568826E-2</v>
      </c>
      <c r="BQ28" s="2">
        <f t="shared" si="6"/>
        <v>5.5077401381671366E-2</v>
      </c>
      <c r="BR28" s="2">
        <f t="shared" si="6"/>
        <v>5.4571155608007869E-2</v>
      </c>
      <c r="BS28" s="2">
        <f t="shared" si="6"/>
        <v>5.4259314163706579E-2</v>
      </c>
      <c r="BT28" s="2">
        <f t="shared" si="6"/>
        <v>5.4068377536293066E-2</v>
      </c>
      <c r="BU28" s="2">
        <f t="shared" si="6"/>
        <v>5.3951900468692221E-2</v>
      </c>
    </row>
    <row r="29" spans="1:73" x14ac:dyDescent="0.25">
      <c r="A29" t="s">
        <v>19</v>
      </c>
      <c r="B29" s="1" t="s">
        <v>5</v>
      </c>
      <c r="C29" t="s">
        <v>7</v>
      </c>
      <c r="D29" t="s">
        <v>7</v>
      </c>
      <c r="E29" s="97">
        <v>7.0762549999999997</v>
      </c>
      <c r="F29" s="5">
        <f t="shared" si="7"/>
        <v>1.733682475E-2</v>
      </c>
      <c r="G29" s="1">
        <f>LOOKUP(RIGHT(D29,5),Ref!$C$4:$C$21,Ref!$E$4:$E$21)*$G$3</f>
        <v>3.5</v>
      </c>
      <c r="H29" s="36">
        <f t="shared" si="12"/>
        <v>7.0762549999999997</v>
      </c>
      <c r="I29" s="12">
        <f t="shared" si="12"/>
        <v>7.0762549999999997</v>
      </c>
      <c r="J29" s="12">
        <f t="shared" si="12"/>
        <v>7.0762549999999997</v>
      </c>
      <c r="K29" s="12">
        <f t="shared" si="12"/>
        <v>7.0762549999999997</v>
      </c>
      <c r="L29" s="12">
        <f t="shared" si="12"/>
        <v>7.0762549999999997</v>
      </c>
      <c r="M29" s="12">
        <f t="shared" si="8"/>
        <v>7.4118525722021227</v>
      </c>
      <c r="N29" s="12">
        <f t="shared" si="8"/>
        <v>7.613046825666224</v>
      </c>
      <c r="O29" s="12">
        <f t="shared" si="8"/>
        <v>7.9197652729736197</v>
      </c>
      <c r="P29" s="12">
        <f t="shared" si="8"/>
        <v>8.3671445249623471</v>
      </c>
      <c r="Q29" s="12">
        <f t="shared" si="8"/>
        <v>8.9793530776765351</v>
      </c>
      <c r="R29" s="12">
        <f t="shared" si="8"/>
        <v>9.7478290452862204</v>
      </c>
      <c r="S29" s="12">
        <f t="shared" si="8"/>
        <v>10.6143825</v>
      </c>
      <c r="T29" s="12">
        <f t="shared" si="8"/>
        <v>11.480935954713779</v>
      </c>
      <c r="U29" s="12">
        <f t="shared" si="8"/>
        <v>12.249411922323464</v>
      </c>
      <c r="V29" s="12">
        <f t="shared" si="8"/>
        <v>12.861620475037652</v>
      </c>
      <c r="W29" s="12">
        <f t="shared" si="8"/>
        <v>13.308999727026379</v>
      </c>
      <c r="X29" s="12">
        <f t="shared" si="8"/>
        <v>13.615718174333775</v>
      </c>
      <c r="Y29" s="12">
        <f t="shared" si="8"/>
        <v>13.816912427797877</v>
      </c>
      <c r="Z29" s="12">
        <f t="shared" si="8"/>
        <v>13.945089180584562</v>
      </c>
      <c r="AA29" s="12">
        <f t="shared" si="8"/>
        <v>14.0252349918247</v>
      </c>
      <c r="AB29" s="12">
        <f t="shared" si="8"/>
        <v>14.074763592275552</v>
      </c>
      <c r="AC29" s="12">
        <f t="shared" si="9"/>
        <v>14.105149680182775</v>
      </c>
      <c r="AD29" s="300">
        <f t="shared" si="13"/>
        <v>1.942213374663471E-3</v>
      </c>
      <c r="AE29" s="299">
        <f t="shared" si="13"/>
        <v>1.942213374663471E-3</v>
      </c>
      <c r="AF29" s="299">
        <f t="shared" si="13"/>
        <v>1.942213374663471E-3</v>
      </c>
      <c r="AG29" s="299">
        <f t="shared" si="13"/>
        <v>1.942213374663471E-3</v>
      </c>
      <c r="AH29" s="299">
        <f t="shared" si="13"/>
        <v>1.942213374663471E-3</v>
      </c>
      <c r="AI29" s="299">
        <f t="shared" si="13"/>
        <v>1.8542728649344846E-3</v>
      </c>
      <c r="AJ29" s="299">
        <f t="shared" si="13"/>
        <v>1.8052689571269708E-3</v>
      </c>
      <c r="AK29" s="299">
        <f t="shared" si="13"/>
        <v>1.735354095711599E-3</v>
      </c>
      <c r="AL29" s="299">
        <f t="shared" si="13"/>
        <v>1.642567193924633E-3</v>
      </c>
      <c r="AM29" s="299">
        <f t="shared" si="13"/>
        <v>1.530577646812559E-3</v>
      </c>
      <c r="AN29" s="299">
        <f t="shared" si="13"/>
        <v>1.4099136371472664E-3</v>
      </c>
      <c r="AO29" s="299">
        <f t="shared" si="13"/>
        <v>1.2948089164423139E-3</v>
      </c>
      <c r="AP29" s="299">
        <f t="shared" si="13"/>
        <v>1.1970798511323887E-3</v>
      </c>
      <c r="AQ29" s="299">
        <f t="shared" si="13"/>
        <v>1.1219801563275684E-3</v>
      </c>
      <c r="AR29" s="299">
        <f t="shared" si="13"/>
        <v>1.0685743005870358E-3</v>
      </c>
      <c r="AS29" s="299">
        <f t="shared" si="10"/>
        <v>1.0326543981829341E-3</v>
      </c>
      <c r="AT29" s="299">
        <f t="shared" si="4"/>
        <v>1.0093920076457326E-3</v>
      </c>
      <c r="AU29" s="299">
        <f t="shared" si="4"/>
        <v>9.9469379829598427E-4</v>
      </c>
      <c r="AV29" s="299">
        <f t="shared" si="4"/>
        <v>9.8555103703920123E-4</v>
      </c>
      <c r="AW29" s="299">
        <f t="shared" si="4"/>
        <v>9.7991920360267714E-4</v>
      </c>
      <c r="AX29" s="299">
        <f t="shared" si="4"/>
        <v>9.7647090222332102E-4</v>
      </c>
      <c r="AY29" s="299">
        <f t="shared" si="4"/>
        <v>9.7436733499102935E-4</v>
      </c>
      <c r="AZ29" s="306">
        <f t="shared" si="14"/>
        <v>0.10752052028738616</v>
      </c>
      <c r="BA29" s="2">
        <f t="shared" si="14"/>
        <v>0.10752052028738616</v>
      </c>
      <c r="BB29" s="2">
        <f t="shared" si="14"/>
        <v>0.10752052028738616</v>
      </c>
      <c r="BC29" s="2">
        <f t="shared" si="14"/>
        <v>0.10752052028738616</v>
      </c>
      <c r="BD29" s="2">
        <f t="shared" si="14"/>
        <v>0.10752052028738616</v>
      </c>
      <c r="BE29" s="2">
        <f t="shared" si="14"/>
        <v>0.10265215232959837</v>
      </c>
      <c r="BF29" s="2">
        <f t="shared" si="14"/>
        <v>9.9939306391910412E-2</v>
      </c>
      <c r="BG29" s="2">
        <f t="shared" si="14"/>
        <v>9.606883449975602E-2</v>
      </c>
      <c r="BH29" s="2">
        <f t="shared" si="14"/>
        <v>9.0932171306033663E-2</v>
      </c>
      <c r="BI29" s="2">
        <f t="shared" si="14"/>
        <v>8.47324537418781E-2</v>
      </c>
      <c r="BJ29" s="2">
        <f t="shared" si="14"/>
        <v>7.8052519771480824E-2</v>
      </c>
      <c r="BK29" s="2">
        <f t="shared" si="14"/>
        <v>7.1680346858257443E-2</v>
      </c>
      <c r="BL29" s="2">
        <f t="shared" si="14"/>
        <v>6.6270086540621734E-2</v>
      </c>
      <c r="BM29" s="2">
        <f t="shared" si="14"/>
        <v>6.2112583372239259E-2</v>
      </c>
      <c r="BN29" s="2">
        <f t="shared" si="14"/>
        <v>5.9156046531064384E-2</v>
      </c>
      <c r="BO29" s="2">
        <f t="shared" si="11"/>
        <v>5.716752835610827E-2</v>
      </c>
      <c r="BP29" s="2">
        <f t="shared" si="6"/>
        <v>5.5879727352203826E-2</v>
      </c>
      <c r="BQ29" s="2">
        <f t="shared" si="6"/>
        <v>5.5066037601533814E-2</v>
      </c>
      <c r="BR29" s="2">
        <f t="shared" si="6"/>
        <v>5.4559896278434855E-2</v>
      </c>
      <c r="BS29" s="2">
        <f t="shared" si="6"/>
        <v>5.424811917445322E-2</v>
      </c>
      <c r="BT29" s="2">
        <f t="shared" si="6"/>
        <v>5.4057221941815066E-2</v>
      </c>
      <c r="BU29" s="2">
        <f t="shared" si="6"/>
        <v>5.3940768906208358E-2</v>
      </c>
    </row>
    <row r="30" spans="1:73" x14ac:dyDescent="0.25">
      <c r="A30" t="s">
        <v>19</v>
      </c>
      <c r="B30" s="1" t="s">
        <v>5</v>
      </c>
      <c r="C30" t="s">
        <v>8</v>
      </c>
      <c r="D30" t="s">
        <v>8</v>
      </c>
      <c r="E30" s="97">
        <v>6.7754950000000003</v>
      </c>
      <c r="F30" s="5">
        <f t="shared" si="7"/>
        <v>1.6599962749999999E-2</v>
      </c>
      <c r="G30" s="1">
        <f>LOOKUP(RIGHT(D30,5),Ref!$C$4:$C$21,Ref!$E$4:$E$21)*$G$3</f>
        <v>4</v>
      </c>
      <c r="H30" s="36">
        <f t="shared" si="12"/>
        <v>6.7754950000000003</v>
      </c>
      <c r="I30" s="12">
        <f t="shared" si="12"/>
        <v>6.7754950000000003</v>
      </c>
      <c r="J30" s="12">
        <f t="shared" si="12"/>
        <v>6.7754950000000003</v>
      </c>
      <c r="K30" s="12">
        <f t="shared" si="12"/>
        <v>6.7754950000000003</v>
      </c>
      <c r="L30" s="12">
        <f t="shared" si="12"/>
        <v>6.7754950000000003</v>
      </c>
      <c r="M30" s="12">
        <f t="shared" si="8"/>
        <v>7.0968287665852383</v>
      </c>
      <c r="N30" s="12">
        <f t="shared" si="8"/>
        <v>7.2894717194430347</v>
      </c>
      <c r="O30" s="12">
        <f t="shared" si="8"/>
        <v>7.5831538021462475</v>
      </c>
      <c r="P30" s="12">
        <f t="shared" si="8"/>
        <v>8.011518224422348</v>
      </c>
      <c r="Q30" s="12">
        <f t="shared" si="8"/>
        <v>8.5977062557852957</v>
      </c>
      <c r="R30" s="12">
        <f t="shared" si="8"/>
        <v>9.3335199137384919</v>
      </c>
      <c r="S30" s="12">
        <f t="shared" si="8"/>
        <v>10.163242500000001</v>
      </c>
      <c r="T30" s="12">
        <f t="shared" si="8"/>
        <v>10.99296508626151</v>
      </c>
      <c r="U30" s="12">
        <f t="shared" si="8"/>
        <v>11.728778744214704</v>
      </c>
      <c r="V30" s="12">
        <f t="shared" si="8"/>
        <v>12.314966775577652</v>
      </c>
      <c r="W30" s="12">
        <f t="shared" si="8"/>
        <v>12.743331197853751</v>
      </c>
      <c r="X30" s="12">
        <f t="shared" si="8"/>
        <v>13.037013280556966</v>
      </c>
      <c r="Y30" s="12">
        <f t="shared" si="8"/>
        <v>13.229656233414763</v>
      </c>
      <c r="Z30" s="12">
        <f t="shared" si="8"/>
        <v>13.35238512710534</v>
      </c>
      <c r="AA30" s="12">
        <f t="shared" si="8"/>
        <v>13.429124524332899</v>
      </c>
      <c r="AB30" s="12">
        <f t="shared" si="8"/>
        <v>13.476548025141131</v>
      </c>
      <c r="AC30" s="12">
        <f t="shared" si="9"/>
        <v>13.505642622026764</v>
      </c>
      <c r="AD30" s="300">
        <f t="shared" si="13"/>
        <v>2.0284270158164473E-3</v>
      </c>
      <c r="AE30" s="299">
        <f t="shared" si="13"/>
        <v>2.0284270158164473E-3</v>
      </c>
      <c r="AF30" s="299">
        <f t="shared" si="13"/>
        <v>2.0284270158164473E-3</v>
      </c>
      <c r="AG30" s="299">
        <f t="shared" si="13"/>
        <v>2.0284270158164473E-3</v>
      </c>
      <c r="AH30" s="299">
        <f t="shared" si="13"/>
        <v>2.0284270158164473E-3</v>
      </c>
      <c r="AI30" s="299">
        <f t="shared" si="13"/>
        <v>1.9365828816724048E-3</v>
      </c>
      <c r="AJ30" s="299">
        <f t="shared" si="13"/>
        <v>1.8854037209406122E-3</v>
      </c>
      <c r="AK30" s="299">
        <f t="shared" si="13"/>
        <v>1.8123853824037477E-3</v>
      </c>
      <c r="AL30" s="299">
        <f t="shared" si="13"/>
        <v>1.7154797278789453E-3</v>
      </c>
      <c r="AM30" s="299">
        <f t="shared" si="13"/>
        <v>1.5985190345717329E-3</v>
      </c>
      <c r="AN30" s="299">
        <f t="shared" si="13"/>
        <v>1.4724988247252085E-3</v>
      </c>
      <c r="AO30" s="299">
        <f t="shared" si="13"/>
        <v>1.3522846772109646E-3</v>
      </c>
      <c r="AP30" s="299">
        <f t="shared" si="13"/>
        <v>1.2502174796047848E-3</v>
      </c>
      <c r="AQ30" s="299">
        <f t="shared" si="13"/>
        <v>1.1717841561559321E-3</v>
      </c>
      <c r="AR30" s="299">
        <f t="shared" si="13"/>
        <v>1.1160076477660327E-3</v>
      </c>
      <c r="AS30" s="299">
        <f t="shared" si="10"/>
        <v>1.0784932832824728E-3</v>
      </c>
      <c r="AT30" s="299">
        <f t="shared" si="4"/>
        <v>1.0541982897283747E-3</v>
      </c>
      <c r="AU30" s="299">
        <f t="shared" si="4"/>
        <v>1.0388476360267331E-3</v>
      </c>
      <c r="AV30" s="299">
        <f t="shared" si="4"/>
        <v>1.029299033296288E-3</v>
      </c>
      <c r="AW30" s="299">
        <f t="shared" si="4"/>
        <v>1.0234172062837418E-3</v>
      </c>
      <c r="AX30" s="299">
        <f t="shared" si="4"/>
        <v>1.0198158369554232E-3</v>
      </c>
      <c r="AY30" s="299">
        <f t="shared" si="4"/>
        <v>1.0176188936848077E-3</v>
      </c>
      <c r="AZ30" s="306">
        <f t="shared" si="14"/>
        <v>0.11229328916724428</v>
      </c>
      <c r="BA30" s="2">
        <f t="shared" si="14"/>
        <v>0.11229328916724428</v>
      </c>
      <c r="BB30" s="2">
        <f t="shared" si="14"/>
        <v>0.11229328916724428</v>
      </c>
      <c r="BC30" s="2">
        <f t="shared" si="14"/>
        <v>0.11229328916724428</v>
      </c>
      <c r="BD30" s="2">
        <f t="shared" si="14"/>
        <v>0.11229328916724428</v>
      </c>
      <c r="BE30" s="2">
        <f t="shared" si="14"/>
        <v>0.10720881739018065</v>
      </c>
      <c r="BF30" s="2">
        <f t="shared" si="14"/>
        <v>0.10437554991218916</v>
      </c>
      <c r="BG30" s="2">
        <f t="shared" si="14"/>
        <v>0.10033327018514088</v>
      </c>
      <c r="BH30" s="2">
        <f t="shared" si="14"/>
        <v>9.4968593713843363E-2</v>
      </c>
      <c r="BI30" s="2">
        <f t="shared" si="14"/>
        <v>8.8493674551192739E-2</v>
      </c>
      <c r="BJ30" s="2">
        <f t="shared" si="14"/>
        <v>8.151722247533795E-2</v>
      </c>
      <c r="BK30" s="2">
        <f t="shared" si="14"/>
        <v>7.4862192778162848E-2</v>
      </c>
      <c r="BL30" s="2">
        <f t="shared" si="14"/>
        <v>6.9211774377149898E-2</v>
      </c>
      <c r="BM30" s="2">
        <f t="shared" si="14"/>
        <v>6.4869722234423458E-2</v>
      </c>
      <c r="BN30" s="2">
        <f t="shared" si="14"/>
        <v>6.1781946565627605E-2</v>
      </c>
      <c r="BO30" s="2">
        <f t="shared" si="11"/>
        <v>5.9705159308294516E-2</v>
      </c>
      <c r="BP30" s="2">
        <f t="shared" si="6"/>
        <v>5.8360193620491052E-2</v>
      </c>
      <c r="BQ30" s="2">
        <f t="shared" si="6"/>
        <v>5.7510384688947688E-2</v>
      </c>
      <c r="BR30" s="2">
        <f t="shared" si="6"/>
        <v>5.6981776067985587E-2</v>
      </c>
      <c r="BS30" s="2">
        <f t="shared" si="6"/>
        <v>5.6656159372683541E-2</v>
      </c>
      <c r="BT30" s="2">
        <f t="shared" si="6"/>
        <v>5.6456788330871546E-2</v>
      </c>
      <c r="BU30" s="2">
        <f t="shared" si="6"/>
        <v>5.6335166017597443E-2</v>
      </c>
    </row>
    <row r="31" spans="1:73" x14ac:dyDescent="0.25">
      <c r="A31" t="s">
        <v>19</v>
      </c>
      <c r="B31" s="1" t="s">
        <v>5</v>
      </c>
      <c r="C31" t="s">
        <v>9</v>
      </c>
      <c r="D31" t="s">
        <v>9</v>
      </c>
      <c r="E31" s="97">
        <v>6.5360550000000002</v>
      </c>
      <c r="F31" s="5">
        <f t="shared" si="7"/>
        <v>1.6013334750000004E-2</v>
      </c>
      <c r="G31" s="1">
        <f>LOOKUP(RIGHT(D31,5),Ref!$C$4:$C$21,Ref!$E$4:$E$21)*$G$3</f>
        <v>4.5</v>
      </c>
      <c r="H31" s="36">
        <f t="shared" si="12"/>
        <v>6.5360550000000002</v>
      </c>
      <c r="I31" s="12">
        <f t="shared" si="12"/>
        <v>6.5360550000000002</v>
      </c>
      <c r="J31" s="12">
        <f t="shared" si="12"/>
        <v>6.5360550000000002</v>
      </c>
      <c r="K31" s="12">
        <f t="shared" si="12"/>
        <v>6.5360550000000002</v>
      </c>
      <c r="L31" s="12">
        <f t="shared" si="12"/>
        <v>6.5360550000000002</v>
      </c>
      <c r="M31" s="12">
        <f t="shared" si="8"/>
        <v>6.8460331155116014</v>
      </c>
      <c r="N31" s="12">
        <f t="shared" si="8"/>
        <v>7.0318682368187488</v>
      </c>
      <c r="O31" s="12">
        <f t="shared" si="8"/>
        <v>7.3151718544972715</v>
      </c>
      <c r="P31" s="12">
        <f t="shared" si="8"/>
        <v>7.728398257002155</v>
      </c>
      <c r="Q31" s="12">
        <f t="shared" si="8"/>
        <v>8.2938709218524647</v>
      </c>
      <c r="R31" s="12">
        <f t="shared" si="8"/>
        <v>9.0036815760014637</v>
      </c>
      <c r="S31" s="12">
        <f t="shared" si="8"/>
        <v>9.8040824999999998</v>
      </c>
      <c r="T31" s="12">
        <f t="shared" si="8"/>
        <v>10.604483423998538</v>
      </c>
      <c r="U31" s="12">
        <f t="shared" si="8"/>
        <v>11.314294078147537</v>
      </c>
      <c r="V31" s="12">
        <f t="shared" si="8"/>
        <v>11.879766742997846</v>
      </c>
      <c r="W31" s="12">
        <f t="shared" si="8"/>
        <v>12.292993145502727</v>
      </c>
      <c r="X31" s="12">
        <f t="shared" si="8"/>
        <v>12.576296763181253</v>
      </c>
      <c r="Y31" s="12">
        <f t="shared" si="8"/>
        <v>12.762131884488399</v>
      </c>
      <c r="Z31" s="12">
        <f t="shared" si="8"/>
        <v>12.880523647636444</v>
      </c>
      <c r="AA31" s="12">
        <f t="shared" si="8"/>
        <v>12.954551142446222</v>
      </c>
      <c r="AB31" s="12">
        <f t="shared" si="8"/>
        <v>13.000298738684599</v>
      </c>
      <c r="AC31" s="12">
        <f t="shared" si="9"/>
        <v>13.028365158252074</v>
      </c>
      <c r="AD31" s="300">
        <f t="shared" si="13"/>
        <v>2.1027358404311562E-3</v>
      </c>
      <c r="AE31" s="299">
        <f t="shared" si="13"/>
        <v>2.1027358404311562E-3</v>
      </c>
      <c r="AF31" s="299">
        <f t="shared" si="13"/>
        <v>2.1027358404311562E-3</v>
      </c>
      <c r="AG31" s="299">
        <f t="shared" si="13"/>
        <v>2.1027358404311562E-3</v>
      </c>
      <c r="AH31" s="299">
        <f t="shared" si="13"/>
        <v>2.1027358404311562E-3</v>
      </c>
      <c r="AI31" s="299">
        <f t="shared" si="13"/>
        <v>2.0075271141165385E-3</v>
      </c>
      <c r="AJ31" s="299">
        <f t="shared" si="13"/>
        <v>1.9544730704093697E-3</v>
      </c>
      <c r="AK31" s="299">
        <f t="shared" si="13"/>
        <v>1.878779798601707E-3</v>
      </c>
      <c r="AL31" s="299">
        <f t="shared" si="13"/>
        <v>1.7783241295927211E-3</v>
      </c>
      <c r="AM31" s="299">
        <f t="shared" si="13"/>
        <v>1.6570787311529053E-3</v>
      </c>
      <c r="AN31" s="299">
        <f t="shared" si="13"/>
        <v>1.5264419323937034E-3</v>
      </c>
      <c r="AO31" s="299">
        <f t="shared" si="13"/>
        <v>1.4018238936207707E-3</v>
      </c>
      <c r="AP31" s="299">
        <f t="shared" si="13"/>
        <v>1.2960175950133255E-3</v>
      </c>
      <c r="AQ31" s="299">
        <f t="shared" si="13"/>
        <v>1.2147109672598741E-3</v>
      </c>
      <c r="AR31" s="299">
        <f t="shared" si="13"/>
        <v>1.1568911579539209E-3</v>
      </c>
      <c r="AS31" s="299">
        <f t="shared" si="10"/>
        <v>1.1180025027962553E-3</v>
      </c>
      <c r="AT31" s="299">
        <f t="shared" si="4"/>
        <v>1.0928174932835102E-3</v>
      </c>
      <c r="AU31" s="299">
        <f t="shared" si="4"/>
        <v>1.076904488052954E-3</v>
      </c>
      <c r="AV31" s="299">
        <f t="shared" si="4"/>
        <v>1.0670060844965095E-3</v>
      </c>
      <c r="AW31" s="299">
        <f t="shared" si="4"/>
        <v>1.0609087842879934E-3</v>
      </c>
      <c r="AX31" s="299">
        <f t="shared" si="4"/>
        <v>1.0571754834089197E-3</v>
      </c>
      <c r="AY31" s="299">
        <f t="shared" si="4"/>
        <v>1.0548980579366217E-3</v>
      </c>
      <c r="AZ31" s="306">
        <f t="shared" si="14"/>
        <v>0.11640700992972332</v>
      </c>
      <c r="BA31" s="2">
        <f t="shared" si="14"/>
        <v>0.11640700992972332</v>
      </c>
      <c r="BB31" s="2">
        <f t="shared" si="14"/>
        <v>0.11640700992972332</v>
      </c>
      <c r="BC31" s="2">
        <f t="shared" si="14"/>
        <v>0.11640700992972332</v>
      </c>
      <c r="BD31" s="2">
        <f t="shared" si="14"/>
        <v>0.11640700992972332</v>
      </c>
      <c r="BE31" s="2">
        <f t="shared" si="14"/>
        <v>0.11113627504405671</v>
      </c>
      <c r="BF31" s="2">
        <f t="shared" si="14"/>
        <v>0.108199214442395</v>
      </c>
      <c r="BG31" s="2">
        <f t="shared" si="14"/>
        <v>0.10400885097709109</v>
      </c>
      <c r="BH31" s="2">
        <f t="shared" si="14"/>
        <v>9.8447646457255497E-2</v>
      </c>
      <c r="BI31" s="2">
        <f t="shared" si="14"/>
        <v>9.1735526927670216E-2</v>
      </c>
      <c r="BJ31" s="2">
        <f t="shared" si="14"/>
        <v>8.4503501469241002E-2</v>
      </c>
      <c r="BK31" s="2">
        <f t="shared" si="14"/>
        <v>7.7604673286482212E-2</v>
      </c>
      <c r="BL31" s="2">
        <f t="shared" si="14"/>
        <v>7.1747259047469342E-2</v>
      </c>
      <c r="BM31" s="2">
        <f t="shared" si="14"/>
        <v>6.7246141388150021E-2</v>
      </c>
      <c r="BN31" s="2">
        <f t="shared" si="14"/>
        <v>6.4045249014226008E-2</v>
      </c>
      <c r="BO31" s="2">
        <f t="shared" si="11"/>
        <v>6.189238131679628E-2</v>
      </c>
      <c r="BP31" s="2">
        <f t="shared" si="6"/>
        <v>6.0498144534381827E-2</v>
      </c>
      <c r="BQ31" s="2">
        <f t="shared" si="6"/>
        <v>5.9617203941527676E-2</v>
      </c>
      <c r="BR31" s="2">
        <f t="shared" si="6"/>
        <v>5.9069230421065308E-2</v>
      </c>
      <c r="BS31" s="2">
        <f t="shared" si="6"/>
        <v>5.873168517535738E-2</v>
      </c>
      <c r="BT31" s="2">
        <f t="shared" si="6"/>
        <v>5.8525010430891193E-2</v>
      </c>
      <c r="BU31" s="2">
        <f t="shared" si="6"/>
        <v>5.8398932640010129E-2</v>
      </c>
    </row>
    <row r="32" spans="1:73" x14ac:dyDescent="0.25">
      <c r="A32" t="s">
        <v>20</v>
      </c>
      <c r="B32" s="1" t="s">
        <v>5</v>
      </c>
      <c r="C32" t="s">
        <v>13</v>
      </c>
      <c r="D32" t="s">
        <v>13</v>
      </c>
      <c r="E32" s="97">
        <v>6.9047049999999999</v>
      </c>
      <c r="F32" s="5">
        <f t="shared" si="7"/>
        <v>1.6916527250000001E-2</v>
      </c>
      <c r="G32" s="1">
        <f>LOOKUP(RIGHT(D32,5),Ref!$C$4:$C$21,Ref!$E$4:$E$21)*$G$3</f>
        <v>1.5</v>
      </c>
      <c r="H32" s="36">
        <f t="shared" si="12"/>
        <v>6.9047049999999999</v>
      </c>
      <c r="I32" s="12">
        <f t="shared" si="12"/>
        <v>6.9047049999999999</v>
      </c>
      <c r="J32" s="12">
        <f t="shared" si="12"/>
        <v>6.9047049999999999</v>
      </c>
      <c r="K32" s="12">
        <f t="shared" si="12"/>
        <v>6.9047049999999999</v>
      </c>
      <c r="L32" s="12">
        <f t="shared" si="12"/>
        <v>6.9047049999999999</v>
      </c>
      <c r="M32" s="12">
        <f t="shared" si="8"/>
        <v>7.2321666636585107</v>
      </c>
      <c r="N32" s="12">
        <f t="shared" si="8"/>
        <v>7.4284833548835794</v>
      </c>
      <c r="O32" s="12">
        <f t="shared" si="8"/>
        <v>7.7277660117007247</v>
      </c>
      <c r="P32" s="12">
        <f t="shared" si="8"/>
        <v>8.1642994263533684</v>
      </c>
      <c r="Q32" s="12">
        <f t="shared" si="8"/>
        <v>8.761666176840512</v>
      </c>
      <c r="R32" s="12">
        <f t="shared" si="8"/>
        <v>9.5115119435538986</v>
      </c>
      <c r="S32" s="12">
        <f t="shared" si="8"/>
        <v>10.3570575</v>
      </c>
      <c r="T32" s="12">
        <f t="shared" si="8"/>
        <v>11.202603056446101</v>
      </c>
      <c r="U32" s="12">
        <f t="shared" si="8"/>
        <v>11.952448823159488</v>
      </c>
      <c r="V32" s="12">
        <f t="shared" si="8"/>
        <v>12.549815573646631</v>
      </c>
      <c r="W32" s="12">
        <f t="shared" si="8"/>
        <v>12.986348988299273</v>
      </c>
      <c r="X32" s="12">
        <f t="shared" si="8"/>
        <v>13.285631645116419</v>
      </c>
      <c r="Y32" s="12">
        <f t="shared" si="8"/>
        <v>13.481948336341489</v>
      </c>
      <c r="Z32" s="12">
        <f t="shared" si="8"/>
        <v>13.607017693769956</v>
      </c>
      <c r="AA32" s="12">
        <f t="shared" si="8"/>
        <v>13.685220526143697</v>
      </c>
      <c r="AB32" s="12">
        <f t="shared" si="8"/>
        <v>13.73354840228383</v>
      </c>
      <c r="AC32" s="12">
        <f t="shared" si="9"/>
        <v>13.763197838758837</v>
      </c>
      <c r="AD32" s="300">
        <f t="shared" si="13"/>
        <v>1.990468398509315E-3</v>
      </c>
      <c r="AE32" s="299">
        <f t="shared" si="13"/>
        <v>1.990468398509315E-3</v>
      </c>
      <c r="AF32" s="299">
        <f t="shared" si="13"/>
        <v>1.990468398509315E-3</v>
      </c>
      <c r="AG32" s="299">
        <f t="shared" si="13"/>
        <v>1.990468398509315E-3</v>
      </c>
      <c r="AH32" s="299">
        <f t="shared" si="13"/>
        <v>1.990468398509315E-3</v>
      </c>
      <c r="AI32" s="299">
        <f t="shared" si="13"/>
        <v>1.9003429736472409E-3</v>
      </c>
      <c r="AJ32" s="299">
        <f t="shared" si="13"/>
        <v>1.8501215452672508E-3</v>
      </c>
      <c r="AK32" s="299">
        <f t="shared" si="13"/>
        <v>1.7784696227499482E-3</v>
      </c>
      <c r="AL32" s="299">
        <f t="shared" si="13"/>
        <v>1.6833773953912807E-3</v>
      </c>
      <c r="AM32" s="299">
        <f t="shared" si="13"/>
        <v>1.5686054257416653E-3</v>
      </c>
      <c r="AN32" s="299">
        <f t="shared" si="13"/>
        <v>1.4449434732449148E-3</v>
      </c>
      <c r="AO32" s="299">
        <f t="shared" si="13"/>
        <v>1.3269789323395434E-3</v>
      </c>
      <c r="AP32" s="299">
        <f t="shared" si="13"/>
        <v>1.2268217515411333E-3</v>
      </c>
      <c r="AQ32" s="299">
        <f t="shared" si="13"/>
        <v>1.149856176493237E-3</v>
      </c>
      <c r="AR32" s="299">
        <f t="shared" si="13"/>
        <v>1.0951234321235326E-3</v>
      </c>
      <c r="AS32" s="299">
        <f t="shared" si="10"/>
        <v>1.0583110861961487E-3</v>
      </c>
      <c r="AT32" s="299">
        <f t="shared" si="4"/>
        <v>1.0344707327920822E-3</v>
      </c>
      <c r="AU32" s="299">
        <f t="shared" si="4"/>
        <v>1.0194073408872574E-3</v>
      </c>
      <c r="AV32" s="299">
        <f t="shared" si="4"/>
        <v>1.0100374242786379E-3</v>
      </c>
      <c r="AW32" s="299">
        <f t="shared" si="4"/>
        <v>1.0042656658162024E-3</v>
      </c>
      <c r="AX32" s="299">
        <f t="shared" si="4"/>
        <v>1.0007316900884668E-3</v>
      </c>
      <c r="AY32" s="299">
        <f t="shared" si="4"/>
        <v>9.9857585893487789E-4</v>
      </c>
      <c r="AZ32" s="306">
        <f t="shared" si="14"/>
        <v>0.11019190816786782</v>
      </c>
      <c r="BA32" s="2">
        <f t="shared" si="14"/>
        <v>0.11019190816786782</v>
      </c>
      <c r="BB32" s="2">
        <f t="shared" si="14"/>
        <v>0.11019190816786782</v>
      </c>
      <c r="BC32" s="2">
        <f t="shared" si="14"/>
        <v>0.11019190816786782</v>
      </c>
      <c r="BD32" s="2">
        <f t="shared" si="14"/>
        <v>0.11019190816786782</v>
      </c>
      <c r="BE32" s="2">
        <f t="shared" si="14"/>
        <v>0.10520258377194712</v>
      </c>
      <c r="BF32" s="2">
        <f t="shared" si="14"/>
        <v>0.10242233615372244</v>
      </c>
      <c r="BG32" s="2">
        <f t="shared" si="14"/>
        <v>9.8455700927566225E-2</v>
      </c>
      <c r="BH32" s="2">
        <f t="shared" si="14"/>
        <v>9.319141539938014E-2</v>
      </c>
      <c r="BI32" s="2">
        <f t="shared" si="14"/>
        <v>8.683766351397107E-2</v>
      </c>
      <c r="BJ32" s="2">
        <f t="shared" si="14"/>
        <v>7.9991764064582055E-2</v>
      </c>
      <c r="BK32" s="2">
        <f t="shared" si="14"/>
        <v>7.3461272111911877E-2</v>
      </c>
      <c r="BL32" s="2">
        <f t="shared" si="14"/>
        <v>6.7916591836075152E-2</v>
      </c>
      <c r="BM32" s="2">
        <f t="shared" si="14"/>
        <v>6.3655793933372229E-2</v>
      </c>
      <c r="BN32" s="2">
        <f t="shared" si="14"/>
        <v>6.0625800819249634E-2</v>
      </c>
      <c r="BO32" s="2">
        <f t="shared" si="11"/>
        <v>5.8587877160219438E-2</v>
      </c>
      <c r="BP32" s="2">
        <f t="shared" si="6"/>
        <v>5.7268080254647961E-2</v>
      </c>
      <c r="BQ32" s="2">
        <f t="shared" si="6"/>
        <v>5.6434174075219966E-2</v>
      </c>
      <c r="BR32" s="2">
        <f t="shared" si="6"/>
        <v>5.5915457480045283E-2</v>
      </c>
      <c r="BS32" s="2">
        <f t="shared" si="6"/>
        <v>5.5595934156321011E-2</v>
      </c>
      <c r="BT32" s="2">
        <f t="shared" si="6"/>
        <v>5.5400294009936492E-2</v>
      </c>
      <c r="BU32" s="2">
        <f t="shared" si="6"/>
        <v>5.5280947654737081E-2</v>
      </c>
    </row>
    <row r="33" spans="1:73" x14ac:dyDescent="0.25">
      <c r="A33" t="s">
        <v>20</v>
      </c>
      <c r="B33" s="1" t="s">
        <v>5</v>
      </c>
      <c r="C33" t="s">
        <v>14</v>
      </c>
      <c r="D33" t="s">
        <v>14</v>
      </c>
      <c r="E33" s="97">
        <v>7.279998</v>
      </c>
      <c r="F33" s="5">
        <f t="shared" si="7"/>
        <v>1.7835995099999998E-2</v>
      </c>
      <c r="G33" s="1">
        <f>LOOKUP(RIGHT(D33,5),Ref!$C$4:$C$21,Ref!$E$4:$E$21)*$G$3</f>
        <v>2</v>
      </c>
      <c r="H33" s="36">
        <f t="shared" si="12"/>
        <v>7.279998</v>
      </c>
      <c r="I33" s="12">
        <f t="shared" si="12"/>
        <v>7.279998</v>
      </c>
      <c r="J33" s="12">
        <f t="shared" si="12"/>
        <v>7.279998</v>
      </c>
      <c r="K33" s="12">
        <f t="shared" si="12"/>
        <v>7.279998</v>
      </c>
      <c r="L33" s="12">
        <f t="shared" si="12"/>
        <v>7.279998</v>
      </c>
      <c r="M33" s="12">
        <f t="shared" si="8"/>
        <v>7.6252582618809397</v>
      </c>
      <c r="N33" s="12">
        <f t="shared" si="8"/>
        <v>7.8322453988382925</v>
      </c>
      <c r="O33" s="12">
        <f t="shared" si="8"/>
        <v>8.1477950339151715</v>
      </c>
      <c r="P33" s="12">
        <f t="shared" si="8"/>
        <v>8.6080554484592273</v>
      </c>
      <c r="Q33" s="12">
        <f t="shared" si="8"/>
        <v>9.2378910096907223</v>
      </c>
      <c r="R33" s="12">
        <f t="shared" si="8"/>
        <v>10.028493313769161</v>
      </c>
      <c r="S33" s="12">
        <f t="shared" si="8"/>
        <v>10.919997</v>
      </c>
      <c r="T33" s="12">
        <f t="shared" si="8"/>
        <v>11.811500686230838</v>
      </c>
      <c r="U33" s="12">
        <f t="shared" si="8"/>
        <v>12.602102990309277</v>
      </c>
      <c r="V33" s="12">
        <f t="shared" si="8"/>
        <v>13.231938551540773</v>
      </c>
      <c r="W33" s="12">
        <f t="shared" si="8"/>
        <v>13.692198966084826</v>
      </c>
      <c r="X33" s="12">
        <f t="shared" si="8"/>
        <v>14.007748601161708</v>
      </c>
      <c r="Y33" s="12">
        <f t="shared" si="8"/>
        <v>14.21473573811906</v>
      </c>
      <c r="Z33" s="12">
        <f t="shared" si="8"/>
        <v>14.346603018754587</v>
      </c>
      <c r="AA33" s="12">
        <f t="shared" si="8"/>
        <v>14.429056427448394</v>
      </c>
      <c r="AB33" s="12">
        <f t="shared" si="8"/>
        <v>14.480011079623168</v>
      </c>
      <c r="AC33" s="12">
        <f t="shared" si="9"/>
        <v>14.511272058656909</v>
      </c>
      <c r="AD33" s="300">
        <f t="shared" si="13"/>
        <v>1.8878572636323882E-3</v>
      </c>
      <c r="AE33" s="299">
        <f t="shared" si="13"/>
        <v>1.8878572636323882E-3</v>
      </c>
      <c r="AF33" s="299">
        <f t="shared" si="13"/>
        <v>1.8878572636323882E-3</v>
      </c>
      <c r="AG33" s="299">
        <f t="shared" si="13"/>
        <v>1.8878572636323882E-3</v>
      </c>
      <c r="AH33" s="299">
        <f t="shared" si="13"/>
        <v>1.8878572636323882E-3</v>
      </c>
      <c r="AI33" s="299">
        <f t="shared" si="13"/>
        <v>1.8023779171171437E-3</v>
      </c>
      <c r="AJ33" s="299">
        <f t="shared" si="13"/>
        <v>1.7547454661683303E-3</v>
      </c>
      <c r="AK33" s="299">
        <f t="shared" si="13"/>
        <v>1.6867872898522335E-3</v>
      </c>
      <c r="AL33" s="299">
        <f t="shared" si="13"/>
        <v>1.5965971857197147E-3</v>
      </c>
      <c r="AM33" s="299">
        <f t="shared" si="13"/>
        <v>1.4877418546194112E-3</v>
      </c>
      <c r="AN33" s="299">
        <f t="shared" si="13"/>
        <v>1.3704548304040096E-3</v>
      </c>
      <c r="AO33" s="299">
        <f t="shared" si="13"/>
        <v>1.2585715090882587E-3</v>
      </c>
      <c r="AP33" s="299">
        <f t="shared" si="13"/>
        <v>1.1635775561991666E-3</v>
      </c>
      <c r="AQ33" s="299">
        <f t="shared" si="13"/>
        <v>1.0905796527847587E-3</v>
      </c>
      <c r="AR33" s="299">
        <f t="shared" si="13"/>
        <v>1.0386684498265681E-3</v>
      </c>
      <c r="AS33" s="299">
        <f t="shared" si="10"/>
        <v>1.0037538263628614E-3</v>
      </c>
      <c r="AT33" s="299">
        <f t="shared" si="4"/>
        <v>9.8114247298737621E-4</v>
      </c>
      <c r="AU33" s="299">
        <f t="shared" si="4"/>
        <v>9.6685561777090461E-4</v>
      </c>
      <c r="AV33" s="299">
        <f t="shared" si="4"/>
        <v>9.5796873207984858E-4</v>
      </c>
      <c r="AW33" s="299">
        <f t="shared" si="4"/>
        <v>9.5249451498330927E-4</v>
      </c>
      <c r="AX33" s="299">
        <f t="shared" si="4"/>
        <v>9.491427201233141E-4</v>
      </c>
      <c r="AY33" s="299">
        <f t="shared" si="4"/>
        <v>9.4709802476140045E-4</v>
      </c>
      <c r="AZ33" s="306">
        <f t="shared" si="14"/>
        <v>0.10451137751496879</v>
      </c>
      <c r="BA33" s="2">
        <f t="shared" si="14"/>
        <v>0.10451137751496879</v>
      </c>
      <c r="BB33" s="2">
        <f t="shared" si="14"/>
        <v>0.10451137751496879</v>
      </c>
      <c r="BC33" s="2">
        <f t="shared" si="14"/>
        <v>0.10451137751496879</v>
      </c>
      <c r="BD33" s="2">
        <f t="shared" si="14"/>
        <v>0.10451137751496879</v>
      </c>
      <c r="BE33" s="2">
        <f t="shared" si="14"/>
        <v>9.9779259030439577E-2</v>
      </c>
      <c r="BF33" s="2">
        <f t="shared" si="14"/>
        <v>9.7142336653428751E-2</v>
      </c>
      <c r="BG33" s="2">
        <f t="shared" si="14"/>
        <v>9.3380186433165382E-2</v>
      </c>
      <c r="BH33" s="2">
        <f t="shared" si="14"/>
        <v>8.8387281406557675E-2</v>
      </c>
      <c r="BI33" s="2">
        <f t="shared" si="14"/>
        <v>8.2361073375739058E-2</v>
      </c>
      <c r="BJ33" s="2">
        <f t="shared" si="14"/>
        <v>7.5868088603257861E-2</v>
      </c>
      <c r="BK33" s="2">
        <f t="shared" si="14"/>
        <v>6.9674251676645857E-2</v>
      </c>
      <c r="BL33" s="2">
        <f t="shared" si="14"/>
        <v>6.441540660224182E-2</v>
      </c>
      <c r="BM33" s="2">
        <f t="shared" si="14"/>
        <v>6.0374258159236437E-2</v>
      </c>
      <c r="BN33" s="2">
        <f t="shared" si="14"/>
        <v>5.7500464978929529E-2</v>
      </c>
      <c r="BO33" s="2">
        <f t="shared" si="11"/>
        <v>5.5567598832795419E-2</v>
      </c>
      <c r="BP33" s="2">
        <f t="shared" si="6"/>
        <v>5.4315839108014734E-2</v>
      </c>
      <c r="BQ33" s="2">
        <f t="shared" si="6"/>
        <v>5.352492183487436E-2</v>
      </c>
      <c r="BR33" s="2">
        <f t="shared" si="6"/>
        <v>5.3032945728797735E-2</v>
      </c>
      <c r="BS33" s="2">
        <f t="shared" si="6"/>
        <v>5.2729894231951777E-2</v>
      </c>
      <c r="BT33" s="2">
        <f t="shared" si="6"/>
        <v>5.2544339579746933E-2</v>
      </c>
      <c r="BU33" s="2">
        <f t="shared" si="6"/>
        <v>5.2431145678391862E-2</v>
      </c>
    </row>
    <row r="34" spans="1:73" x14ac:dyDescent="0.25">
      <c r="A34" t="s">
        <v>20</v>
      </c>
      <c r="B34" s="1" t="s">
        <v>5</v>
      </c>
      <c r="C34" t="s">
        <v>15</v>
      </c>
      <c r="D34" t="s">
        <v>15</v>
      </c>
      <c r="E34" s="97">
        <v>7.2310150000000002</v>
      </c>
      <c r="F34" s="5">
        <f t="shared" si="7"/>
        <v>1.7715986750000003E-2</v>
      </c>
      <c r="G34" s="1">
        <f>LOOKUP(RIGHT(D34,5),Ref!$C$4:$C$21,Ref!$E$4:$E$21)*$G$3</f>
        <v>2.5</v>
      </c>
      <c r="H34" s="36">
        <f t="shared" si="12"/>
        <v>7.2310150000000002</v>
      </c>
      <c r="I34" s="12">
        <f t="shared" si="12"/>
        <v>7.2310150000000002</v>
      </c>
      <c r="J34" s="12">
        <f t="shared" si="12"/>
        <v>7.2310150000000002</v>
      </c>
      <c r="K34" s="12">
        <f t="shared" si="12"/>
        <v>7.2310150000000002</v>
      </c>
      <c r="L34" s="12">
        <f t="shared" si="12"/>
        <v>7.2310150000000002</v>
      </c>
      <c r="M34" s="12">
        <f t="shared" si="8"/>
        <v>7.573952200335083</v>
      </c>
      <c r="N34" s="12">
        <f t="shared" si="8"/>
        <v>7.7795466376063116</v>
      </c>
      <c r="O34" s="12">
        <f t="shared" si="8"/>
        <v>8.0929731171857622</v>
      </c>
      <c r="P34" s="12">
        <f t="shared" si="8"/>
        <v>8.5501366990266199</v>
      </c>
      <c r="Q34" s="12">
        <f t="shared" si="8"/>
        <v>9.175734452047756</v>
      </c>
      <c r="R34" s="12">
        <f t="shared" si="8"/>
        <v>9.9610172391894221</v>
      </c>
      <c r="S34" s="12">
        <f t="shared" si="8"/>
        <v>10.846522500000001</v>
      </c>
      <c r="T34" s="12">
        <f t="shared" si="8"/>
        <v>11.732027760810578</v>
      </c>
      <c r="U34" s="12">
        <f t="shared" si="8"/>
        <v>12.517310547952244</v>
      </c>
      <c r="V34" s="12">
        <f t="shared" si="8"/>
        <v>13.14290830097338</v>
      </c>
      <c r="W34" s="12">
        <f t="shared" si="8"/>
        <v>13.600071882814236</v>
      </c>
      <c r="X34" s="12">
        <f t="shared" si="8"/>
        <v>13.913498362393689</v>
      </c>
      <c r="Y34" s="12">
        <f t="shared" si="8"/>
        <v>14.119092799664918</v>
      </c>
      <c r="Z34" s="12">
        <f t="shared" si="8"/>
        <v>14.250072819753482</v>
      </c>
      <c r="AA34" s="12">
        <f t="shared" si="8"/>
        <v>14.331971445970966</v>
      </c>
      <c r="AB34" s="12">
        <f t="shared" si="8"/>
        <v>14.382583253034042</v>
      </c>
      <c r="AC34" s="12">
        <f t="shared" si="9"/>
        <v>14.413633894573733</v>
      </c>
      <c r="AD34" s="300">
        <f t="shared" si="13"/>
        <v>1.9006456359901423E-3</v>
      </c>
      <c r="AE34" s="299">
        <f t="shared" si="13"/>
        <v>1.9006456359901423E-3</v>
      </c>
      <c r="AF34" s="299">
        <f t="shared" si="13"/>
        <v>1.9006456359901423E-3</v>
      </c>
      <c r="AG34" s="299">
        <f t="shared" si="13"/>
        <v>1.9006456359901423E-3</v>
      </c>
      <c r="AH34" s="299">
        <f t="shared" si="13"/>
        <v>1.9006456359901423E-3</v>
      </c>
      <c r="AI34" s="299">
        <f t="shared" si="13"/>
        <v>1.8145872511475874E-3</v>
      </c>
      <c r="AJ34" s="299">
        <f t="shared" si="13"/>
        <v>1.7666321372884046E-3</v>
      </c>
      <c r="AK34" s="299">
        <f t="shared" si="13"/>
        <v>1.6982136113048694E-3</v>
      </c>
      <c r="AL34" s="299">
        <f t="shared" si="13"/>
        <v>1.6074125581049346E-3</v>
      </c>
      <c r="AM34" s="299">
        <f t="shared" si="13"/>
        <v>1.4978198394202755E-3</v>
      </c>
      <c r="AN34" s="299">
        <f t="shared" si="13"/>
        <v>1.3797383112096335E-3</v>
      </c>
      <c r="AO34" s="299">
        <f t="shared" si="13"/>
        <v>1.2670970906600949E-3</v>
      </c>
      <c r="AP34" s="299">
        <f t="shared" si="13"/>
        <v>1.171459647362759E-3</v>
      </c>
      <c r="AQ34" s="299">
        <f t="shared" si="13"/>
        <v>1.0979672550967931E-3</v>
      </c>
      <c r="AR34" s="299">
        <f t="shared" si="13"/>
        <v>1.0457044049003517E-3</v>
      </c>
      <c r="AS34" s="299">
        <f t="shared" si="10"/>
        <v>1.0105532692732595E-3</v>
      </c>
      <c r="AT34" s="299">
        <f t="shared" si="4"/>
        <v>9.8778874626358182E-4</v>
      </c>
      <c r="AU34" s="299">
        <f t="shared" si="4"/>
        <v>9.7340511168362252E-4</v>
      </c>
      <c r="AV34" s="299">
        <f t="shared" si="4"/>
        <v>9.6445802610060037E-4</v>
      </c>
      <c r="AW34" s="299">
        <f t="shared" si="4"/>
        <v>9.5894672657842114E-4</v>
      </c>
      <c r="AX34" s="299">
        <f t="shared" si="4"/>
        <v>9.5557222661165632E-4</v>
      </c>
      <c r="AY34" s="299">
        <f t="shared" si="4"/>
        <v>9.5351368045384303E-4</v>
      </c>
      <c r="AZ34" s="306">
        <f t="shared" si="14"/>
        <v>0.10521933909502577</v>
      </c>
      <c r="BA34" s="2">
        <f t="shared" si="14"/>
        <v>0.10521933909502577</v>
      </c>
      <c r="BB34" s="2">
        <f t="shared" si="14"/>
        <v>0.10521933909502577</v>
      </c>
      <c r="BC34" s="2">
        <f t="shared" si="14"/>
        <v>0.10521933909502577</v>
      </c>
      <c r="BD34" s="2">
        <f t="shared" si="14"/>
        <v>0.10521933909502577</v>
      </c>
      <c r="BE34" s="2">
        <f t="shared" si="14"/>
        <v>0.10045516517156748</v>
      </c>
      <c r="BF34" s="2">
        <f t="shared" si="14"/>
        <v>9.7800380244307067E-2</v>
      </c>
      <c r="BG34" s="2">
        <f t="shared" si="14"/>
        <v>9.4012745164139627E-2</v>
      </c>
      <c r="BH34" s="2">
        <f t="shared" si="14"/>
        <v>8.8986018126802E-2</v>
      </c>
      <c r="BI34" s="2">
        <f t="shared" si="14"/>
        <v>8.2918988475785715E-2</v>
      </c>
      <c r="BJ34" s="2">
        <f t="shared" si="14"/>
        <v>7.6382020130720235E-2</v>
      </c>
      <c r="BK34" s="2">
        <f t="shared" si="14"/>
        <v>7.0146226063350511E-2</v>
      </c>
      <c r="BL34" s="2">
        <f t="shared" si="14"/>
        <v>6.4851757496493551E-2</v>
      </c>
      <c r="BM34" s="2">
        <f t="shared" si="14"/>
        <v>6.0783234255595509E-2</v>
      </c>
      <c r="BN34" s="2">
        <f t="shared" si="14"/>
        <v>5.7889973958797906E-2</v>
      </c>
      <c r="BO34" s="2">
        <f t="shared" si="11"/>
        <v>5.59440145494862E-2</v>
      </c>
      <c r="BP34" s="2">
        <f t="shared" si="6"/>
        <v>5.4683775386258918E-2</v>
      </c>
      <c r="BQ34" s="2">
        <f t="shared" si="6"/>
        <v>5.3887500428092275E-2</v>
      </c>
      <c r="BR34" s="2">
        <f t="shared" si="6"/>
        <v>5.3392191668770704E-2</v>
      </c>
      <c r="BS34" s="2">
        <f t="shared" si="6"/>
        <v>5.3087087296710141E-2</v>
      </c>
      <c r="BT34" s="2">
        <f t="shared" si="6"/>
        <v>5.2900275694612517E-2</v>
      </c>
      <c r="BU34" s="2">
        <f t="shared" si="6"/>
        <v>5.2786315016135552E-2</v>
      </c>
    </row>
    <row r="35" spans="1:73" x14ac:dyDescent="0.25">
      <c r="A35" t="s">
        <v>20</v>
      </c>
      <c r="B35" s="1" t="s">
        <v>5</v>
      </c>
      <c r="C35" t="s">
        <v>16</v>
      </c>
      <c r="D35" t="s">
        <v>16</v>
      </c>
      <c r="E35" s="97">
        <v>7.2271824999999996</v>
      </c>
      <c r="F35" s="5">
        <f t="shared" si="7"/>
        <v>1.7706597125000001E-2</v>
      </c>
      <c r="G35" s="1">
        <f>LOOKUP(RIGHT(D35,5),Ref!$C$4:$C$21,Ref!$E$4:$E$21)*$G$3</f>
        <v>3</v>
      </c>
      <c r="H35" s="36">
        <f t="shared" si="12"/>
        <v>7.2271824999999996</v>
      </c>
      <c r="I35" s="12">
        <f t="shared" si="12"/>
        <v>7.2271824999999996</v>
      </c>
      <c r="J35" s="12">
        <f t="shared" si="12"/>
        <v>7.2271824999999996</v>
      </c>
      <c r="K35" s="12">
        <f t="shared" si="12"/>
        <v>7.2271824999999996</v>
      </c>
      <c r="L35" s="12">
        <f t="shared" si="12"/>
        <v>7.2271824999999996</v>
      </c>
      <c r="M35" s="12">
        <f t="shared" si="8"/>
        <v>7.5699379406761294</v>
      </c>
      <c r="N35" s="12">
        <f t="shared" si="8"/>
        <v>7.7754234111313796</v>
      </c>
      <c r="O35" s="12">
        <f t="shared" si="8"/>
        <v>8.0886837719871121</v>
      </c>
      <c r="P35" s="12">
        <f t="shared" si="8"/>
        <v>8.5456050532066321</v>
      </c>
      <c r="Q35" s="12">
        <f t="shared" si="8"/>
        <v>9.1708712340503542</v>
      </c>
      <c r="R35" s="12">
        <f t="shared" si="8"/>
        <v>9.9557378145762527</v>
      </c>
      <c r="S35" s="12">
        <f t="shared" si="8"/>
        <v>10.84077375</v>
      </c>
      <c r="T35" s="12">
        <f t="shared" si="8"/>
        <v>11.725809685423746</v>
      </c>
      <c r="U35" s="12">
        <f t="shared" si="8"/>
        <v>12.510676265949645</v>
      </c>
      <c r="V35" s="12">
        <f t="shared" si="8"/>
        <v>13.135942446793367</v>
      </c>
      <c r="W35" s="12">
        <f t="shared" si="8"/>
        <v>13.592863728012885</v>
      </c>
      <c r="X35" s="12">
        <f t="shared" si="8"/>
        <v>13.906124088868619</v>
      </c>
      <c r="Y35" s="12">
        <f t="shared" si="8"/>
        <v>14.111609559323869</v>
      </c>
      <c r="Z35" s="12">
        <f t="shared" si="8"/>
        <v>14.242520158877836</v>
      </c>
      <c r="AA35" s="12">
        <f t="shared" si="8"/>
        <v>14.324375378120646</v>
      </c>
      <c r="AB35" s="12">
        <f t="shared" si="8"/>
        <v>14.374960360491674</v>
      </c>
      <c r="AC35" s="12">
        <f t="shared" si="9"/>
        <v>14.4059945449249</v>
      </c>
      <c r="AD35" s="300">
        <f t="shared" si="13"/>
        <v>1.9016535286786047E-3</v>
      </c>
      <c r="AE35" s="299">
        <f t="shared" si="13"/>
        <v>1.9016535286786047E-3</v>
      </c>
      <c r="AF35" s="299">
        <f t="shared" si="13"/>
        <v>1.9016535286786047E-3</v>
      </c>
      <c r="AG35" s="299">
        <f t="shared" si="13"/>
        <v>1.9016535286786047E-3</v>
      </c>
      <c r="AH35" s="299">
        <f t="shared" si="13"/>
        <v>1.9016535286786047E-3</v>
      </c>
      <c r="AI35" s="299">
        <f t="shared" si="13"/>
        <v>1.8155495079662058E-3</v>
      </c>
      <c r="AJ35" s="299">
        <f t="shared" si="13"/>
        <v>1.7675689640069992E-3</v>
      </c>
      <c r="AK35" s="299">
        <f t="shared" si="13"/>
        <v>1.6991141563880089E-3</v>
      </c>
      <c r="AL35" s="299">
        <f t="shared" si="13"/>
        <v>1.6082649523303379E-3</v>
      </c>
      <c r="AM35" s="299">
        <f t="shared" si="13"/>
        <v>1.4986141177624345E-3</v>
      </c>
      <c r="AN35" s="299">
        <f t="shared" si="13"/>
        <v>1.3804699721408071E-3</v>
      </c>
      <c r="AO35" s="299">
        <f t="shared" si="13"/>
        <v>1.2677690191190698E-3</v>
      </c>
      <c r="AP35" s="299">
        <f t="shared" si="13"/>
        <v>1.1720808602764385E-3</v>
      </c>
      <c r="AQ35" s="299">
        <f t="shared" si="13"/>
        <v>1.0985494957562974E-3</v>
      </c>
      <c r="AR35" s="299">
        <f t="shared" si="13"/>
        <v>1.0462589311118844E-3</v>
      </c>
      <c r="AS35" s="299">
        <f t="shared" si="10"/>
        <v>1.0110891552017648E-3</v>
      </c>
      <c r="AT35" s="299">
        <f t="shared" si="4"/>
        <v>9.8831256040139486E-4</v>
      </c>
      <c r="AU35" s="299">
        <f t="shared" si="4"/>
        <v>9.7392129832904462E-4</v>
      </c>
      <c r="AV35" s="299">
        <f t="shared" si="4"/>
        <v>9.6496946819923707E-4</v>
      </c>
      <c r="AW35" s="299">
        <f t="shared" si="4"/>
        <v>9.5945524609202307E-4</v>
      </c>
      <c r="AX35" s="299">
        <f t="shared" si="4"/>
        <v>9.5607895666288852E-4</v>
      </c>
      <c r="AY35" s="299">
        <f t="shared" si="4"/>
        <v>9.5401931887937599E-4</v>
      </c>
      <c r="AZ35" s="306">
        <f t="shared" si="14"/>
        <v>0.10527513582038614</v>
      </c>
      <c r="BA35" s="2">
        <f t="shared" si="14"/>
        <v>0.10527513582038614</v>
      </c>
      <c r="BB35" s="2">
        <f t="shared" si="14"/>
        <v>0.10527513582038614</v>
      </c>
      <c r="BC35" s="2">
        <f t="shared" si="14"/>
        <v>0.10527513582038614</v>
      </c>
      <c r="BD35" s="2">
        <f t="shared" si="14"/>
        <v>0.10527513582038614</v>
      </c>
      <c r="BE35" s="2">
        <f t="shared" si="14"/>
        <v>0.10050843550485714</v>
      </c>
      <c r="BF35" s="2">
        <f t="shared" si="14"/>
        <v>9.7852242772655612E-2</v>
      </c>
      <c r="BG35" s="2">
        <f t="shared" si="14"/>
        <v>9.4062599148848278E-2</v>
      </c>
      <c r="BH35" s="2">
        <f t="shared" si="14"/>
        <v>8.9033206490243905E-2</v>
      </c>
      <c r="BI35" s="2">
        <f t="shared" si="14"/>
        <v>8.2962959556263274E-2</v>
      </c>
      <c r="BJ35" s="2">
        <f t="shared" si="14"/>
        <v>7.6422524724612945E-2</v>
      </c>
      <c r="BK35" s="2">
        <f t="shared" si="14"/>
        <v>7.0183423880257417E-2</v>
      </c>
      <c r="BL35" s="2">
        <f t="shared" si="14"/>
        <v>6.4886147711574638E-2</v>
      </c>
      <c r="BM35" s="2">
        <f t="shared" si="14"/>
        <v>6.0815466974955303E-2</v>
      </c>
      <c r="BN35" s="2">
        <f t="shared" si="14"/>
        <v>5.7920672412198955E-2</v>
      </c>
      <c r="BO35" s="2">
        <f t="shared" si="11"/>
        <v>5.597368108077428E-2</v>
      </c>
      <c r="BP35" s="2">
        <f t="shared" si="6"/>
        <v>5.4712773625775889E-2</v>
      </c>
      <c r="BQ35" s="2">
        <f t="shared" si="6"/>
        <v>5.3916076411249014E-2</v>
      </c>
      <c r="BR35" s="2">
        <f t="shared" si="6"/>
        <v>5.3420504994824196E-2</v>
      </c>
      <c r="BS35" s="2">
        <f t="shared" si="6"/>
        <v>5.3115238829076268E-2</v>
      </c>
      <c r="BT35" s="2">
        <f t="shared" si="6"/>
        <v>5.2928328162721576E-2</v>
      </c>
      <c r="BU35" s="2">
        <f t="shared" si="6"/>
        <v>5.2814307052077548E-2</v>
      </c>
    </row>
    <row r="36" spans="1:73" x14ac:dyDescent="0.25">
      <c r="A36" t="s">
        <v>20</v>
      </c>
      <c r="B36" s="1" t="s">
        <v>5</v>
      </c>
      <c r="C36" t="s">
        <v>17</v>
      </c>
      <c r="D36" t="s">
        <v>17</v>
      </c>
      <c r="E36" s="97">
        <v>6.9233200000000004</v>
      </c>
      <c r="F36" s="5">
        <f t="shared" si="7"/>
        <v>1.6962134000000004E-2</v>
      </c>
      <c r="G36" s="1">
        <f>LOOKUP(RIGHT(D36,5),Ref!$C$4:$C$21,Ref!$E$4:$E$21)*$G$3</f>
        <v>3</v>
      </c>
      <c r="H36" s="36">
        <f t="shared" si="12"/>
        <v>6.9233200000000004</v>
      </c>
      <c r="I36" s="12">
        <f t="shared" si="12"/>
        <v>6.9233200000000004</v>
      </c>
      <c r="J36" s="12">
        <f t="shared" si="12"/>
        <v>6.9233200000000004</v>
      </c>
      <c r="K36" s="12">
        <f t="shared" si="12"/>
        <v>6.9233200000000004</v>
      </c>
      <c r="L36" s="12">
        <f t="shared" si="12"/>
        <v>6.9233200000000004</v>
      </c>
      <c r="M36" s="12">
        <f t="shared" si="8"/>
        <v>7.2516644962877121</v>
      </c>
      <c r="N36" s="12">
        <f t="shared" si="8"/>
        <v>7.4485104549046754</v>
      </c>
      <c r="O36" s="12">
        <f t="shared" si="8"/>
        <v>7.7485999740941676</v>
      </c>
      <c r="P36" s="12">
        <f t="shared" si="8"/>
        <v>8.1863102774790235</v>
      </c>
      <c r="Q36" s="12">
        <f t="shared" si="8"/>
        <v>8.7852875213993151</v>
      </c>
      <c r="R36" s="12">
        <f t="shared" si="8"/>
        <v>9.5371548631035772</v>
      </c>
      <c r="S36" s="12">
        <f t="shared" si="8"/>
        <v>10.384980000000001</v>
      </c>
      <c r="T36" s="12">
        <f t="shared" si="8"/>
        <v>11.232805136896424</v>
      </c>
      <c r="U36" s="12">
        <f t="shared" si="8"/>
        <v>11.984672478600686</v>
      </c>
      <c r="V36" s="12">
        <f t="shared" si="8"/>
        <v>12.583649722520978</v>
      </c>
      <c r="W36" s="12">
        <f t="shared" si="8"/>
        <v>13.021360025905832</v>
      </c>
      <c r="X36" s="12">
        <f t="shared" si="8"/>
        <v>13.321449545095325</v>
      </c>
      <c r="Y36" s="12">
        <f t="shared" si="8"/>
        <v>13.51829550371229</v>
      </c>
      <c r="Z36" s="12">
        <f t="shared" si="8"/>
        <v>13.643702046594521</v>
      </c>
      <c r="AA36" s="12">
        <f t="shared" si="8"/>
        <v>13.722115712845254</v>
      </c>
      <c r="AB36" s="12">
        <f t="shared" si="8"/>
        <v>13.770573880346763</v>
      </c>
      <c r="AC36" s="12">
        <f t="shared" si="9"/>
        <v>13.800303251338882</v>
      </c>
      <c r="AD36" s="300">
        <f t="shared" si="13"/>
        <v>1.9851165486398517E-3</v>
      </c>
      <c r="AE36" s="299">
        <f t="shared" si="13"/>
        <v>1.9851165486398517E-3</v>
      </c>
      <c r="AF36" s="299">
        <f t="shared" si="13"/>
        <v>1.9851165486398517E-3</v>
      </c>
      <c r="AG36" s="299">
        <f t="shared" si="13"/>
        <v>1.9851165486398517E-3</v>
      </c>
      <c r="AH36" s="299">
        <f t="shared" si="13"/>
        <v>1.9851165486398517E-3</v>
      </c>
      <c r="AI36" s="299">
        <f t="shared" si="13"/>
        <v>1.8952334475160718E-3</v>
      </c>
      <c r="AJ36" s="299">
        <f t="shared" si="13"/>
        <v>1.8451470514456233E-3</v>
      </c>
      <c r="AK36" s="299">
        <f t="shared" si="13"/>
        <v>1.7736877822417106E-3</v>
      </c>
      <c r="AL36" s="299">
        <f t="shared" si="13"/>
        <v>1.6788512330565613E-3</v>
      </c>
      <c r="AM36" s="299">
        <f t="shared" si="13"/>
        <v>1.5643878552696689E-3</v>
      </c>
      <c r="AN36" s="299">
        <f t="shared" si="13"/>
        <v>1.441058397478598E-3</v>
      </c>
      <c r="AO36" s="299">
        <f t="shared" si="13"/>
        <v>1.323411032426568E-3</v>
      </c>
      <c r="AP36" s="299">
        <f t="shared" si="13"/>
        <v>1.2235231481391618E-3</v>
      </c>
      <c r="AQ36" s="299">
        <f t="shared" si="13"/>
        <v>1.1467645134290681E-3</v>
      </c>
      <c r="AR36" s="299">
        <f t="shared" si="13"/>
        <v>1.0921789311198263E-3</v>
      </c>
      <c r="AS36" s="299">
        <f t="shared" si="10"/>
        <v>1.0554655639799949E-3</v>
      </c>
      <c r="AT36" s="299">
        <f t="shared" si="4"/>
        <v>1.0316893110622004E-3</v>
      </c>
      <c r="AU36" s="299">
        <f t="shared" si="4"/>
        <v>1.0166664206855886E-3</v>
      </c>
      <c r="AV36" s="299">
        <f t="shared" si="4"/>
        <v>1.0073216973365137E-3</v>
      </c>
      <c r="AW36" s="299">
        <f t="shared" si="4"/>
        <v>1.0015654576257433E-3</v>
      </c>
      <c r="AX36" s="299">
        <f t="shared" si="4"/>
        <v>9.9804098383611995E-4</v>
      </c>
      <c r="AY36" s="299">
        <f t="shared" si="4"/>
        <v>9.9589094914967762E-4</v>
      </c>
      <c r="AZ36" s="306">
        <f t="shared" si="14"/>
        <v>0.1098956308947467</v>
      </c>
      <c r="BA36" s="2">
        <f t="shared" si="14"/>
        <v>0.1098956308947467</v>
      </c>
      <c r="BB36" s="2">
        <f t="shared" si="14"/>
        <v>0.1098956308947467</v>
      </c>
      <c r="BC36" s="2">
        <f t="shared" si="14"/>
        <v>0.1098956308947467</v>
      </c>
      <c r="BD36" s="2">
        <f t="shared" si="14"/>
        <v>0.1098956308947467</v>
      </c>
      <c r="BE36" s="2">
        <f t="shared" si="14"/>
        <v>0.10491972148955732</v>
      </c>
      <c r="BF36" s="2">
        <f t="shared" si="14"/>
        <v>0.10214694923133526</v>
      </c>
      <c r="BG36" s="2">
        <f t="shared" si="14"/>
        <v>9.819097925172765E-2</v>
      </c>
      <c r="BH36" s="2">
        <f t="shared" si="14"/>
        <v>9.2940848012973129E-2</v>
      </c>
      <c r="BI36" s="2">
        <f t="shared" si="14"/>
        <v>8.6604179707601786E-2</v>
      </c>
      <c r="BJ36" s="2">
        <f t="shared" si="14"/>
        <v>7.9776687094564452E-2</v>
      </c>
      <c r="BK36" s="2">
        <f t="shared" si="14"/>
        <v>7.326375392983113E-2</v>
      </c>
      <c r="BL36" s="2">
        <f t="shared" si="14"/>
        <v>6.7733981851699362E-2</v>
      </c>
      <c r="BM36" s="2">
        <f t="shared" si="14"/>
        <v>6.3484640122184854E-2</v>
      </c>
      <c r="BN36" s="2">
        <f t="shared" si="14"/>
        <v>6.0462793868501959E-2</v>
      </c>
      <c r="BO36" s="2">
        <f t="shared" si="11"/>
        <v>5.8430349654147569E-2</v>
      </c>
      <c r="BP36" s="2">
        <f t="shared" si="6"/>
        <v>5.7114101337894109E-2</v>
      </c>
      <c r="BQ36" s="2">
        <f t="shared" si="6"/>
        <v>5.6282437314473639E-2</v>
      </c>
      <c r="BR36" s="2">
        <f t="shared" si="6"/>
        <v>5.5765115412801373E-2</v>
      </c>
      <c r="BS36" s="2">
        <f t="shared" si="6"/>
        <v>5.5446451203876236E-2</v>
      </c>
      <c r="BT36" s="2">
        <f t="shared" si="6"/>
        <v>5.5251337082769324E-2</v>
      </c>
      <c r="BU36" s="2">
        <f t="shared" si="6"/>
        <v>5.5132311618761143E-2</v>
      </c>
    </row>
    <row r="37" spans="1:73" x14ac:dyDescent="0.25">
      <c r="A37" t="s">
        <v>20</v>
      </c>
      <c r="B37" s="1" t="s">
        <v>5</v>
      </c>
      <c r="C37" t="s">
        <v>18</v>
      </c>
      <c r="D37" t="s">
        <v>18</v>
      </c>
      <c r="E37" s="97">
        <v>6.9324450000000004</v>
      </c>
      <c r="F37" s="5">
        <f t="shared" si="7"/>
        <v>1.6984490250000001E-2</v>
      </c>
      <c r="G37" s="1">
        <f>LOOKUP(RIGHT(D37,5),Ref!$C$4:$C$21,Ref!$E$4:$E$21)*$G$3</f>
        <v>3</v>
      </c>
      <c r="H37" s="36">
        <f t="shared" si="12"/>
        <v>6.9324450000000004</v>
      </c>
      <c r="I37" s="12">
        <f t="shared" si="12"/>
        <v>6.9324450000000004</v>
      </c>
      <c r="J37" s="12">
        <f t="shared" si="12"/>
        <v>6.9324450000000004</v>
      </c>
      <c r="K37" s="12">
        <f t="shared" si="12"/>
        <v>6.9324450000000004</v>
      </c>
      <c r="L37" s="12">
        <f t="shared" si="12"/>
        <v>6.9324450000000004</v>
      </c>
      <c r="M37" s="12">
        <f t="shared" ref="M37:AB52" si="15">M$3*$E37</f>
        <v>7.2612222573804575</v>
      </c>
      <c r="N37" s="12">
        <f t="shared" si="15"/>
        <v>7.4583276607973694</v>
      </c>
      <c r="O37" s="12">
        <f t="shared" si="15"/>
        <v>7.7588127007576198</v>
      </c>
      <c r="P37" s="12">
        <f t="shared" si="15"/>
        <v>8.1970999103837574</v>
      </c>
      <c r="Q37" s="12">
        <f t="shared" si="15"/>
        <v>8.7968666118693175</v>
      </c>
      <c r="R37" s="12">
        <f t="shared" si="15"/>
        <v>9.5497249217063604</v>
      </c>
      <c r="S37" s="12">
        <f t="shared" si="15"/>
        <v>10.3986675</v>
      </c>
      <c r="T37" s="12">
        <f t="shared" si="15"/>
        <v>11.24761007829364</v>
      </c>
      <c r="U37" s="12">
        <f t="shared" si="15"/>
        <v>12.000468388130685</v>
      </c>
      <c r="V37" s="12">
        <f t="shared" si="15"/>
        <v>12.600235089616245</v>
      </c>
      <c r="W37" s="12">
        <f t="shared" si="15"/>
        <v>13.038522299242381</v>
      </c>
      <c r="X37" s="12">
        <f t="shared" si="15"/>
        <v>13.339007339202631</v>
      </c>
      <c r="Y37" s="12">
        <f t="shared" si="15"/>
        <v>13.536112742619544</v>
      </c>
      <c r="Z37" s="12">
        <f t="shared" si="15"/>
        <v>13.661684572488914</v>
      </c>
      <c r="AA37" s="12">
        <f t="shared" si="15"/>
        <v>13.74020158867935</v>
      </c>
      <c r="AB37" s="12">
        <f t="shared" si="15"/>
        <v>13.788723624495258</v>
      </c>
      <c r="AC37" s="12">
        <f t="shared" si="9"/>
        <v>13.818492179074198</v>
      </c>
      <c r="AD37" s="300">
        <f t="shared" si="13"/>
        <v>1.9825035905123314E-3</v>
      </c>
      <c r="AE37" s="299">
        <f t="shared" si="13"/>
        <v>1.9825035905123314E-3</v>
      </c>
      <c r="AF37" s="299">
        <f t="shared" si="13"/>
        <v>1.9825035905123314E-3</v>
      </c>
      <c r="AG37" s="299">
        <f t="shared" si="13"/>
        <v>1.9825035905123314E-3</v>
      </c>
      <c r="AH37" s="299">
        <f t="shared" si="13"/>
        <v>1.9825035905123314E-3</v>
      </c>
      <c r="AI37" s="299">
        <f t="shared" si="13"/>
        <v>1.8927388002150714E-3</v>
      </c>
      <c r="AJ37" s="299">
        <f t="shared" si="13"/>
        <v>1.8427183315864045E-3</v>
      </c>
      <c r="AK37" s="299">
        <f t="shared" si="13"/>
        <v>1.7713531223903945E-3</v>
      </c>
      <c r="AL37" s="299">
        <f t="shared" si="13"/>
        <v>1.676641404128724E-3</v>
      </c>
      <c r="AM37" s="299">
        <f t="shared" si="13"/>
        <v>1.5623286915576831E-3</v>
      </c>
      <c r="AN37" s="299">
        <f t="shared" si="13"/>
        <v>1.439161569176752E-3</v>
      </c>
      <c r="AO37" s="299">
        <f t="shared" si="13"/>
        <v>1.3216690603415544E-3</v>
      </c>
      <c r="AP37" s="299">
        <f t="shared" si="13"/>
        <v>1.2219126559207929E-3</v>
      </c>
      <c r="AQ37" s="299">
        <f t="shared" si="13"/>
        <v>1.1452550566378437E-3</v>
      </c>
      <c r="AR37" s="299">
        <f t="shared" si="13"/>
        <v>1.0907413239341264E-3</v>
      </c>
      <c r="AS37" s="299">
        <f t="shared" si="10"/>
        <v>1.0540762816602192E-3</v>
      </c>
      <c r="AT37" s="299">
        <f t="shared" si="4"/>
        <v>1.0303313248158699E-3</v>
      </c>
      <c r="AU37" s="299">
        <f t="shared" si="4"/>
        <v>1.0153282086855287E-3</v>
      </c>
      <c r="AV37" s="299">
        <f t="shared" si="4"/>
        <v>1.0059957855567312E-3</v>
      </c>
      <c r="AW37" s="299">
        <f t="shared" si="4"/>
        <v>1.0002471226370293E-3</v>
      </c>
      <c r="AX37" s="299">
        <f t="shared" si="4"/>
        <v>9.9672728802208837E-4</v>
      </c>
      <c r="AY37" s="299">
        <f t="shared" si="4"/>
        <v>9.9458008337129913E-4</v>
      </c>
      <c r="AZ37" s="306">
        <f t="shared" si="14"/>
        <v>0.10975097808727191</v>
      </c>
      <c r="BA37" s="2">
        <f t="shared" si="14"/>
        <v>0.10975097808727191</v>
      </c>
      <c r="BB37" s="2">
        <f t="shared" si="14"/>
        <v>0.10975097808727191</v>
      </c>
      <c r="BC37" s="2">
        <f t="shared" si="14"/>
        <v>0.10975097808727191</v>
      </c>
      <c r="BD37" s="2">
        <f t="shared" si="14"/>
        <v>0.10975097808727191</v>
      </c>
      <c r="BE37" s="2">
        <f t="shared" si="14"/>
        <v>0.10478161834433335</v>
      </c>
      <c r="BF37" s="2">
        <f t="shared" si="14"/>
        <v>0.10201249581529864</v>
      </c>
      <c r="BG37" s="2">
        <f t="shared" si="14"/>
        <v>9.806173297776917E-2</v>
      </c>
      <c r="BH37" s="2">
        <f t="shared" si="14"/>
        <v>9.2818512352449534E-2</v>
      </c>
      <c r="BI37" s="2">
        <f t="shared" si="14"/>
        <v>8.6490184841456874E-2</v>
      </c>
      <c r="BJ37" s="2">
        <f t="shared" si="14"/>
        <v>7.9671679082277611E-2</v>
      </c>
      <c r="BK37" s="2">
        <f t="shared" si="14"/>
        <v>7.3167318724847941E-2</v>
      </c>
      <c r="BL37" s="2">
        <f t="shared" si="14"/>
        <v>6.7644825344233855E-2</v>
      </c>
      <c r="BM37" s="2">
        <f t="shared" si="14"/>
        <v>6.3401076914526538E-2</v>
      </c>
      <c r="BN37" s="2">
        <f t="shared" si="14"/>
        <v>6.038320823975913E-2</v>
      </c>
      <c r="BO37" s="2">
        <f t="shared" si="11"/>
        <v>5.8353439279727845E-2</v>
      </c>
      <c r="BP37" s="2">
        <f t="shared" si="6"/>
        <v>5.7038923507459351E-2</v>
      </c>
      <c r="BQ37" s="2">
        <f t="shared" si="6"/>
        <v>5.6208354182116359E-2</v>
      </c>
      <c r="BR37" s="2">
        <f t="shared" si="6"/>
        <v>5.5691713218028564E-2</v>
      </c>
      <c r="BS37" s="2">
        <f t="shared" si="6"/>
        <v>5.5373468458649211E-2</v>
      </c>
      <c r="BT37" s="2">
        <f t="shared" si="6"/>
        <v>5.5178611161268286E-2</v>
      </c>
      <c r="BU37" s="2">
        <f t="shared" si="6"/>
        <v>5.5059742367433329E-2</v>
      </c>
    </row>
    <row r="38" spans="1:73" x14ac:dyDescent="0.25">
      <c r="A38" t="s">
        <v>20</v>
      </c>
      <c r="B38" s="1" t="s">
        <v>5</v>
      </c>
      <c r="C38" t="s">
        <v>6</v>
      </c>
      <c r="D38" t="s">
        <v>6</v>
      </c>
      <c r="E38" s="97">
        <v>7.0025250000000003</v>
      </c>
      <c r="F38" s="5">
        <f t="shared" si="7"/>
        <v>1.715618625E-2</v>
      </c>
      <c r="G38" s="1">
        <f>LOOKUP(RIGHT(D38,5),Ref!$C$4:$C$21,Ref!$E$4:$E$21)*$G$3</f>
        <v>3</v>
      </c>
      <c r="H38" s="36">
        <f t="shared" ref="H38:L53" si="16">$E38</f>
        <v>7.0025250000000003</v>
      </c>
      <c r="I38" s="12">
        <f t="shared" si="16"/>
        <v>7.0025250000000003</v>
      </c>
      <c r="J38" s="12">
        <f t="shared" si="16"/>
        <v>7.0025250000000003</v>
      </c>
      <c r="K38" s="12">
        <f t="shared" si="16"/>
        <v>7.0025250000000003</v>
      </c>
      <c r="L38" s="12">
        <f t="shared" si="16"/>
        <v>7.0025250000000003</v>
      </c>
      <c r="M38" s="12">
        <f t="shared" si="15"/>
        <v>7.3346258625727412</v>
      </c>
      <c r="N38" s="12">
        <f t="shared" si="15"/>
        <v>7.5337238020532578</v>
      </c>
      <c r="O38" s="12">
        <f t="shared" si="15"/>
        <v>7.8372464415329288</v>
      </c>
      <c r="P38" s="12">
        <f t="shared" si="15"/>
        <v>8.2799642910921065</v>
      </c>
      <c r="Q38" s="12">
        <f t="shared" si="15"/>
        <v>8.8857940266789264</v>
      </c>
      <c r="R38" s="12">
        <f t="shared" si="15"/>
        <v>9.6462629717757338</v>
      </c>
      <c r="S38" s="12">
        <f t="shared" si="15"/>
        <v>10.503787500000001</v>
      </c>
      <c r="T38" s="12">
        <f t="shared" si="15"/>
        <v>11.361312028224267</v>
      </c>
      <c r="U38" s="12">
        <f t="shared" si="15"/>
        <v>12.121780973321075</v>
      </c>
      <c r="V38" s="12">
        <f t="shared" si="15"/>
        <v>12.727610708907894</v>
      </c>
      <c r="W38" s="12">
        <f t="shared" si="15"/>
        <v>13.17032855846707</v>
      </c>
      <c r="X38" s="12">
        <f t="shared" si="15"/>
        <v>13.473851197946743</v>
      </c>
      <c r="Y38" s="12">
        <f t="shared" si="15"/>
        <v>13.67294913742726</v>
      </c>
      <c r="Z38" s="12">
        <f t="shared" si="15"/>
        <v>13.79979037135786</v>
      </c>
      <c r="AA38" s="12">
        <f t="shared" si="15"/>
        <v>13.879101115085206</v>
      </c>
      <c r="AB38" s="12">
        <f t="shared" si="15"/>
        <v>13.928113659555708</v>
      </c>
      <c r="AC38" s="12">
        <f t="shared" si="9"/>
        <v>13.958183144081424</v>
      </c>
      <c r="AD38" s="300">
        <f t="shared" si="13"/>
        <v>1.9626630541882046E-3</v>
      </c>
      <c r="AE38" s="299">
        <f t="shared" si="13"/>
        <v>1.9626630541882046E-3</v>
      </c>
      <c r="AF38" s="299">
        <f t="shared" si="13"/>
        <v>1.9626630541882046E-3</v>
      </c>
      <c r="AG38" s="299">
        <f t="shared" si="13"/>
        <v>1.9626630541882046E-3</v>
      </c>
      <c r="AH38" s="299">
        <f t="shared" si="13"/>
        <v>1.9626630541882046E-3</v>
      </c>
      <c r="AI38" s="299">
        <f t="shared" si="13"/>
        <v>1.8737966136296508E-3</v>
      </c>
      <c r="AJ38" s="299">
        <f t="shared" si="13"/>
        <v>1.8242767407777212E-3</v>
      </c>
      <c r="AK38" s="299">
        <f t="shared" si="13"/>
        <v>1.7536257416502876E-3</v>
      </c>
      <c r="AL38" s="299">
        <f t="shared" si="13"/>
        <v>1.6598618810850588E-3</v>
      </c>
      <c r="AM38" s="299">
        <f t="shared" si="13"/>
        <v>1.5466931894060503E-3</v>
      </c>
      <c r="AN38" s="299">
        <f t="shared" si="13"/>
        <v>1.4247587012444123E-3</v>
      </c>
      <c r="AO38" s="299">
        <f t="shared" si="13"/>
        <v>1.3084420361254697E-3</v>
      </c>
      <c r="AP38" s="299">
        <f t="shared" si="13"/>
        <v>1.2096839757051664E-3</v>
      </c>
      <c r="AQ38" s="299">
        <f t="shared" si="13"/>
        <v>1.1337935517707878E-3</v>
      </c>
      <c r="AR38" s="299">
        <f t="shared" si="13"/>
        <v>1.0798253826156301E-3</v>
      </c>
      <c r="AS38" s="299">
        <f t="shared" si="10"/>
        <v>1.0435272774340653E-3</v>
      </c>
      <c r="AT38" s="299">
        <f t="shared" si="4"/>
        <v>1.0200199558106759E-3</v>
      </c>
      <c r="AU38" s="299">
        <f t="shared" si="4"/>
        <v>1.0051669881451261E-3</v>
      </c>
      <c r="AV38" s="299">
        <f t="shared" si="4"/>
        <v>9.9592796221417744E-4</v>
      </c>
      <c r="AW38" s="299">
        <f t="shared" si="4"/>
        <v>9.902368308702164E-4</v>
      </c>
      <c r="AX38" s="299">
        <f t="shared" si="4"/>
        <v>9.8675222212163275E-4</v>
      </c>
      <c r="AY38" s="299">
        <f t="shared" si="4"/>
        <v>9.8462650630550333E-4</v>
      </c>
      <c r="AZ38" s="306">
        <f t="shared" si="14"/>
        <v>0.10865261020649233</v>
      </c>
      <c r="BA38" s="2">
        <f t="shared" si="14"/>
        <v>0.10865261020649233</v>
      </c>
      <c r="BB38" s="2">
        <f t="shared" si="14"/>
        <v>0.10865261020649233</v>
      </c>
      <c r="BC38" s="2">
        <f t="shared" si="14"/>
        <v>0.10865261020649233</v>
      </c>
      <c r="BD38" s="2">
        <f t="shared" si="14"/>
        <v>0.10865261020649233</v>
      </c>
      <c r="BE38" s="2">
        <f t="shared" si="14"/>
        <v>0.10373298291446043</v>
      </c>
      <c r="BF38" s="2">
        <f t="shared" si="14"/>
        <v>0.10099157326140043</v>
      </c>
      <c r="BG38" s="2">
        <f t="shared" si="14"/>
        <v>9.7080348941713329E-2</v>
      </c>
      <c r="BH38" s="2">
        <f t="shared" si="14"/>
        <v>9.1889601517335107E-2</v>
      </c>
      <c r="BI38" s="2">
        <f t="shared" si="14"/>
        <v>8.5624606760166311E-2</v>
      </c>
      <c r="BJ38" s="2">
        <f t="shared" si="14"/>
        <v>7.8874339369804466E-2</v>
      </c>
      <c r="BK38" s="2">
        <f t="shared" si="14"/>
        <v>7.2435073470994885E-2</v>
      </c>
      <c r="BL38" s="2">
        <f t="shared" si="14"/>
        <v>6.6967848202399455E-2</v>
      </c>
      <c r="BM38" s="2">
        <f t="shared" si="14"/>
        <v>6.2766570437195857E-2</v>
      </c>
      <c r="BN38" s="2">
        <f t="shared" si="14"/>
        <v>5.9778904044709161E-2</v>
      </c>
      <c r="BO38" s="2">
        <f t="shared" si="11"/>
        <v>5.7769448644246602E-2</v>
      </c>
      <c r="BP38" s="2">
        <f t="shared" si="6"/>
        <v>5.6468088307384694E-2</v>
      </c>
      <c r="BQ38" s="2">
        <f t="shared" si="6"/>
        <v>5.5645831169191348E-2</v>
      </c>
      <c r="BR38" s="2">
        <f t="shared" si="6"/>
        <v>5.5134360654157749E-2</v>
      </c>
      <c r="BS38" s="2">
        <f t="shared" si="6"/>
        <v>5.481930083060331E-2</v>
      </c>
      <c r="BT38" s="2">
        <f t="shared" si="6"/>
        <v>5.4626393629709072E-2</v>
      </c>
      <c r="BU38" s="2">
        <f t="shared" si="6"/>
        <v>5.4508714453201004E-2</v>
      </c>
    </row>
    <row r="39" spans="1:73" x14ac:dyDescent="0.25">
      <c r="A39" t="s">
        <v>20</v>
      </c>
      <c r="B39" s="1" t="s">
        <v>5</v>
      </c>
      <c r="C39" t="s">
        <v>7</v>
      </c>
      <c r="D39" t="s">
        <v>7</v>
      </c>
      <c r="E39" s="97">
        <v>7.2083849999999998</v>
      </c>
      <c r="F39" s="5">
        <f t="shared" si="7"/>
        <v>1.7660543250000001E-2</v>
      </c>
      <c r="G39" s="1">
        <f>LOOKUP(RIGHT(D39,5),Ref!$C$4:$C$21,Ref!$E$4:$E$21)*$G$3</f>
        <v>3.5</v>
      </c>
      <c r="H39" s="36">
        <f t="shared" si="16"/>
        <v>7.2083849999999998</v>
      </c>
      <c r="I39" s="12">
        <f t="shared" si="16"/>
        <v>7.2083849999999998</v>
      </c>
      <c r="J39" s="12">
        <f t="shared" si="16"/>
        <v>7.2083849999999998</v>
      </c>
      <c r="K39" s="12">
        <f t="shared" si="16"/>
        <v>7.2083849999999998</v>
      </c>
      <c r="L39" s="12">
        <f t="shared" si="16"/>
        <v>7.2083849999999998</v>
      </c>
      <c r="M39" s="12">
        <f t="shared" si="15"/>
        <v>7.5502489528250747</v>
      </c>
      <c r="N39" s="12">
        <f t="shared" si="15"/>
        <v>7.7551999669924312</v>
      </c>
      <c r="O39" s="12">
        <f t="shared" si="15"/>
        <v>8.0676455550604018</v>
      </c>
      <c r="P39" s="12">
        <f t="shared" si="15"/>
        <v>8.5233784094228824</v>
      </c>
      <c r="Q39" s="12">
        <f t="shared" si="15"/>
        <v>9.1470183076821527</v>
      </c>
      <c r="R39" s="12">
        <f t="shared" si="15"/>
        <v>9.9298434938545199</v>
      </c>
      <c r="S39" s="12">
        <f t="shared" si="15"/>
        <v>10.8125775</v>
      </c>
      <c r="T39" s="12">
        <f t="shared" si="15"/>
        <v>11.69531150614548</v>
      </c>
      <c r="U39" s="12">
        <f t="shared" si="15"/>
        <v>12.478136692317847</v>
      </c>
      <c r="V39" s="12">
        <f t="shared" si="15"/>
        <v>13.101776590577117</v>
      </c>
      <c r="W39" s="12">
        <f t="shared" si="15"/>
        <v>13.557509444939596</v>
      </c>
      <c r="X39" s="12">
        <f t="shared" si="15"/>
        <v>13.869955033007569</v>
      </c>
      <c r="Y39" s="12">
        <f t="shared" si="15"/>
        <v>14.074906047174926</v>
      </c>
      <c r="Z39" s="12">
        <f t="shared" si="15"/>
        <v>14.205476155535385</v>
      </c>
      <c r="AA39" s="12">
        <f t="shared" si="15"/>
        <v>14.287118473902408</v>
      </c>
      <c r="AB39" s="12">
        <f t="shared" si="15"/>
        <v>14.337571887545772</v>
      </c>
      <c r="AC39" s="12">
        <f t="shared" si="9"/>
        <v>14.368525353790149</v>
      </c>
      <c r="AD39" s="300">
        <f t="shared" ref="AD39:AR55" si="17">Algae_electricity_factor/H39</f>
        <v>1.9066125218796248E-3</v>
      </c>
      <c r="AE39" s="299">
        <f t="shared" si="17"/>
        <v>1.9066125218796248E-3</v>
      </c>
      <c r="AF39" s="299">
        <f t="shared" si="17"/>
        <v>1.9066125218796248E-3</v>
      </c>
      <c r="AG39" s="299">
        <f t="shared" si="17"/>
        <v>1.9066125218796248E-3</v>
      </c>
      <c r="AH39" s="299">
        <f t="shared" si="17"/>
        <v>1.9066125218796248E-3</v>
      </c>
      <c r="AI39" s="299">
        <f t="shared" si="17"/>
        <v>1.8202839653898857E-3</v>
      </c>
      <c r="AJ39" s="299">
        <f t="shared" si="17"/>
        <v>1.7721783012719925E-3</v>
      </c>
      <c r="AK39" s="299">
        <f t="shared" si="17"/>
        <v>1.7035449822047075E-3</v>
      </c>
      <c r="AL39" s="299">
        <f t="shared" si="17"/>
        <v>1.6124588682270929E-3</v>
      </c>
      <c r="AM39" s="299">
        <f t="shared" si="17"/>
        <v>1.5025220942202176E-3</v>
      </c>
      <c r="AN39" s="299">
        <f t="shared" si="17"/>
        <v>1.3840698609232898E-3</v>
      </c>
      <c r="AO39" s="299">
        <f t="shared" si="17"/>
        <v>1.2710750145864167E-3</v>
      </c>
      <c r="AP39" s="299">
        <f t="shared" si="17"/>
        <v>1.1751373271509252E-3</v>
      </c>
      <c r="AQ39" s="299">
        <f t="shared" si="17"/>
        <v>1.1014142129081254E-3</v>
      </c>
      <c r="AR39" s="299">
        <f t="shared" si="17"/>
        <v>1.0489872887478285E-3</v>
      </c>
      <c r="AS39" s="299">
        <f t="shared" si="10"/>
        <v>1.0137257996644157E-3</v>
      </c>
      <c r="AT39" s="299">
        <f t="shared" si="4"/>
        <v>9.9088980972341983E-4</v>
      </c>
      <c r="AU39" s="299">
        <f t="shared" si="4"/>
        <v>9.7646101916878047E-4</v>
      </c>
      <c r="AV39" s="299">
        <f t="shared" si="4"/>
        <v>9.6748584511008122E-4</v>
      </c>
      <c r="AW39" s="299">
        <f t="shared" si="4"/>
        <v>9.6195724341714022E-4</v>
      </c>
      <c r="AX39" s="299">
        <f t="shared" si="4"/>
        <v>9.5857214954699098E-4</v>
      </c>
      <c r="AY39" s="299">
        <f t="shared" si="4"/>
        <v>9.5650714079047465E-4</v>
      </c>
      <c r="AZ39" s="306">
        <f t="shared" ref="AZ39:BN55" si="18">Algae_yield_cost_factor/H39</f>
        <v>0.10554966463170569</v>
      </c>
      <c r="BA39" s="2">
        <f t="shared" si="18"/>
        <v>0.10554966463170569</v>
      </c>
      <c r="BB39" s="2">
        <f t="shared" si="18"/>
        <v>0.10554966463170569</v>
      </c>
      <c r="BC39" s="2">
        <f t="shared" si="18"/>
        <v>0.10554966463170569</v>
      </c>
      <c r="BD39" s="2">
        <f t="shared" si="18"/>
        <v>0.10554966463170569</v>
      </c>
      <c r="BE39" s="2">
        <f t="shared" si="18"/>
        <v>0.1007705340631892</v>
      </c>
      <c r="BF39" s="2">
        <f t="shared" si="18"/>
        <v>9.810741470555305E-2</v>
      </c>
      <c r="BG39" s="2">
        <f t="shared" si="18"/>
        <v>9.4307888725847902E-2</v>
      </c>
      <c r="BH39" s="2">
        <f t="shared" si="18"/>
        <v>8.9265380784347273E-2</v>
      </c>
      <c r="BI39" s="2">
        <f t="shared" si="18"/>
        <v>8.3179304303700977E-2</v>
      </c>
      <c r="BJ39" s="2">
        <f t="shared" si="18"/>
        <v>7.6621813803721642E-2</v>
      </c>
      <c r="BK39" s="2">
        <f t="shared" si="18"/>
        <v>7.0366443087803793E-2</v>
      </c>
      <c r="BL39" s="2">
        <f t="shared" si="18"/>
        <v>6.5055353069169763E-2</v>
      </c>
      <c r="BM39" s="2">
        <f t="shared" si="18"/>
        <v>6.0974057108592973E-2</v>
      </c>
      <c r="BN39" s="2">
        <f t="shared" si="18"/>
        <v>5.807171371197252E-2</v>
      </c>
      <c r="BO39" s="2">
        <f t="shared" si="11"/>
        <v>5.6119645158735687E-2</v>
      </c>
      <c r="BP39" s="2">
        <f t="shared" si="6"/>
        <v>5.4855449601355785E-2</v>
      </c>
      <c r="BQ39" s="2">
        <f t="shared" si="6"/>
        <v>5.4056674818012865E-2</v>
      </c>
      <c r="BR39" s="2">
        <f t="shared" si="6"/>
        <v>5.3559811086638133E-2</v>
      </c>
      <c r="BS39" s="2">
        <f t="shared" si="6"/>
        <v>5.3253748870075682E-2</v>
      </c>
      <c r="BT39" s="2">
        <f t="shared" si="6"/>
        <v>5.3066350791734697E-2</v>
      </c>
      <c r="BU39" s="2">
        <f t="shared" si="6"/>
        <v>5.2952032345164893E-2</v>
      </c>
    </row>
    <row r="40" spans="1:73" x14ac:dyDescent="0.25">
      <c r="A40" t="s">
        <v>20</v>
      </c>
      <c r="B40" s="1" t="s">
        <v>5</v>
      </c>
      <c r="C40" t="s">
        <v>8</v>
      </c>
      <c r="D40" t="s">
        <v>8</v>
      </c>
      <c r="E40" s="97">
        <v>6.7871750000000004</v>
      </c>
      <c r="F40" s="5">
        <f t="shared" si="7"/>
        <v>1.6628578750000001E-2</v>
      </c>
      <c r="G40" s="1">
        <f>LOOKUP(RIGHT(D40,5),Ref!$C$4:$C$21,Ref!$E$4:$E$21)*$G$3</f>
        <v>4</v>
      </c>
      <c r="H40" s="36">
        <f t="shared" si="16"/>
        <v>6.7871750000000004</v>
      </c>
      <c r="I40" s="12">
        <f t="shared" si="16"/>
        <v>6.7871750000000004</v>
      </c>
      <c r="J40" s="12">
        <f t="shared" si="16"/>
        <v>6.7871750000000004</v>
      </c>
      <c r="K40" s="12">
        <f t="shared" si="16"/>
        <v>6.7871750000000004</v>
      </c>
      <c r="L40" s="12">
        <f t="shared" si="16"/>
        <v>6.7871750000000004</v>
      </c>
      <c r="M40" s="12">
        <f t="shared" si="15"/>
        <v>7.1090627007839524</v>
      </c>
      <c r="N40" s="12">
        <f t="shared" si="15"/>
        <v>7.3020377429856831</v>
      </c>
      <c r="O40" s="12">
        <f t="shared" si="15"/>
        <v>7.5962260922754661</v>
      </c>
      <c r="P40" s="12">
        <f t="shared" si="15"/>
        <v>8.0253289545404076</v>
      </c>
      <c r="Q40" s="12">
        <f t="shared" si="15"/>
        <v>8.6125274915868975</v>
      </c>
      <c r="R40" s="12">
        <f t="shared" si="15"/>
        <v>9.3496095887500541</v>
      </c>
      <c r="S40" s="12">
        <f t="shared" si="15"/>
        <v>10.1807625</v>
      </c>
      <c r="T40" s="12">
        <f t="shared" si="15"/>
        <v>11.011915411249948</v>
      </c>
      <c r="U40" s="12">
        <f t="shared" si="15"/>
        <v>11.748997508413103</v>
      </c>
      <c r="V40" s="12">
        <f t="shared" si="15"/>
        <v>12.336196045459594</v>
      </c>
      <c r="W40" s="12">
        <f t="shared" si="15"/>
        <v>12.765298907724533</v>
      </c>
      <c r="X40" s="12">
        <f t="shared" si="15"/>
        <v>13.059487257014318</v>
      </c>
      <c r="Y40" s="12">
        <f t="shared" si="15"/>
        <v>13.252462299216049</v>
      </c>
      <c r="Z40" s="12">
        <f t="shared" si="15"/>
        <v>13.375402760250164</v>
      </c>
      <c r="AA40" s="12">
        <f t="shared" si="15"/>
        <v>13.452274445400542</v>
      </c>
      <c r="AB40" s="12">
        <f t="shared" si="15"/>
        <v>13.499779697651205</v>
      </c>
      <c r="AC40" s="12">
        <f t="shared" si="9"/>
        <v>13.528924449527969</v>
      </c>
      <c r="AD40" s="300">
        <f t="shared" si="17"/>
        <v>2.0249363105458839E-3</v>
      </c>
      <c r="AE40" s="299">
        <f t="shared" si="17"/>
        <v>2.0249363105458839E-3</v>
      </c>
      <c r="AF40" s="299">
        <f t="shared" si="17"/>
        <v>2.0249363105458839E-3</v>
      </c>
      <c r="AG40" s="299">
        <f t="shared" si="17"/>
        <v>2.0249363105458839E-3</v>
      </c>
      <c r="AH40" s="299">
        <f t="shared" si="17"/>
        <v>2.0249363105458839E-3</v>
      </c>
      <c r="AI40" s="299">
        <f t="shared" si="17"/>
        <v>1.9332502303030304E-3</v>
      </c>
      <c r="AJ40" s="299">
        <f t="shared" si="17"/>
        <v>1.8821591434160033E-3</v>
      </c>
      <c r="AK40" s="299">
        <f t="shared" si="17"/>
        <v>1.8092664616058492E-3</v>
      </c>
      <c r="AL40" s="299">
        <f t="shared" si="17"/>
        <v>1.7125275713157759E-3</v>
      </c>
      <c r="AM40" s="299">
        <f t="shared" si="17"/>
        <v>1.595768154813395E-3</v>
      </c>
      <c r="AN40" s="299">
        <f t="shared" si="17"/>
        <v>1.4699648122276981E-3</v>
      </c>
      <c r="AO40" s="299">
        <f t="shared" si="17"/>
        <v>1.3499575403639226E-3</v>
      </c>
      <c r="AP40" s="299">
        <f t="shared" si="17"/>
        <v>1.248065989454349E-3</v>
      </c>
      <c r="AQ40" s="299">
        <f t="shared" si="17"/>
        <v>1.1697676413402831E-3</v>
      </c>
      <c r="AR40" s="299">
        <f t="shared" si="17"/>
        <v>1.1140871183372338E-3</v>
      </c>
      <c r="AS40" s="299">
        <f t="shared" si="10"/>
        <v>1.0766373120501501E-3</v>
      </c>
      <c r="AT40" s="299">
        <f t="shared" si="4"/>
        <v>1.0523841275734238E-3</v>
      </c>
      <c r="AU40" s="299">
        <f t="shared" si="4"/>
        <v>1.0370598906998788E-3</v>
      </c>
      <c r="AV40" s="299">
        <f t="shared" si="4"/>
        <v>1.0275277200902928E-3</v>
      </c>
      <c r="AW40" s="299">
        <f t="shared" si="4"/>
        <v>1.0216560150709921E-3</v>
      </c>
      <c r="AX40" s="299">
        <f t="shared" si="4"/>
        <v>1.0180608433129081E-3</v>
      </c>
      <c r="AY40" s="299">
        <f t="shared" si="4"/>
        <v>1.0158676807459576E-3</v>
      </c>
      <c r="AZ40" s="306">
        <f t="shared" si="18"/>
        <v>0.11210004446418691</v>
      </c>
      <c r="BA40" s="2">
        <f t="shared" si="18"/>
        <v>0.11210004446418691</v>
      </c>
      <c r="BB40" s="2">
        <f t="shared" si="18"/>
        <v>0.11210004446418691</v>
      </c>
      <c r="BC40" s="2">
        <f t="shared" si="18"/>
        <v>0.11210004446418691</v>
      </c>
      <c r="BD40" s="2">
        <f t="shared" si="18"/>
        <v>0.11210004446418691</v>
      </c>
      <c r="BE40" s="2">
        <f t="shared" si="18"/>
        <v>0.10702432251755437</v>
      </c>
      <c r="BF40" s="2">
        <f t="shared" si="18"/>
        <v>0.10419593078891999</v>
      </c>
      <c r="BG40" s="2">
        <f t="shared" si="18"/>
        <v>0.10016060739159828</v>
      </c>
      <c r="BH40" s="2">
        <f t="shared" si="18"/>
        <v>9.480516295294833E-2</v>
      </c>
      <c r="BI40" s="2">
        <f t="shared" si="18"/>
        <v>8.8341386431502592E-2</v>
      </c>
      <c r="BJ40" s="2">
        <f t="shared" si="18"/>
        <v>8.1376940081188412E-2</v>
      </c>
      <c r="BK40" s="2">
        <f t="shared" si="18"/>
        <v>7.4733362976124609E-2</v>
      </c>
      <c r="BL40" s="2">
        <f t="shared" si="18"/>
        <v>6.9092668338963881E-2</v>
      </c>
      <c r="BM40" s="2">
        <f t="shared" si="18"/>
        <v>6.4758088402129738E-2</v>
      </c>
      <c r="BN40" s="2">
        <f t="shared" si="18"/>
        <v>6.1675626463981996E-2</v>
      </c>
      <c r="BO40" s="2">
        <f t="shared" si="11"/>
        <v>5.9602413134706697E-2</v>
      </c>
      <c r="BP40" s="2">
        <f t="shared" si="6"/>
        <v>5.8259761988554738E-2</v>
      </c>
      <c r="BQ40" s="2">
        <f t="shared" si="6"/>
        <v>5.7411415487009197E-2</v>
      </c>
      <c r="BR40" s="2">
        <f t="shared" si="6"/>
        <v>5.6883716544770986E-2</v>
      </c>
      <c r="BS40" s="2">
        <f t="shared" si="6"/>
        <v>5.6558660200867146E-2</v>
      </c>
      <c r="BT40" s="2">
        <f t="shared" si="6"/>
        <v>5.6359632255228213E-2</v>
      </c>
      <c r="BU40" s="2">
        <f t="shared" si="6"/>
        <v>5.6238219240906766E-2</v>
      </c>
    </row>
    <row r="41" spans="1:73" x14ac:dyDescent="0.25">
      <c r="A41" t="s">
        <v>20</v>
      </c>
      <c r="B41" s="1" t="s">
        <v>5</v>
      </c>
      <c r="C41" t="s">
        <v>9</v>
      </c>
      <c r="D41" t="s">
        <v>9</v>
      </c>
      <c r="E41" s="97">
        <v>7.0912199999999999</v>
      </c>
      <c r="F41" s="5">
        <f t="shared" si="7"/>
        <v>1.7373488999999999E-2</v>
      </c>
      <c r="G41" s="1">
        <f>LOOKUP(RIGHT(D41,5),Ref!$C$4:$C$21,Ref!$E$4:$E$21)*$G$3</f>
        <v>4.5</v>
      </c>
      <c r="H41" s="36">
        <f t="shared" si="16"/>
        <v>7.0912199999999999</v>
      </c>
      <c r="I41" s="12">
        <f t="shared" si="16"/>
        <v>7.0912199999999999</v>
      </c>
      <c r="J41" s="12">
        <f t="shared" si="16"/>
        <v>7.0912199999999999</v>
      </c>
      <c r="K41" s="12">
        <f t="shared" si="16"/>
        <v>7.0912199999999999</v>
      </c>
      <c r="L41" s="12">
        <f t="shared" si="16"/>
        <v>7.0912199999999999</v>
      </c>
      <c r="M41" s="12">
        <f t="shared" si="15"/>
        <v>7.4275273003942246</v>
      </c>
      <c r="N41" s="12">
        <f t="shared" si="15"/>
        <v>7.6291470433302422</v>
      </c>
      <c r="O41" s="12">
        <f t="shared" si="15"/>
        <v>7.9365141447016807</v>
      </c>
      <c r="P41" s="12">
        <f t="shared" si="15"/>
        <v>8.3848395229261108</v>
      </c>
      <c r="Q41" s="12">
        <f t="shared" si="15"/>
        <v>8.9983427860473366</v>
      </c>
      <c r="R41" s="12">
        <f t="shared" si="15"/>
        <v>9.7684439413947857</v>
      </c>
      <c r="S41" s="12">
        <f t="shared" si="15"/>
        <v>10.63683</v>
      </c>
      <c r="T41" s="12">
        <f t="shared" si="15"/>
        <v>11.505216058605214</v>
      </c>
      <c r="U41" s="12">
        <f t="shared" si="15"/>
        <v>12.275317213952663</v>
      </c>
      <c r="V41" s="12">
        <f t="shared" si="15"/>
        <v>12.888820477073889</v>
      </c>
      <c r="W41" s="12">
        <f t="shared" si="15"/>
        <v>13.337145855298317</v>
      </c>
      <c r="X41" s="12">
        <f t="shared" si="15"/>
        <v>13.644512956669757</v>
      </c>
      <c r="Y41" s="12">
        <f t="shared" si="15"/>
        <v>13.846132699605775</v>
      </c>
      <c r="Z41" s="12">
        <f t="shared" si="15"/>
        <v>13.974580523051367</v>
      </c>
      <c r="AA41" s="12">
        <f t="shared" si="15"/>
        <v>14.054895828192617</v>
      </c>
      <c r="AB41" s="12">
        <f t="shared" si="15"/>
        <v>14.104529172679085</v>
      </c>
      <c r="AC41" s="12">
        <f t="shared" si="9"/>
        <v>14.134979521668694</v>
      </c>
      <c r="AD41" s="300">
        <f t="shared" si="17"/>
        <v>1.9381146126518794E-3</v>
      </c>
      <c r="AE41" s="299">
        <f t="shared" si="17"/>
        <v>1.9381146126518794E-3</v>
      </c>
      <c r="AF41" s="299">
        <f t="shared" si="17"/>
        <v>1.9381146126518794E-3</v>
      </c>
      <c r="AG41" s="299">
        <f t="shared" si="17"/>
        <v>1.9381146126518794E-3</v>
      </c>
      <c r="AH41" s="299">
        <f t="shared" si="17"/>
        <v>1.9381146126518794E-3</v>
      </c>
      <c r="AI41" s="299">
        <f t="shared" si="17"/>
        <v>1.850359688721683E-3</v>
      </c>
      <c r="AJ41" s="299">
        <f t="shared" si="17"/>
        <v>1.801459196614195E-3</v>
      </c>
      <c r="AK41" s="299">
        <f t="shared" si="17"/>
        <v>1.7316918804591707E-3</v>
      </c>
      <c r="AL41" s="299">
        <f t="shared" si="17"/>
        <v>1.6391007920844582E-3</v>
      </c>
      <c r="AM41" s="299">
        <f t="shared" si="17"/>
        <v>1.5273475828060058E-3</v>
      </c>
      <c r="AN41" s="299">
        <f t="shared" si="17"/>
        <v>1.4069382171800519E-3</v>
      </c>
      <c r="AO41" s="299">
        <f t="shared" si="17"/>
        <v>1.2920764084345861E-3</v>
      </c>
      <c r="AP41" s="299">
        <f t="shared" si="17"/>
        <v>1.1945535862622823E-3</v>
      </c>
      <c r="AQ41" s="299">
        <f t="shared" si="17"/>
        <v>1.119612378563031E-3</v>
      </c>
      <c r="AR41" s="299">
        <f t="shared" si="17"/>
        <v>1.06631922820058E-3</v>
      </c>
      <c r="AS41" s="299">
        <f t="shared" si="10"/>
        <v>1.030475129584751E-3</v>
      </c>
      <c r="AT41" s="299">
        <f t="shared" si="4"/>
        <v>1.0072618309773429E-3</v>
      </c>
      <c r="AU41" s="299">
        <f t="shared" si="4"/>
        <v>9.9259464008463272E-4</v>
      </c>
      <c r="AV41" s="299">
        <f t="shared" si="4"/>
        <v>9.8347117331063394E-4</v>
      </c>
      <c r="AW41" s="299">
        <f t="shared" si="4"/>
        <v>9.7785122504864645E-4</v>
      </c>
      <c r="AX41" s="299">
        <f t="shared" si="4"/>
        <v>9.7441020081344074E-4</v>
      </c>
      <c r="AY41" s="299">
        <f t="shared" si="4"/>
        <v>9.723110728572722E-4</v>
      </c>
      <c r="AZ41" s="306">
        <f t="shared" si="18"/>
        <v>0.10729361369217395</v>
      </c>
      <c r="BA41" s="2">
        <f t="shared" si="18"/>
        <v>0.10729361369217395</v>
      </c>
      <c r="BB41" s="2">
        <f t="shared" si="18"/>
        <v>0.10729361369217395</v>
      </c>
      <c r="BC41" s="2">
        <f t="shared" si="18"/>
        <v>0.10729361369217395</v>
      </c>
      <c r="BD41" s="2">
        <f t="shared" si="18"/>
        <v>0.10729361369217395</v>
      </c>
      <c r="BE41" s="2">
        <f t="shared" si="18"/>
        <v>0.10243551972482622</v>
      </c>
      <c r="BF41" s="2">
        <f t="shared" si="18"/>
        <v>9.9728398858347084E-2</v>
      </c>
      <c r="BG41" s="2">
        <f t="shared" si="18"/>
        <v>9.5866095040496715E-2</v>
      </c>
      <c r="BH41" s="2">
        <f t="shared" si="18"/>
        <v>9.0740272035725461E-2</v>
      </c>
      <c r="BI41" s="2">
        <f t="shared" si="18"/>
        <v>8.4553638083888757E-2</v>
      </c>
      <c r="BJ41" s="2">
        <f t="shared" si="18"/>
        <v>7.7887801153474295E-2</v>
      </c>
      <c r="BK41" s="2">
        <f t="shared" si="18"/>
        <v>7.152907579478264E-2</v>
      </c>
      <c r="BL41" s="2">
        <f t="shared" si="18"/>
        <v>6.6130233053481244E-2</v>
      </c>
      <c r="BM41" s="2">
        <f t="shared" si="18"/>
        <v>6.198150369763241E-2</v>
      </c>
      <c r="BN41" s="2">
        <f t="shared" si="18"/>
        <v>5.903120620227225E-2</v>
      </c>
      <c r="BO41" s="2">
        <f t="shared" si="11"/>
        <v>5.7046884508949514E-2</v>
      </c>
      <c r="BP41" s="2">
        <f t="shared" si="6"/>
        <v>5.5761801223861207E-2</v>
      </c>
      <c r="BQ41" s="2">
        <f t="shared" si="6"/>
        <v>5.4949828648390778E-2</v>
      </c>
      <c r="BR41" s="2">
        <f t="shared" si="6"/>
        <v>5.444475546376449E-2</v>
      </c>
      <c r="BS41" s="2">
        <f t="shared" si="6"/>
        <v>5.4133636320523197E-2</v>
      </c>
      <c r="BT41" s="2">
        <f t="shared" si="6"/>
        <v>5.3943141949041006E-2</v>
      </c>
      <c r="BU41" s="2">
        <f t="shared" si="6"/>
        <v>5.3826934670818477E-2</v>
      </c>
    </row>
    <row r="42" spans="1:73" x14ac:dyDescent="0.25">
      <c r="A42" t="s">
        <v>20</v>
      </c>
      <c r="B42" s="1" t="s">
        <v>5</v>
      </c>
      <c r="C42" t="s">
        <v>10</v>
      </c>
      <c r="D42" t="s">
        <v>10</v>
      </c>
      <c r="E42" s="97">
        <v>7.0548659999999996</v>
      </c>
      <c r="F42" s="5">
        <f t="shared" si="7"/>
        <v>1.72844217E-2</v>
      </c>
      <c r="G42" s="1">
        <f>LOOKUP(RIGHT(D42,5),Ref!$C$4:$C$21,Ref!$E$4:$E$21)*$G$3</f>
        <v>4.5</v>
      </c>
      <c r="H42" s="36">
        <f t="shared" si="16"/>
        <v>7.0548659999999996</v>
      </c>
      <c r="I42" s="12">
        <f t="shared" si="16"/>
        <v>7.0548659999999996</v>
      </c>
      <c r="J42" s="12">
        <f t="shared" si="16"/>
        <v>7.0548659999999996</v>
      </c>
      <c r="K42" s="12">
        <f t="shared" si="16"/>
        <v>7.0548659999999996</v>
      </c>
      <c r="L42" s="12">
        <f t="shared" si="16"/>
        <v>7.0548659999999996</v>
      </c>
      <c r="M42" s="12">
        <f t="shared" si="15"/>
        <v>7.3894491802007272</v>
      </c>
      <c r="N42" s="12">
        <f t="shared" si="15"/>
        <v>7.5900352950537489</v>
      </c>
      <c r="O42" s="12">
        <f t="shared" si="15"/>
        <v>7.8958266416744882</v>
      </c>
      <c r="P42" s="12">
        <f t="shared" si="15"/>
        <v>8.3418536254336537</v>
      </c>
      <c r="Q42" s="12">
        <f t="shared" si="15"/>
        <v>8.9522116896148525</v>
      </c>
      <c r="R42" s="12">
        <f t="shared" si="15"/>
        <v>9.7183648279212971</v>
      </c>
      <c r="S42" s="12">
        <f t="shared" si="15"/>
        <v>10.582298999999999</v>
      </c>
      <c r="T42" s="12">
        <f t="shared" si="15"/>
        <v>11.446233172078701</v>
      </c>
      <c r="U42" s="12">
        <f t="shared" si="15"/>
        <v>12.212386310385147</v>
      </c>
      <c r="V42" s="12">
        <f t="shared" si="15"/>
        <v>12.822744374566346</v>
      </c>
      <c r="W42" s="12">
        <f t="shared" si="15"/>
        <v>13.268771358325509</v>
      </c>
      <c r="X42" s="12">
        <f t="shared" si="15"/>
        <v>13.574562704946249</v>
      </c>
      <c r="Y42" s="12">
        <f t="shared" si="15"/>
        <v>13.775148819799272</v>
      </c>
      <c r="Z42" s="12">
        <f t="shared" si="15"/>
        <v>13.902938139888102</v>
      </c>
      <c r="AA42" s="12">
        <f t="shared" si="15"/>
        <v>13.982841698869578</v>
      </c>
      <c r="AB42" s="12">
        <f t="shared" si="15"/>
        <v>14.032220591991477</v>
      </c>
      <c r="AC42" s="12">
        <f t="shared" si="9"/>
        <v>14.062514833571194</v>
      </c>
      <c r="AD42" s="300">
        <f t="shared" si="17"/>
        <v>1.9481017929368553E-3</v>
      </c>
      <c r="AE42" s="299">
        <f t="shared" si="17"/>
        <v>1.9481017929368553E-3</v>
      </c>
      <c r="AF42" s="299">
        <f t="shared" si="17"/>
        <v>1.9481017929368553E-3</v>
      </c>
      <c r="AG42" s="299">
        <f t="shared" si="17"/>
        <v>1.9481017929368553E-3</v>
      </c>
      <c r="AH42" s="299">
        <f t="shared" si="17"/>
        <v>1.9481017929368553E-3</v>
      </c>
      <c r="AI42" s="299">
        <f t="shared" si="17"/>
        <v>1.8598946644566988E-3</v>
      </c>
      <c r="AJ42" s="299">
        <f t="shared" si="17"/>
        <v>1.8107421862037514E-3</v>
      </c>
      <c r="AK42" s="299">
        <f t="shared" si="17"/>
        <v>1.7406153563440723E-3</v>
      </c>
      <c r="AL42" s="299">
        <f t="shared" si="17"/>
        <v>1.6475471424751587E-3</v>
      </c>
      <c r="AM42" s="299">
        <f t="shared" si="17"/>
        <v>1.5352180645451811E-3</v>
      </c>
      <c r="AN42" s="299">
        <f t="shared" si="17"/>
        <v>1.4141882247560094E-3</v>
      </c>
      <c r="AO42" s="299">
        <f t="shared" si="17"/>
        <v>1.2987345286245703E-3</v>
      </c>
      <c r="AP42" s="299">
        <f t="shared" si="17"/>
        <v>1.2007091675412152E-3</v>
      </c>
      <c r="AQ42" s="299">
        <f t="shared" si="17"/>
        <v>1.1253817848721347E-3</v>
      </c>
      <c r="AR42" s="299">
        <f t="shared" si="17"/>
        <v>1.0718140128246965E-3</v>
      </c>
      <c r="AS42" s="299">
        <f t="shared" si="10"/>
        <v>1.0357852081689402E-3</v>
      </c>
      <c r="AT42" s="299">
        <f t="shared" si="4"/>
        <v>1.0124522905272976E-3</v>
      </c>
      <c r="AU42" s="299">
        <f t="shared" si="4"/>
        <v>9.977095190271438E-4</v>
      </c>
      <c r="AV42" s="299">
        <f t="shared" si="4"/>
        <v>9.8853903867257478E-4</v>
      </c>
      <c r="AW42" s="299">
        <f t="shared" si="4"/>
        <v>9.828901305977268E-4</v>
      </c>
      <c r="AX42" s="299">
        <f t="shared" si="4"/>
        <v>9.7943137463026042E-4</v>
      </c>
      <c r="AY42" s="299">
        <f t="shared" si="4"/>
        <v>9.7732142978576011E-4</v>
      </c>
      <c r="AZ42" s="306">
        <f t="shared" si="18"/>
        <v>0.10784650187348956</v>
      </c>
      <c r="BA42" s="2">
        <f t="shared" si="18"/>
        <v>0.10784650187348956</v>
      </c>
      <c r="BB42" s="2">
        <f t="shared" si="18"/>
        <v>0.10784650187348956</v>
      </c>
      <c r="BC42" s="2">
        <f t="shared" si="18"/>
        <v>0.10784650187348956</v>
      </c>
      <c r="BD42" s="2">
        <f t="shared" si="18"/>
        <v>0.10784650187348956</v>
      </c>
      <c r="BE42" s="2">
        <f t="shared" si="18"/>
        <v>0.10296337395821298</v>
      </c>
      <c r="BF42" s="2">
        <f t="shared" si="18"/>
        <v>0.10024230319219218</v>
      </c>
      <c r="BG42" s="2">
        <f t="shared" si="18"/>
        <v>9.6360096771940268E-2</v>
      </c>
      <c r="BH42" s="2">
        <f t="shared" si="18"/>
        <v>9.1207860201055146E-2</v>
      </c>
      <c r="BI42" s="2">
        <f t="shared" si="18"/>
        <v>8.498934628286825E-2</v>
      </c>
      <c r="BJ42" s="2">
        <f t="shared" si="18"/>
        <v>7.8289160034441474E-2</v>
      </c>
      <c r="BK42" s="2">
        <f t="shared" si="18"/>
        <v>7.1897667915659713E-2</v>
      </c>
      <c r="BL42" s="2">
        <f t="shared" si="18"/>
        <v>6.6471004726880334E-2</v>
      </c>
      <c r="BM42" s="2">
        <f t="shared" si="18"/>
        <v>6.2300896806647348E-2</v>
      </c>
      <c r="BN42" s="2">
        <f t="shared" si="18"/>
        <v>5.9335396313080505E-2</v>
      </c>
      <c r="BO42" s="2">
        <f t="shared" si="11"/>
        <v>5.7340849332581649E-2</v>
      </c>
      <c r="BP42" s="2">
        <f t="shared" si="6"/>
        <v>5.6049143963141056E-2</v>
      </c>
      <c r="BQ42" s="2">
        <f t="shared" si="6"/>
        <v>5.5232987261280606E-2</v>
      </c>
      <c r="BR42" s="2">
        <f t="shared" si="6"/>
        <v>5.472531141481015E-2</v>
      </c>
      <c r="BS42" s="2">
        <f t="shared" si="6"/>
        <v>5.4412589062474113E-2</v>
      </c>
      <c r="BT42" s="2">
        <f t="shared" si="6"/>
        <v>5.4221113066056613E-2</v>
      </c>
      <c r="BU42" s="2">
        <f t="shared" si="6"/>
        <v>5.4104306967191353E-2</v>
      </c>
    </row>
    <row r="43" spans="1:73" x14ac:dyDescent="0.25">
      <c r="A43" t="s">
        <v>21</v>
      </c>
      <c r="B43" s="1" t="s">
        <v>5</v>
      </c>
      <c r="C43" t="s">
        <v>13</v>
      </c>
      <c r="D43" t="s">
        <v>13</v>
      </c>
      <c r="E43" s="97">
        <v>7.2311975000000004</v>
      </c>
      <c r="F43" s="5">
        <f t="shared" si="7"/>
        <v>1.7716433875E-2</v>
      </c>
      <c r="G43" s="1">
        <f>LOOKUP(RIGHT(D43,5),Ref!$C$4:$C$21,Ref!$E$4:$E$21)*$G$3</f>
        <v>1.5</v>
      </c>
      <c r="H43" s="36">
        <f t="shared" si="16"/>
        <v>7.2311975000000004</v>
      </c>
      <c r="I43" s="12">
        <f t="shared" si="16"/>
        <v>7.2311975000000004</v>
      </c>
      <c r="J43" s="12">
        <f t="shared" si="16"/>
        <v>7.2311975000000004</v>
      </c>
      <c r="K43" s="12">
        <f t="shared" si="16"/>
        <v>7.2311975000000004</v>
      </c>
      <c r="L43" s="12">
        <f t="shared" si="16"/>
        <v>7.2311975000000004</v>
      </c>
      <c r="M43" s="12">
        <f t="shared" si="15"/>
        <v>7.574143355556938</v>
      </c>
      <c r="N43" s="12">
        <f t="shared" si="15"/>
        <v>7.7797429817241657</v>
      </c>
      <c r="O43" s="12">
        <f t="shared" si="15"/>
        <v>8.0931773717190314</v>
      </c>
      <c r="P43" s="12">
        <f t="shared" si="15"/>
        <v>8.5503524916847145</v>
      </c>
      <c r="Q43" s="12">
        <f t="shared" si="15"/>
        <v>9.175966033857156</v>
      </c>
      <c r="R43" s="12">
        <f t="shared" si="15"/>
        <v>9.9612686403614781</v>
      </c>
      <c r="S43" s="12">
        <f t="shared" si="15"/>
        <v>10.846796250000001</v>
      </c>
      <c r="T43" s="12">
        <f t="shared" si="15"/>
        <v>11.732323859638523</v>
      </c>
      <c r="U43" s="12">
        <f t="shared" si="15"/>
        <v>12.517626466142845</v>
      </c>
      <c r="V43" s="12">
        <f t="shared" si="15"/>
        <v>13.143240008315287</v>
      </c>
      <c r="W43" s="12">
        <f t="shared" si="15"/>
        <v>13.600415128280968</v>
      </c>
      <c r="X43" s="12">
        <f t="shared" si="15"/>
        <v>13.913849518275835</v>
      </c>
      <c r="Y43" s="12">
        <f t="shared" si="15"/>
        <v>14.119449144443063</v>
      </c>
      <c r="Z43" s="12">
        <f t="shared" si="15"/>
        <v>14.25043247027137</v>
      </c>
      <c r="AA43" s="12">
        <f t="shared" si="15"/>
        <v>14.332333163487649</v>
      </c>
      <c r="AB43" s="12">
        <f t="shared" si="15"/>
        <v>14.382946247917012</v>
      </c>
      <c r="AC43" s="12">
        <f t="shared" si="9"/>
        <v>14.41399767312844</v>
      </c>
      <c r="AD43" s="300">
        <f t="shared" si="17"/>
        <v>1.9005976677485656E-3</v>
      </c>
      <c r="AE43" s="299">
        <f t="shared" si="17"/>
        <v>1.9005976677485656E-3</v>
      </c>
      <c r="AF43" s="299">
        <f t="shared" si="17"/>
        <v>1.9005976677485656E-3</v>
      </c>
      <c r="AG43" s="299">
        <f t="shared" si="17"/>
        <v>1.9005976677485656E-3</v>
      </c>
      <c r="AH43" s="299">
        <f t="shared" si="17"/>
        <v>1.9005976677485656E-3</v>
      </c>
      <c r="AI43" s="299">
        <f t="shared" si="17"/>
        <v>1.8145414548360727E-3</v>
      </c>
      <c r="AJ43" s="299">
        <f t="shared" si="17"/>
        <v>1.7665875512616704E-3</v>
      </c>
      <c r="AK43" s="299">
        <f t="shared" si="17"/>
        <v>1.6981707520157872E-3</v>
      </c>
      <c r="AL43" s="299">
        <f t="shared" si="17"/>
        <v>1.607371990440747E-3</v>
      </c>
      <c r="AM43" s="299">
        <f t="shared" si="17"/>
        <v>1.4977820376425347E-3</v>
      </c>
      <c r="AN43" s="299">
        <f t="shared" si="17"/>
        <v>1.3797034895577846E-3</v>
      </c>
      <c r="AO43" s="299">
        <f t="shared" si="17"/>
        <v>1.2670651118323771E-3</v>
      </c>
      <c r="AP43" s="299">
        <f t="shared" si="17"/>
        <v>1.1714300822201055E-3</v>
      </c>
      <c r="AQ43" s="299">
        <f t="shared" si="17"/>
        <v>1.0979395447453532E-3</v>
      </c>
      <c r="AR43" s="299">
        <f t="shared" si="17"/>
        <v>1.0456780135517686E-3</v>
      </c>
      <c r="AS43" s="299">
        <f t="shared" si="10"/>
        <v>1.0105277650643587E-3</v>
      </c>
      <c r="AT43" s="299">
        <f t="shared" si="4"/>
        <v>9.8776381658268256E-4</v>
      </c>
      <c r="AU43" s="299">
        <f t="shared" si="4"/>
        <v>9.7338054501497839E-4</v>
      </c>
      <c r="AV43" s="299">
        <f t="shared" si="4"/>
        <v>9.6443368523731134E-4</v>
      </c>
      <c r="AW43" s="299">
        <f t="shared" si="4"/>
        <v>9.589225248085759E-4</v>
      </c>
      <c r="AX43" s="299">
        <f t="shared" si="4"/>
        <v>9.5554811000699209E-4</v>
      </c>
      <c r="AY43" s="299">
        <f t="shared" si="4"/>
        <v>9.5348961580249262E-4</v>
      </c>
      <c r="AZ43" s="306">
        <f t="shared" si="18"/>
        <v>0.10521668358335086</v>
      </c>
      <c r="BA43" s="2">
        <f t="shared" si="18"/>
        <v>0.10521668358335086</v>
      </c>
      <c r="BB43" s="2">
        <f t="shared" si="18"/>
        <v>0.10521668358335086</v>
      </c>
      <c r="BC43" s="2">
        <f t="shared" si="18"/>
        <v>0.10521668358335086</v>
      </c>
      <c r="BD43" s="2">
        <f t="shared" si="18"/>
        <v>0.10521668358335086</v>
      </c>
      <c r="BE43" s="2">
        <f t="shared" si="18"/>
        <v>0.10045262989747993</v>
      </c>
      <c r="BF43" s="2">
        <f t="shared" si="18"/>
        <v>9.779791197132813E-2</v>
      </c>
      <c r="BG43" s="2">
        <f t="shared" si="18"/>
        <v>9.4010372482990698E-2</v>
      </c>
      <c r="BH43" s="2">
        <f t="shared" si="18"/>
        <v>8.8983772309520953E-2</v>
      </c>
      <c r="BI43" s="2">
        <f t="shared" si="18"/>
        <v>8.2916895777391447E-2</v>
      </c>
      <c r="BJ43" s="2">
        <f t="shared" si="18"/>
        <v>7.6380092411462971E-2</v>
      </c>
      <c r="BK43" s="2">
        <f t="shared" si="18"/>
        <v>7.0144455722233906E-2</v>
      </c>
      <c r="BL43" s="2">
        <f t="shared" si="18"/>
        <v>6.4850120776469899E-2</v>
      </c>
      <c r="BM43" s="2">
        <f t="shared" si="18"/>
        <v>6.0781700216419876E-2</v>
      </c>
      <c r="BN43" s="2">
        <f t="shared" si="18"/>
        <v>5.7888512939340539E-2</v>
      </c>
      <c r="BO43" s="2">
        <f t="shared" si="11"/>
        <v>5.5942602641893394E-2</v>
      </c>
      <c r="BP43" s="2">
        <f t="shared" si="6"/>
        <v>5.4682395284414376E-2</v>
      </c>
      <c r="BQ43" s="2">
        <f t="shared" si="6"/>
        <v>5.3886140422529136E-2</v>
      </c>
      <c r="BR43" s="2">
        <f t="shared" si="6"/>
        <v>5.3390844163744108E-2</v>
      </c>
      <c r="BS43" s="2">
        <f t="shared" si="6"/>
        <v>5.3085747491867077E-2</v>
      </c>
      <c r="BT43" s="2">
        <f t="shared" si="6"/>
        <v>5.2898940604495806E-2</v>
      </c>
      <c r="BU43" s="2">
        <f t="shared" si="6"/>
        <v>5.2784982802143263E-2</v>
      </c>
    </row>
    <row r="44" spans="1:73" x14ac:dyDescent="0.25">
      <c r="A44" t="s">
        <v>21</v>
      </c>
      <c r="B44" s="1" t="s">
        <v>5</v>
      </c>
      <c r="C44" t="s">
        <v>14</v>
      </c>
      <c r="D44" t="s">
        <v>14</v>
      </c>
      <c r="E44" s="97">
        <v>5.1258957499999998</v>
      </c>
      <c r="F44" s="5">
        <f t="shared" si="7"/>
        <v>1.25584445875E-2</v>
      </c>
      <c r="G44" s="1">
        <f>LOOKUP(RIGHT(D44,5),Ref!$C$4:$C$21,Ref!$E$4:$E$21)*$G$3</f>
        <v>2</v>
      </c>
      <c r="H44" s="36">
        <f t="shared" si="16"/>
        <v>5.1258957499999998</v>
      </c>
      <c r="I44" s="12">
        <f t="shared" si="16"/>
        <v>5.1258957499999998</v>
      </c>
      <c r="J44" s="12">
        <f t="shared" si="16"/>
        <v>5.1258957499999998</v>
      </c>
      <c r="K44" s="12">
        <f t="shared" si="16"/>
        <v>5.1258957499999998</v>
      </c>
      <c r="L44" s="12">
        <f t="shared" si="16"/>
        <v>5.1258957499999998</v>
      </c>
      <c r="M44" s="12">
        <f t="shared" si="15"/>
        <v>5.3689958317609285</v>
      </c>
      <c r="N44" s="12">
        <f t="shared" si="15"/>
        <v>5.5147368725736268</v>
      </c>
      <c r="O44" s="12">
        <f t="shared" si="15"/>
        <v>5.7369175013807538</v>
      </c>
      <c r="P44" s="12">
        <f t="shared" si="15"/>
        <v>6.0609899671705252</v>
      </c>
      <c r="Q44" s="12">
        <f t="shared" si="15"/>
        <v>6.5044614387994173</v>
      </c>
      <c r="R44" s="12">
        <f t="shared" si="15"/>
        <v>7.0611298596445717</v>
      </c>
      <c r="S44" s="12">
        <f t="shared" si="15"/>
        <v>7.6888436249999996</v>
      </c>
      <c r="T44" s="12">
        <f t="shared" si="15"/>
        <v>8.3165573903554275</v>
      </c>
      <c r="U44" s="12">
        <f t="shared" si="15"/>
        <v>8.873225811200582</v>
      </c>
      <c r="V44" s="12">
        <f t="shared" si="15"/>
        <v>9.3166972828294732</v>
      </c>
      <c r="W44" s="12">
        <f t="shared" si="15"/>
        <v>9.6407697486192436</v>
      </c>
      <c r="X44" s="12">
        <f t="shared" si="15"/>
        <v>9.8629503774263725</v>
      </c>
      <c r="Y44" s="12">
        <f t="shared" si="15"/>
        <v>10.008691418239071</v>
      </c>
      <c r="Z44" s="12">
        <f t="shared" si="15"/>
        <v>10.101540060968603</v>
      </c>
      <c r="AA44" s="12">
        <f t="shared" si="15"/>
        <v>10.159596062796707</v>
      </c>
      <c r="AB44" s="12">
        <f t="shared" si="15"/>
        <v>10.195473577464348</v>
      </c>
      <c r="AC44" s="12">
        <f t="shared" si="9"/>
        <v>10.217484643891824</v>
      </c>
      <c r="AD44" s="300">
        <f t="shared" si="17"/>
        <v>2.6812088606228989E-3</v>
      </c>
      <c r="AE44" s="299">
        <f t="shared" si="17"/>
        <v>2.6812088606228989E-3</v>
      </c>
      <c r="AF44" s="299">
        <f t="shared" si="17"/>
        <v>2.6812088606228989E-3</v>
      </c>
      <c r="AG44" s="299">
        <f t="shared" si="17"/>
        <v>2.6812088606228989E-3</v>
      </c>
      <c r="AH44" s="299">
        <f t="shared" si="17"/>
        <v>2.6812088606228989E-3</v>
      </c>
      <c r="AI44" s="299">
        <f t="shared" si="17"/>
        <v>2.5598077432333602E-3</v>
      </c>
      <c r="AJ44" s="299">
        <f t="shared" si="17"/>
        <v>2.4921582699403344E-3</v>
      </c>
      <c r="AK44" s="299">
        <f t="shared" si="17"/>
        <v>2.3956414050265613E-3</v>
      </c>
      <c r="AL44" s="299">
        <f t="shared" si="17"/>
        <v>2.2675498850801157E-3</v>
      </c>
      <c r="AM44" s="299">
        <f t="shared" si="17"/>
        <v>2.1129492784057505E-3</v>
      </c>
      <c r="AN44" s="299">
        <f t="shared" si="17"/>
        <v>1.9463736507773354E-3</v>
      </c>
      <c r="AO44" s="299">
        <f t="shared" si="17"/>
        <v>1.7874725737485992E-3</v>
      </c>
      <c r="AP44" s="299">
        <f t="shared" si="17"/>
        <v>1.65255843956148E-3</v>
      </c>
      <c r="AQ44" s="299">
        <f t="shared" si="17"/>
        <v>1.5488839567433139E-3</v>
      </c>
      <c r="AR44" s="299">
        <f t="shared" si="17"/>
        <v>1.475157632185656E-3</v>
      </c>
      <c r="AS44" s="299">
        <f t="shared" si="10"/>
        <v>1.4255705158291562E-3</v>
      </c>
      <c r="AT44" s="299">
        <f t="shared" si="4"/>
        <v>1.3934569857498866E-3</v>
      </c>
      <c r="AU44" s="299">
        <f t="shared" si="4"/>
        <v>1.3731662341476512E-3</v>
      </c>
      <c r="AV44" s="299">
        <f t="shared" si="4"/>
        <v>1.3605447308607153E-3</v>
      </c>
      <c r="AW44" s="299">
        <f t="shared" si="4"/>
        <v>1.3527700332355496E-3</v>
      </c>
      <c r="AX44" s="299">
        <f t="shared" si="4"/>
        <v>1.3480096828368559E-3</v>
      </c>
      <c r="AY44" s="299">
        <f t="shared" si="4"/>
        <v>1.3451057263634257E-3</v>
      </c>
      <c r="AZ44" s="306">
        <f t="shared" si="18"/>
        <v>0.1484311535766637</v>
      </c>
      <c r="BA44" s="2">
        <f t="shared" si="18"/>
        <v>0.1484311535766637</v>
      </c>
      <c r="BB44" s="2">
        <f t="shared" si="18"/>
        <v>0.1484311535766637</v>
      </c>
      <c r="BC44" s="2">
        <f t="shared" si="18"/>
        <v>0.1484311535766637</v>
      </c>
      <c r="BD44" s="2">
        <f t="shared" si="18"/>
        <v>0.1484311535766637</v>
      </c>
      <c r="BE44" s="2">
        <f t="shared" si="18"/>
        <v>0.14171041347906502</v>
      </c>
      <c r="BF44" s="2">
        <f t="shared" si="18"/>
        <v>0.13796535299265267</v>
      </c>
      <c r="BG44" s="2">
        <f t="shared" si="18"/>
        <v>0.13262219983172133</v>
      </c>
      <c r="BH44" s="2">
        <f t="shared" si="18"/>
        <v>0.12553108046826297</v>
      </c>
      <c r="BI44" s="2">
        <f t="shared" si="18"/>
        <v>0.11697242368872478</v>
      </c>
      <c r="BJ44" s="2">
        <f t="shared" si="18"/>
        <v>0.10775083229024703</v>
      </c>
      <c r="BK44" s="2">
        <f t="shared" si="18"/>
        <v>9.8954102384442466E-2</v>
      </c>
      <c r="BL44" s="2">
        <f t="shared" si="18"/>
        <v>9.1485284544366191E-2</v>
      </c>
      <c r="BM44" s="2">
        <f t="shared" si="18"/>
        <v>8.5745887175080554E-2</v>
      </c>
      <c r="BN44" s="2">
        <f t="shared" si="18"/>
        <v>8.1664413492154433E-2</v>
      </c>
      <c r="BO44" s="2">
        <f t="shared" si="11"/>
        <v>7.8919281252950377E-2</v>
      </c>
      <c r="BP44" s="2">
        <f t="shared" si="6"/>
        <v>7.7141483042192011E-2</v>
      </c>
      <c r="BQ44" s="2">
        <f t="shared" si="6"/>
        <v>7.601819133915115E-2</v>
      </c>
      <c r="BR44" s="2">
        <f t="shared" si="6"/>
        <v>7.5319467595445361E-2</v>
      </c>
      <c r="BS44" s="2">
        <f t="shared" si="6"/>
        <v>7.4889061984692237E-2</v>
      </c>
      <c r="BT44" s="2">
        <f t="shared" si="6"/>
        <v>7.4625529996757853E-2</v>
      </c>
      <c r="BU44" s="2">
        <f t="shared" si="6"/>
        <v>7.44647675826028E-2</v>
      </c>
    </row>
    <row r="45" spans="1:73" x14ac:dyDescent="0.25">
      <c r="A45" t="s">
        <v>21</v>
      </c>
      <c r="B45" s="1" t="s">
        <v>5</v>
      </c>
      <c r="C45" t="s">
        <v>15</v>
      </c>
      <c r="D45" t="s">
        <v>15</v>
      </c>
      <c r="E45" s="97">
        <v>5.0703610000000001</v>
      </c>
      <c r="F45" s="5">
        <f t="shared" si="7"/>
        <v>1.2422384449999999E-2</v>
      </c>
      <c r="G45" s="1">
        <f>LOOKUP(RIGHT(D45,5),Ref!$C$4:$C$21,Ref!$E$4:$E$21)*$G$3</f>
        <v>2.5</v>
      </c>
      <c r="H45" s="36">
        <f t="shared" si="16"/>
        <v>5.0703610000000001</v>
      </c>
      <c r="I45" s="12">
        <f t="shared" si="16"/>
        <v>5.0703610000000001</v>
      </c>
      <c r="J45" s="12">
        <f t="shared" si="16"/>
        <v>5.0703610000000001</v>
      </c>
      <c r="K45" s="12">
        <f t="shared" si="16"/>
        <v>5.0703610000000001</v>
      </c>
      <c r="L45" s="12">
        <f t="shared" si="16"/>
        <v>5.0703610000000001</v>
      </c>
      <c r="M45" s="12">
        <f t="shared" si="15"/>
        <v>5.3108272977504809</v>
      </c>
      <c r="N45" s="12">
        <f t="shared" si="15"/>
        <v>5.4549893575106925</v>
      </c>
      <c r="O45" s="12">
        <f t="shared" si="15"/>
        <v>5.6747628469069866</v>
      </c>
      <c r="P45" s="12">
        <f t="shared" si="15"/>
        <v>5.9953242613123212</v>
      </c>
      <c r="Q45" s="12">
        <f t="shared" si="15"/>
        <v>6.4339910941989906</v>
      </c>
      <c r="R45" s="12">
        <f t="shared" si="15"/>
        <v>6.9846284829880343</v>
      </c>
      <c r="S45" s="12">
        <f t="shared" si="15"/>
        <v>7.6055415000000002</v>
      </c>
      <c r="T45" s="12">
        <f t="shared" si="15"/>
        <v>8.2264545170119661</v>
      </c>
      <c r="U45" s="12">
        <f t="shared" si="15"/>
        <v>8.7770919058010097</v>
      </c>
      <c r="V45" s="12">
        <f t="shared" si="15"/>
        <v>9.2157587386876791</v>
      </c>
      <c r="W45" s="12">
        <f t="shared" si="15"/>
        <v>9.5363201530930137</v>
      </c>
      <c r="X45" s="12">
        <f t="shared" si="15"/>
        <v>9.7560936424893079</v>
      </c>
      <c r="Y45" s="12">
        <f t="shared" si="15"/>
        <v>9.9002557022495203</v>
      </c>
      <c r="Z45" s="12">
        <f t="shared" si="15"/>
        <v>9.9920984083753233</v>
      </c>
      <c r="AA45" s="12">
        <f t="shared" si="15"/>
        <v>10.049525422470399</v>
      </c>
      <c r="AB45" s="12">
        <f t="shared" si="15"/>
        <v>10.085014234576605</v>
      </c>
      <c r="AC45" s="12">
        <f t="shared" si="9"/>
        <v>10.106786829694693</v>
      </c>
      <c r="AD45" s="300">
        <f t="shared" si="17"/>
        <v>2.710575657932297E-3</v>
      </c>
      <c r="AE45" s="299">
        <f t="shared" si="17"/>
        <v>2.710575657932297E-3</v>
      </c>
      <c r="AF45" s="299">
        <f t="shared" si="17"/>
        <v>2.710575657932297E-3</v>
      </c>
      <c r="AG45" s="299">
        <f t="shared" si="17"/>
        <v>2.710575657932297E-3</v>
      </c>
      <c r="AH45" s="299">
        <f t="shared" si="17"/>
        <v>2.710575657932297E-3</v>
      </c>
      <c r="AI45" s="299">
        <f t="shared" si="17"/>
        <v>2.5878448559889466E-3</v>
      </c>
      <c r="AJ45" s="299">
        <f t="shared" si="17"/>
        <v>2.5194544302100997E-3</v>
      </c>
      <c r="AK45" s="299">
        <f t="shared" si="17"/>
        <v>2.4218804334740027E-3</v>
      </c>
      <c r="AL45" s="299">
        <f t="shared" si="17"/>
        <v>2.2923859502006175E-3</v>
      </c>
      <c r="AM45" s="299">
        <f t="shared" si="17"/>
        <v>2.1360920309511696E-3</v>
      </c>
      <c r="AN45" s="299">
        <f t="shared" si="17"/>
        <v>1.9676919305018966E-3</v>
      </c>
      <c r="AO45" s="299">
        <f t="shared" si="17"/>
        <v>1.8070504386215314E-3</v>
      </c>
      <c r="AP45" s="299">
        <f t="shared" si="17"/>
        <v>1.6706586142436054E-3</v>
      </c>
      <c r="AQ45" s="299">
        <f t="shared" si="17"/>
        <v>1.5658486035045112E-3</v>
      </c>
      <c r="AR45" s="299">
        <f t="shared" si="17"/>
        <v>1.4913147678046032E-3</v>
      </c>
      <c r="AS45" s="299">
        <f t="shared" si="10"/>
        <v>1.4411845327017105E-3</v>
      </c>
      <c r="AT45" s="299">
        <f t="shared" si="4"/>
        <v>1.4087192689165829E-3</v>
      </c>
      <c r="AU45" s="299">
        <f t="shared" si="4"/>
        <v>1.3882062763698579E-3</v>
      </c>
      <c r="AV45" s="299">
        <f t="shared" si="4"/>
        <v>1.3754465320326959E-3</v>
      </c>
      <c r="AW45" s="299">
        <f t="shared" si="4"/>
        <v>1.3675866795459855E-3</v>
      </c>
      <c r="AX45" s="299">
        <f t="shared" si="4"/>
        <v>1.3627741898875219E-3</v>
      </c>
      <c r="AY45" s="299">
        <f t="shared" si="4"/>
        <v>1.3598384269023342E-3</v>
      </c>
      <c r="AZ45" s="306">
        <f t="shared" si="18"/>
        <v>0.15005689324413346</v>
      </c>
      <c r="BA45" s="2">
        <f t="shared" si="18"/>
        <v>0.15005689324413346</v>
      </c>
      <c r="BB45" s="2">
        <f t="shared" si="18"/>
        <v>0.15005689324413346</v>
      </c>
      <c r="BC45" s="2">
        <f t="shared" si="18"/>
        <v>0.15005689324413346</v>
      </c>
      <c r="BD45" s="2">
        <f t="shared" si="18"/>
        <v>0.15005689324413346</v>
      </c>
      <c r="BE45" s="2">
        <f t="shared" si="18"/>
        <v>0.14326254209179229</v>
      </c>
      <c r="BF45" s="2">
        <f t="shared" si="18"/>
        <v>0.13947646263299357</v>
      </c>
      <c r="BG45" s="2">
        <f t="shared" si="18"/>
        <v>0.13407478687869975</v>
      </c>
      <c r="BH45" s="2">
        <f t="shared" si="18"/>
        <v>0.12690599976316816</v>
      </c>
      <c r="BI45" s="2">
        <f t="shared" si="18"/>
        <v>0.1182536015587911</v>
      </c>
      <c r="BJ45" s="2">
        <f t="shared" si="18"/>
        <v>0.10893100773210034</v>
      </c>
      <c r="BK45" s="2">
        <f t="shared" si="18"/>
        <v>0.10003792882942231</v>
      </c>
      <c r="BL45" s="2">
        <f t="shared" si="18"/>
        <v>9.2487306373946018E-2</v>
      </c>
      <c r="BM45" s="2">
        <f t="shared" si="18"/>
        <v>8.668504641991466E-2</v>
      </c>
      <c r="BN45" s="2">
        <f t="shared" si="18"/>
        <v>8.2558869091505921E-2</v>
      </c>
      <c r="BO45" s="2">
        <f t="shared" si="11"/>
        <v>7.9783669913750299E-2</v>
      </c>
      <c r="BP45" s="2">
        <f t="shared" si="6"/>
        <v>7.7986399799672854E-2</v>
      </c>
      <c r="BQ45" s="2">
        <f t="shared" si="6"/>
        <v>7.6850804885104165E-2</v>
      </c>
      <c r="BR45" s="2">
        <f t="shared" si="6"/>
        <v>7.614442814619235E-2</v>
      </c>
      <c r="BS45" s="2">
        <f t="shared" si="6"/>
        <v>7.5709308380373805E-2</v>
      </c>
      <c r="BT45" s="2">
        <f t="shared" si="6"/>
        <v>7.5442889974082411E-2</v>
      </c>
      <c r="BU45" s="2">
        <f t="shared" si="6"/>
        <v>7.5280366758185738E-2</v>
      </c>
    </row>
    <row r="46" spans="1:73" x14ac:dyDescent="0.25">
      <c r="A46" t="s">
        <v>21</v>
      </c>
      <c r="B46" s="1" t="s">
        <v>5</v>
      </c>
      <c r="C46" t="s">
        <v>16</v>
      </c>
      <c r="D46" t="s">
        <v>16</v>
      </c>
      <c r="E46" s="97">
        <v>6.5360550000000002</v>
      </c>
      <c r="F46" s="5">
        <f t="shared" si="7"/>
        <v>1.6013334750000004E-2</v>
      </c>
      <c r="G46" s="1">
        <f>LOOKUP(RIGHT(D46,5),Ref!$C$4:$C$21,Ref!$E$4:$E$21)*$G$3</f>
        <v>3</v>
      </c>
      <c r="H46" s="36">
        <f t="shared" si="16"/>
        <v>6.5360550000000002</v>
      </c>
      <c r="I46" s="12">
        <f t="shared" si="16"/>
        <v>6.5360550000000002</v>
      </c>
      <c r="J46" s="12">
        <f t="shared" si="16"/>
        <v>6.5360550000000002</v>
      </c>
      <c r="K46" s="12">
        <f t="shared" si="16"/>
        <v>6.5360550000000002</v>
      </c>
      <c r="L46" s="12">
        <f t="shared" si="16"/>
        <v>6.5360550000000002</v>
      </c>
      <c r="M46" s="12">
        <f t="shared" si="15"/>
        <v>6.8460331155116014</v>
      </c>
      <c r="N46" s="12">
        <f t="shared" si="15"/>
        <v>7.0318682368187488</v>
      </c>
      <c r="O46" s="12">
        <f t="shared" si="15"/>
        <v>7.3151718544972715</v>
      </c>
      <c r="P46" s="12">
        <f t="shared" si="15"/>
        <v>7.728398257002155</v>
      </c>
      <c r="Q46" s="12">
        <f t="shared" si="15"/>
        <v>8.2938709218524647</v>
      </c>
      <c r="R46" s="12">
        <f t="shared" si="15"/>
        <v>9.0036815760014637</v>
      </c>
      <c r="S46" s="12">
        <f t="shared" si="15"/>
        <v>9.8040824999999998</v>
      </c>
      <c r="T46" s="12">
        <f t="shared" si="15"/>
        <v>10.604483423998538</v>
      </c>
      <c r="U46" s="12">
        <f t="shared" si="15"/>
        <v>11.314294078147537</v>
      </c>
      <c r="V46" s="12">
        <f t="shared" si="15"/>
        <v>11.879766742997846</v>
      </c>
      <c r="W46" s="12">
        <f t="shared" si="15"/>
        <v>12.292993145502727</v>
      </c>
      <c r="X46" s="12">
        <f t="shared" si="15"/>
        <v>12.576296763181253</v>
      </c>
      <c r="Y46" s="12">
        <f t="shared" si="15"/>
        <v>12.762131884488399</v>
      </c>
      <c r="Z46" s="12">
        <f t="shared" si="15"/>
        <v>12.880523647636444</v>
      </c>
      <c r="AA46" s="12">
        <f t="shared" si="15"/>
        <v>12.954551142446222</v>
      </c>
      <c r="AB46" s="12">
        <f t="shared" si="15"/>
        <v>13.000298738684599</v>
      </c>
      <c r="AC46" s="12">
        <f t="shared" si="9"/>
        <v>13.028365158252074</v>
      </c>
      <c r="AD46" s="300">
        <f t="shared" si="17"/>
        <v>2.1027358404311562E-3</v>
      </c>
      <c r="AE46" s="299">
        <f t="shared" si="17"/>
        <v>2.1027358404311562E-3</v>
      </c>
      <c r="AF46" s="299">
        <f t="shared" si="17"/>
        <v>2.1027358404311562E-3</v>
      </c>
      <c r="AG46" s="299">
        <f t="shared" si="17"/>
        <v>2.1027358404311562E-3</v>
      </c>
      <c r="AH46" s="299">
        <f t="shared" si="17"/>
        <v>2.1027358404311562E-3</v>
      </c>
      <c r="AI46" s="299">
        <f t="shared" si="17"/>
        <v>2.0075271141165385E-3</v>
      </c>
      <c r="AJ46" s="299">
        <f t="shared" si="17"/>
        <v>1.9544730704093697E-3</v>
      </c>
      <c r="AK46" s="299">
        <f t="shared" si="17"/>
        <v>1.878779798601707E-3</v>
      </c>
      <c r="AL46" s="299">
        <f t="shared" si="17"/>
        <v>1.7783241295927211E-3</v>
      </c>
      <c r="AM46" s="299">
        <f t="shared" si="17"/>
        <v>1.6570787311529053E-3</v>
      </c>
      <c r="AN46" s="299">
        <f t="shared" si="17"/>
        <v>1.5264419323937034E-3</v>
      </c>
      <c r="AO46" s="299">
        <f t="shared" si="17"/>
        <v>1.4018238936207707E-3</v>
      </c>
      <c r="AP46" s="299">
        <f t="shared" si="17"/>
        <v>1.2960175950133255E-3</v>
      </c>
      <c r="AQ46" s="299">
        <f t="shared" si="17"/>
        <v>1.2147109672598741E-3</v>
      </c>
      <c r="AR46" s="299">
        <f t="shared" si="17"/>
        <v>1.1568911579539209E-3</v>
      </c>
      <c r="AS46" s="299">
        <f t="shared" si="10"/>
        <v>1.1180025027962553E-3</v>
      </c>
      <c r="AT46" s="299">
        <f t="shared" si="4"/>
        <v>1.0928174932835102E-3</v>
      </c>
      <c r="AU46" s="299">
        <f t="shared" si="4"/>
        <v>1.076904488052954E-3</v>
      </c>
      <c r="AV46" s="299">
        <f t="shared" si="4"/>
        <v>1.0670060844965095E-3</v>
      </c>
      <c r="AW46" s="299">
        <f t="shared" si="4"/>
        <v>1.0609087842879934E-3</v>
      </c>
      <c r="AX46" s="299">
        <f t="shared" si="4"/>
        <v>1.0571754834089197E-3</v>
      </c>
      <c r="AY46" s="299">
        <f t="shared" si="4"/>
        <v>1.0548980579366217E-3</v>
      </c>
      <c r="AZ46" s="306">
        <f t="shared" si="18"/>
        <v>0.11640700992972332</v>
      </c>
      <c r="BA46" s="2">
        <f t="shared" si="18"/>
        <v>0.11640700992972332</v>
      </c>
      <c r="BB46" s="2">
        <f t="shared" si="18"/>
        <v>0.11640700992972332</v>
      </c>
      <c r="BC46" s="2">
        <f t="shared" si="18"/>
        <v>0.11640700992972332</v>
      </c>
      <c r="BD46" s="2">
        <f t="shared" si="18"/>
        <v>0.11640700992972332</v>
      </c>
      <c r="BE46" s="2">
        <f t="shared" si="18"/>
        <v>0.11113627504405671</v>
      </c>
      <c r="BF46" s="2">
        <f t="shared" si="18"/>
        <v>0.108199214442395</v>
      </c>
      <c r="BG46" s="2">
        <f t="shared" si="18"/>
        <v>0.10400885097709109</v>
      </c>
      <c r="BH46" s="2">
        <f t="shared" si="18"/>
        <v>9.8447646457255497E-2</v>
      </c>
      <c r="BI46" s="2">
        <f t="shared" si="18"/>
        <v>9.1735526927670216E-2</v>
      </c>
      <c r="BJ46" s="2">
        <f t="shared" si="18"/>
        <v>8.4503501469241002E-2</v>
      </c>
      <c r="BK46" s="2">
        <f t="shared" si="18"/>
        <v>7.7604673286482212E-2</v>
      </c>
      <c r="BL46" s="2">
        <f t="shared" si="18"/>
        <v>7.1747259047469342E-2</v>
      </c>
      <c r="BM46" s="2">
        <f t="shared" si="18"/>
        <v>6.7246141388150021E-2</v>
      </c>
      <c r="BN46" s="2">
        <f t="shared" si="18"/>
        <v>6.4045249014226008E-2</v>
      </c>
      <c r="BO46" s="2">
        <f t="shared" si="11"/>
        <v>6.189238131679628E-2</v>
      </c>
      <c r="BP46" s="2">
        <f t="shared" si="6"/>
        <v>6.0498144534381827E-2</v>
      </c>
      <c r="BQ46" s="2">
        <f t="shared" si="6"/>
        <v>5.9617203941527676E-2</v>
      </c>
      <c r="BR46" s="2">
        <f t="shared" si="6"/>
        <v>5.9069230421065308E-2</v>
      </c>
      <c r="BS46" s="2">
        <f t="shared" si="6"/>
        <v>5.873168517535738E-2</v>
      </c>
      <c r="BT46" s="2">
        <f t="shared" si="6"/>
        <v>5.8525010430891193E-2</v>
      </c>
      <c r="BU46" s="2">
        <f t="shared" si="6"/>
        <v>5.8398932640010129E-2</v>
      </c>
    </row>
    <row r="47" spans="1:73" x14ac:dyDescent="0.25">
      <c r="A47" t="s">
        <v>21</v>
      </c>
      <c r="B47" s="1" t="s">
        <v>5</v>
      </c>
      <c r="C47" t="s">
        <v>17</v>
      </c>
      <c r="D47" t="s">
        <v>17</v>
      </c>
      <c r="E47" s="97">
        <v>5.7359749999999998</v>
      </c>
      <c r="F47" s="5">
        <f t="shared" si="7"/>
        <v>1.4053138749999999E-2</v>
      </c>
      <c r="G47" s="1">
        <f>LOOKUP(RIGHT(D47,5),Ref!$C$4:$C$21,Ref!$E$4:$E$21)*$G$3</f>
        <v>3</v>
      </c>
      <c r="H47" s="36">
        <f t="shared" si="16"/>
        <v>5.7359749999999998</v>
      </c>
      <c r="I47" s="12">
        <f t="shared" si="16"/>
        <v>5.7359749999999998</v>
      </c>
      <c r="J47" s="12">
        <f t="shared" si="16"/>
        <v>5.7359749999999998</v>
      </c>
      <c r="K47" s="12">
        <f t="shared" si="16"/>
        <v>5.7359749999999998</v>
      </c>
      <c r="L47" s="12">
        <f t="shared" si="16"/>
        <v>5.7359749999999998</v>
      </c>
      <c r="M47" s="12">
        <f t="shared" si="15"/>
        <v>6.008008622899693</v>
      </c>
      <c r="N47" s="12">
        <f t="shared" si="15"/>
        <v>6.1710956241473518</v>
      </c>
      <c r="O47" s="12">
        <f t="shared" si="15"/>
        <v>6.4197199806458158</v>
      </c>
      <c r="P47" s="12">
        <f t="shared" si="15"/>
        <v>6.7823632439151647</v>
      </c>
      <c r="Q47" s="12">
        <f t="shared" si="15"/>
        <v>7.2786162694427583</v>
      </c>
      <c r="R47" s="12">
        <f t="shared" si="15"/>
        <v>7.9015388377094427</v>
      </c>
      <c r="S47" s="12">
        <f t="shared" si="15"/>
        <v>8.6039624999999997</v>
      </c>
      <c r="T47" s="12">
        <f t="shared" si="15"/>
        <v>9.3063861622905577</v>
      </c>
      <c r="U47" s="12">
        <f t="shared" si="15"/>
        <v>9.9293087305572421</v>
      </c>
      <c r="V47" s="12">
        <f t="shared" si="15"/>
        <v>10.425561756084836</v>
      </c>
      <c r="W47" s="12">
        <f t="shared" si="15"/>
        <v>10.788205019354182</v>
      </c>
      <c r="X47" s="12">
        <f t="shared" si="15"/>
        <v>11.036829375852648</v>
      </c>
      <c r="Y47" s="12">
        <f t="shared" si="15"/>
        <v>11.199916377100307</v>
      </c>
      <c r="Z47" s="12">
        <f t="shared" si="15"/>
        <v>11.30381577721599</v>
      </c>
      <c r="AA47" s="12">
        <f t="shared" si="15"/>
        <v>11.368781549312692</v>
      </c>
      <c r="AB47" s="12">
        <f t="shared" si="15"/>
        <v>11.408929171744484</v>
      </c>
      <c r="AC47" s="12">
        <f t="shared" si="9"/>
        <v>11.433559974419575</v>
      </c>
      <c r="AD47" s="300">
        <f t="shared" si="17"/>
        <v>2.3960350426090178E-3</v>
      </c>
      <c r="AE47" s="299">
        <f t="shared" si="17"/>
        <v>2.3960350426090178E-3</v>
      </c>
      <c r="AF47" s="299">
        <f t="shared" si="17"/>
        <v>2.3960350426090178E-3</v>
      </c>
      <c r="AG47" s="299">
        <f t="shared" si="17"/>
        <v>2.3960350426090178E-3</v>
      </c>
      <c r="AH47" s="299">
        <f t="shared" si="17"/>
        <v>2.3960350426090178E-3</v>
      </c>
      <c r="AI47" s="299">
        <f t="shared" si="17"/>
        <v>2.2875461681504841E-3</v>
      </c>
      <c r="AJ47" s="299">
        <f t="shared" si="17"/>
        <v>2.2270919040293085E-3</v>
      </c>
      <c r="AK47" s="299">
        <f t="shared" si="17"/>
        <v>2.1408405888361927E-3</v>
      </c>
      <c r="AL47" s="299">
        <f t="shared" si="17"/>
        <v>2.0263729041436118E-3</v>
      </c>
      <c r="AM47" s="299">
        <f t="shared" si="17"/>
        <v>1.8882156435733426E-3</v>
      </c>
      <c r="AN47" s="299">
        <f t="shared" si="17"/>
        <v>1.7393570272589277E-3</v>
      </c>
      <c r="AO47" s="299">
        <f t="shared" si="17"/>
        <v>1.5973566950726785E-3</v>
      </c>
      <c r="AP47" s="299">
        <f t="shared" si="17"/>
        <v>1.476792050518843E-3</v>
      </c>
      <c r="AQ47" s="299">
        <f t="shared" si="17"/>
        <v>1.3841444028458521E-3</v>
      </c>
      <c r="AR47" s="299">
        <f t="shared" si="17"/>
        <v>1.3182596223659474E-3</v>
      </c>
      <c r="AS47" s="299">
        <f t="shared" si="10"/>
        <v>1.2739465999091662E-3</v>
      </c>
      <c r="AT47" s="299">
        <f t="shared" si="4"/>
        <v>1.2452486702022156E-3</v>
      </c>
      <c r="AU47" s="299">
        <f t="shared" si="4"/>
        <v>1.2271160462974384E-3</v>
      </c>
      <c r="AV47" s="299">
        <f t="shared" si="4"/>
        <v>1.2158369681882911E-3</v>
      </c>
      <c r="AW47" s="299">
        <f t="shared" si="4"/>
        <v>1.2088891886888387E-3</v>
      </c>
      <c r="AX47" s="299">
        <f t="shared" si="4"/>
        <v>1.2046351499461357E-3</v>
      </c>
      <c r="AY47" s="299">
        <f t="shared" si="4"/>
        <v>1.2020400587636707E-3</v>
      </c>
      <c r="AZ47" s="306">
        <f t="shared" si="18"/>
        <v>0.13264399152475695</v>
      </c>
      <c r="BA47" s="2">
        <f t="shared" si="18"/>
        <v>0.13264399152475695</v>
      </c>
      <c r="BB47" s="2">
        <f t="shared" si="18"/>
        <v>0.13264399152475695</v>
      </c>
      <c r="BC47" s="2">
        <f t="shared" si="18"/>
        <v>0.13264399152475695</v>
      </c>
      <c r="BD47" s="2">
        <f t="shared" si="18"/>
        <v>0.13264399152475695</v>
      </c>
      <c r="BE47" s="2">
        <f t="shared" si="18"/>
        <v>0.12663807045586534</v>
      </c>
      <c r="BF47" s="2">
        <f t="shared" si="18"/>
        <v>0.12329133522239689</v>
      </c>
      <c r="BG47" s="2">
        <f t="shared" si="18"/>
        <v>0.11851648071567102</v>
      </c>
      <c r="BH47" s="2">
        <f t="shared" si="18"/>
        <v>0.11217957398091469</v>
      </c>
      <c r="BI47" s="2">
        <f t="shared" si="18"/>
        <v>0.10453121735245248</v>
      </c>
      <c r="BJ47" s="2">
        <f t="shared" si="18"/>
        <v>9.6290435940801694E-2</v>
      </c>
      <c r="BK47" s="2">
        <f t="shared" si="18"/>
        <v>8.8429327683171299E-2</v>
      </c>
      <c r="BL47" s="2">
        <f t="shared" si="18"/>
        <v>8.1754894544259216E-2</v>
      </c>
      <c r="BM47" s="2">
        <f t="shared" si="18"/>
        <v>7.6625940428737035E-2</v>
      </c>
      <c r="BN47" s="2">
        <f t="shared" si="18"/>
        <v>7.2978572961994601E-2</v>
      </c>
      <c r="BO47" s="2">
        <f t="shared" si="11"/>
        <v>7.0525413441926255E-2</v>
      </c>
      <c r="BP47" s="2">
        <f t="shared" si="6"/>
        <v>6.8936702142995576E-2</v>
      </c>
      <c r="BQ47" s="2">
        <f t="shared" si="6"/>
        <v>6.7932883931335411E-2</v>
      </c>
      <c r="BR47" s="2">
        <f t="shared" si="6"/>
        <v>6.7308476560611938E-2</v>
      </c>
      <c r="BS47" s="2">
        <f t="shared" si="6"/>
        <v>6.6923848961827848E-2</v>
      </c>
      <c r="BT47" s="2">
        <f t="shared" si="6"/>
        <v>6.6688346279730734E-2</v>
      </c>
      <c r="BU47" s="2">
        <f t="shared" si="6"/>
        <v>6.6544682582542883E-2</v>
      </c>
    </row>
    <row r="48" spans="1:73" x14ac:dyDescent="0.25">
      <c r="A48" t="s">
        <v>21</v>
      </c>
      <c r="B48" s="1" t="s">
        <v>5</v>
      </c>
      <c r="C48" t="s">
        <v>18</v>
      </c>
      <c r="D48" t="s">
        <v>18</v>
      </c>
      <c r="E48" s="97">
        <v>5.1578150000000003</v>
      </c>
      <c r="F48" s="5">
        <f t="shared" si="7"/>
        <v>1.2636646750000001E-2</v>
      </c>
      <c r="G48" s="1">
        <f>LOOKUP(RIGHT(D48,5),Ref!$C$4:$C$21,Ref!$E$4:$E$21)*$G$3</f>
        <v>3</v>
      </c>
      <c r="H48" s="36">
        <f t="shared" si="16"/>
        <v>5.1578150000000003</v>
      </c>
      <c r="I48" s="12">
        <f t="shared" si="16"/>
        <v>5.1578150000000003</v>
      </c>
      <c r="J48" s="12">
        <f t="shared" si="16"/>
        <v>5.1578150000000003</v>
      </c>
      <c r="K48" s="12">
        <f t="shared" si="16"/>
        <v>5.1578150000000003</v>
      </c>
      <c r="L48" s="12">
        <f t="shared" si="16"/>
        <v>5.1578150000000003</v>
      </c>
      <c r="M48" s="12">
        <f t="shared" si="15"/>
        <v>5.4024288800633515</v>
      </c>
      <c r="N48" s="12">
        <f t="shared" si="15"/>
        <v>5.5490774587862699</v>
      </c>
      <c r="O48" s="12">
        <f t="shared" si="15"/>
        <v>5.7726416192495087</v>
      </c>
      <c r="P48" s="12">
        <f t="shared" si="15"/>
        <v>6.0987321030712822</v>
      </c>
      <c r="Q48" s="12">
        <f t="shared" si="15"/>
        <v>6.5449650972634821</v>
      </c>
      <c r="R48" s="12">
        <f t="shared" si="15"/>
        <v>7.1050999246371074</v>
      </c>
      <c r="S48" s="12">
        <f t="shared" si="15"/>
        <v>7.7367225000000008</v>
      </c>
      <c r="T48" s="12">
        <f t="shared" si="15"/>
        <v>8.3683450753628943</v>
      </c>
      <c r="U48" s="12">
        <f t="shared" si="15"/>
        <v>8.9284799027365178</v>
      </c>
      <c r="V48" s="12">
        <f t="shared" si="15"/>
        <v>9.3747128969287186</v>
      </c>
      <c r="W48" s="12">
        <f t="shared" si="15"/>
        <v>9.7008033807504912</v>
      </c>
      <c r="X48" s="12">
        <f t="shared" si="15"/>
        <v>9.92436754121373</v>
      </c>
      <c r="Y48" s="12">
        <f t="shared" si="15"/>
        <v>10.071016119936649</v>
      </c>
      <c r="Z48" s="12">
        <f t="shared" si="15"/>
        <v>10.164442936547195</v>
      </c>
      <c r="AA48" s="12">
        <f t="shared" si="15"/>
        <v>10.222860456464375</v>
      </c>
      <c r="AB48" s="12">
        <f t="shared" si="15"/>
        <v>10.258961382495787</v>
      </c>
      <c r="AC48" s="12">
        <f t="shared" si="9"/>
        <v>10.281109513109961</v>
      </c>
      <c r="AD48" s="300">
        <f t="shared" si="17"/>
        <v>2.6646161414337773E-3</v>
      </c>
      <c r="AE48" s="299">
        <f t="shared" si="17"/>
        <v>2.6646161414337773E-3</v>
      </c>
      <c r="AF48" s="299">
        <f t="shared" si="17"/>
        <v>2.6646161414337773E-3</v>
      </c>
      <c r="AG48" s="299">
        <f t="shared" si="17"/>
        <v>2.6646161414337773E-3</v>
      </c>
      <c r="AH48" s="299">
        <f t="shared" si="17"/>
        <v>2.6646161414337773E-3</v>
      </c>
      <c r="AI48" s="299">
        <f t="shared" si="17"/>
        <v>2.5439663174923821E-3</v>
      </c>
      <c r="AJ48" s="299">
        <f t="shared" si="17"/>
        <v>2.4767354944321409E-3</v>
      </c>
      <c r="AK48" s="299">
        <f t="shared" si="17"/>
        <v>2.3808159262303282E-3</v>
      </c>
      <c r="AL48" s="299">
        <f t="shared" si="17"/>
        <v>2.253517103433363E-3</v>
      </c>
      <c r="AM48" s="299">
        <f t="shared" si="17"/>
        <v>2.0998732459666745E-3</v>
      </c>
      <c r="AN48" s="299">
        <f t="shared" si="17"/>
        <v>1.9343284752228469E-3</v>
      </c>
      <c r="AO48" s="299">
        <f t="shared" si="17"/>
        <v>1.7764107609558515E-3</v>
      </c>
      <c r="AP48" s="299">
        <f t="shared" si="17"/>
        <v>1.6423315458144233E-3</v>
      </c>
      <c r="AQ48" s="299">
        <f t="shared" si="17"/>
        <v>1.5392986547818673E-3</v>
      </c>
      <c r="AR48" s="299">
        <f t="shared" si="17"/>
        <v>1.4660285871828508E-3</v>
      </c>
      <c r="AS48" s="299">
        <f t="shared" si="10"/>
        <v>1.4167483417714629E-3</v>
      </c>
      <c r="AT48" s="299">
        <f t="shared" si="4"/>
        <v>1.3848335469696285E-3</v>
      </c>
      <c r="AU48" s="299">
        <f t="shared" si="4"/>
        <v>1.3646683651237878E-3</v>
      </c>
      <c r="AV48" s="299">
        <f t="shared" si="4"/>
        <v>1.352124970283702E-3</v>
      </c>
      <c r="AW48" s="299">
        <f t="shared" ref="AW48:AY111" si="19">Algae_electricity_factor/AA48</f>
        <v>1.3443983865434224E-3</v>
      </c>
      <c r="AX48" s="299">
        <f t="shared" si="19"/>
        <v>1.3396674956764223E-3</v>
      </c>
      <c r="AY48" s="299">
        <f t="shared" si="19"/>
        <v>1.3367815104006146E-3</v>
      </c>
      <c r="AZ48" s="306">
        <f t="shared" si="18"/>
        <v>0.14751258416329738</v>
      </c>
      <c r="BA48" s="2">
        <f t="shared" si="18"/>
        <v>0.14751258416329738</v>
      </c>
      <c r="BB48" s="2">
        <f t="shared" si="18"/>
        <v>0.14751258416329738</v>
      </c>
      <c r="BC48" s="2">
        <f t="shared" si="18"/>
        <v>0.14751258416329738</v>
      </c>
      <c r="BD48" s="2">
        <f t="shared" si="18"/>
        <v>0.14751258416329738</v>
      </c>
      <c r="BE48" s="2">
        <f t="shared" si="18"/>
        <v>0.14083343551156488</v>
      </c>
      <c r="BF48" s="2">
        <f t="shared" si="18"/>
        <v>0.13711155141320269</v>
      </c>
      <c r="BG48" s="2">
        <f t="shared" si="18"/>
        <v>0.13180146447150023</v>
      </c>
      <c r="BH48" s="2">
        <f t="shared" si="18"/>
        <v>0.12475422865402833</v>
      </c>
      <c r="BI48" s="2">
        <f t="shared" si="18"/>
        <v>0.11624853730760673</v>
      </c>
      <c r="BJ48" s="2">
        <f t="shared" si="18"/>
        <v>0.10708401392751388</v>
      </c>
      <c r="BK48" s="2">
        <f t="shared" si="18"/>
        <v>9.834172277553159E-2</v>
      </c>
      <c r="BL48" s="2">
        <f t="shared" si="18"/>
        <v>9.0919125876656529E-2</v>
      </c>
      <c r="BM48" s="2">
        <f t="shared" si="18"/>
        <v>8.5215246892477711E-2</v>
      </c>
      <c r="BN48" s="2">
        <f t="shared" si="18"/>
        <v>8.115903149796512E-2</v>
      </c>
      <c r="BO48" s="2">
        <f t="shared" si="11"/>
        <v>7.8430887569165025E-2</v>
      </c>
      <c r="BP48" s="2">
        <f t="shared" si="6"/>
        <v>7.6664091301194212E-2</v>
      </c>
      <c r="BQ48" s="2">
        <f t="shared" si="6"/>
        <v>7.5547751113221706E-2</v>
      </c>
      <c r="BR48" s="2">
        <f t="shared" si="6"/>
        <v>7.4853351436559079E-2</v>
      </c>
      <c r="BS48" s="2">
        <f t="shared" ref="BS48:BU111" si="20">Algae_yield_cost_factor/AA48</f>
        <v>7.4425609400263576E-2</v>
      </c>
      <c r="BT48" s="2">
        <f t="shared" si="20"/>
        <v>7.41637082857525E-2</v>
      </c>
      <c r="BU48" s="2">
        <f t="shared" si="20"/>
        <v>7.400394075328437E-2</v>
      </c>
    </row>
    <row r="49" spans="1:73" x14ac:dyDescent="0.25">
      <c r="A49" t="s">
        <v>21</v>
      </c>
      <c r="B49" s="1" t="s">
        <v>5</v>
      </c>
      <c r="C49" t="s">
        <v>6</v>
      </c>
      <c r="D49" t="s">
        <v>6</v>
      </c>
      <c r="E49" s="97">
        <v>7.0842850000000004</v>
      </c>
      <c r="F49" s="5">
        <f t="shared" si="7"/>
        <v>1.7356498250000001E-2</v>
      </c>
      <c r="G49" s="1">
        <f>LOOKUP(RIGHT(D49,5),Ref!$C$4:$C$21,Ref!$E$4:$E$21)*$G$3</f>
        <v>3</v>
      </c>
      <c r="H49" s="36">
        <f t="shared" si="16"/>
        <v>7.0842850000000004</v>
      </c>
      <c r="I49" s="12">
        <f t="shared" si="16"/>
        <v>7.0842850000000004</v>
      </c>
      <c r="J49" s="12">
        <f t="shared" si="16"/>
        <v>7.0842850000000004</v>
      </c>
      <c r="K49" s="12">
        <f t="shared" si="16"/>
        <v>7.0842850000000004</v>
      </c>
      <c r="L49" s="12">
        <f t="shared" si="16"/>
        <v>7.0842850000000004</v>
      </c>
      <c r="M49" s="12">
        <f t="shared" si="15"/>
        <v>7.420263401963739</v>
      </c>
      <c r="N49" s="12">
        <f t="shared" si="15"/>
        <v>7.6216859668517953</v>
      </c>
      <c r="O49" s="12">
        <f t="shared" si="15"/>
        <v>7.9287524724374574</v>
      </c>
      <c r="P49" s="12">
        <f t="shared" si="15"/>
        <v>8.3766394019185135</v>
      </c>
      <c r="Q49" s="12">
        <f t="shared" si="15"/>
        <v>8.989542677290137</v>
      </c>
      <c r="R49" s="12">
        <f t="shared" si="15"/>
        <v>9.7588906968566711</v>
      </c>
      <c r="S49" s="12">
        <f t="shared" si="15"/>
        <v>10.6264275</v>
      </c>
      <c r="T49" s="12">
        <f t="shared" si="15"/>
        <v>11.493964303143331</v>
      </c>
      <c r="U49" s="12">
        <f t="shared" si="15"/>
        <v>12.263312322709863</v>
      </c>
      <c r="V49" s="12">
        <f t="shared" si="15"/>
        <v>12.876215598081487</v>
      </c>
      <c r="W49" s="12">
        <f t="shared" si="15"/>
        <v>13.324102527562541</v>
      </c>
      <c r="X49" s="12">
        <f t="shared" si="15"/>
        <v>13.631169033148206</v>
      </c>
      <c r="Y49" s="12">
        <f t="shared" si="15"/>
        <v>13.832591598036263</v>
      </c>
      <c r="Z49" s="12">
        <f t="shared" si="15"/>
        <v>13.960913803371628</v>
      </c>
      <c r="AA49" s="12">
        <f t="shared" si="15"/>
        <v>14.041150562558705</v>
      </c>
      <c r="AB49" s="12">
        <f t="shared" si="15"/>
        <v>14.09073536712623</v>
      </c>
      <c r="AC49" s="12">
        <f t="shared" si="9"/>
        <v>14.121155936589854</v>
      </c>
      <c r="AD49" s="300">
        <f t="shared" si="17"/>
        <v>1.9400118859601581E-3</v>
      </c>
      <c r="AE49" s="299">
        <f t="shared" si="17"/>
        <v>1.9400118859601581E-3</v>
      </c>
      <c r="AF49" s="299">
        <f t="shared" si="17"/>
        <v>1.9400118859601581E-3</v>
      </c>
      <c r="AG49" s="299">
        <f t="shared" si="17"/>
        <v>1.9400118859601581E-3</v>
      </c>
      <c r="AH49" s="299">
        <f t="shared" si="17"/>
        <v>1.9400118859601581E-3</v>
      </c>
      <c r="AI49" s="299">
        <f t="shared" si="17"/>
        <v>1.852171056339062E-3</v>
      </c>
      <c r="AJ49" s="299">
        <f t="shared" si="17"/>
        <v>1.8032226942047802E-3</v>
      </c>
      <c r="AK49" s="299">
        <f t="shared" si="17"/>
        <v>1.7333870809192007E-3</v>
      </c>
      <c r="AL49" s="299">
        <f t="shared" si="17"/>
        <v>1.6407053526001781E-3</v>
      </c>
      <c r="AM49" s="299">
        <f t="shared" si="17"/>
        <v>1.5288427450541025E-3</v>
      </c>
      <c r="AN49" s="299">
        <f t="shared" si="17"/>
        <v>1.408315507412749E-3</v>
      </c>
      <c r="AO49" s="299">
        <f t="shared" si="17"/>
        <v>1.2933412573067722E-3</v>
      </c>
      <c r="AP49" s="299">
        <f t="shared" si="17"/>
        <v>1.1957229673812983E-3</v>
      </c>
      <c r="AQ49" s="299">
        <f t="shared" si="17"/>
        <v>1.1207083976878028E-3</v>
      </c>
      <c r="AR49" s="299">
        <f t="shared" si="17"/>
        <v>1.0673630772054647E-3</v>
      </c>
      <c r="AS49" s="299">
        <f t="shared" si="10"/>
        <v>1.0314838898228937E-3</v>
      </c>
      <c r="AT49" s="299">
        <f t="shared" si="10"/>
        <v>1.0082478670837146E-3</v>
      </c>
      <c r="AU49" s="299">
        <f t="shared" si="10"/>
        <v>9.9356631807739925E-4</v>
      </c>
      <c r="AV49" s="299">
        <f t="shared" si="10"/>
        <v>9.8443392009268872E-4</v>
      </c>
      <c r="AW49" s="299">
        <f t="shared" si="19"/>
        <v>9.7880847030991282E-4</v>
      </c>
      <c r="AX49" s="299">
        <f t="shared" si="19"/>
        <v>9.7536407756213732E-4</v>
      </c>
      <c r="AY49" s="299">
        <f t="shared" si="19"/>
        <v>9.7326289471230264E-4</v>
      </c>
      <c r="AZ49" s="306">
        <f t="shared" si="18"/>
        <v>0.10739864633992248</v>
      </c>
      <c r="BA49" s="2">
        <f t="shared" si="18"/>
        <v>0.10739864633992248</v>
      </c>
      <c r="BB49" s="2">
        <f t="shared" si="18"/>
        <v>0.10739864633992248</v>
      </c>
      <c r="BC49" s="2">
        <f t="shared" si="18"/>
        <v>0.10739864633992248</v>
      </c>
      <c r="BD49" s="2">
        <f t="shared" si="18"/>
        <v>0.10739864633992248</v>
      </c>
      <c r="BE49" s="2">
        <f t="shared" si="18"/>
        <v>0.10253579665175555</v>
      </c>
      <c r="BF49" s="2">
        <f t="shared" si="18"/>
        <v>9.982602571075104E-2</v>
      </c>
      <c r="BG49" s="2">
        <f t="shared" si="18"/>
        <v>9.5959940978245659E-2</v>
      </c>
      <c r="BH49" s="2">
        <f t="shared" si="18"/>
        <v>9.0829100165391016E-2</v>
      </c>
      <c r="BI49" s="2">
        <f t="shared" si="18"/>
        <v>8.4636409948672817E-2</v>
      </c>
      <c r="BJ49" s="2">
        <f t="shared" si="18"/>
        <v>7.7964047648498042E-2</v>
      </c>
      <c r="BK49" s="2">
        <f t="shared" si="18"/>
        <v>7.1599097559948324E-2</v>
      </c>
      <c r="BL49" s="2">
        <f t="shared" si="18"/>
        <v>6.6194969744089519E-2</v>
      </c>
      <c r="BM49" s="2">
        <f t="shared" si="18"/>
        <v>6.204217908380661E-2</v>
      </c>
      <c r="BN49" s="2">
        <f t="shared" si="18"/>
        <v>5.9088993461679902E-2</v>
      </c>
      <c r="BO49" s="2">
        <f t="shared" si="11"/>
        <v>5.7102729261676081E-2</v>
      </c>
      <c r="BP49" s="2">
        <f t="shared" si="11"/>
        <v>5.5816387973474955E-2</v>
      </c>
      <c r="BQ49" s="2">
        <f t="shared" si="11"/>
        <v>5.5003620535882113E-2</v>
      </c>
      <c r="BR49" s="2">
        <f t="shared" si="11"/>
        <v>5.4498052921326007E-2</v>
      </c>
      <c r="BS49" s="2">
        <f t="shared" si="20"/>
        <v>5.4186629215061288E-2</v>
      </c>
      <c r="BT49" s="2">
        <f t="shared" si="20"/>
        <v>5.3995948363438018E-2</v>
      </c>
      <c r="BU49" s="2">
        <f t="shared" si="20"/>
        <v>5.3879627326738178E-2</v>
      </c>
    </row>
    <row r="50" spans="1:73" x14ac:dyDescent="0.25">
      <c r="A50" t="s">
        <v>21</v>
      </c>
      <c r="B50" s="1" t="s">
        <v>5</v>
      </c>
      <c r="C50" t="s">
        <v>9</v>
      </c>
      <c r="D50" t="s">
        <v>9</v>
      </c>
      <c r="E50" s="97">
        <v>6.4502800000000002</v>
      </c>
      <c r="F50" s="5">
        <f t="shared" si="7"/>
        <v>1.5803186E-2</v>
      </c>
      <c r="G50" s="1">
        <f>LOOKUP(RIGHT(D50,5),Ref!$C$4:$C$21,Ref!$E$4:$E$21)*$G$3</f>
        <v>4.5</v>
      </c>
      <c r="H50" s="36">
        <f t="shared" si="16"/>
        <v>6.4502800000000002</v>
      </c>
      <c r="I50" s="12">
        <f t="shared" si="16"/>
        <v>6.4502800000000002</v>
      </c>
      <c r="J50" s="12">
        <f t="shared" si="16"/>
        <v>6.4502800000000002</v>
      </c>
      <c r="K50" s="12">
        <f t="shared" si="16"/>
        <v>6.4502800000000002</v>
      </c>
      <c r="L50" s="12">
        <f t="shared" si="16"/>
        <v>6.4502800000000002</v>
      </c>
      <c r="M50" s="12">
        <f t="shared" si="15"/>
        <v>6.7561901612397959</v>
      </c>
      <c r="N50" s="12">
        <f t="shared" si="15"/>
        <v>6.9395865014274261</v>
      </c>
      <c r="O50" s="12">
        <f t="shared" si="15"/>
        <v>7.2191722238608245</v>
      </c>
      <c r="P50" s="12">
        <f t="shared" si="15"/>
        <v>7.6269757076976648</v>
      </c>
      <c r="Q50" s="12">
        <f t="shared" si="15"/>
        <v>8.1850274714344522</v>
      </c>
      <c r="R50" s="12">
        <f t="shared" si="15"/>
        <v>8.8855230251353028</v>
      </c>
      <c r="S50" s="12">
        <f t="shared" si="15"/>
        <v>9.6754200000000008</v>
      </c>
      <c r="T50" s="12">
        <f t="shared" si="15"/>
        <v>10.465316974864699</v>
      </c>
      <c r="U50" s="12">
        <f t="shared" si="15"/>
        <v>11.165812528565548</v>
      </c>
      <c r="V50" s="12">
        <f t="shared" si="15"/>
        <v>11.723864292302336</v>
      </c>
      <c r="W50" s="12">
        <f t="shared" si="15"/>
        <v>12.131667776139174</v>
      </c>
      <c r="X50" s="12">
        <f t="shared" si="15"/>
        <v>12.411253498572574</v>
      </c>
      <c r="Y50" s="12">
        <f t="shared" si="15"/>
        <v>12.594649838760205</v>
      </c>
      <c r="Z50" s="12">
        <f t="shared" si="15"/>
        <v>12.711487904229143</v>
      </c>
      <c r="AA50" s="12">
        <f t="shared" si="15"/>
        <v>12.78454390960572</v>
      </c>
      <c r="AB50" s="12">
        <f t="shared" si="15"/>
        <v>12.829691143688738</v>
      </c>
      <c r="AC50" s="12">
        <f t="shared" si="9"/>
        <v>12.857389237540104</v>
      </c>
      <c r="AD50" s="300">
        <f t="shared" si="17"/>
        <v>2.1306977532028469E-3</v>
      </c>
      <c r="AE50" s="299">
        <f t="shared" si="17"/>
        <v>2.1306977532028469E-3</v>
      </c>
      <c r="AF50" s="299">
        <f t="shared" si="17"/>
        <v>2.1306977532028469E-3</v>
      </c>
      <c r="AG50" s="299">
        <f t="shared" si="17"/>
        <v>2.1306977532028469E-3</v>
      </c>
      <c r="AH50" s="299">
        <f t="shared" si="17"/>
        <v>2.1306977532028469E-3</v>
      </c>
      <c r="AI50" s="299">
        <f t="shared" si="17"/>
        <v>2.0342229534000031E-3</v>
      </c>
      <c r="AJ50" s="299">
        <f t="shared" si="17"/>
        <v>1.980463403792473E-3</v>
      </c>
      <c r="AK50" s="299">
        <f t="shared" si="17"/>
        <v>1.903763572519283E-3</v>
      </c>
      <c r="AL50" s="299">
        <f t="shared" si="17"/>
        <v>1.8019720568479434E-3</v>
      </c>
      <c r="AM50" s="299">
        <f t="shared" si="17"/>
        <v>1.6791143525778113E-3</v>
      </c>
      <c r="AN50" s="299">
        <f t="shared" si="17"/>
        <v>1.5467403623457474E-3</v>
      </c>
      <c r="AO50" s="299">
        <f t="shared" si="17"/>
        <v>1.4204651688018979E-3</v>
      </c>
      <c r="AP50" s="299">
        <f t="shared" si="17"/>
        <v>1.313251871542758E-3</v>
      </c>
      <c r="AQ50" s="299">
        <f t="shared" si="17"/>
        <v>1.2308640386330108E-3</v>
      </c>
      <c r="AR50" s="299">
        <f t="shared" si="17"/>
        <v>1.1722753488841594E-3</v>
      </c>
      <c r="AS50" s="299">
        <f t="shared" si="10"/>
        <v>1.1328695573547161E-3</v>
      </c>
      <c r="AT50" s="299">
        <f t="shared" si="10"/>
        <v>1.1073496408005783E-3</v>
      </c>
      <c r="AU50" s="299">
        <f t="shared" si="10"/>
        <v>1.0912250264579135E-3</v>
      </c>
      <c r="AV50" s="299">
        <f t="shared" si="10"/>
        <v>1.0811949951946012E-3</v>
      </c>
      <c r="AW50" s="299">
        <f t="shared" si="19"/>
        <v>1.0750166138662914E-3</v>
      </c>
      <c r="AX50" s="299">
        <f t="shared" si="19"/>
        <v>1.0712336680287191E-3</v>
      </c>
      <c r="AY50" s="299">
        <f t="shared" si="19"/>
        <v>1.0689259576432257E-3</v>
      </c>
      <c r="AZ50" s="306">
        <f t="shared" si="18"/>
        <v>0.11795497548729943</v>
      </c>
      <c r="BA50" s="2">
        <f t="shared" si="18"/>
        <v>0.11795497548729943</v>
      </c>
      <c r="BB50" s="2">
        <f t="shared" si="18"/>
        <v>0.11795497548729943</v>
      </c>
      <c r="BC50" s="2">
        <f t="shared" si="18"/>
        <v>0.11795497548729943</v>
      </c>
      <c r="BD50" s="2">
        <f t="shared" si="18"/>
        <v>0.11795497548729943</v>
      </c>
      <c r="BE50" s="2">
        <f t="shared" si="18"/>
        <v>0.11261415104198298</v>
      </c>
      <c r="BF50" s="2">
        <f t="shared" si="18"/>
        <v>0.1096380337833843</v>
      </c>
      <c r="BG50" s="2">
        <f t="shared" si="18"/>
        <v>0.10539194739965879</v>
      </c>
      <c r="BH50" s="2">
        <f t="shared" si="18"/>
        <v>9.9756790692059422E-2</v>
      </c>
      <c r="BI50" s="2">
        <f t="shared" si="18"/>
        <v>9.2955414253836049E-2</v>
      </c>
      <c r="BJ50" s="2">
        <f t="shared" si="18"/>
        <v>8.5627218244097927E-2</v>
      </c>
      <c r="BK50" s="2">
        <f t="shared" si="18"/>
        <v>7.8636650324866275E-2</v>
      </c>
      <c r="BL50" s="2">
        <f t="shared" si="18"/>
        <v>7.2701344939058027E-2</v>
      </c>
      <c r="BM50" s="2">
        <f t="shared" si="18"/>
        <v>6.8140371991715853E-2</v>
      </c>
      <c r="BN50" s="2">
        <f t="shared" si="18"/>
        <v>6.4896914559627955E-2</v>
      </c>
      <c r="BO50" s="2">
        <f t="shared" si="11"/>
        <v>6.2715418302391981E-2</v>
      </c>
      <c r="BP50" s="2">
        <f t="shared" si="11"/>
        <v>6.1302641137232654E-2</v>
      </c>
      <c r="BQ50" s="2">
        <f t="shared" si="11"/>
        <v>6.0409985908835222E-2</v>
      </c>
      <c r="BR50" s="2">
        <f t="shared" si="11"/>
        <v>5.9854725506451809E-2</v>
      </c>
      <c r="BS50" s="2">
        <f t="shared" si="20"/>
        <v>5.9512691627157346E-2</v>
      </c>
      <c r="BT50" s="2">
        <f t="shared" si="20"/>
        <v>5.9303268548323261E-2</v>
      </c>
      <c r="BU50" s="2">
        <f t="shared" si="20"/>
        <v>5.9175514191074093E-2</v>
      </c>
    </row>
    <row r="51" spans="1:73" x14ac:dyDescent="0.25">
      <c r="A51" t="s">
        <v>46</v>
      </c>
      <c r="B51" s="1" t="s">
        <v>5</v>
      </c>
      <c r="C51" t="s">
        <v>6</v>
      </c>
      <c r="D51" t="s">
        <v>6</v>
      </c>
      <c r="E51" s="97">
        <v>5.3530899999999999</v>
      </c>
      <c r="F51" s="5">
        <f t="shared" si="7"/>
        <v>1.3115070500000001E-2</v>
      </c>
      <c r="G51" s="1">
        <f>LOOKUP(RIGHT(D51,5),Ref!$C$4:$C$21,Ref!$E$4:$E$21)*$G$3</f>
        <v>3</v>
      </c>
      <c r="H51" s="36">
        <f t="shared" si="16"/>
        <v>5.3530899999999999</v>
      </c>
      <c r="I51" s="12">
        <f t="shared" si="16"/>
        <v>5.3530899999999999</v>
      </c>
      <c r="J51" s="12">
        <f t="shared" si="16"/>
        <v>5.3530899999999999</v>
      </c>
      <c r="K51" s="12">
        <f t="shared" si="16"/>
        <v>5.3530899999999999</v>
      </c>
      <c r="L51" s="12">
        <f t="shared" si="16"/>
        <v>5.3530899999999999</v>
      </c>
      <c r="M51" s="12">
        <f t="shared" si="15"/>
        <v>5.6069649674481008</v>
      </c>
      <c r="N51" s="12">
        <f t="shared" si="15"/>
        <v>5.7591656648899177</v>
      </c>
      <c r="O51" s="12">
        <f t="shared" si="15"/>
        <v>5.9911939698473775</v>
      </c>
      <c r="P51" s="12">
        <f t="shared" si="15"/>
        <v>6.3296302472325676</v>
      </c>
      <c r="Q51" s="12">
        <f t="shared" si="15"/>
        <v>6.7927576333215072</v>
      </c>
      <c r="R51" s="12">
        <f t="shared" si="15"/>
        <v>7.3740991787366648</v>
      </c>
      <c r="S51" s="12">
        <f t="shared" si="15"/>
        <v>8.029634999999999</v>
      </c>
      <c r="T51" s="12">
        <f t="shared" si="15"/>
        <v>8.6851708212633358</v>
      </c>
      <c r="U51" s="12">
        <f t="shared" si="15"/>
        <v>9.2665123666784925</v>
      </c>
      <c r="V51" s="12">
        <f t="shared" si="15"/>
        <v>9.7296397527674312</v>
      </c>
      <c r="W51" s="12">
        <f t="shared" si="15"/>
        <v>10.068076030152621</v>
      </c>
      <c r="X51" s="12">
        <f t="shared" si="15"/>
        <v>10.300104335110081</v>
      </c>
      <c r="Y51" s="12">
        <f t="shared" si="15"/>
        <v>10.4523050325519</v>
      </c>
      <c r="Z51" s="12">
        <f t="shared" si="15"/>
        <v>10.549268990687223</v>
      </c>
      <c r="AA51" s="12">
        <f t="shared" si="15"/>
        <v>10.609898199314028</v>
      </c>
      <c r="AB51" s="12">
        <f t="shared" si="15"/>
        <v>10.647365907273599</v>
      </c>
      <c r="AC51" s="12">
        <f t="shared" si="9"/>
        <v>10.67035256664572</v>
      </c>
      <c r="AD51" s="300">
        <f t="shared" si="17"/>
        <v>2.5674137934406597E-3</v>
      </c>
      <c r="AE51" s="299">
        <f t="shared" si="17"/>
        <v>2.5674137934406597E-3</v>
      </c>
      <c r="AF51" s="299">
        <f t="shared" si="17"/>
        <v>2.5674137934406597E-3</v>
      </c>
      <c r="AG51" s="299">
        <f t="shared" si="17"/>
        <v>2.5674137934406597E-3</v>
      </c>
      <c r="AH51" s="299">
        <f t="shared" si="17"/>
        <v>2.5674137934406597E-3</v>
      </c>
      <c r="AI51" s="299">
        <f t="shared" si="17"/>
        <v>2.451165146085153E-3</v>
      </c>
      <c r="AJ51" s="299">
        <f t="shared" si="17"/>
        <v>2.3863868315710203E-3</v>
      </c>
      <c r="AK51" s="299">
        <f t="shared" si="17"/>
        <v>2.2939663066658096E-3</v>
      </c>
      <c r="AL51" s="299">
        <f t="shared" si="17"/>
        <v>2.1713112088242777E-3</v>
      </c>
      <c r="AM51" s="299">
        <f t="shared" si="17"/>
        <v>2.0232721150112562E-3</v>
      </c>
      <c r="AN51" s="299">
        <f t="shared" si="17"/>
        <v>1.8637662405137085E-3</v>
      </c>
      <c r="AO51" s="299">
        <f t="shared" si="17"/>
        <v>1.7116091956271065E-3</v>
      </c>
      <c r="AP51" s="299">
        <f t="shared" si="17"/>
        <v>1.5824210469046515E-3</v>
      </c>
      <c r="AQ51" s="299">
        <f t="shared" si="17"/>
        <v>1.4831466855804287E-3</v>
      </c>
      <c r="AR51" s="299">
        <f t="shared" si="17"/>
        <v>1.4125494317115005E-3</v>
      </c>
      <c r="AS51" s="299">
        <f t="shared" si="10"/>
        <v>1.3650668769652628E-3</v>
      </c>
      <c r="AT51" s="299">
        <f t="shared" si="10"/>
        <v>1.3343162997564312E-3</v>
      </c>
      <c r="AU51" s="299">
        <f t="shared" si="10"/>
        <v>1.3148867221849342E-3</v>
      </c>
      <c r="AV51" s="299">
        <f t="shared" si="10"/>
        <v>1.3028008969779758E-3</v>
      </c>
      <c r="AW51" s="299">
        <f t="shared" si="19"/>
        <v>1.2953561707517455E-3</v>
      </c>
      <c r="AX51" s="299">
        <f t="shared" si="19"/>
        <v>1.2907978577255915E-3</v>
      </c>
      <c r="AY51" s="299">
        <f t="shared" si="19"/>
        <v>1.2880171501071242E-3</v>
      </c>
      <c r="AZ51" s="306">
        <f t="shared" si="18"/>
        <v>0.14213148280455173</v>
      </c>
      <c r="BA51" s="2">
        <f t="shared" si="18"/>
        <v>0.14213148280455173</v>
      </c>
      <c r="BB51" s="2">
        <f t="shared" si="18"/>
        <v>0.14213148280455173</v>
      </c>
      <c r="BC51" s="2">
        <f t="shared" si="18"/>
        <v>0.14213148280455173</v>
      </c>
      <c r="BD51" s="2">
        <f t="shared" si="18"/>
        <v>0.14213148280455173</v>
      </c>
      <c r="BE51" s="2">
        <f t="shared" si="18"/>
        <v>0.13569598235469274</v>
      </c>
      <c r="BF51" s="2">
        <f t="shared" si="18"/>
        <v>0.13210986860902546</v>
      </c>
      <c r="BG51" s="2">
        <f t="shared" si="18"/>
        <v>0.12699348796173257</v>
      </c>
      <c r="BH51" s="2">
        <f t="shared" si="18"/>
        <v>0.12020332777240382</v>
      </c>
      <c r="BI51" s="2">
        <f t="shared" si="18"/>
        <v>0.11200791495252903</v>
      </c>
      <c r="BJ51" s="2">
        <f t="shared" si="18"/>
        <v>0.10317770358718796</v>
      </c>
      <c r="BK51" s="2">
        <f t="shared" si="18"/>
        <v>9.4754321869701161E-2</v>
      </c>
      <c r="BL51" s="2">
        <f t="shared" si="18"/>
        <v>8.7602493369905457E-2</v>
      </c>
      <c r="BM51" s="2">
        <f t="shared" si="18"/>
        <v>8.2106685792827122E-2</v>
      </c>
      <c r="BN51" s="2">
        <f t="shared" si="18"/>
        <v>7.8198436799246235E-2</v>
      </c>
      <c r="BO51" s="2">
        <f t="shared" si="11"/>
        <v>7.5569812644202317E-2</v>
      </c>
      <c r="BP51" s="2">
        <f t="shared" si="11"/>
        <v>7.3867467215135388E-2</v>
      </c>
      <c r="BQ51" s="2">
        <f t="shared" si="11"/>
        <v>7.2791849923696708E-2</v>
      </c>
      <c r="BR51" s="2">
        <f t="shared" si="11"/>
        <v>7.2122781204828623E-2</v>
      </c>
      <c r="BS51" s="2">
        <f t="shared" si="20"/>
        <v>7.1710642740701255E-2</v>
      </c>
      <c r="BT51" s="2">
        <f t="shared" si="20"/>
        <v>7.1458295498838711E-2</v>
      </c>
      <c r="BU51" s="2">
        <f t="shared" si="20"/>
        <v>7.1304356115141243E-2</v>
      </c>
    </row>
    <row r="52" spans="1:73" x14ac:dyDescent="0.25">
      <c r="A52" t="s">
        <v>46</v>
      </c>
      <c r="B52" s="1" t="s">
        <v>5</v>
      </c>
      <c r="C52" t="s">
        <v>7</v>
      </c>
      <c r="D52" t="s">
        <v>7</v>
      </c>
      <c r="E52" s="97">
        <v>5.583405</v>
      </c>
      <c r="F52" s="5">
        <f t="shared" si="7"/>
        <v>1.367934225E-2</v>
      </c>
      <c r="G52" s="1">
        <f>LOOKUP(RIGHT(D52,5),Ref!$C$4:$C$21,Ref!$E$4:$E$21)*$G$3</f>
        <v>3.5</v>
      </c>
      <c r="H52" s="36">
        <f t="shared" si="16"/>
        <v>5.583405</v>
      </c>
      <c r="I52" s="12">
        <f t="shared" si="16"/>
        <v>5.583405</v>
      </c>
      <c r="J52" s="12">
        <f t="shared" si="16"/>
        <v>5.583405</v>
      </c>
      <c r="K52" s="12">
        <f t="shared" si="16"/>
        <v>5.583405</v>
      </c>
      <c r="L52" s="12">
        <f t="shared" si="16"/>
        <v>5.583405</v>
      </c>
      <c r="M52" s="12">
        <f t="shared" si="15"/>
        <v>5.8482028574289924</v>
      </c>
      <c r="N52" s="12">
        <f t="shared" si="15"/>
        <v>6.0069519416215105</v>
      </c>
      <c r="O52" s="12">
        <f t="shared" si="15"/>
        <v>6.2489631908329013</v>
      </c>
      <c r="P52" s="12">
        <f t="shared" si="15"/>
        <v>6.6019605817480294</v>
      </c>
      <c r="Q52" s="12">
        <f t="shared" si="15"/>
        <v>7.0850138767843385</v>
      </c>
      <c r="R52" s="12">
        <f t="shared" si="15"/>
        <v>7.6913674578709097</v>
      </c>
      <c r="S52" s="12">
        <f t="shared" si="15"/>
        <v>8.3751075000000004</v>
      </c>
      <c r="T52" s="12">
        <f t="shared" si="15"/>
        <v>9.0588475421290902</v>
      </c>
      <c r="U52" s="12">
        <f t="shared" si="15"/>
        <v>9.6652011232156614</v>
      </c>
      <c r="V52" s="12">
        <f t="shared" si="15"/>
        <v>10.148254418251971</v>
      </c>
      <c r="W52" s="12">
        <f t="shared" si="15"/>
        <v>10.501251809167098</v>
      </c>
      <c r="X52" s="12">
        <f t="shared" si="15"/>
        <v>10.743263058378488</v>
      </c>
      <c r="Y52" s="12">
        <f t="shared" si="15"/>
        <v>10.902012142571008</v>
      </c>
      <c r="Z52" s="12">
        <f t="shared" si="15"/>
        <v>11.003147944261723</v>
      </c>
      <c r="AA52" s="12">
        <f t="shared" si="15"/>
        <v>11.066385705366608</v>
      </c>
      <c r="AB52" s="12">
        <f t="shared" ref="AB52:AC67" si="21">AB$3*$E52</f>
        <v>11.105465449581633</v>
      </c>
      <c r="AC52" s="12">
        <f t="shared" si="21"/>
        <v>11.129441102685094</v>
      </c>
      <c r="AD52" s="300">
        <f t="shared" si="17"/>
        <v>2.4615081842583979E-3</v>
      </c>
      <c r="AE52" s="299">
        <f t="shared" si="17"/>
        <v>2.4615081842583979E-3</v>
      </c>
      <c r="AF52" s="299">
        <f t="shared" si="17"/>
        <v>2.4615081842583979E-3</v>
      </c>
      <c r="AG52" s="299">
        <f t="shared" si="17"/>
        <v>2.4615081842583979E-3</v>
      </c>
      <c r="AH52" s="299">
        <f t="shared" si="17"/>
        <v>2.4615081842583979E-3</v>
      </c>
      <c r="AI52" s="299">
        <f t="shared" si="17"/>
        <v>2.3500547841070049E-3</v>
      </c>
      <c r="AJ52" s="299">
        <f t="shared" si="17"/>
        <v>2.2879485697731962E-3</v>
      </c>
      <c r="AK52" s="299">
        <f t="shared" si="17"/>
        <v>2.1993403839681487E-3</v>
      </c>
      <c r="AL52" s="299">
        <f t="shared" si="17"/>
        <v>2.0817447988897729E-3</v>
      </c>
      <c r="AM52" s="299">
        <f t="shared" si="17"/>
        <v>1.9398123055994689E-3</v>
      </c>
      <c r="AN52" s="299">
        <f t="shared" si="17"/>
        <v>1.7868860353908642E-3</v>
      </c>
      <c r="AO52" s="299">
        <f t="shared" si="17"/>
        <v>1.6410054561722652E-3</v>
      </c>
      <c r="AP52" s="299">
        <f t="shared" si="17"/>
        <v>1.5171463080279545E-3</v>
      </c>
      <c r="AQ52" s="299">
        <f t="shared" si="17"/>
        <v>1.4219670059961147E-3</v>
      </c>
      <c r="AR52" s="299">
        <f t="shared" si="17"/>
        <v>1.3542818830803991E-3</v>
      </c>
      <c r="AS52" s="299">
        <f t="shared" si="10"/>
        <v>1.3087579798373892E-3</v>
      </c>
      <c r="AT52" s="299">
        <f t="shared" si="10"/>
        <v>1.2792758614256273E-3</v>
      </c>
      <c r="AU52" s="299">
        <f t="shared" si="10"/>
        <v>1.2606477523412593E-3</v>
      </c>
      <c r="AV52" s="299">
        <f t="shared" si="10"/>
        <v>1.2490604664364905E-3</v>
      </c>
      <c r="AW52" s="299">
        <f t="shared" si="19"/>
        <v>1.2419228345587436E-3</v>
      </c>
      <c r="AX52" s="299">
        <f t="shared" si="19"/>
        <v>1.2375525515724343E-3</v>
      </c>
      <c r="AY52" s="299">
        <f t="shared" si="19"/>
        <v>1.234886547916002E-3</v>
      </c>
      <c r="AZ52" s="306">
        <f t="shared" si="18"/>
        <v>0.13626857075319054</v>
      </c>
      <c r="BA52" s="2">
        <f t="shared" si="18"/>
        <v>0.13626857075319054</v>
      </c>
      <c r="BB52" s="2">
        <f t="shared" si="18"/>
        <v>0.13626857075319054</v>
      </c>
      <c r="BC52" s="2">
        <f t="shared" si="18"/>
        <v>0.13626857075319054</v>
      </c>
      <c r="BD52" s="2">
        <f t="shared" si="18"/>
        <v>0.13626857075319054</v>
      </c>
      <c r="BE52" s="2">
        <f t="shared" si="18"/>
        <v>0.13009853417100892</v>
      </c>
      <c r="BF52" s="2">
        <f t="shared" si="18"/>
        <v>0.12666034732430981</v>
      </c>
      <c r="BG52" s="2">
        <f t="shared" si="18"/>
        <v>0.12175501696063085</v>
      </c>
      <c r="BH52" s="2">
        <f t="shared" si="18"/>
        <v>0.11524495032425144</v>
      </c>
      <c r="BI52" s="2">
        <f t="shared" si="18"/>
        <v>0.1073875976135053</v>
      </c>
      <c r="BJ52" s="2">
        <f t="shared" si="18"/>
        <v>9.8921631745420582E-2</v>
      </c>
      <c r="BK52" s="2">
        <f t="shared" si="18"/>
        <v>9.0845713835460348E-2</v>
      </c>
      <c r="BL52" s="2">
        <f t="shared" si="18"/>
        <v>8.3988897676866944E-2</v>
      </c>
      <c r="BM52" s="2">
        <f t="shared" si="18"/>
        <v>7.8719791713251136E-2</v>
      </c>
      <c r="BN52" s="2">
        <f t="shared" si="18"/>
        <v>7.497275767129144E-2</v>
      </c>
      <c r="BO52" s="2">
        <f t="shared" si="11"/>
        <v>7.2452564047844087E-2</v>
      </c>
      <c r="BP52" s="2">
        <f t="shared" si="11"/>
        <v>7.0820440228618387E-2</v>
      </c>
      <c r="BQ52" s="2">
        <f t="shared" si="11"/>
        <v>6.9789192062557098E-2</v>
      </c>
      <c r="BR52" s="2">
        <f t="shared" si="11"/>
        <v>6.9147722373669118E-2</v>
      </c>
      <c r="BS52" s="2">
        <f t="shared" si="20"/>
        <v>6.8752584587508964E-2</v>
      </c>
      <c r="BT52" s="2">
        <f t="shared" si="20"/>
        <v>6.8510646648752602E-2</v>
      </c>
      <c r="BU52" s="2">
        <f t="shared" si="20"/>
        <v>6.8363057252053439E-2</v>
      </c>
    </row>
    <row r="53" spans="1:73" x14ac:dyDescent="0.25">
      <c r="A53" t="s">
        <v>46</v>
      </c>
      <c r="B53" s="1" t="s">
        <v>5</v>
      </c>
      <c r="C53" t="s">
        <v>8</v>
      </c>
      <c r="D53" t="s">
        <v>8</v>
      </c>
      <c r="E53" s="97">
        <v>5.8494900000000003</v>
      </c>
      <c r="F53" s="5">
        <f t="shared" si="7"/>
        <v>1.4331250500000002E-2</v>
      </c>
      <c r="G53" s="1">
        <f>LOOKUP(RIGHT(D53,5),Ref!$C$4:$C$21,Ref!$E$4:$E$21)*$G$3</f>
        <v>4</v>
      </c>
      <c r="H53" s="36">
        <f t="shared" si="16"/>
        <v>5.8494900000000003</v>
      </c>
      <c r="I53" s="12">
        <f t="shared" si="16"/>
        <v>5.8494900000000003</v>
      </c>
      <c r="J53" s="12">
        <f t="shared" si="16"/>
        <v>5.8494900000000003</v>
      </c>
      <c r="K53" s="12">
        <f t="shared" si="16"/>
        <v>5.8494900000000003</v>
      </c>
      <c r="L53" s="12">
        <f t="shared" si="16"/>
        <v>5.8494900000000003</v>
      </c>
      <c r="M53" s="12">
        <f t="shared" ref="M53:AB68" si="22">M$3*$E53</f>
        <v>6.1269071708934453</v>
      </c>
      <c r="N53" s="12">
        <f t="shared" si="22"/>
        <v>6.2932216654524638</v>
      </c>
      <c r="O53" s="12">
        <f t="shared" si="22"/>
        <v>6.546766300339157</v>
      </c>
      <c r="P53" s="12">
        <f t="shared" si="22"/>
        <v>6.9165862772500439</v>
      </c>
      <c r="Q53" s="12">
        <f t="shared" si="22"/>
        <v>7.4226601548895736</v>
      </c>
      <c r="R53" s="12">
        <f t="shared" si="22"/>
        <v>8.0579103667280645</v>
      </c>
      <c r="S53" s="12">
        <f t="shared" si="22"/>
        <v>8.7742350000000009</v>
      </c>
      <c r="T53" s="12">
        <f t="shared" si="22"/>
        <v>9.4905596332719355</v>
      </c>
      <c r="U53" s="12">
        <f t="shared" si="22"/>
        <v>10.125809845110426</v>
      </c>
      <c r="V53" s="12">
        <f t="shared" si="22"/>
        <v>10.631883722749958</v>
      </c>
      <c r="W53" s="12">
        <f t="shared" si="22"/>
        <v>11.001703699660842</v>
      </c>
      <c r="X53" s="12">
        <f t="shared" si="22"/>
        <v>11.255248334547538</v>
      </c>
      <c r="Y53" s="12">
        <f t="shared" si="22"/>
        <v>11.421562829106556</v>
      </c>
      <c r="Z53" s="12">
        <f t="shared" si="22"/>
        <v>11.527518399342251</v>
      </c>
      <c r="AA53" s="12">
        <f t="shared" si="22"/>
        <v>11.593769844688845</v>
      </c>
      <c r="AB53" s="12">
        <f t="shared" si="22"/>
        <v>11.634711988951773</v>
      </c>
      <c r="AC53" s="12">
        <f t="shared" si="21"/>
        <v>11.659830235446906</v>
      </c>
      <c r="AD53" s="300">
        <f t="shared" si="17"/>
        <v>2.3495376696992831E-3</v>
      </c>
      <c r="AE53" s="299">
        <f t="shared" si="17"/>
        <v>2.3495376696992831E-3</v>
      </c>
      <c r="AF53" s="299">
        <f t="shared" si="17"/>
        <v>2.3495376696992831E-3</v>
      </c>
      <c r="AG53" s="299">
        <f t="shared" si="17"/>
        <v>2.3495376696992831E-3</v>
      </c>
      <c r="AH53" s="299">
        <f t="shared" si="17"/>
        <v>2.3495376696992831E-3</v>
      </c>
      <c r="AI53" s="299">
        <f t="shared" si="17"/>
        <v>2.2431541265746195E-3</v>
      </c>
      <c r="AJ53" s="299">
        <f t="shared" si="17"/>
        <v>2.1838730358056022E-3</v>
      </c>
      <c r="AK53" s="299">
        <f t="shared" si="17"/>
        <v>2.0992955106427535E-3</v>
      </c>
      <c r="AL53" s="299">
        <f t="shared" si="17"/>
        <v>1.9870491818680179E-3</v>
      </c>
      <c r="AM53" s="299">
        <f t="shared" si="17"/>
        <v>1.8515729963031996E-3</v>
      </c>
      <c r="AN53" s="299">
        <f t="shared" si="17"/>
        <v>1.7056031251325378E-3</v>
      </c>
      <c r="AO53" s="299">
        <f t="shared" si="17"/>
        <v>1.5663584464661886E-3</v>
      </c>
      <c r="AP53" s="299">
        <f t="shared" si="17"/>
        <v>1.448133475221741E-3</v>
      </c>
      <c r="AQ53" s="299">
        <f t="shared" si="17"/>
        <v>1.3572837445852094E-3</v>
      </c>
      <c r="AR53" s="299">
        <f t="shared" si="17"/>
        <v>1.292677521869516E-3</v>
      </c>
      <c r="AS53" s="299">
        <f t="shared" si="10"/>
        <v>1.2492244363891515E-3</v>
      </c>
      <c r="AT53" s="299">
        <f t="shared" si="10"/>
        <v>1.2210834177104591E-3</v>
      </c>
      <c r="AU53" s="299">
        <f t="shared" si="10"/>
        <v>1.2033026748760917E-3</v>
      </c>
      <c r="AV53" s="299">
        <f t="shared" si="10"/>
        <v>1.1922424781654181E-3</v>
      </c>
      <c r="AW53" s="299">
        <f t="shared" si="19"/>
        <v>1.1854295270338887E-3</v>
      </c>
      <c r="AX53" s="299">
        <f t="shared" si="19"/>
        <v>1.1812580420194386E-3</v>
      </c>
      <c r="AY53" s="299">
        <f t="shared" si="19"/>
        <v>1.1787133110864273E-3</v>
      </c>
      <c r="AZ53" s="306">
        <f t="shared" si="18"/>
        <v>0.13006990682712813</v>
      </c>
      <c r="BA53" s="2">
        <f t="shared" si="18"/>
        <v>0.13006990682712813</v>
      </c>
      <c r="BB53" s="2">
        <f t="shared" si="18"/>
        <v>0.13006990682712813</v>
      </c>
      <c r="BC53" s="2">
        <f t="shared" si="18"/>
        <v>0.13006990682712813</v>
      </c>
      <c r="BD53" s="2">
        <f t="shared" si="18"/>
        <v>0.13006990682712813</v>
      </c>
      <c r="BE53" s="2">
        <f t="shared" si="18"/>
        <v>0.12418053645413225</v>
      </c>
      <c r="BF53" s="2">
        <f t="shared" si="18"/>
        <v>0.12089874784849414</v>
      </c>
      <c r="BG53" s="2">
        <f t="shared" si="18"/>
        <v>0.11621655400266878</v>
      </c>
      <c r="BH53" s="2">
        <f t="shared" si="18"/>
        <v>0.11000262106015689</v>
      </c>
      <c r="BI53" s="2">
        <f t="shared" si="18"/>
        <v>0.10250268817507741</v>
      </c>
      <c r="BJ53" s="2">
        <f t="shared" si="18"/>
        <v>9.4421827081598561E-2</v>
      </c>
      <c r="BK53" s="2">
        <f t="shared" si="18"/>
        <v>8.6713271218085419E-2</v>
      </c>
      <c r="BL53" s="2">
        <f t="shared" si="18"/>
        <v>8.0168361897106799E-2</v>
      </c>
      <c r="BM53" s="2">
        <f t="shared" si="18"/>
        <v>7.513894008720845E-2</v>
      </c>
      <c r="BN53" s="2">
        <f t="shared" si="18"/>
        <v>7.1562353306985224E-2</v>
      </c>
      <c r="BO53" s="2">
        <f t="shared" si="11"/>
        <v>6.9156799715454326E-2</v>
      </c>
      <c r="BP53" s="2">
        <f t="shared" si="11"/>
        <v>6.7598918892872548E-2</v>
      </c>
      <c r="BQ53" s="2">
        <f t="shared" si="11"/>
        <v>6.6614580742601778E-2</v>
      </c>
      <c r="BR53" s="2">
        <f t="shared" si="11"/>
        <v>6.6002290599651584E-2</v>
      </c>
      <c r="BS53" s="2">
        <f t="shared" si="20"/>
        <v>6.5625127070705391E-2</v>
      </c>
      <c r="BT53" s="2">
        <f t="shared" si="20"/>
        <v>6.5394194545486617E-2</v>
      </c>
      <c r="BU53" s="2">
        <f t="shared" si="20"/>
        <v>6.5253318781022168E-2</v>
      </c>
    </row>
    <row r="54" spans="1:73" x14ac:dyDescent="0.25">
      <c r="A54" t="s">
        <v>46</v>
      </c>
      <c r="B54" s="1" t="s">
        <v>5</v>
      </c>
      <c r="C54" t="s">
        <v>9</v>
      </c>
      <c r="D54" t="s">
        <v>9</v>
      </c>
      <c r="E54" s="97">
        <v>5.7797749999999999</v>
      </c>
      <c r="F54" s="5">
        <f t="shared" si="7"/>
        <v>1.416044875E-2</v>
      </c>
      <c r="G54" s="1">
        <f>LOOKUP(RIGHT(D54,5),Ref!$C$4:$C$21,Ref!$E$4:$E$21)*$G$3</f>
        <v>4.5</v>
      </c>
      <c r="H54" s="36">
        <f t="shared" ref="H54:L69" si="23">$E54</f>
        <v>5.7797749999999999</v>
      </c>
      <c r="I54" s="12">
        <f t="shared" si="23"/>
        <v>5.7797749999999999</v>
      </c>
      <c r="J54" s="12">
        <f t="shared" si="23"/>
        <v>5.7797749999999999</v>
      </c>
      <c r="K54" s="12">
        <f t="shared" si="23"/>
        <v>5.7797749999999999</v>
      </c>
      <c r="L54" s="12">
        <f t="shared" si="23"/>
        <v>5.7797749999999999</v>
      </c>
      <c r="M54" s="12">
        <f t="shared" si="22"/>
        <v>6.0538858761448706</v>
      </c>
      <c r="N54" s="12">
        <f t="shared" si="22"/>
        <v>6.2182182124322818</v>
      </c>
      <c r="O54" s="12">
        <f t="shared" si="22"/>
        <v>6.4687410686303846</v>
      </c>
      <c r="P54" s="12">
        <f t="shared" si="22"/>
        <v>6.8341534818578831</v>
      </c>
      <c r="Q54" s="12">
        <f t="shared" si="22"/>
        <v>7.3341959036987641</v>
      </c>
      <c r="R54" s="12">
        <f t="shared" si="22"/>
        <v>7.9618751190028014</v>
      </c>
      <c r="S54" s="12">
        <f t="shared" si="22"/>
        <v>8.6696624999999994</v>
      </c>
      <c r="T54" s="12">
        <f t="shared" si="22"/>
        <v>9.3774498809971991</v>
      </c>
      <c r="U54" s="12">
        <f t="shared" si="22"/>
        <v>10.005129096301236</v>
      </c>
      <c r="V54" s="12">
        <f t="shared" si="22"/>
        <v>10.505171518142117</v>
      </c>
      <c r="W54" s="12">
        <f t="shared" si="22"/>
        <v>10.870583931369614</v>
      </c>
      <c r="X54" s="12">
        <f t="shared" si="22"/>
        <v>11.121106787567717</v>
      </c>
      <c r="Y54" s="12">
        <f t="shared" si="22"/>
        <v>11.285439123855129</v>
      </c>
      <c r="Z54" s="12">
        <f t="shared" si="22"/>
        <v>11.390131901509079</v>
      </c>
      <c r="AA54" s="12">
        <f t="shared" si="22"/>
        <v>11.455593753316352</v>
      </c>
      <c r="AB54" s="12">
        <f t="shared" si="22"/>
        <v>11.496047943657263</v>
      </c>
      <c r="AC54" s="12">
        <f t="shared" si="21"/>
        <v>11.520866827549092</v>
      </c>
      <c r="AD54" s="300">
        <f t="shared" si="17"/>
        <v>2.3778775304452611E-3</v>
      </c>
      <c r="AE54" s="299">
        <f t="shared" si="17"/>
        <v>2.3778775304452611E-3</v>
      </c>
      <c r="AF54" s="299">
        <f t="shared" si="17"/>
        <v>2.3778775304452611E-3</v>
      </c>
      <c r="AG54" s="299">
        <f t="shared" si="17"/>
        <v>2.3778775304452611E-3</v>
      </c>
      <c r="AH54" s="299">
        <f t="shared" si="17"/>
        <v>2.3778775304452611E-3</v>
      </c>
      <c r="AI54" s="299">
        <f t="shared" si="17"/>
        <v>2.2702108009147368E-3</v>
      </c>
      <c r="AJ54" s="299">
        <f t="shared" si="17"/>
        <v>2.2102146682551681E-3</v>
      </c>
      <c r="AK54" s="299">
        <f t="shared" si="17"/>
        <v>2.1246169784376865E-3</v>
      </c>
      <c r="AL54" s="299">
        <f t="shared" si="17"/>
        <v>2.0110167469919076E-3</v>
      </c>
      <c r="AM54" s="299">
        <f t="shared" si="17"/>
        <v>1.8739064628200239E-3</v>
      </c>
      <c r="AN54" s="299">
        <f t="shared" si="17"/>
        <v>1.7261759193794789E-3</v>
      </c>
      <c r="AO54" s="299">
        <f t="shared" si="17"/>
        <v>1.5852516869635075E-3</v>
      </c>
      <c r="AP54" s="299">
        <f t="shared" si="17"/>
        <v>1.4656006993308253E-3</v>
      </c>
      <c r="AQ54" s="299">
        <f t="shared" si="17"/>
        <v>1.3736551493983308E-3</v>
      </c>
      <c r="AR54" s="299">
        <f t="shared" si="17"/>
        <v>1.3082696536457761E-3</v>
      </c>
      <c r="AS54" s="299">
        <f t="shared" si="10"/>
        <v>1.2642924419054337E-3</v>
      </c>
      <c r="AT54" s="299">
        <f t="shared" si="10"/>
        <v>1.2358119894049775E-3</v>
      </c>
      <c r="AU54" s="299">
        <f t="shared" si="10"/>
        <v>1.2178167772380327E-3</v>
      </c>
      <c r="AV54" s="299">
        <f t="shared" si="10"/>
        <v>1.2066231736709186E-3</v>
      </c>
      <c r="AW54" s="299">
        <f t="shared" si="19"/>
        <v>1.1997280454843764E-3</v>
      </c>
      <c r="AX54" s="299">
        <f t="shared" si="19"/>
        <v>1.1955062444839611E-3</v>
      </c>
      <c r="AY54" s="299">
        <f t="shared" si="19"/>
        <v>1.19293081929088E-3</v>
      </c>
      <c r="AZ54" s="306">
        <f t="shared" si="18"/>
        <v>0.13163879550436094</v>
      </c>
      <c r="BA54" s="2">
        <f t="shared" si="18"/>
        <v>0.13163879550436094</v>
      </c>
      <c r="BB54" s="2">
        <f t="shared" si="18"/>
        <v>0.13163879550436094</v>
      </c>
      <c r="BC54" s="2">
        <f t="shared" si="18"/>
        <v>0.13163879550436094</v>
      </c>
      <c r="BD54" s="2">
        <f t="shared" si="18"/>
        <v>0.13163879550436094</v>
      </c>
      <c r="BE54" s="2">
        <f t="shared" si="18"/>
        <v>0.1256783882042263</v>
      </c>
      <c r="BF54" s="2">
        <f t="shared" si="18"/>
        <v>0.12235701503125782</v>
      </c>
      <c r="BG54" s="2">
        <f t="shared" si="18"/>
        <v>0.11761834508662899</v>
      </c>
      <c r="BH54" s="2">
        <f t="shared" si="18"/>
        <v>0.11132946037954369</v>
      </c>
      <c r="BI54" s="2">
        <f t="shared" si="18"/>
        <v>0.1037390641423297</v>
      </c>
      <c r="BJ54" s="2">
        <f t="shared" si="18"/>
        <v>9.5560732605601426E-2</v>
      </c>
      <c r="BK54" s="2">
        <f t="shared" si="18"/>
        <v>8.7759197002907297E-2</v>
      </c>
      <c r="BL54" s="2">
        <f t="shared" si="18"/>
        <v>8.1135343717273989E-2</v>
      </c>
      <c r="BM54" s="2">
        <f t="shared" si="18"/>
        <v>7.6045257583681886E-2</v>
      </c>
      <c r="BN54" s="2">
        <f t="shared" si="18"/>
        <v>7.2425530413498279E-2</v>
      </c>
      <c r="BO54" s="2">
        <f t="shared" si="11"/>
        <v>6.9990961303433602E-2</v>
      </c>
      <c r="BP54" s="2">
        <f t="shared" si="11"/>
        <v>6.8414289496506187E-2</v>
      </c>
      <c r="BQ54" s="2">
        <f t="shared" si="11"/>
        <v>6.7418078369493914E-2</v>
      </c>
      <c r="BR54" s="2">
        <f t="shared" si="11"/>
        <v>6.6798402851279859E-2</v>
      </c>
      <c r="BS54" s="2">
        <f t="shared" si="20"/>
        <v>6.6416690018005972E-2</v>
      </c>
      <c r="BT54" s="2">
        <f t="shared" si="20"/>
        <v>6.6182972010481123E-2</v>
      </c>
      <c r="BU54" s="2">
        <f t="shared" si="20"/>
        <v>6.6040397018292479E-2</v>
      </c>
    </row>
    <row r="55" spans="1:73" x14ac:dyDescent="0.25">
      <c r="A55" t="s">
        <v>46</v>
      </c>
      <c r="B55" s="1" t="s">
        <v>5</v>
      </c>
      <c r="C55" t="s">
        <v>10</v>
      </c>
      <c r="D55" t="s">
        <v>10</v>
      </c>
      <c r="E55" s="97">
        <v>5.690715</v>
      </c>
      <c r="F55" s="5">
        <f t="shared" si="7"/>
        <v>1.3942251749999999E-2</v>
      </c>
      <c r="G55" s="1">
        <f>LOOKUP(RIGHT(D55,5),Ref!$C$4:$C$21,Ref!$E$4:$E$21)*$G$3</f>
        <v>4.5</v>
      </c>
      <c r="H55" s="36">
        <f t="shared" si="23"/>
        <v>5.690715</v>
      </c>
      <c r="I55" s="12">
        <f t="shared" si="23"/>
        <v>5.690715</v>
      </c>
      <c r="J55" s="12">
        <f t="shared" si="23"/>
        <v>5.690715</v>
      </c>
      <c r="K55" s="12">
        <f t="shared" si="23"/>
        <v>5.690715</v>
      </c>
      <c r="L55" s="12">
        <f t="shared" si="23"/>
        <v>5.690715</v>
      </c>
      <c r="M55" s="12">
        <f t="shared" si="22"/>
        <v>5.9606021278796764</v>
      </c>
      <c r="N55" s="12">
        <f t="shared" si="22"/>
        <v>6.1224022829195901</v>
      </c>
      <c r="O55" s="12">
        <f t="shared" si="22"/>
        <v>6.3690648563950951</v>
      </c>
      <c r="P55" s="12">
        <f t="shared" si="22"/>
        <v>6.7288466647076888</v>
      </c>
      <c r="Q55" s="12">
        <f t="shared" si="22"/>
        <v>7.2211839807115519</v>
      </c>
      <c r="R55" s="12">
        <f t="shared" si="22"/>
        <v>7.8391913470396384</v>
      </c>
      <c r="S55" s="12">
        <f t="shared" si="22"/>
        <v>8.5360724999999995</v>
      </c>
      <c r="T55" s="12">
        <f t="shared" si="22"/>
        <v>9.2329536529603615</v>
      </c>
      <c r="U55" s="12">
        <f t="shared" si="22"/>
        <v>9.850961019288448</v>
      </c>
      <c r="V55" s="12">
        <f t="shared" si="22"/>
        <v>10.34329833529231</v>
      </c>
      <c r="W55" s="12">
        <f t="shared" si="22"/>
        <v>10.703080143604904</v>
      </c>
      <c r="X55" s="12">
        <f t="shared" si="22"/>
        <v>10.94974271708041</v>
      </c>
      <c r="Y55" s="12">
        <f t="shared" si="22"/>
        <v>11.111542872120323</v>
      </c>
      <c r="Z55" s="12">
        <f t="shared" si="22"/>
        <v>11.214622448779796</v>
      </c>
      <c r="AA55" s="12">
        <f t="shared" si="22"/>
        <v>11.279075605175576</v>
      </c>
      <c r="AB55" s="12">
        <f t="shared" si="22"/>
        <v>11.318906440767945</v>
      </c>
      <c r="AC55" s="12">
        <f t="shared" si="21"/>
        <v>11.343342892852409</v>
      </c>
      <c r="AD55" s="300">
        <f t="shared" si="17"/>
        <v>2.4150914434353608E-3</v>
      </c>
      <c r="AE55" s="299">
        <f t="shared" si="17"/>
        <v>2.4150914434353608E-3</v>
      </c>
      <c r="AF55" s="299">
        <f t="shared" si="17"/>
        <v>2.4150914434353608E-3</v>
      </c>
      <c r="AG55" s="299">
        <f t="shared" si="17"/>
        <v>2.4150914434353608E-3</v>
      </c>
      <c r="AH55" s="299">
        <f t="shared" si="17"/>
        <v>2.4150914434353608E-3</v>
      </c>
      <c r="AI55" s="299">
        <f t="shared" si="17"/>
        <v>2.3057397237178411E-3</v>
      </c>
      <c r="AJ55" s="299">
        <f t="shared" si="17"/>
        <v>2.2448046483112428E-3</v>
      </c>
      <c r="AK55" s="299">
        <f t="shared" si="17"/>
        <v>2.1578673499814487E-3</v>
      </c>
      <c r="AL55" s="299">
        <f t="shared" si="17"/>
        <v>2.0424892687202142E-3</v>
      </c>
      <c r="AM55" s="299">
        <f t="shared" si="17"/>
        <v>1.9032332011259753E-3</v>
      </c>
      <c r="AN55" s="299">
        <f t="shared" si="17"/>
        <v>1.7531906666265185E-3</v>
      </c>
      <c r="AO55" s="299">
        <f t="shared" si="17"/>
        <v>1.6100609622902407E-3</v>
      </c>
      <c r="AP55" s="299">
        <f t="shared" si="17"/>
        <v>1.4885374301778988E-3</v>
      </c>
      <c r="AQ55" s="299">
        <f t="shared" si="17"/>
        <v>1.3951529273762149E-3</v>
      </c>
      <c r="AR55" s="299">
        <f t="shared" si="17"/>
        <v>1.328744145050405E-3</v>
      </c>
      <c r="AS55" s="299">
        <f t="shared" si="10"/>
        <v>1.284078687548749E-3</v>
      </c>
      <c r="AT55" s="299">
        <f t="shared" si="10"/>
        <v>1.2551525144139451E-3</v>
      </c>
      <c r="AU55" s="299">
        <f t="shared" si="10"/>
        <v>1.2368756761955133E-3</v>
      </c>
      <c r="AV55" s="299">
        <f t="shared" si="10"/>
        <v>1.2255068921223139E-3</v>
      </c>
      <c r="AW55" s="299">
        <f t="shared" si="19"/>
        <v>1.2185038548037394E-3</v>
      </c>
      <c r="AX55" s="299">
        <f t="shared" si="19"/>
        <v>1.2142159823875008E-3</v>
      </c>
      <c r="AY55" s="299">
        <f t="shared" si="19"/>
        <v>1.2116002516497392E-3</v>
      </c>
      <c r="AZ55" s="306">
        <f t="shared" si="18"/>
        <v>0.13369894983077132</v>
      </c>
      <c r="BA55" s="2">
        <f t="shared" si="18"/>
        <v>0.13369894983077132</v>
      </c>
      <c r="BB55" s="2">
        <f t="shared" si="18"/>
        <v>0.13369894983077132</v>
      </c>
      <c r="BC55" s="2">
        <f t="shared" si="18"/>
        <v>0.13369894983077132</v>
      </c>
      <c r="BD55" s="2">
        <f t="shared" si="18"/>
        <v>0.13369894983077132</v>
      </c>
      <c r="BE55" s="2">
        <f t="shared" si="18"/>
        <v>0.12764526183143632</v>
      </c>
      <c r="BF55" s="2">
        <f t="shared" si="18"/>
        <v>0.12427190898723413</v>
      </c>
      <c r="BG55" s="2">
        <f t="shared" si="18"/>
        <v>0.11945907859962607</v>
      </c>
      <c r="BH55" s="2">
        <f t="shared" si="18"/>
        <v>0.1130717725040135</v>
      </c>
      <c r="BI55" s="2">
        <f t="shared" si="18"/>
        <v>0.10536258615186908</v>
      </c>
      <c r="BJ55" s="2">
        <f t="shared" si="18"/>
        <v>9.7056263280719562E-2</v>
      </c>
      <c r="BK55" s="2">
        <f t="shared" si="18"/>
        <v>8.9132633220514207E-2</v>
      </c>
      <c r="BL55" s="2">
        <f t="shared" si="18"/>
        <v>8.240511626983732E-2</v>
      </c>
      <c r="BM55" s="2">
        <f t="shared" si="18"/>
        <v>7.7235370010749954E-2</v>
      </c>
      <c r="BN55" s="2">
        <f t="shared" si="18"/>
        <v>7.3558993913010406E-2</v>
      </c>
      <c r="BO55" s="2">
        <f t="shared" si="11"/>
        <v>7.1086323663643841E-2</v>
      </c>
      <c r="BP55" s="2">
        <f t="shared" si="11"/>
        <v>6.9484976856980019E-2</v>
      </c>
      <c r="BQ55" s="2">
        <f t="shared" si="11"/>
        <v>6.8473174971517933E-2</v>
      </c>
      <c r="BR55" s="2">
        <f t="shared" si="11"/>
        <v>6.7843801497659964E-2</v>
      </c>
      <c r="BS55" s="2">
        <f t="shared" si="20"/>
        <v>6.7456114837734893E-2</v>
      </c>
      <c r="BT55" s="2">
        <f t="shared" si="20"/>
        <v>6.7218739130650282E-2</v>
      </c>
      <c r="BU55" s="2">
        <f t="shared" si="20"/>
        <v>6.7073932832060895E-2</v>
      </c>
    </row>
    <row r="56" spans="1:73" x14ac:dyDescent="0.25">
      <c r="A56" t="s">
        <v>46</v>
      </c>
      <c r="B56" s="1" t="s">
        <v>5</v>
      </c>
      <c r="C56" t="s">
        <v>11</v>
      </c>
      <c r="D56" t="s">
        <v>11</v>
      </c>
      <c r="E56" s="97">
        <v>5.5748639999999998</v>
      </c>
      <c r="F56" s="5">
        <f t="shared" si="7"/>
        <v>1.3658416799999998E-2</v>
      </c>
      <c r="G56" s="1">
        <f>LOOKUP(RIGHT(D56,5),Ref!$C$4:$C$21,Ref!$E$4:$E$21)*$G$3</f>
        <v>4.5</v>
      </c>
      <c r="H56" s="36">
        <f t="shared" si="23"/>
        <v>5.5748639999999998</v>
      </c>
      <c r="I56" s="12">
        <f t="shared" si="23"/>
        <v>5.5748639999999998</v>
      </c>
      <c r="J56" s="12">
        <f t="shared" si="23"/>
        <v>5.5748639999999998</v>
      </c>
      <c r="K56" s="12">
        <f t="shared" si="23"/>
        <v>5.5748639999999998</v>
      </c>
      <c r="L56" s="12">
        <f t="shared" si="23"/>
        <v>5.5748639999999998</v>
      </c>
      <c r="M56" s="12">
        <f t="shared" si="22"/>
        <v>5.8392567930461823</v>
      </c>
      <c r="N56" s="12">
        <f t="shared" si="22"/>
        <v>5.9977630369059494</v>
      </c>
      <c r="O56" s="12">
        <f t="shared" si="22"/>
        <v>6.2394040786759106</v>
      </c>
      <c r="P56" s="12">
        <f t="shared" si="22"/>
        <v>6.5918614853491988</v>
      </c>
      <c r="Q56" s="12">
        <f t="shared" si="22"/>
        <v>7.0741758481044164</v>
      </c>
      <c r="R56" s="12">
        <f t="shared" si="22"/>
        <v>7.6796018830187043</v>
      </c>
      <c r="S56" s="12">
        <f t="shared" si="22"/>
        <v>8.3622960000000006</v>
      </c>
      <c r="T56" s="12">
        <f t="shared" si="22"/>
        <v>9.0449901169812943</v>
      </c>
      <c r="U56" s="12">
        <f t="shared" si="22"/>
        <v>9.6504161518955822</v>
      </c>
      <c r="V56" s="12">
        <f t="shared" si="22"/>
        <v>10.132730514650801</v>
      </c>
      <c r="W56" s="12">
        <f t="shared" si="22"/>
        <v>10.485187921324089</v>
      </c>
      <c r="X56" s="12">
        <f t="shared" si="22"/>
        <v>10.72682896309405</v>
      </c>
      <c r="Y56" s="12">
        <f t="shared" si="22"/>
        <v>10.885335206953817</v>
      </c>
      <c r="Z56" s="12">
        <f t="shared" si="22"/>
        <v>10.986316300024571</v>
      </c>
      <c r="AA56" s="12">
        <f t="shared" si="22"/>
        <v>11.049457325585895</v>
      </c>
      <c r="AB56" s="12">
        <f t="shared" si="22"/>
        <v>11.088477289058641</v>
      </c>
      <c r="AC56" s="12">
        <f t="shared" si="21"/>
        <v>11.112416266324837</v>
      </c>
      <c r="AD56" s="300">
        <f t="shared" ref="AD56:AR72" si="24">Algae_electricity_factor/H56</f>
        <v>2.4652793509454688E-3</v>
      </c>
      <c r="AE56" s="299">
        <f t="shared" si="24"/>
        <v>2.4652793509454688E-3</v>
      </c>
      <c r="AF56" s="299">
        <f t="shared" si="24"/>
        <v>2.4652793509454688E-3</v>
      </c>
      <c r="AG56" s="299">
        <f t="shared" si="24"/>
        <v>2.4652793509454688E-3</v>
      </c>
      <c r="AH56" s="299">
        <f t="shared" si="24"/>
        <v>2.4652793509454688E-3</v>
      </c>
      <c r="AI56" s="299">
        <f t="shared" si="24"/>
        <v>2.3536551980204313E-3</v>
      </c>
      <c r="AJ56" s="299">
        <f t="shared" si="24"/>
        <v>2.2914538335310985E-3</v>
      </c>
      <c r="AK56" s="299">
        <f t="shared" si="24"/>
        <v>2.2027098950843788E-3</v>
      </c>
      <c r="AL56" s="299">
        <f t="shared" si="24"/>
        <v>2.0849341470653192E-3</v>
      </c>
      <c r="AM56" s="299">
        <f t="shared" si="24"/>
        <v>1.9427842053448487E-3</v>
      </c>
      <c r="AN56" s="299">
        <f t="shared" si="24"/>
        <v>1.78962364363176E-3</v>
      </c>
      <c r="AO56" s="299">
        <f t="shared" si="24"/>
        <v>1.6435195672969791E-3</v>
      </c>
      <c r="AP56" s="299">
        <f t="shared" si="24"/>
        <v>1.5194706600869228E-3</v>
      </c>
      <c r="AQ56" s="299">
        <f t="shared" si="24"/>
        <v>1.4241455380998957E-3</v>
      </c>
      <c r="AR56" s="299">
        <f t="shared" si="24"/>
        <v>1.3563567178321329E-3</v>
      </c>
      <c r="AS56" s="299">
        <f t="shared" si="10"/>
        <v>1.3107630694513765E-3</v>
      </c>
      <c r="AT56" s="299">
        <f t="shared" si="10"/>
        <v>1.2812357828035185E-3</v>
      </c>
      <c r="AU56" s="299">
        <f t="shared" si="10"/>
        <v>1.2625791344256919E-3</v>
      </c>
      <c r="AV56" s="299">
        <f t="shared" si="10"/>
        <v>1.2509740961580108E-3</v>
      </c>
      <c r="AW56" s="299">
        <f t="shared" si="19"/>
        <v>1.2438255290334369E-3</v>
      </c>
      <c r="AX56" s="299">
        <f t="shared" si="19"/>
        <v>1.239448550531867E-3</v>
      </c>
      <c r="AY56" s="299">
        <f t="shared" si="19"/>
        <v>1.2367784624103739E-3</v>
      </c>
      <c r="AZ56" s="306">
        <f t="shared" ref="AZ56:BN72" si="25">Algae_yield_cost_factor/H56</f>
        <v>0.13647734174075238</v>
      </c>
      <c r="BA56" s="2">
        <f t="shared" si="25"/>
        <v>0.13647734174075238</v>
      </c>
      <c r="BB56" s="2">
        <f t="shared" si="25"/>
        <v>0.13647734174075238</v>
      </c>
      <c r="BC56" s="2">
        <f t="shared" si="25"/>
        <v>0.13647734174075238</v>
      </c>
      <c r="BD56" s="2">
        <f t="shared" si="25"/>
        <v>0.13647734174075238</v>
      </c>
      <c r="BE56" s="2">
        <f t="shared" si="25"/>
        <v>0.13029785232125521</v>
      </c>
      <c r="BF56" s="2">
        <f t="shared" si="25"/>
        <v>0.12685439798213696</v>
      </c>
      <c r="BG56" s="2">
        <f t="shared" si="25"/>
        <v>0.1219415523810215</v>
      </c>
      <c r="BH56" s="2">
        <f t="shared" si="25"/>
        <v>0.11542151196247606</v>
      </c>
      <c r="BI56" s="2">
        <f t="shared" si="25"/>
        <v>0.10755212135277804</v>
      </c>
      <c r="BJ56" s="2">
        <f t="shared" si="25"/>
        <v>9.9073185156721311E-2</v>
      </c>
      <c r="BK56" s="2">
        <f t="shared" si="25"/>
        <v>9.0984894493834914E-2</v>
      </c>
      <c r="BL56" s="2">
        <f t="shared" si="25"/>
        <v>8.4117573313628333E-2</v>
      </c>
      <c r="BM56" s="2">
        <f t="shared" si="25"/>
        <v>7.8840394788236082E-2</v>
      </c>
      <c r="BN56" s="2">
        <f t="shared" si="25"/>
        <v>7.508762008287144E-2</v>
      </c>
      <c r="BO56" s="2">
        <f t="shared" si="11"/>
        <v>7.2563565383398212E-2</v>
      </c>
      <c r="BP56" s="2">
        <f t="shared" si="11"/>
        <v>7.0928941060206863E-2</v>
      </c>
      <c r="BQ56" s="2">
        <f t="shared" si="11"/>
        <v>6.9896112964915671E-2</v>
      </c>
      <c r="BR56" s="2">
        <f t="shared" si="11"/>
        <v>6.9253660508983905E-2</v>
      </c>
      <c r="BS56" s="2">
        <f t="shared" si="20"/>
        <v>6.8857917349879838E-2</v>
      </c>
      <c r="BT56" s="2">
        <f t="shared" si="20"/>
        <v>6.8615608748819445E-2</v>
      </c>
      <c r="BU56" s="2">
        <f t="shared" si="20"/>
        <v>6.8467793237001195E-2</v>
      </c>
    </row>
    <row r="57" spans="1:73" x14ac:dyDescent="0.25">
      <c r="A57" t="s">
        <v>22</v>
      </c>
      <c r="B57" s="1" t="s">
        <v>5</v>
      </c>
      <c r="C57" t="s">
        <v>13</v>
      </c>
      <c r="D57" t="s">
        <v>13</v>
      </c>
      <c r="E57" s="97">
        <v>6.7473900000000002</v>
      </c>
      <c r="F57" s="5">
        <f t="shared" si="7"/>
        <v>1.6531105500000001E-2</v>
      </c>
      <c r="G57" s="1">
        <f>LOOKUP(RIGHT(D57,5),Ref!$C$4:$C$21,Ref!$E$4:$E$21)*$G$3</f>
        <v>1.5</v>
      </c>
      <c r="H57" s="36">
        <f t="shared" si="23"/>
        <v>6.7473900000000002</v>
      </c>
      <c r="I57" s="12">
        <f t="shared" si="23"/>
        <v>6.7473900000000002</v>
      </c>
      <c r="J57" s="12">
        <f t="shared" si="23"/>
        <v>6.7473900000000002</v>
      </c>
      <c r="K57" s="12">
        <f t="shared" si="23"/>
        <v>6.7473900000000002</v>
      </c>
      <c r="L57" s="12">
        <f t="shared" si="23"/>
        <v>6.7473900000000002</v>
      </c>
      <c r="M57" s="12">
        <f t="shared" si="22"/>
        <v>7.0673908624195825</v>
      </c>
      <c r="N57" s="12">
        <f t="shared" si="22"/>
        <v>7.2592347252935383</v>
      </c>
      <c r="O57" s="12">
        <f t="shared" si="22"/>
        <v>7.5516986040228158</v>
      </c>
      <c r="P57" s="12">
        <f t="shared" si="22"/>
        <v>7.9782861550757707</v>
      </c>
      <c r="Q57" s="12">
        <f t="shared" si="22"/>
        <v>8.5620426571376917</v>
      </c>
      <c r="R57" s="12">
        <f t="shared" si="22"/>
        <v>9.2948041332419198</v>
      </c>
      <c r="S57" s="12">
        <f t="shared" si="22"/>
        <v>10.121085000000001</v>
      </c>
      <c r="T57" s="12">
        <f t="shared" si="22"/>
        <v>10.947365866758082</v>
      </c>
      <c r="U57" s="12">
        <f t="shared" si="22"/>
        <v>11.680127342862308</v>
      </c>
      <c r="V57" s="12">
        <f t="shared" si="22"/>
        <v>12.26388384492423</v>
      </c>
      <c r="W57" s="12">
        <f t="shared" si="22"/>
        <v>12.690471395977182</v>
      </c>
      <c r="X57" s="12">
        <f t="shared" si="22"/>
        <v>12.982935274706463</v>
      </c>
      <c r="Y57" s="12">
        <f t="shared" si="22"/>
        <v>13.174779137580419</v>
      </c>
      <c r="Z57" s="12">
        <f t="shared" si="22"/>
        <v>13.296998947350607</v>
      </c>
      <c r="AA57" s="12">
        <f t="shared" si="22"/>
        <v>13.373420026763883</v>
      </c>
      <c r="AB57" s="12">
        <f t="shared" si="22"/>
        <v>13.420646813163764</v>
      </c>
      <c r="AC57" s="12">
        <f t="shared" si="21"/>
        <v>13.44962072460199</v>
      </c>
      <c r="AD57" s="300">
        <f t="shared" si="24"/>
        <v>2.0368760518554964E-3</v>
      </c>
      <c r="AE57" s="299">
        <f t="shared" si="24"/>
        <v>2.0368760518554964E-3</v>
      </c>
      <c r="AF57" s="299">
        <f t="shared" si="24"/>
        <v>2.0368760518554964E-3</v>
      </c>
      <c r="AG57" s="299">
        <f t="shared" si="24"/>
        <v>2.0368760518554964E-3</v>
      </c>
      <c r="AH57" s="299">
        <f t="shared" si="24"/>
        <v>2.0368760518554964E-3</v>
      </c>
      <c r="AI57" s="299">
        <f t="shared" si="24"/>
        <v>1.9446493580268774E-3</v>
      </c>
      <c r="AJ57" s="299">
        <f t="shared" si="24"/>
        <v>1.8932570200054408E-3</v>
      </c>
      <c r="AK57" s="299">
        <f t="shared" si="24"/>
        <v>1.8199345371394985E-3</v>
      </c>
      <c r="AL57" s="299">
        <f t="shared" si="24"/>
        <v>1.7226252401069382E-3</v>
      </c>
      <c r="AM57" s="299">
        <f t="shared" si="24"/>
        <v>1.6051773687523034E-3</v>
      </c>
      <c r="AN57" s="299">
        <f t="shared" si="24"/>
        <v>1.4786322451246375E-3</v>
      </c>
      <c r="AO57" s="299">
        <f t="shared" si="24"/>
        <v>1.3579173679036643E-3</v>
      </c>
      <c r="AP57" s="299">
        <f t="shared" si="24"/>
        <v>1.2554250283405614E-3</v>
      </c>
      <c r="AQ57" s="299">
        <f t="shared" si="24"/>
        <v>1.1766650054485864E-3</v>
      </c>
      <c r="AR57" s="299">
        <f t="shared" si="24"/>
        <v>1.1206561703711385E-3</v>
      </c>
      <c r="AS57" s="299">
        <f t="shared" si="10"/>
        <v>1.0829855467690437E-3</v>
      </c>
      <c r="AT57" s="299">
        <f t="shared" si="10"/>
        <v>1.058589356931073E-3</v>
      </c>
      <c r="AU57" s="299">
        <f t="shared" si="10"/>
        <v>1.0431747629321782E-3</v>
      </c>
      <c r="AV57" s="299">
        <f t="shared" si="10"/>
        <v>1.0335863872703124E-3</v>
      </c>
      <c r="AW57" s="299">
        <f t="shared" si="19"/>
        <v>1.0276800605996486E-3</v>
      </c>
      <c r="AX57" s="299">
        <f t="shared" si="19"/>
        <v>1.0240636904361962E-3</v>
      </c>
      <c r="AY57" s="299">
        <f t="shared" si="19"/>
        <v>1.021857596206377E-3</v>
      </c>
      <c r="AZ57" s="306">
        <f t="shared" si="25"/>
        <v>0.11276102600949667</v>
      </c>
      <c r="BA57" s="2">
        <f t="shared" si="25"/>
        <v>0.11276102600949667</v>
      </c>
      <c r="BB57" s="2">
        <f t="shared" si="25"/>
        <v>0.11276102600949667</v>
      </c>
      <c r="BC57" s="2">
        <f t="shared" si="25"/>
        <v>0.11276102600949667</v>
      </c>
      <c r="BD57" s="2">
        <f t="shared" si="25"/>
        <v>0.11276102600949667</v>
      </c>
      <c r="BE57" s="2">
        <f t="shared" si="25"/>
        <v>0.10765537580947331</v>
      </c>
      <c r="BF57" s="2">
        <f t="shared" si="25"/>
        <v>0.10481030688196295</v>
      </c>
      <c r="BG57" s="2">
        <f t="shared" si="25"/>
        <v>0.10075118978939576</v>
      </c>
      <c r="BH57" s="2">
        <f t="shared" si="25"/>
        <v>9.5364167754520959E-2</v>
      </c>
      <c r="BI57" s="2">
        <f t="shared" si="25"/>
        <v>8.8862278518543267E-2</v>
      </c>
      <c r="BJ57" s="2">
        <f t="shared" si="25"/>
        <v>8.1856767327150193E-2</v>
      </c>
      <c r="BK57" s="2">
        <f t="shared" si="25"/>
        <v>7.5174017339664445E-2</v>
      </c>
      <c r="BL57" s="2">
        <f t="shared" si="25"/>
        <v>6.9500063170130563E-2</v>
      </c>
      <c r="BM57" s="2">
        <f t="shared" si="25"/>
        <v>6.5139925015557862E-2</v>
      </c>
      <c r="BN57" s="2">
        <f t="shared" si="25"/>
        <v>6.2039287790638602E-2</v>
      </c>
      <c r="BO57" s="2">
        <f t="shared" si="11"/>
        <v>5.9953850061661318E-2</v>
      </c>
      <c r="BP57" s="2">
        <f t="shared" si="11"/>
        <v>5.8603282169056331E-2</v>
      </c>
      <c r="BQ57" s="2">
        <f t="shared" si="11"/>
        <v>5.7749933516225031E-2</v>
      </c>
      <c r="BR57" s="2">
        <f t="shared" si="11"/>
        <v>5.7219123074219218E-2</v>
      </c>
      <c r="BS57" s="2">
        <f t="shared" si="20"/>
        <v>5.6892150083042554E-2</v>
      </c>
      <c r="BT57" s="2">
        <f t="shared" si="20"/>
        <v>5.6691948598180705E-2</v>
      </c>
      <c r="BU57" s="2">
        <f t="shared" si="20"/>
        <v>5.6569819689746913E-2</v>
      </c>
    </row>
    <row r="58" spans="1:73" x14ac:dyDescent="0.25">
      <c r="A58" t="s">
        <v>22</v>
      </c>
      <c r="B58" s="1" t="s">
        <v>5</v>
      </c>
      <c r="C58" t="s">
        <v>14</v>
      </c>
      <c r="D58" t="s">
        <v>14</v>
      </c>
      <c r="E58" s="97">
        <v>5.4837600000000002</v>
      </c>
      <c r="F58" s="5">
        <f t="shared" si="7"/>
        <v>1.3435212E-2</v>
      </c>
      <c r="G58" s="1">
        <f>LOOKUP(RIGHT(D58,5),Ref!$C$4:$C$21,Ref!$E$4:$E$21)*$G$3</f>
        <v>2</v>
      </c>
      <c r="H58" s="36">
        <f t="shared" si="23"/>
        <v>5.4837600000000002</v>
      </c>
      <c r="I58" s="12">
        <f t="shared" si="23"/>
        <v>5.4837600000000002</v>
      </c>
      <c r="J58" s="12">
        <f t="shared" si="23"/>
        <v>5.4837600000000002</v>
      </c>
      <c r="K58" s="12">
        <f t="shared" si="23"/>
        <v>5.4837600000000002</v>
      </c>
      <c r="L58" s="12">
        <f t="shared" si="23"/>
        <v>5.4837600000000002</v>
      </c>
      <c r="M58" s="12">
        <f t="shared" si="22"/>
        <v>5.7438321062962139</v>
      </c>
      <c r="N58" s="12">
        <f t="shared" si="22"/>
        <v>5.899748053273294</v>
      </c>
      <c r="O58" s="12">
        <f t="shared" si="22"/>
        <v>6.1374402156680077</v>
      </c>
      <c r="P58" s="12">
        <f t="shared" si="22"/>
        <v>6.4841377904283446</v>
      </c>
      <c r="Q58" s="12">
        <f t="shared" si="22"/>
        <v>6.958570208851925</v>
      </c>
      <c r="R58" s="12">
        <f t="shared" si="22"/>
        <v>7.5541024179285188</v>
      </c>
      <c r="S58" s="12">
        <f t="shared" si="22"/>
        <v>8.2256400000000003</v>
      </c>
      <c r="T58" s="12">
        <f t="shared" si="22"/>
        <v>8.8971775820714818</v>
      </c>
      <c r="U58" s="12">
        <f t="shared" si="22"/>
        <v>9.4927097911480747</v>
      </c>
      <c r="V58" s="12">
        <f t="shared" si="22"/>
        <v>9.9671422095716551</v>
      </c>
      <c r="W58" s="12">
        <f t="shared" si="22"/>
        <v>10.313839784331991</v>
      </c>
      <c r="X58" s="12">
        <f t="shared" si="22"/>
        <v>10.551531946726707</v>
      </c>
      <c r="Y58" s="12">
        <f t="shared" si="22"/>
        <v>10.707447893703787</v>
      </c>
      <c r="Z58" s="12">
        <f t="shared" si="22"/>
        <v>10.806778761494943</v>
      </c>
      <c r="AA58" s="12">
        <f t="shared" si="22"/>
        <v>10.868887941258281</v>
      </c>
      <c r="AB58" s="12">
        <f t="shared" si="22"/>
        <v>10.90727024348006</v>
      </c>
      <c r="AC58" s="12">
        <f t="shared" si="21"/>
        <v>10.930818011815445</v>
      </c>
      <c r="AD58" s="300">
        <f t="shared" si="24"/>
        <v>2.5062360685969591E-3</v>
      </c>
      <c r="AE58" s="299">
        <f t="shared" si="24"/>
        <v>2.5062360685969591E-3</v>
      </c>
      <c r="AF58" s="299">
        <f t="shared" si="24"/>
        <v>2.5062360685969591E-3</v>
      </c>
      <c r="AG58" s="299">
        <f t="shared" si="24"/>
        <v>2.5062360685969591E-3</v>
      </c>
      <c r="AH58" s="299">
        <f t="shared" si="24"/>
        <v>2.5062360685969591E-3</v>
      </c>
      <c r="AI58" s="299">
        <f t="shared" si="24"/>
        <v>2.3927574569012813E-3</v>
      </c>
      <c r="AJ58" s="299">
        <f t="shared" si="24"/>
        <v>2.3295227151105286E-3</v>
      </c>
      <c r="AK58" s="299">
        <f t="shared" si="24"/>
        <v>2.2393044364723618E-3</v>
      </c>
      <c r="AL58" s="299">
        <f t="shared" si="24"/>
        <v>2.1195720306587365E-3</v>
      </c>
      <c r="AM58" s="299">
        <f t="shared" si="24"/>
        <v>1.9750604924623988E-3</v>
      </c>
      <c r="AN58" s="299">
        <f t="shared" si="24"/>
        <v>1.8193554102352268E-3</v>
      </c>
      <c r="AO58" s="299">
        <f t="shared" si="24"/>
        <v>1.6708240457313059E-3</v>
      </c>
      <c r="AP58" s="299">
        <f t="shared" si="24"/>
        <v>1.544714262107536E-3</v>
      </c>
      <c r="AQ58" s="299">
        <f t="shared" si="24"/>
        <v>1.4478054639724819E-3</v>
      </c>
      <c r="AR58" s="299">
        <f t="shared" si="24"/>
        <v>1.3788904396619319E-3</v>
      </c>
      <c r="AS58" s="299">
        <f t="shared" si="10"/>
        <v>1.3325393249183004E-3</v>
      </c>
      <c r="AT58" s="299">
        <f t="shared" si="10"/>
        <v>1.3025214890992956E-3</v>
      </c>
      <c r="AU58" s="299">
        <f t="shared" si="10"/>
        <v>1.2835548900135946E-3</v>
      </c>
      <c r="AV58" s="299">
        <f t="shared" si="10"/>
        <v>1.271757052388112E-3</v>
      </c>
      <c r="AW58" s="299">
        <f t="shared" si="19"/>
        <v>1.2644897231260052E-3</v>
      </c>
      <c r="AX58" s="299">
        <f t="shared" si="19"/>
        <v>1.2600400280486904E-3</v>
      </c>
      <c r="AY58" s="299">
        <f t="shared" si="19"/>
        <v>1.2573255806357217E-3</v>
      </c>
      <c r="AZ58" s="306">
        <f t="shared" si="25"/>
        <v>0.13874469693900129</v>
      </c>
      <c r="BA58" s="2">
        <f t="shared" si="25"/>
        <v>0.13874469693900129</v>
      </c>
      <c r="BB58" s="2">
        <f t="shared" si="25"/>
        <v>0.13874469693900129</v>
      </c>
      <c r="BC58" s="2">
        <f t="shared" si="25"/>
        <v>0.13874469693900129</v>
      </c>
      <c r="BD58" s="2">
        <f t="shared" si="25"/>
        <v>0.13874469693900129</v>
      </c>
      <c r="BE58" s="2">
        <f t="shared" si="25"/>
        <v>0.13246254507547414</v>
      </c>
      <c r="BF58" s="2">
        <f t="shared" si="25"/>
        <v>0.12896188318822999</v>
      </c>
      <c r="BG58" s="2">
        <f t="shared" si="25"/>
        <v>0.12396741842696818</v>
      </c>
      <c r="BH58" s="2">
        <f t="shared" si="25"/>
        <v>0.11733905784811464</v>
      </c>
      <c r="BI58" s="2">
        <f t="shared" si="25"/>
        <v>0.10933892975863889</v>
      </c>
      <c r="BJ58" s="2">
        <f t="shared" si="25"/>
        <v>0.10071912944686492</v>
      </c>
      <c r="BK58" s="2">
        <f t="shared" si="25"/>
        <v>9.2496464626000863E-2</v>
      </c>
      <c r="BL58" s="2">
        <f t="shared" si="25"/>
        <v>8.5515053764845153E-2</v>
      </c>
      <c r="BM58" s="2">
        <f t="shared" si="25"/>
        <v>8.0150203263951184E-2</v>
      </c>
      <c r="BN58" s="2">
        <f t="shared" si="25"/>
        <v>7.6335082141756203E-2</v>
      </c>
      <c r="BO58" s="2">
        <f t="shared" si="11"/>
        <v>7.3769094265167146E-2</v>
      </c>
      <c r="BP58" s="2">
        <f t="shared" si="11"/>
        <v>7.2107313243954696E-2</v>
      </c>
      <c r="BQ58" s="2">
        <f t="shared" si="11"/>
        <v>7.1057326343246546E-2</v>
      </c>
      <c r="BR58" s="2">
        <f t="shared" si="11"/>
        <v>7.0404200555778521E-2</v>
      </c>
      <c r="BS58" s="2">
        <f t="shared" si="20"/>
        <v>7.0001882749941735E-2</v>
      </c>
      <c r="BT58" s="2">
        <f t="shared" si="20"/>
        <v>6.9755548574678417E-2</v>
      </c>
      <c r="BU58" s="2">
        <f t="shared" si="20"/>
        <v>6.9605277341897046E-2</v>
      </c>
    </row>
    <row r="59" spans="1:73" x14ac:dyDescent="0.25">
      <c r="A59" t="s">
        <v>22</v>
      </c>
      <c r="B59" s="1" t="s">
        <v>5</v>
      </c>
      <c r="C59" t="s">
        <v>15</v>
      </c>
      <c r="D59" t="s">
        <v>15</v>
      </c>
      <c r="E59" s="97">
        <v>4.9809359999999998</v>
      </c>
      <c r="F59" s="5">
        <f t="shared" si="7"/>
        <v>1.22032932E-2</v>
      </c>
      <c r="G59" s="1">
        <f>LOOKUP(RIGHT(D59,5),Ref!$C$4:$C$21,Ref!$E$4:$E$21)*$G$3</f>
        <v>2.5</v>
      </c>
      <c r="H59" s="36">
        <f t="shared" si="23"/>
        <v>4.9809359999999998</v>
      </c>
      <c r="I59" s="12">
        <f t="shared" si="23"/>
        <v>4.9809359999999998</v>
      </c>
      <c r="J59" s="12">
        <f t="shared" si="23"/>
        <v>4.9809359999999998</v>
      </c>
      <c r="K59" s="12">
        <f t="shared" si="23"/>
        <v>4.9809359999999998</v>
      </c>
      <c r="L59" s="12">
        <f t="shared" si="23"/>
        <v>4.9809359999999998</v>
      </c>
      <c r="M59" s="12">
        <f t="shared" si="22"/>
        <v>5.2171612390415767</v>
      </c>
      <c r="N59" s="12">
        <f t="shared" si="22"/>
        <v>5.3587807397622917</v>
      </c>
      <c r="O59" s="12">
        <f t="shared" si="22"/>
        <v>5.5746781256051579</v>
      </c>
      <c r="P59" s="12">
        <f t="shared" si="22"/>
        <v>5.8895858588459369</v>
      </c>
      <c r="Q59" s="12">
        <f t="shared" si="22"/>
        <v>6.3205160075929783</v>
      </c>
      <c r="R59" s="12">
        <f t="shared" si="22"/>
        <v>6.8614419086807592</v>
      </c>
      <c r="S59" s="12">
        <f t="shared" si="22"/>
        <v>7.4714039999999997</v>
      </c>
      <c r="T59" s="12">
        <f t="shared" si="22"/>
        <v>8.0813660913192393</v>
      </c>
      <c r="U59" s="12">
        <f t="shared" si="22"/>
        <v>8.6222919924070212</v>
      </c>
      <c r="V59" s="12">
        <f t="shared" si="22"/>
        <v>9.0532221411540625</v>
      </c>
      <c r="W59" s="12">
        <f t="shared" si="22"/>
        <v>9.3681298743948407</v>
      </c>
      <c r="X59" s="12">
        <f t="shared" si="22"/>
        <v>9.5840272602377077</v>
      </c>
      <c r="Y59" s="12">
        <f t="shared" si="22"/>
        <v>9.7256467609584227</v>
      </c>
      <c r="Z59" s="12">
        <f t="shared" si="22"/>
        <v>9.8158696546102622</v>
      </c>
      <c r="AA59" s="12">
        <f t="shared" si="22"/>
        <v>9.8722838392962586</v>
      </c>
      <c r="AB59" s="12">
        <f t="shared" si="22"/>
        <v>9.907146741921343</v>
      </c>
      <c r="AC59" s="12">
        <f t="shared" si="21"/>
        <v>9.9285353378885972</v>
      </c>
      <c r="AD59" s="300">
        <f t="shared" si="24"/>
        <v>2.7592398504074859E-3</v>
      </c>
      <c r="AE59" s="299">
        <f t="shared" si="24"/>
        <v>2.7592398504074859E-3</v>
      </c>
      <c r="AF59" s="299">
        <f t="shared" si="24"/>
        <v>2.7592398504074859E-3</v>
      </c>
      <c r="AG59" s="299">
        <f t="shared" si="24"/>
        <v>2.7592398504074859E-3</v>
      </c>
      <c r="AH59" s="299">
        <f t="shared" si="24"/>
        <v>2.7592398504074859E-3</v>
      </c>
      <c r="AI59" s="299">
        <f t="shared" si="24"/>
        <v>2.6343056067889593E-3</v>
      </c>
      <c r="AJ59" s="299">
        <f t="shared" si="24"/>
        <v>2.5646873367203499E-3</v>
      </c>
      <c r="AK59" s="299">
        <f t="shared" si="24"/>
        <v>2.4653615498271171E-3</v>
      </c>
      <c r="AL59" s="299">
        <f t="shared" si="24"/>
        <v>2.3335421934441948E-3</v>
      </c>
      <c r="AM59" s="299">
        <f t="shared" si="24"/>
        <v>2.1744422586729892E-3</v>
      </c>
      <c r="AN59" s="299">
        <f t="shared" si="24"/>
        <v>2.0030187949476824E-3</v>
      </c>
      <c r="AO59" s="299">
        <f t="shared" si="24"/>
        <v>1.8394932336049904E-3</v>
      </c>
      <c r="AP59" s="299">
        <f t="shared" si="24"/>
        <v>1.7006527050286979E-3</v>
      </c>
      <c r="AQ59" s="299">
        <f t="shared" si="24"/>
        <v>1.5939609926956975E-3</v>
      </c>
      <c r="AR59" s="299">
        <f t="shared" si="24"/>
        <v>1.5180890172852082E-3</v>
      </c>
      <c r="AS59" s="299">
        <f t="shared" si="10"/>
        <v>1.467058771366261E-3</v>
      </c>
      <c r="AT59" s="299">
        <f t="shared" si="10"/>
        <v>1.4340106439960588E-3</v>
      </c>
      <c r="AU59" s="299">
        <f t="shared" si="10"/>
        <v>1.4131293724032894E-3</v>
      </c>
      <c r="AV59" s="299">
        <f t="shared" si="10"/>
        <v>1.400140546596831E-3</v>
      </c>
      <c r="AW59" s="299">
        <f t="shared" si="19"/>
        <v>1.3921395826185002E-3</v>
      </c>
      <c r="AX59" s="299">
        <f t="shared" si="19"/>
        <v>1.3872406921535004E-3</v>
      </c>
      <c r="AY59" s="299">
        <f t="shared" si="19"/>
        <v>1.3842522220857576E-3</v>
      </c>
      <c r="AZ59" s="306">
        <f t="shared" si="25"/>
        <v>0.15275093261311082</v>
      </c>
      <c r="BA59" s="2">
        <f t="shared" si="25"/>
        <v>0.15275093261311082</v>
      </c>
      <c r="BB59" s="2">
        <f t="shared" si="25"/>
        <v>0.15275093261311082</v>
      </c>
      <c r="BC59" s="2">
        <f t="shared" si="25"/>
        <v>0.15275093261311082</v>
      </c>
      <c r="BD59" s="2">
        <f t="shared" si="25"/>
        <v>0.15275093261311082</v>
      </c>
      <c r="BE59" s="2">
        <f t="shared" si="25"/>
        <v>0.14583459939719806</v>
      </c>
      <c r="BF59" s="2">
        <f t="shared" si="25"/>
        <v>0.14198054673906432</v>
      </c>
      <c r="BG59" s="2">
        <f t="shared" si="25"/>
        <v>0.13648189225339799</v>
      </c>
      <c r="BH59" s="2">
        <f t="shared" si="25"/>
        <v>0.1291844006558561</v>
      </c>
      <c r="BI59" s="2">
        <f t="shared" si="25"/>
        <v>0.12037666202762566</v>
      </c>
      <c r="BJ59" s="2">
        <f t="shared" si="25"/>
        <v>0.11088669545152559</v>
      </c>
      <c r="BK59" s="2">
        <f t="shared" si="25"/>
        <v>0.10183395507540723</v>
      </c>
      <c r="BL59" s="2">
        <f t="shared" si="25"/>
        <v>9.4147772875119717E-2</v>
      </c>
      <c r="BM59" s="2">
        <f t="shared" si="25"/>
        <v>8.8241342320143232E-2</v>
      </c>
      <c r="BN59" s="2">
        <f t="shared" si="25"/>
        <v>8.4041085861307402E-2</v>
      </c>
      <c r="BO59" s="2">
        <f t="shared" si="11"/>
        <v>8.1216062275755591E-2</v>
      </c>
      <c r="BP59" s="2">
        <f t="shared" si="11"/>
        <v>7.9386524957290969E-2</v>
      </c>
      <c r="BQ59" s="2">
        <f t="shared" si="11"/>
        <v>7.823054219288135E-2</v>
      </c>
      <c r="BR59" s="2">
        <f t="shared" si="11"/>
        <v>7.7511483552439947E-2</v>
      </c>
      <c r="BS59" s="2">
        <f t="shared" si="20"/>
        <v>7.7068551884388894E-2</v>
      </c>
      <c r="BT59" s="2">
        <f t="shared" si="20"/>
        <v>7.6797350347781734E-2</v>
      </c>
      <c r="BU59" s="2">
        <f t="shared" si="20"/>
        <v>7.6631909278979171E-2</v>
      </c>
    </row>
    <row r="60" spans="1:73" x14ac:dyDescent="0.25">
      <c r="A60" t="s">
        <v>22</v>
      </c>
      <c r="B60" s="1" t="s">
        <v>5</v>
      </c>
      <c r="C60" t="s">
        <v>16</v>
      </c>
      <c r="D60" t="s">
        <v>16</v>
      </c>
      <c r="E60" s="97">
        <v>6.1093700000000002</v>
      </c>
      <c r="F60" s="5">
        <f t="shared" si="7"/>
        <v>1.4967956500000001E-2</v>
      </c>
      <c r="G60" s="1">
        <f>LOOKUP(RIGHT(D60,5),Ref!$C$4:$C$21,Ref!$E$4:$E$21)*$G$3</f>
        <v>3</v>
      </c>
      <c r="H60" s="36">
        <f t="shared" si="23"/>
        <v>6.1093700000000002</v>
      </c>
      <c r="I60" s="12">
        <f t="shared" si="23"/>
        <v>6.1093700000000002</v>
      </c>
      <c r="J60" s="12">
        <f t="shared" si="23"/>
        <v>6.1093700000000002</v>
      </c>
      <c r="K60" s="12">
        <f t="shared" si="23"/>
        <v>6.1093700000000002</v>
      </c>
      <c r="L60" s="12">
        <f t="shared" si="23"/>
        <v>6.1093700000000002</v>
      </c>
      <c r="M60" s="12">
        <f t="shared" si="22"/>
        <v>6.3991122068148307</v>
      </c>
      <c r="N60" s="12">
        <f t="shared" si="22"/>
        <v>6.5728156892763847</v>
      </c>
      <c r="O60" s="12">
        <f t="shared" si="22"/>
        <v>6.8376247557142644</v>
      </c>
      <c r="P60" s="12">
        <f t="shared" si="22"/>
        <v>7.2238750223768395</v>
      </c>
      <c r="Q60" s="12">
        <f t="shared" si="22"/>
        <v>7.7524326514752078</v>
      </c>
      <c r="R60" s="12">
        <f t="shared" si="22"/>
        <v>8.4159056357353261</v>
      </c>
      <c r="S60" s="12">
        <f t="shared" si="22"/>
        <v>9.1640550000000012</v>
      </c>
      <c r="T60" s="12">
        <f t="shared" si="22"/>
        <v>9.9122043642646744</v>
      </c>
      <c r="U60" s="12">
        <f t="shared" si="22"/>
        <v>10.575677348524792</v>
      </c>
      <c r="V60" s="12">
        <f t="shared" si="22"/>
        <v>11.104234977623161</v>
      </c>
      <c r="W60" s="12">
        <f t="shared" si="22"/>
        <v>11.490485244285734</v>
      </c>
      <c r="X60" s="12">
        <f t="shared" si="22"/>
        <v>11.755294310723617</v>
      </c>
      <c r="Y60" s="12">
        <f t="shared" si="22"/>
        <v>11.92899779318517</v>
      </c>
      <c r="Z60" s="12">
        <f t="shared" si="22"/>
        <v>12.039660736814588</v>
      </c>
      <c r="AA60" s="12">
        <f t="shared" si="22"/>
        <v>12.108855588443896</v>
      </c>
      <c r="AB60" s="12">
        <f t="shared" si="22"/>
        <v>12.151616702300934</v>
      </c>
      <c r="AC60" s="12">
        <f t="shared" si="21"/>
        <v>12.177850897348703</v>
      </c>
      <c r="AD60" s="300">
        <f t="shared" si="24"/>
        <v>2.2495931828534301E-3</v>
      </c>
      <c r="AE60" s="299">
        <f t="shared" si="24"/>
        <v>2.2495931828534301E-3</v>
      </c>
      <c r="AF60" s="299">
        <f t="shared" si="24"/>
        <v>2.2495931828534301E-3</v>
      </c>
      <c r="AG60" s="299">
        <f t="shared" si="24"/>
        <v>2.2495931828534301E-3</v>
      </c>
      <c r="AH60" s="299">
        <f t="shared" si="24"/>
        <v>2.2495931828534301E-3</v>
      </c>
      <c r="AI60" s="299">
        <f t="shared" si="24"/>
        <v>2.1477349762507383E-3</v>
      </c>
      <c r="AJ60" s="299">
        <f t="shared" si="24"/>
        <v>2.090975580823311E-3</v>
      </c>
      <c r="AK60" s="299">
        <f t="shared" si="24"/>
        <v>2.009995809150482E-3</v>
      </c>
      <c r="AL60" s="299">
        <f t="shared" si="24"/>
        <v>1.902524207708021E-3</v>
      </c>
      <c r="AM60" s="299">
        <f t="shared" si="24"/>
        <v>1.772810899674697E-3</v>
      </c>
      <c r="AN60" s="299">
        <f t="shared" si="24"/>
        <v>1.6330502857793076E-3</v>
      </c>
      <c r="AO60" s="299">
        <f t="shared" si="24"/>
        <v>1.4997287885689531E-3</v>
      </c>
      <c r="AP60" s="299">
        <f t="shared" si="24"/>
        <v>1.3865328637772505E-3</v>
      </c>
      <c r="AQ60" s="299">
        <f t="shared" si="24"/>
        <v>1.2995476933159618E-3</v>
      </c>
      <c r="AR60" s="299">
        <f t="shared" si="24"/>
        <v>1.2376896860724618E-3</v>
      </c>
      <c r="AS60" s="299">
        <f t="shared" si="10"/>
        <v>1.1960850052319598E-3</v>
      </c>
      <c r="AT60" s="299">
        <f t="shared" si="10"/>
        <v>1.1691410474505806E-3</v>
      </c>
      <c r="AU60" s="299">
        <f t="shared" si="10"/>
        <v>1.1521166607458624E-3</v>
      </c>
      <c r="AV60" s="299">
        <f t="shared" si="10"/>
        <v>1.1415269419930095E-3</v>
      </c>
      <c r="AW60" s="299">
        <f t="shared" si="19"/>
        <v>1.1350037997517686E-3</v>
      </c>
      <c r="AX60" s="299">
        <f t="shared" si="19"/>
        <v>1.1310097611066747E-3</v>
      </c>
      <c r="AY60" s="299">
        <f t="shared" si="19"/>
        <v>1.1285732777793693E-3</v>
      </c>
      <c r="AZ60" s="306">
        <f t="shared" si="25"/>
        <v>0.12453700124337169</v>
      </c>
      <c r="BA60" s="2">
        <f t="shared" si="25"/>
        <v>0.12453700124337169</v>
      </c>
      <c r="BB60" s="2">
        <f t="shared" si="25"/>
        <v>0.12453700124337169</v>
      </c>
      <c r="BC60" s="2">
        <f t="shared" si="25"/>
        <v>0.12453700124337169</v>
      </c>
      <c r="BD60" s="2">
        <f t="shared" si="25"/>
        <v>0.12453700124337169</v>
      </c>
      <c r="BE60" s="2">
        <f t="shared" si="25"/>
        <v>0.11889815253996437</v>
      </c>
      <c r="BF60" s="2">
        <f t="shared" si="25"/>
        <v>0.11575596445333773</v>
      </c>
      <c r="BG60" s="2">
        <f t="shared" si="25"/>
        <v>0.11127294147728344</v>
      </c>
      <c r="BH60" s="2">
        <f t="shared" si="25"/>
        <v>0.10532333642669819</v>
      </c>
      <c r="BI60" s="2">
        <f t="shared" si="25"/>
        <v>9.8142435218890586E-2</v>
      </c>
      <c r="BJ60" s="2">
        <f t="shared" si="25"/>
        <v>9.0405317290578241E-2</v>
      </c>
      <c r="BK60" s="2">
        <f t="shared" si="25"/>
        <v>8.3024667495581128E-2</v>
      </c>
      <c r="BL60" s="2">
        <f t="shared" si="25"/>
        <v>7.675816511907238E-2</v>
      </c>
      <c r="BM60" s="2">
        <f t="shared" si="25"/>
        <v>7.1942684540423144E-2</v>
      </c>
      <c r="BN60" s="2">
        <f t="shared" si="25"/>
        <v>6.8518238385574456E-2</v>
      </c>
      <c r="BO60" s="2">
        <f t="shared" si="11"/>
        <v>6.6215012082678396E-2</v>
      </c>
      <c r="BP60" s="2">
        <f t="shared" si="11"/>
        <v>6.4723400297357833E-2</v>
      </c>
      <c r="BQ60" s="2">
        <f t="shared" si="11"/>
        <v>6.3780933861927111E-2</v>
      </c>
      <c r="BR60" s="2">
        <f t="shared" si="11"/>
        <v>6.3194689278887342E-2</v>
      </c>
      <c r="BS60" s="2">
        <f t="shared" si="20"/>
        <v>6.2833569508610618E-2</v>
      </c>
      <c r="BT60" s="2">
        <f t="shared" si="20"/>
        <v>6.2612460376745643E-2</v>
      </c>
      <c r="BU60" s="2">
        <f t="shared" si="20"/>
        <v>6.2477577176763131E-2</v>
      </c>
    </row>
    <row r="61" spans="1:73" x14ac:dyDescent="0.25">
      <c r="A61" t="s">
        <v>22</v>
      </c>
      <c r="B61" s="1" t="s">
        <v>5</v>
      </c>
      <c r="C61" t="s">
        <v>17</v>
      </c>
      <c r="D61" t="s">
        <v>17</v>
      </c>
      <c r="E61" s="97">
        <v>6.5386100000000003</v>
      </c>
      <c r="F61" s="5">
        <f t="shared" si="7"/>
        <v>1.6019594500000001E-2</v>
      </c>
      <c r="G61" s="1">
        <f>LOOKUP(RIGHT(D61,5),Ref!$C$4:$C$21,Ref!$E$4:$E$21)*$G$3</f>
        <v>3</v>
      </c>
      <c r="H61" s="36">
        <f t="shared" si="23"/>
        <v>6.5386100000000003</v>
      </c>
      <c r="I61" s="12">
        <f t="shared" si="23"/>
        <v>6.5386100000000003</v>
      </c>
      <c r="J61" s="12">
        <f t="shared" si="23"/>
        <v>6.5386100000000003</v>
      </c>
      <c r="K61" s="12">
        <f t="shared" si="23"/>
        <v>6.5386100000000003</v>
      </c>
      <c r="L61" s="12">
        <f t="shared" si="23"/>
        <v>6.5386100000000003</v>
      </c>
      <c r="M61" s="12">
        <f t="shared" si="22"/>
        <v>6.8487092886175702</v>
      </c>
      <c r="N61" s="12">
        <f t="shared" si="22"/>
        <v>7.0346170544687032</v>
      </c>
      <c r="O61" s="12">
        <f t="shared" si="22"/>
        <v>7.3180314179630388</v>
      </c>
      <c r="P61" s="12">
        <f t="shared" si="22"/>
        <v>7.7314193542154799</v>
      </c>
      <c r="Q61" s="12">
        <f t="shared" si="22"/>
        <v>8.2971130671840641</v>
      </c>
      <c r="R61" s="12">
        <f t="shared" si="22"/>
        <v>9.0072011924102426</v>
      </c>
      <c r="S61" s="12">
        <f t="shared" si="22"/>
        <v>9.8079150000000013</v>
      </c>
      <c r="T61" s="12">
        <f t="shared" si="22"/>
        <v>10.608628807589758</v>
      </c>
      <c r="U61" s="12">
        <f t="shared" si="22"/>
        <v>11.318716932815937</v>
      </c>
      <c r="V61" s="12">
        <f t="shared" si="22"/>
        <v>11.88441064578452</v>
      </c>
      <c r="W61" s="12">
        <f t="shared" si="22"/>
        <v>12.297798582036961</v>
      </c>
      <c r="X61" s="12">
        <f t="shared" si="22"/>
        <v>12.581212945531298</v>
      </c>
      <c r="Y61" s="12">
        <f t="shared" si="22"/>
        <v>12.767120711382431</v>
      </c>
      <c r="Z61" s="12">
        <f t="shared" si="22"/>
        <v>12.885558754886874</v>
      </c>
      <c r="AA61" s="12">
        <f t="shared" si="22"/>
        <v>12.95961518767977</v>
      </c>
      <c r="AB61" s="12">
        <f t="shared" si="22"/>
        <v>13.005380667046179</v>
      </c>
      <c r="AC61" s="12">
        <f t="shared" si="21"/>
        <v>13.033458058017963</v>
      </c>
      <c r="AD61" s="300">
        <f t="shared" si="24"/>
        <v>2.1019141841353527E-3</v>
      </c>
      <c r="AE61" s="299">
        <f t="shared" si="24"/>
        <v>2.1019141841353527E-3</v>
      </c>
      <c r="AF61" s="299">
        <f t="shared" si="24"/>
        <v>2.1019141841353527E-3</v>
      </c>
      <c r="AG61" s="299">
        <f t="shared" si="24"/>
        <v>2.1019141841353527E-3</v>
      </c>
      <c r="AH61" s="299">
        <f t="shared" si="24"/>
        <v>2.1019141841353527E-3</v>
      </c>
      <c r="AI61" s="299">
        <f t="shared" si="24"/>
        <v>2.0067426611859356E-3</v>
      </c>
      <c r="AJ61" s="299">
        <f t="shared" si="24"/>
        <v>1.9537093486558322E-3</v>
      </c>
      <c r="AK61" s="299">
        <f t="shared" si="24"/>
        <v>1.8780456544356795E-3</v>
      </c>
      <c r="AL61" s="299">
        <f t="shared" si="24"/>
        <v>1.7776292390653599E-3</v>
      </c>
      <c r="AM61" s="299">
        <f t="shared" si="24"/>
        <v>1.6564312179722608E-3</v>
      </c>
      <c r="AN61" s="299">
        <f t="shared" si="24"/>
        <v>1.525845466304234E-3</v>
      </c>
      <c r="AO61" s="299">
        <f t="shared" si="24"/>
        <v>1.4012761227569018E-3</v>
      </c>
      <c r="AP61" s="299">
        <f t="shared" si="24"/>
        <v>1.2955111685778507E-3</v>
      </c>
      <c r="AQ61" s="299">
        <f t="shared" si="24"/>
        <v>1.2142363118634902E-3</v>
      </c>
      <c r="AR61" s="299">
        <f t="shared" si="24"/>
        <v>1.1564390959853113E-3</v>
      </c>
      <c r="AS61" s="299">
        <f t="shared" si="10"/>
        <v>1.1175656367965023E-3</v>
      </c>
      <c r="AT61" s="299">
        <f t="shared" si="10"/>
        <v>1.0923904684731393E-3</v>
      </c>
      <c r="AU61" s="299">
        <f t="shared" si="10"/>
        <v>1.0764836813422043E-3</v>
      </c>
      <c r="AV61" s="299">
        <f t="shared" si="10"/>
        <v>1.0665891456446909E-3</v>
      </c>
      <c r="AW61" s="299">
        <f t="shared" si="19"/>
        <v>1.0604942279917996E-3</v>
      </c>
      <c r="AX61" s="299">
        <f t="shared" si="19"/>
        <v>1.0567623859218222E-3</v>
      </c>
      <c r="AY61" s="299">
        <f t="shared" si="19"/>
        <v>1.0544858503668127E-3</v>
      </c>
      <c r="AZ61" s="306">
        <f t="shared" si="25"/>
        <v>0.11636152321154156</v>
      </c>
      <c r="BA61" s="2">
        <f t="shared" si="25"/>
        <v>0.11636152321154156</v>
      </c>
      <c r="BB61" s="2">
        <f t="shared" si="25"/>
        <v>0.11636152321154156</v>
      </c>
      <c r="BC61" s="2">
        <f t="shared" si="25"/>
        <v>0.11636152321154156</v>
      </c>
      <c r="BD61" s="2">
        <f t="shared" si="25"/>
        <v>0.11636152321154156</v>
      </c>
      <c r="BE61" s="2">
        <f t="shared" si="25"/>
        <v>0.11109284789627796</v>
      </c>
      <c r="BF61" s="2">
        <f t="shared" si="25"/>
        <v>0.10815693496817948</v>
      </c>
      <c r="BG61" s="2">
        <f t="shared" si="25"/>
        <v>0.1039682089118438</v>
      </c>
      <c r="BH61" s="2">
        <f t="shared" si="25"/>
        <v>9.8409177465115238E-2</v>
      </c>
      <c r="BI61" s="2">
        <f t="shared" si="25"/>
        <v>9.1699680735390796E-2</v>
      </c>
      <c r="BJ61" s="2">
        <f t="shared" si="25"/>
        <v>8.4470481233096945E-2</v>
      </c>
      <c r="BK61" s="2">
        <f t="shared" si="25"/>
        <v>7.7574348807694371E-2</v>
      </c>
      <c r="BL61" s="2">
        <f t="shared" si="25"/>
        <v>7.1719223387464198E-2</v>
      </c>
      <c r="BM61" s="2">
        <f t="shared" si="25"/>
        <v>6.7219864566127191E-2</v>
      </c>
      <c r="BN61" s="2">
        <f t="shared" si="25"/>
        <v>6.4020222959570466E-2</v>
      </c>
      <c r="BO61" s="2">
        <f t="shared" si="11"/>
        <v>6.1868196507752091E-2</v>
      </c>
      <c r="BP61" s="2">
        <f t="shared" si="11"/>
        <v>6.0474504531493549E-2</v>
      </c>
      <c r="BQ61" s="2">
        <f t="shared" si="11"/>
        <v>5.9593908171314949E-2</v>
      </c>
      <c r="BR61" s="2">
        <f t="shared" si="11"/>
        <v>5.9046148774702274E-2</v>
      </c>
      <c r="BS61" s="2">
        <f t="shared" si="20"/>
        <v>5.870873542676814E-2</v>
      </c>
      <c r="BT61" s="2">
        <f t="shared" si="20"/>
        <v>5.8502141441663977E-2</v>
      </c>
      <c r="BU61" s="2">
        <f t="shared" si="20"/>
        <v>5.8376112916415167E-2</v>
      </c>
    </row>
    <row r="62" spans="1:73" x14ac:dyDescent="0.25">
      <c r="A62" t="s">
        <v>22</v>
      </c>
      <c r="B62" s="1" t="s">
        <v>5</v>
      </c>
      <c r="C62" t="s">
        <v>18</v>
      </c>
      <c r="D62" t="s">
        <v>18</v>
      </c>
      <c r="E62" s="97">
        <v>6.6389849999999999</v>
      </c>
      <c r="F62" s="5">
        <f t="shared" si="7"/>
        <v>1.6265513249999999E-2</v>
      </c>
      <c r="G62" s="1">
        <f>LOOKUP(RIGHT(D62,5),Ref!$C$4:$C$21,Ref!$E$4:$E$21)*$G$3</f>
        <v>3</v>
      </c>
      <c r="H62" s="36">
        <f t="shared" si="23"/>
        <v>6.6389849999999999</v>
      </c>
      <c r="I62" s="12">
        <f t="shared" si="23"/>
        <v>6.6389849999999999</v>
      </c>
      <c r="J62" s="12">
        <f t="shared" si="23"/>
        <v>6.6389849999999999</v>
      </c>
      <c r="K62" s="12">
        <f t="shared" si="23"/>
        <v>6.6389849999999999</v>
      </c>
      <c r="L62" s="12">
        <f t="shared" si="23"/>
        <v>6.6389849999999999</v>
      </c>
      <c r="M62" s="12">
        <f t="shared" si="22"/>
        <v>6.9538446606377677</v>
      </c>
      <c r="N62" s="12">
        <f t="shared" si="22"/>
        <v>7.1426063192883351</v>
      </c>
      <c r="O62" s="12">
        <f t="shared" si="22"/>
        <v>7.4303714112610084</v>
      </c>
      <c r="P62" s="12">
        <f t="shared" si="22"/>
        <v>7.8501053161675429</v>
      </c>
      <c r="Q62" s="12">
        <f t="shared" si="22"/>
        <v>8.4244830623540778</v>
      </c>
      <c r="R62" s="12">
        <f t="shared" si="22"/>
        <v>9.1454718370408568</v>
      </c>
      <c r="S62" s="12">
        <f t="shared" si="22"/>
        <v>9.9584775000000008</v>
      </c>
      <c r="T62" s="12">
        <f t="shared" si="22"/>
        <v>10.771483162959143</v>
      </c>
      <c r="U62" s="12">
        <f t="shared" si="22"/>
        <v>11.492471937645922</v>
      </c>
      <c r="V62" s="12">
        <f t="shared" si="22"/>
        <v>12.066849683832457</v>
      </c>
      <c r="W62" s="12">
        <f t="shared" si="22"/>
        <v>12.48658358873899</v>
      </c>
      <c r="X62" s="12">
        <f t="shared" si="22"/>
        <v>12.774348680711665</v>
      </c>
      <c r="Y62" s="12">
        <f t="shared" si="22"/>
        <v>12.963110339362231</v>
      </c>
      <c r="Z62" s="12">
        <f t="shared" si="22"/>
        <v>13.083366539725207</v>
      </c>
      <c r="AA62" s="12">
        <f t="shared" si="22"/>
        <v>13.158559821854823</v>
      </c>
      <c r="AB62" s="12">
        <f t="shared" si="22"/>
        <v>13.205027852679631</v>
      </c>
      <c r="AC62" s="12">
        <f t="shared" si="21"/>
        <v>13.233536263106437</v>
      </c>
      <c r="AD62" s="300">
        <f t="shared" si="24"/>
        <v>2.0701352847655569E-3</v>
      </c>
      <c r="AE62" s="299">
        <f t="shared" si="24"/>
        <v>2.0701352847655569E-3</v>
      </c>
      <c r="AF62" s="299">
        <f t="shared" si="24"/>
        <v>2.0701352847655569E-3</v>
      </c>
      <c r="AG62" s="299">
        <f t="shared" si="24"/>
        <v>2.0701352847655569E-3</v>
      </c>
      <c r="AH62" s="299">
        <f t="shared" si="24"/>
        <v>2.0701352847655569E-3</v>
      </c>
      <c r="AI62" s="299">
        <f t="shared" si="24"/>
        <v>1.9764026627348869E-3</v>
      </c>
      <c r="AJ62" s="299">
        <f t="shared" si="24"/>
        <v>1.9241711623410073E-3</v>
      </c>
      <c r="AK62" s="299">
        <f t="shared" si="24"/>
        <v>1.8496514296311379E-3</v>
      </c>
      <c r="AL62" s="299">
        <f t="shared" si="24"/>
        <v>1.7507532128548495E-3</v>
      </c>
      <c r="AM62" s="299">
        <f t="shared" si="24"/>
        <v>1.6313875880342558E-3</v>
      </c>
      <c r="AN62" s="299">
        <f t="shared" si="24"/>
        <v>1.5027761660000025E-3</v>
      </c>
      <c r="AO62" s="299">
        <f t="shared" si="24"/>
        <v>1.3800901898437044E-3</v>
      </c>
      <c r="AP62" s="299">
        <f t="shared" si="24"/>
        <v>1.2759242989666074E-3</v>
      </c>
      <c r="AQ62" s="299">
        <f t="shared" si="24"/>
        <v>1.1958782390853026E-3</v>
      </c>
      <c r="AR62" s="299">
        <f t="shared" si="24"/>
        <v>1.1389548609313798E-3</v>
      </c>
      <c r="AS62" s="299">
        <f t="shared" si="10"/>
        <v>1.1006691306598793E-3</v>
      </c>
      <c r="AT62" s="299">
        <f t="shared" si="10"/>
        <v>1.0758745864108978E-3</v>
      </c>
      <c r="AU62" s="299">
        <f t="shared" si="10"/>
        <v>1.06020829443973E-3</v>
      </c>
      <c r="AV62" s="299">
        <f t="shared" si="10"/>
        <v>1.0504633545043156E-3</v>
      </c>
      <c r="AW62" s="299">
        <f t="shared" si="19"/>
        <v>1.0444605860819782E-3</v>
      </c>
      <c r="AX62" s="299">
        <f t="shared" si="19"/>
        <v>1.0407851658366884E-3</v>
      </c>
      <c r="AY62" s="299">
        <f t="shared" si="19"/>
        <v>1.0385430492864415E-3</v>
      </c>
      <c r="AZ62" s="306">
        <f t="shared" si="25"/>
        <v>0.11460225008585165</v>
      </c>
      <c r="BA62" s="2">
        <f t="shared" si="25"/>
        <v>0.11460225008585165</v>
      </c>
      <c r="BB62" s="2">
        <f t="shared" si="25"/>
        <v>0.11460225008585165</v>
      </c>
      <c r="BC62" s="2">
        <f t="shared" si="25"/>
        <v>0.11460225008585165</v>
      </c>
      <c r="BD62" s="2">
        <f t="shared" si="25"/>
        <v>0.11460225008585165</v>
      </c>
      <c r="BE62" s="2">
        <f t="shared" si="25"/>
        <v>0.10941323202011785</v>
      </c>
      <c r="BF62" s="2">
        <f t="shared" si="25"/>
        <v>0.10652170724173771</v>
      </c>
      <c r="BG62" s="2">
        <f t="shared" si="25"/>
        <v>0.10239631065186487</v>
      </c>
      <c r="BH62" s="2">
        <f t="shared" si="25"/>
        <v>9.6921326357143012E-2</v>
      </c>
      <c r="BI62" s="2">
        <f t="shared" si="25"/>
        <v>9.0313270696233475E-2</v>
      </c>
      <c r="BJ62" s="2">
        <f t="shared" si="25"/>
        <v>8.3193369663516328E-2</v>
      </c>
      <c r="BK62" s="2">
        <f t="shared" si="25"/>
        <v>7.6401500057234423E-2</v>
      </c>
      <c r="BL62" s="2">
        <f t="shared" si="25"/>
        <v>7.0634898442082233E-2</v>
      </c>
      <c r="BM62" s="2">
        <f t="shared" si="25"/>
        <v>6.6203565552674828E-2</v>
      </c>
      <c r="BN62" s="2">
        <f t="shared" si="25"/>
        <v>6.3052299417106231E-2</v>
      </c>
      <c r="BO62" s="2">
        <f t="shared" si="11"/>
        <v>6.0932809513435104E-2</v>
      </c>
      <c r="BP62" s="2">
        <f t="shared" si="11"/>
        <v>5.9560188805166614E-2</v>
      </c>
      <c r="BQ62" s="2">
        <f t="shared" si="11"/>
        <v>5.8692906206000116E-2</v>
      </c>
      <c r="BR62" s="2">
        <f t="shared" si="11"/>
        <v>5.8153428399033293E-2</v>
      </c>
      <c r="BS62" s="2">
        <f t="shared" si="20"/>
        <v>5.7821116412948743E-2</v>
      </c>
      <c r="BT62" s="2">
        <f t="shared" si="20"/>
        <v>5.7617645928086679E-2</v>
      </c>
      <c r="BU62" s="2">
        <f t="shared" si="20"/>
        <v>5.7493522831637882E-2</v>
      </c>
    </row>
    <row r="63" spans="1:73" x14ac:dyDescent="0.25">
      <c r="A63" t="s">
        <v>22</v>
      </c>
      <c r="B63" s="1" t="s">
        <v>5</v>
      </c>
      <c r="C63" t="s">
        <v>6</v>
      </c>
      <c r="D63" t="s">
        <v>6</v>
      </c>
      <c r="E63" s="97">
        <v>6.8452099999999998</v>
      </c>
      <c r="F63" s="5">
        <f t="shared" si="7"/>
        <v>1.67707645E-2</v>
      </c>
      <c r="G63" s="1">
        <f>LOOKUP(RIGHT(D63,5),Ref!$C$4:$C$21,Ref!$E$4:$E$21)*$G$3</f>
        <v>3</v>
      </c>
      <c r="H63" s="36">
        <f t="shared" si="23"/>
        <v>6.8452099999999998</v>
      </c>
      <c r="I63" s="12">
        <f t="shared" si="23"/>
        <v>6.8452099999999998</v>
      </c>
      <c r="J63" s="12">
        <f t="shared" si="23"/>
        <v>6.8452099999999998</v>
      </c>
      <c r="K63" s="12">
        <f t="shared" si="23"/>
        <v>6.8452099999999998</v>
      </c>
      <c r="L63" s="12">
        <f t="shared" si="23"/>
        <v>6.8452099999999998</v>
      </c>
      <c r="M63" s="12">
        <f t="shared" si="22"/>
        <v>7.1698500613338112</v>
      </c>
      <c r="N63" s="12">
        <f t="shared" si="22"/>
        <v>7.3644751724632158</v>
      </c>
      <c r="O63" s="12">
        <f t="shared" si="22"/>
        <v>7.661179033855019</v>
      </c>
      <c r="P63" s="12">
        <f t="shared" si="22"/>
        <v>8.0939510198145079</v>
      </c>
      <c r="Q63" s="12">
        <f t="shared" si="22"/>
        <v>8.6861705069761044</v>
      </c>
      <c r="R63" s="12">
        <f t="shared" si="22"/>
        <v>9.4295551614637532</v>
      </c>
      <c r="S63" s="12">
        <f t="shared" si="22"/>
        <v>10.267814999999999</v>
      </c>
      <c r="T63" s="12">
        <f t="shared" si="22"/>
        <v>11.106074838536246</v>
      </c>
      <c r="U63" s="12">
        <f t="shared" si="22"/>
        <v>11.849459493023895</v>
      </c>
      <c r="V63" s="12">
        <f t="shared" si="22"/>
        <v>12.441678980185491</v>
      </c>
      <c r="W63" s="12">
        <f t="shared" si="22"/>
        <v>12.874450966144979</v>
      </c>
      <c r="X63" s="12">
        <f t="shared" si="22"/>
        <v>13.171154827536784</v>
      </c>
      <c r="Y63" s="12">
        <f t="shared" si="22"/>
        <v>13.365779938666188</v>
      </c>
      <c r="Z63" s="12">
        <f t="shared" si="22"/>
        <v>13.489771624938509</v>
      </c>
      <c r="AA63" s="12">
        <f t="shared" si="22"/>
        <v>13.56730061570539</v>
      </c>
      <c r="AB63" s="12">
        <f t="shared" si="22"/>
        <v>13.615212070435637</v>
      </c>
      <c r="AC63" s="12">
        <f t="shared" si="21"/>
        <v>13.644606029924576</v>
      </c>
      <c r="AD63" s="300">
        <f t="shared" si="24"/>
        <v>2.0077685130959109E-3</v>
      </c>
      <c r="AE63" s="299">
        <f t="shared" si="24"/>
        <v>2.0077685130959109E-3</v>
      </c>
      <c r="AF63" s="299">
        <f t="shared" si="24"/>
        <v>2.0077685130959109E-3</v>
      </c>
      <c r="AG63" s="299">
        <f t="shared" si="24"/>
        <v>2.0077685130959109E-3</v>
      </c>
      <c r="AH63" s="299">
        <f t="shared" si="24"/>
        <v>2.0077685130959109E-3</v>
      </c>
      <c r="AI63" s="299">
        <f t="shared" si="24"/>
        <v>1.9168597649826629E-3</v>
      </c>
      <c r="AJ63" s="299">
        <f t="shared" si="24"/>
        <v>1.8662018381049687E-3</v>
      </c>
      <c r="AK63" s="299">
        <f t="shared" si="24"/>
        <v>1.7939271543969697E-3</v>
      </c>
      <c r="AL63" s="299">
        <f t="shared" si="24"/>
        <v>1.6980084349267814E-3</v>
      </c>
      <c r="AM63" s="299">
        <f t="shared" si="24"/>
        <v>1.5822389270958239E-3</v>
      </c>
      <c r="AN63" s="299">
        <f t="shared" si="24"/>
        <v>1.4575021693171617E-3</v>
      </c>
      <c r="AO63" s="299">
        <f t="shared" si="24"/>
        <v>1.3385123420639408E-3</v>
      </c>
      <c r="AP63" s="299">
        <f t="shared" si="24"/>
        <v>1.2374846472167867E-3</v>
      </c>
      <c r="AQ63" s="299">
        <f t="shared" si="24"/>
        <v>1.1598501274780082E-3</v>
      </c>
      <c r="AR63" s="299">
        <f t="shared" si="24"/>
        <v>1.1046416746017312E-3</v>
      </c>
      <c r="AS63" s="299">
        <f t="shared" si="10"/>
        <v>1.0675093749372157E-3</v>
      </c>
      <c r="AT63" s="299">
        <f t="shared" si="10"/>
        <v>1.0434618135985827E-3</v>
      </c>
      <c r="AU63" s="299">
        <f t="shared" si="10"/>
        <v>1.0282674985370719E-3</v>
      </c>
      <c r="AV63" s="299">
        <f t="shared" si="10"/>
        <v>1.018816143493601E-3</v>
      </c>
      <c r="AW63" s="299">
        <f t="shared" si="19"/>
        <v>1.012994219912824E-3</v>
      </c>
      <c r="AX63" s="299">
        <f t="shared" si="19"/>
        <v>1.0094295287087301E-3</v>
      </c>
      <c r="AY63" s="299">
        <f t="shared" si="19"/>
        <v>1.0072549601936166E-3</v>
      </c>
      <c r="AZ63" s="306">
        <f t="shared" si="25"/>
        <v>0.11114963884033036</v>
      </c>
      <c r="BA63" s="2">
        <f t="shared" si="25"/>
        <v>0.11114963884033036</v>
      </c>
      <c r="BB63" s="2">
        <f t="shared" si="25"/>
        <v>0.11114963884033036</v>
      </c>
      <c r="BC63" s="2">
        <f t="shared" si="25"/>
        <v>0.11114963884033036</v>
      </c>
      <c r="BD63" s="2">
        <f t="shared" si="25"/>
        <v>0.11114963884033036</v>
      </c>
      <c r="BE63" s="2">
        <f t="shared" si="25"/>
        <v>0.10611694983544437</v>
      </c>
      <c r="BF63" s="2">
        <f t="shared" si="25"/>
        <v>0.10331253775301094</v>
      </c>
      <c r="BG63" s="2">
        <f t="shared" si="25"/>
        <v>9.9311426599486524E-2</v>
      </c>
      <c r="BH63" s="2">
        <f t="shared" si="25"/>
        <v>9.4001386643386711E-2</v>
      </c>
      <c r="BI63" s="2">
        <f t="shared" si="25"/>
        <v>8.7592411255934241E-2</v>
      </c>
      <c r="BJ63" s="2">
        <f t="shared" si="25"/>
        <v>8.068701081421023E-2</v>
      </c>
      <c r="BK63" s="2">
        <f t="shared" si="25"/>
        <v>7.4099759226886913E-2</v>
      </c>
      <c r="BL63" s="2">
        <f t="shared" si="25"/>
        <v>6.8506887478033143E-2</v>
      </c>
      <c r="BM63" s="2">
        <f t="shared" si="25"/>
        <v>6.420905693919178E-2</v>
      </c>
      <c r="BN63" s="2">
        <f t="shared" si="25"/>
        <v>6.1152728703089757E-2</v>
      </c>
      <c r="BO63" s="2">
        <f t="shared" si="11"/>
        <v>5.9097092473065542E-2</v>
      </c>
      <c r="BP63" s="2">
        <f t="shared" si="11"/>
        <v>5.7765824580205585E-2</v>
      </c>
      <c r="BQ63" s="2">
        <f t="shared" si="11"/>
        <v>5.6924670522605102E-2</v>
      </c>
      <c r="BR63" s="2">
        <f t="shared" si="11"/>
        <v>5.6401445512958115E-2</v>
      </c>
      <c r="BS63" s="2">
        <f t="shared" si="20"/>
        <v>5.6079145058927415E-2</v>
      </c>
      <c r="BT63" s="2">
        <f t="shared" si="20"/>
        <v>5.5881804510289464E-2</v>
      </c>
      <c r="BU63" s="2">
        <f t="shared" si="20"/>
        <v>5.5761420858732078E-2</v>
      </c>
    </row>
    <row r="64" spans="1:73" x14ac:dyDescent="0.25">
      <c r="A64" t="s">
        <v>22</v>
      </c>
      <c r="B64" s="1" t="s">
        <v>5</v>
      </c>
      <c r="C64" t="s">
        <v>7</v>
      </c>
      <c r="D64" t="s">
        <v>7</v>
      </c>
      <c r="E64" s="97">
        <v>6.4575069999999997</v>
      </c>
      <c r="F64" s="5">
        <f t="shared" si="7"/>
        <v>1.5820892150000002E-2</v>
      </c>
      <c r="G64" s="1">
        <f>LOOKUP(RIGHT(D64,5),Ref!$C$4:$C$21,Ref!$E$4:$E$21)*$G$3</f>
        <v>3.5</v>
      </c>
      <c r="H64" s="36">
        <f t="shared" si="23"/>
        <v>6.4575069999999997</v>
      </c>
      <c r="I64" s="12">
        <f t="shared" si="23"/>
        <v>6.4575069999999997</v>
      </c>
      <c r="J64" s="12">
        <f t="shared" si="23"/>
        <v>6.4575069999999997</v>
      </c>
      <c r="K64" s="12">
        <f t="shared" si="23"/>
        <v>6.4575069999999997</v>
      </c>
      <c r="L64" s="12">
        <f t="shared" si="23"/>
        <v>6.4575069999999997</v>
      </c>
      <c r="M64" s="12">
        <f t="shared" si="22"/>
        <v>6.7637599080252491</v>
      </c>
      <c r="N64" s="12">
        <f t="shared" si="22"/>
        <v>6.9473617284944398</v>
      </c>
      <c r="O64" s="12">
        <f t="shared" si="22"/>
        <v>7.2272607033782776</v>
      </c>
      <c r="P64" s="12">
        <f t="shared" si="22"/>
        <v>7.6355210969582128</v>
      </c>
      <c r="Q64" s="12">
        <f t="shared" si="22"/>
        <v>8.1941981110866937</v>
      </c>
      <c r="R64" s="12">
        <f t="shared" si="22"/>
        <v>8.8954785115487063</v>
      </c>
      <c r="S64" s="12">
        <f t="shared" si="22"/>
        <v>9.6862604999999995</v>
      </c>
      <c r="T64" s="12">
        <f t="shared" si="22"/>
        <v>10.477042488451293</v>
      </c>
      <c r="U64" s="12">
        <f t="shared" si="22"/>
        <v>11.178322888913305</v>
      </c>
      <c r="V64" s="12">
        <f t="shared" si="22"/>
        <v>11.736999903041786</v>
      </c>
      <c r="W64" s="12">
        <f t="shared" si="22"/>
        <v>12.14526029662172</v>
      </c>
      <c r="X64" s="12">
        <f t="shared" si="22"/>
        <v>12.42515927150556</v>
      </c>
      <c r="Y64" s="12">
        <f t="shared" si="22"/>
        <v>12.608761091974749</v>
      </c>
      <c r="Z64" s="12">
        <f t="shared" si="22"/>
        <v>12.725730064737501</v>
      </c>
      <c r="AA64" s="12">
        <f t="shared" si="22"/>
        <v>12.798867923266323</v>
      </c>
      <c r="AB64" s="12">
        <f t="shared" si="22"/>
        <v>12.844065741054346</v>
      </c>
      <c r="AC64" s="12">
        <f t="shared" si="21"/>
        <v>12.871794868306473</v>
      </c>
      <c r="AD64" s="300">
        <f t="shared" si="24"/>
        <v>2.1283131560723449E-3</v>
      </c>
      <c r="AE64" s="299">
        <f t="shared" si="24"/>
        <v>2.1283131560723449E-3</v>
      </c>
      <c r="AF64" s="299">
        <f t="shared" si="24"/>
        <v>2.1283131560723449E-3</v>
      </c>
      <c r="AG64" s="299">
        <f t="shared" si="24"/>
        <v>2.1283131560723449E-3</v>
      </c>
      <c r="AH64" s="299">
        <f t="shared" si="24"/>
        <v>2.1283131560723449E-3</v>
      </c>
      <c r="AI64" s="299">
        <f t="shared" si="24"/>
        <v>2.031946327252448E-3</v>
      </c>
      <c r="AJ64" s="299">
        <f t="shared" si="24"/>
        <v>1.978246943319537E-3</v>
      </c>
      <c r="AK64" s="299">
        <f t="shared" si="24"/>
        <v>1.9016329516250902E-3</v>
      </c>
      <c r="AL64" s="299">
        <f t="shared" si="24"/>
        <v>1.7999553572059857E-3</v>
      </c>
      <c r="AM64" s="299">
        <f t="shared" si="24"/>
        <v>1.6772351506774369E-3</v>
      </c>
      <c r="AN64" s="299">
        <f t="shared" si="24"/>
        <v>1.5450093084578194E-3</v>
      </c>
      <c r="AO64" s="299">
        <f t="shared" si="24"/>
        <v>1.4188754373815633E-3</v>
      </c>
      <c r="AP64" s="299">
        <f t="shared" si="24"/>
        <v>1.3117821292295653E-3</v>
      </c>
      <c r="AQ64" s="299">
        <f t="shared" si="24"/>
        <v>1.2294865016969764E-3</v>
      </c>
      <c r="AR64" s="299">
        <f t="shared" si="24"/>
        <v>1.1709633822155386E-3</v>
      </c>
      <c r="AS64" s="299">
        <f t="shared" si="10"/>
        <v>1.1316016921722235E-3</v>
      </c>
      <c r="AT64" s="299">
        <f t="shared" si="10"/>
        <v>1.1061103365529691E-3</v>
      </c>
      <c r="AU64" s="299">
        <f t="shared" si="10"/>
        <v>1.0900037682748081E-3</v>
      </c>
      <c r="AV64" s="299">
        <f t="shared" si="10"/>
        <v>1.0799849622468599E-3</v>
      </c>
      <c r="AW64" s="299">
        <f t="shared" si="19"/>
        <v>1.0738134955315514E-3</v>
      </c>
      <c r="AX64" s="299">
        <f t="shared" si="19"/>
        <v>1.0700347834252889E-3</v>
      </c>
      <c r="AY64" s="299">
        <f t="shared" si="19"/>
        <v>1.0677296557428349E-3</v>
      </c>
      <c r="AZ64" s="306">
        <f t="shared" si="25"/>
        <v>0.11782296469616181</v>
      </c>
      <c r="BA64" s="2">
        <f t="shared" si="25"/>
        <v>0.11782296469616181</v>
      </c>
      <c r="BB64" s="2">
        <f t="shared" si="25"/>
        <v>0.11782296469616181</v>
      </c>
      <c r="BC64" s="2">
        <f t="shared" si="25"/>
        <v>0.11782296469616181</v>
      </c>
      <c r="BD64" s="2">
        <f t="shared" si="25"/>
        <v>0.11782296469616181</v>
      </c>
      <c r="BE64" s="2">
        <f t="shared" si="25"/>
        <v>0.11248811750155008</v>
      </c>
      <c r="BF64" s="2">
        <f t="shared" si="25"/>
        <v>0.10951533100193124</v>
      </c>
      <c r="BG64" s="2">
        <f t="shared" si="25"/>
        <v>0.10527399667906998</v>
      </c>
      <c r="BH64" s="2">
        <f t="shared" si="25"/>
        <v>9.964514662782048E-2</v>
      </c>
      <c r="BI64" s="2">
        <f t="shared" si="25"/>
        <v>9.2851382035394406E-2</v>
      </c>
      <c r="BJ64" s="2">
        <f t="shared" si="25"/>
        <v>8.5531387468188572E-2</v>
      </c>
      <c r="BK64" s="2">
        <f t="shared" si="25"/>
        <v>7.8548643130774545E-2</v>
      </c>
      <c r="BL64" s="2">
        <f t="shared" si="25"/>
        <v>7.2619980316476207E-2</v>
      </c>
      <c r="BM64" s="2">
        <f t="shared" si="25"/>
        <v>6.806411183924771E-2</v>
      </c>
      <c r="BN64" s="2">
        <f t="shared" si="25"/>
        <v>6.482428436324994E-2</v>
      </c>
      <c r="BO64" s="2">
        <f t="shared" si="11"/>
        <v>6.2645229554927767E-2</v>
      </c>
      <c r="BP64" s="2">
        <f t="shared" si="11"/>
        <v>6.1234033517063018E-2</v>
      </c>
      <c r="BQ64" s="2">
        <f t="shared" si="11"/>
        <v>6.0342377314967166E-2</v>
      </c>
      <c r="BR64" s="2">
        <f t="shared" si="11"/>
        <v>5.9787738339231539E-2</v>
      </c>
      <c r="BS64" s="2">
        <f t="shared" si="20"/>
        <v>5.9446087251445567E-2</v>
      </c>
      <c r="BT64" s="2">
        <f t="shared" si="20"/>
        <v>5.9236898551078394E-2</v>
      </c>
      <c r="BU64" s="2">
        <f t="shared" si="20"/>
        <v>5.9109287171721446E-2</v>
      </c>
    </row>
    <row r="65" spans="1:73" x14ac:dyDescent="0.25">
      <c r="A65" t="s">
        <v>22</v>
      </c>
      <c r="B65" s="1" t="s">
        <v>5</v>
      </c>
      <c r="C65" t="s">
        <v>8</v>
      </c>
      <c r="D65" t="s">
        <v>8</v>
      </c>
      <c r="E65" s="97">
        <v>6.3655270000000002</v>
      </c>
      <c r="F65" s="5">
        <f t="shared" si="7"/>
        <v>1.5595541149999999E-2</v>
      </c>
      <c r="G65" s="1">
        <f>LOOKUP(RIGHT(D65,5),Ref!$C$4:$C$21,Ref!$E$4:$E$21)*$G$3</f>
        <v>4</v>
      </c>
      <c r="H65" s="36">
        <f t="shared" si="23"/>
        <v>6.3655270000000002</v>
      </c>
      <c r="I65" s="12">
        <f t="shared" si="23"/>
        <v>6.3655270000000002</v>
      </c>
      <c r="J65" s="12">
        <f t="shared" si="23"/>
        <v>6.3655270000000002</v>
      </c>
      <c r="K65" s="12">
        <f t="shared" si="23"/>
        <v>6.3655270000000002</v>
      </c>
      <c r="L65" s="12">
        <f t="shared" si="23"/>
        <v>6.3655270000000002</v>
      </c>
      <c r="M65" s="12">
        <f t="shared" si="22"/>
        <v>6.667417676210377</v>
      </c>
      <c r="N65" s="12">
        <f t="shared" si="22"/>
        <v>6.8484042930960856</v>
      </c>
      <c r="O65" s="12">
        <f t="shared" si="22"/>
        <v>7.1243164186106842</v>
      </c>
      <c r="P65" s="12">
        <f t="shared" si="22"/>
        <v>7.5267615972785045</v>
      </c>
      <c r="Q65" s="12">
        <f t="shared" si="22"/>
        <v>8.077480879149082</v>
      </c>
      <c r="R65" s="12">
        <f t="shared" si="22"/>
        <v>8.7687723208326531</v>
      </c>
      <c r="S65" s="12">
        <f t="shared" si="22"/>
        <v>9.5482905000000002</v>
      </c>
      <c r="T65" s="12">
        <f t="shared" si="22"/>
        <v>10.327808679167347</v>
      </c>
      <c r="U65" s="12">
        <f t="shared" si="22"/>
        <v>11.019100120850919</v>
      </c>
      <c r="V65" s="12">
        <f t="shared" si="22"/>
        <v>11.569819402721496</v>
      </c>
      <c r="W65" s="12">
        <f t="shared" si="22"/>
        <v>11.972264581389314</v>
      </c>
      <c r="X65" s="12">
        <f t="shared" si="22"/>
        <v>12.248176706903914</v>
      </c>
      <c r="Y65" s="12">
        <f t="shared" si="22"/>
        <v>12.429163323789624</v>
      </c>
      <c r="Z65" s="12">
        <f t="shared" si="22"/>
        <v>12.544466203722012</v>
      </c>
      <c r="AA65" s="12">
        <f t="shared" si="22"/>
        <v>12.616562294858637</v>
      </c>
      <c r="AB65" s="12">
        <f t="shared" si="22"/>
        <v>12.661116320037509</v>
      </c>
      <c r="AC65" s="12">
        <f t="shared" si="21"/>
        <v>12.688450476734491</v>
      </c>
      <c r="AD65" s="300">
        <f t="shared" si="24"/>
        <v>2.1590666575649212E-3</v>
      </c>
      <c r="AE65" s="299">
        <f t="shared" si="24"/>
        <v>2.1590666575649212E-3</v>
      </c>
      <c r="AF65" s="299">
        <f t="shared" si="24"/>
        <v>2.1590666575649212E-3</v>
      </c>
      <c r="AG65" s="299">
        <f t="shared" si="24"/>
        <v>2.1590666575649212E-3</v>
      </c>
      <c r="AH65" s="299">
        <f t="shared" si="24"/>
        <v>2.1590666575649212E-3</v>
      </c>
      <c r="AI65" s="299">
        <f t="shared" si="24"/>
        <v>2.061307356304823E-3</v>
      </c>
      <c r="AJ65" s="299">
        <f t="shared" si="24"/>
        <v>2.0068320320084281E-3</v>
      </c>
      <c r="AK65" s="299">
        <f t="shared" si="24"/>
        <v>1.9291109905825049E-3</v>
      </c>
      <c r="AL65" s="299">
        <f t="shared" si="24"/>
        <v>1.8259641847163876E-3</v>
      </c>
      <c r="AM65" s="299">
        <f t="shared" si="24"/>
        <v>1.7014707071614972E-3</v>
      </c>
      <c r="AN65" s="299">
        <f t="shared" si="24"/>
        <v>1.5673342402650289E-3</v>
      </c>
      <c r="AO65" s="299">
        <f t="shared" si="24"/>
        <v>1.4393777717099474E-3</v>
      </c>
      <c r="AP65" s="299">
        <f t="shared" si="24"/>
        <v>1.3307369966343433E-3</v>
      </c>
      <c r="AQ65" s="299">
        <f t="shared" si="24"/>
        <v>1.2472522213971815E-3</v>
      </c>
      <c r="AR65" s="299">
        <f t="shared" si="24"/>
        <v>1.1878834599869761E-3</v>
      </c>
      <c r="AS65" s="299">
        <f t="shared" si="10"/>
        <v>1.1479530050558231E-3</v>
      </c>
      <c r="AT65" s="299">
        <f t="shared" si="10"/>
        <v>1.1220933068170403E-3</v>
      </c>
      <c r="AU65" s="299">
        <f t="shared" si="10"/>
        <v>1.1057540033466121E-3</v>
      </c>
      <c r="AV65" s="299">
        <f t="shared" si="10"/>
        <v>1.0955904285071499E-3</v>
      </c>
      <c r="AW65" s="299">
        <f t="shared" si="19"/>
        <v>1.0893297859060941E-3</v>
      </c>
      <c r="AX65" s="299">
        <f t="shared" si="19"/>
        <v>1.0854964725170886E-3</v>
      </c>
      <c r="AY65" s="299">
        <f t="shared" si="19"/>
        <v>1.0831580364150438E-3</v>
      </c>
      <c r="AZ65" s="306">
        <f t="shared" si="25"/>
        <v>0.11952547201295631</v>
      </c>
      <c r="BA65" s="2">
        <f t="shared" si="25"/>
        <v>0.11952547201295631</v>
      </c>
      <c r="BB65" s="2">
        <f t="shared" si="25"/>
        <v>0.11952547201295631</v>
      </c>
      <c r="BC65" s="2">
        <f t="shared" si="25"/>
        <v>0.11952547201295631</v>
      </c>
      <c r="BD65" s="2">
        <f t="shared" si="25"/>
        <v>0.11952547201295631</v>
      </c>
      <c r="BE65" s="2">
        <f t="shared" si="25"/>
        <v>0.11411353783953505</v>
      </c>
      <c r="BF65" s="2">
        <f t="shared" si="25"/>
        <v>0.11109779544604682</v>
      </c>
      <c r="BG65" s="2">
        <f t="shared" si="25"/>
        <v>0.10679517508496485</v>
      </c>
      <c r="BH65" s="2">
        <f t="shared" si="25"/>
        <v>0.10108498979977261</v>
      </c>
      <c r="BI65" s="2">
        <f t="shared" si="25"/>
        <v>9.4193057299612984E-2</v>
      </c>
      <c r="BJ65" s="2">
        <f t="shared" si="25"/>
        <v>8.6767290955727619E-2</v>
      </c>
      <c r="BK65" s="2">
        <f t="shared" si="25"/>
        <v>7.9683648008637545E-2</v>
      </c>
      <c r="BL65" s="2">
        <f t="shared" si="25"/>
        <v>7.3669317753817909E-2</v>
      </c>
      <c r="BM65" s="2">
        <f t="shared" si="25"/>
        <v>6.904761831199914E-2</v>
      </c>
      <c r="BN65" s="2">
        <f t="shared" si="25"/>
        <v>6.5760976278268407E-2</v>
      </c>
      <c r="BO65" s="2">
        <f t="shared" si="11"/>
        <v>6.3550434766446354E-2</v>
      </c>
      <c r="BP65" s="2">
        <f t="shared" si="11"/>
        <v>6.2118847359326108E-2</v>
      </c>
      <c r="BQ65" s="2">
        <f t="shared" si="11"/>
        <v>6.121430698637232E-2</v>
      </c>
      <c r="BR65" s="2">
        <f t="shared" si="11"/>
        <v>6.0651653639950946E-2</v>
      </c>
      <c r="BS65" s="2">
        <f t="shared" si="20"/>
        <v>6.0305065794052946E-2</v>
      </c>
      <c r="BT65" s="2">
        <f t="shared" si="20"/>
        <v>6.0092854378259418E-2</v>
      </c>
      <c r="BU65" s="2">
        <f t="shared" si="20"/>
        <v>5.9963399051861904E-2</v>
      </c>
    </row>
    <row r="66" spans="1:73" x14ac:dyDescent="0.25">
      <c r="A66" t="s">
        <v>22</v>
      </c>
      <c r="B66" s="1" t="s">
        <v>5</v>
      </c>
      <c r="C66" t="s">
        <v>9</v>
      </c>
      <c r="D66" t="s">
        <v>9</v>
      </c>
      <c r="E66" s="97">
        <v>6.2068614999999996</v>
      </c>
      <c r="F66" s="5">
        <f t="shared" si="7"/>
        <v>1.5206810674999998E-2</v>
      </c>
      <c r="G66" s="1">
        <f>LOOKUP(RIGHT(D66,5),Ref!$C$4:$C$21,Ref!$E$4:$E$21)*$G$3</f>
        <v>4.5</v>
      </c>
      <c r="H66" s="36">
        <f t="shared" si="23"/>
        <v>6.2068614999999996</v>
      </c>
      <c r="I66" s="12">
        <f t="shared" si="23"/>
        <v>6.2068614999999996</v>
      </c>
      <c r="J66" s="12">
        <f t="shared" si="23"/>
        <v>6.2068614999999996</v>
      </c>
      <c r="K66" s="12">
        <f t="shared" si="23"/>
        <v>6.2068614999999996</v>
      </c>
      <c r="L66" s="12">
        <f t="shared" si="23"/>
        <v>6.2068614999999996</v>
      </c>
      <c r="M66" s="12">
        <f t="shared" si="22"/>
        <v>6.5012273263297216</v>
      </c>
      <c r="N66" s="12">
        <f t="shared" si="22"/>
        <v>6.6777027170339247</v>
      </c>
      <c r="O66" s="12">
        <f t="shared" si="22"/>
        <v>6.946737527386583</v>
      </c>
      <c r="P66" s="12">
        <f t="shared" si="22"/>
        <v>7.3391514603310064</v>
      </c>
      <c r="Q66" s="12">
        <f t="shared" si="22"/>
        <v>7.8761436540567002</v>
      </c>
      <c r="R66" s="12">
        <f t="shared" si="22"/>
        <v>8.5502041418474608</v>
      </c>
      <c r="S66" s="12">
        <f t="shared" si="22"/>
        <v>9.3102922499999998</v>
      </c>
      <c r="T66" s="12">
        <f t="shared" si="22"/>
        <v>10.070380358152539</v>
      </c>
      <c r="U66" s="12">
        <f t="shared" si="22"/>
        <v>10.744440845943299</v>
      </c>
      <c r="V66" s="12">
        <f t="shared" si="22"/>
        <v>11.281433039668993</v>
      </c>
      <c r="W66" s="12">
        <f t="shared" si="22"/>
        <v>11.673846972613415</v>
      </c>
      <c r="X66" s="12">
        <f t="shared" si="22"/>
        <v>11.942881782966074</v>
      </c>
      <c r="Y66" s="12">
        <f t="shared" si="22"/>
        <v>12.119357173670277</v>
      </c>
      <c r="Z66" s="12">
        <f t="shared" si="22"/>
        <v>12.23178604347029</v>
      </c>
      <c r="AA66" s="12">
        <f t="shared" si="22"/>
        <v>12.302085085855376</v>
      </c>
      <c r="AB66" s="12">
        <f t="shared" si="22"/>
        <v>12.345528568783463</v>
      </c>
      <c r="AC66" s="12">
        <f t="shared" si="21"/>
        <v>12.372181401272817</v>
      </c>
      <c r="AD66" s="300">
        <f t="shared" si="24"/>
        <v>2.2142587044240089E-3</v>
      </c>
      <c r="AE66" s="299">
        <f t="shared" si="24"/>
        <v>2.2142587044240089E-3</v>
      </c>
      <c r="AF66" s="299">
        <f t="shared" si="24"/>
        <v>2.2142587044240089E-3</v>
      </c>
      <c r="AG66" s="299">
        <f t="shared" si="24"/>
        <v>2.2142587044240089E-3</v>
      </c>
      <c r="AH66" s="299">
        <f t="shared" si="24"/>
        <v>2.2142587044240089E-3</v>
      </c>
      <c r="AI66" s="299">
        <f t="shared" si="24"/>
        <v>2.1140003900291591E-3</v>
      </c>
      <c r="AJ66" s="299">
        <f t="shared" si="24"/>
        <v>2.0581325174106936E-3</v>
      </c>
      <c r="AK66" s="299">
        <f t="shared" si="24"/>
        <v>1.9784246992702644E-3</v>
      </c>
      <c r="AL66" s="299">
        <f t="shared" si="24"/>
        <v>1.8726411599236028E-3</v>
      </c>
      <c r="AM66" s="299">
        <f t="shared" si="24"/>
        <v>1.7449652656411946E-3</v>
      </c>
      <c r="AN66" s="299">
        <f t="shared" si="24"/>
        <v>1.6073998790582854E-3</v>
      </c>
      <c r="AO66" s="299">
        <f t="shared" si="24"/>
        <v>1.4761724696160058E-3</v>
      </c>
      <c r="AP66" s="299">
        <f t="shared" si="24"/>
        <v>1.3647545191679919E-3</v>
      </c>
      <c r="AQ66" s="299">
        <f t="shared" si="24"/>
        <v>1.2791356293536979E-3</v>
      </c>
      <c r="AR66" s="299">
        <f t="shared" si="24"/>
        <v>1.2182492290830906E-3</v>
      </c>
      <c r="AS66" s="299">
        <f t="shared" si="10"/>
        <v>1.177298035152545E-3</v>
      </c>
      <c r="AT66" s="299">
        <f t="shared" si="10"/>
        <v>1.1507772875330236E-3</v>
      </c>
      <c r="AU66" s="299">
        <f t="shared" si="10"/>
        <v>1.1340203037655907E-3</v>
      </c>
      <c r="AV66" s="299">
        <f t="shared" si="10"/>
        <v>1.1235969182821033E-3</v>
      </c>
      <c r="AW66" s="299">
        <f t="shared" si="19"/>
        <v>1.1171762353790983E-3</v>
      </c>
      <c r="AX66" s="299">
        <f t="shared" si="19"/>
        <v>1.1132449313090498E-3</v>
      </c>
      <c r="AY66" s="299">
        <f t="shared" si="19"/>
        <v>1.1108467179535013E-3</v>
      </c>
      <c r="AZ66" s="306">
        <f t="shared" si="25"/>
        <v>0.12258089201542806</v>
      </c>
      <c r="BA66" s="2">
        <f t="shared" si="25"/>
        <v>0.12258089201542806</v>
      </c>
      <c r="BB66" s="2">
        <f t="shared" si="25"/>
        <v>0.12258089201542806</v>
      </c>
      <c r="BC66" s="2">
        <f t="shared" si="25"/>
        <v>0.12258089201542806</v>
      </c>
      <c r="BD66" s="2">
        <f t="shared" si="25"/>
        <v>0.12258089201542806</v>
      </c>
      <c r="BE66" s="2">
        <f t="shared" si="25"/>
        <v>0.11703061300515279</v>
      </c>
      <c r="BF66" s="2">
        <f t="shared" si="25"/>
        <v>0.11393777943205081</v>
      </c>
      <c r="BG66" s="2">
        <f t="shared" si="25"/>
        <v>0.10952517153364404</v>
      </c>
      <c r="BH66" s="2">
        <f t="shared" si="25"/>
        <v>0.10366901724247869</v>
      </c>
      <c r="BI66" s="2">
        <f t="shared" si="25"/>
        <v>9.6600906827586472E-2</v>
      </c>
      <c r="BJ66" s="2">
        <f t="shared" si="25"/>
        <v>8.8985316217469967E-2</v>
      </c>
      <c r="BK66" s="2">
        <f t="shared" si="25"/>
        <v>8.172059467695203E-2</v>
      </c>
      <c r="BL66" s="2">
        <f t="shared" si="25"/>
        <v>7.5552520582827132E-2</v>
      </c>
      <c r="BM66" s="2">
        <f t="shared" si="25"/>
        <v>7.0812677010873362E-2</v>
      </c>
      <c r="BN66" s="2">
        <f t="shared" si="25"/>
        <v>6.7442018811870869E-2</v>
      </c>
      <c r="BO66" s="2">
        <f t="shared" si="11"/>
        <v>6.5174969405641311E-2</v>
      </c>
      <c r="BP66" s="2">
        <f t="shared" si="11"/>
        <v>6.3706786445076796E-2</v>
      </c>
      <c r="BQ66" s="2">
        <f t="shared" si="11"/>
        <v>6.2779123379511803E-2</v>
      </c>
      <c r="BR66" s="2">
        <f t="shared" si="11"/>
        <v>6.2202086970968511E-2</v>
      </c>
      <c r="BS66" s="2">
        <f t="shared" si="20"/>
        <v>6.1846639327914843E-2</v>
      </c>
      <c r="BT66" s="2">
        <f t="shared" si="20"/>
        <v>6.1629003168812216E-2</v>
      </c>
      <c r="BU66" s="2">
        <f t="shared" si="20"/>
        <v>6.1496238586345356E-2</v>
      </c>
    </row>
    <row r="67" spans="1:73" x14ac:dyDescent="0.25">
      <c r="A67" t="s">
        <v>22</v>
      </c>
      <c r="B67" s="1" t="s">
        <v>5</v>
      </c>
      <c r="C67" t="s">
        <v>10</v>
      </c>
      <c r="D67" t="s">
        <v>10</v>
      </c>
      <c r="E67" s="97">
        <v>6.464296</v>
      </c>
      <c r="F67" s="5">
        <f t="shared" si="7"/>
        <v>1.5837525200000001E-2</v>
      </c>
      <c r="G67" s="1">
        <f>LOOKUP(RIGHT(D67,5),Ref!$C$4:$C$21,Ref!$E$4:$E$21)*$G$3</f>
        <v>4.5</v>
      </c>
      <c r="H67" s="36">
        <f t="shared" si="23"/>
        <v>6.464296</v>
      </c>
      <c r="I67" s="12">
        <f t="shared" si="23"/>
        <v>6.464296</v>
      </c>
      <c r="J67" s="12">
        <f t="shared" si="23"/>
        <v>6.464296</v>
      </c>
      <c r="K67" s="12">
        <f t="shared" si="23"/>
        <v>6.464296</v>
      </c>
      <c r="L67" s="12">
        <f t="shared" si="23"/>
        <v>6.464296</v>
      </c>
      <c r="M67" s="12">
        <f t="shared" si="22"/>
        <v>6.7708708822782517</v>
      </c>
      <c r="N67" s="12">
        <f t="shared" si="22"/>
        <v>6.9546657296786041</v>
      </c>
      <c r="O67" s="12">
        <f t="shared" si="22"/>
        <v>7.2348589720158865</v>
      </c>
      <c r="P67" s="12">
        <f t="shared" si="22"/>
        <v>7.6435485838393342</v>
      </c>
      <c r="Q67" s="12">
        <f t="shared" si="22"/>
        <v>8.202812954396375</v>
      </c>
      <c r="R67" s="12">
        <f t="shared" si="22"/>
        <v>8.9048306351491764</v>
      </c>
      <c r="S67" s="12">
        <f t="shared" si="22"/>
        <v>9.6964439999999996</v>
      </c>
      <c r="T67" s="12">
        <f t="shared" si="22"/>
        <v>10.488057364850823</v>
      </c>
      <c r="U67" s="12">
        <f t="shared" si="22"/>
        <v>11.190075045603626</v>
      </c>
      <c r="V67" s="12">
        <f t="shared" si="22"/>
        <v>11.749339416160666</v>
      </c>
      <c r="W67" s="12">
        <f t="shared" si="22"/>
        <v>12.158029027984112</v>
      </c>
      <c r="X67" s="12">
        <f t="shared" si="22"/>
        <v>12.438222270321397</v>
      </c>
      <c r="Y67" s="12">
        <f t="shared" si="22"/>
        <v>12.622017117721748</v>
      </c>
      <c r="Z67" s="12">
        <f t="shared" si="22"/>
        <v>12.73910906400293</v>
      </c>
      <c r="AA67" s="12">
        <f t="shared" si="22"/>
        <v>12.812323814886891</v>
      </c>
      <c r="AB67" s="12">
        <f t="shared" si="22"/>
        <v>12.857569150700828</v>
      </c>
      <c r="AC67" s="12">
        <f t="shared" si="21"/>
        <v>12.885327430541549</v>
      </c>
      <c r="AD67" s="300">
        <f t="shared" si="24"/>
        <v>2.1260779369523392E-3</v>
      </c>
      <c r="AE67" s="299">
        <f t="shared" si="24"/>
        <v>2.1260779369523392E-3</v>
      </c>
      <c r="AF67" s="299">
        <f t="shared" si="24"/>
        <v>2.1260779369523392E-3</v>
      </c>
      <c r="AG67" s="299">
        <f t="shared" si="24"/>
        <v>2.1260779369523392E-3</v>
      </c>
      <c r="AH67" s="299">
        <f t="shared" si="24"/>
        <v>2.1260779369523392E-3</v>
      </c>
      <c r="AI67" s="299">
        <f t="shared" si="24"/>
        <v>2.0298123155030297E-3</v>
      </c>
      <c r="AJ67" s="299">
        <f t="shared" si="24"/>
        <v>1.9761693282941426E-3</v>
      </c>
      <c r="AK67" s="299">
        <f t="shared" si="24"/>
        <v>1.8996357989407788E-3</v>
      </c>
      <c r="AL67" s="299">
        <f t="shared" si="24"/>
        <v>1.7980649894195986E-3</v>
      </c>
      <c r="AM67" s="299">
        <f t="shared" si="24"/>
        <v>1.6754736673793408E-3</v>
      </c>
      <c r="AN67" s="299">
        <f t="shared" si="24"/>
        <v>1.543386692755333E-3</v>
      </c>
      <c r="AO67" s="299">
        <f t="shared" si="24"/>
        <v>1.4173852913015597E-3</v>
      </c>
      <c r="AP67" s="299">
        <f t="shared" si="24"/>
        <v>1.31040445579454E-3</v>
      </c>
      <c r="AQ67" s="299">
        <f t="shared" si="24"/>
        <v>1.2281952576295603E-3</v>
      </c>
      <c r="AR67" s="299">
        <f t="shared" si="24"/>
        <v>1.1697336009057315E-3</v>
      </c>
      <c r="AS67" s="299">
        <f t="shared" si="10"/>
        <v>1.1304132497048369E-3</v>
      </c>
      <c r="AT67" s="299">
        <f t="shared" si="10"/>
        <v>1.1049486658815057E-3</v>
      </c>
      <c r="AU67" s="299">
        <f t="shared" si="10"/>
        <v>1.0888590132105567E-3</v>
      </c>
      <c r="AV67" s="299">
        <f t="shared" si="10"/>
        <v>1.0788507292370016E-3</v>
      </c>
      <c r="AW67" s="299">
        <f t="shared" si="19"/>
        <v>1.0726857439834843E-3</v>
      </c>
      <c r="AX67" s="299">
        <f t="shared" si="19"/>
        <v>1.068911000395447E-3</v>
      </c>
      <c r="AY67" s="299">
        <f t="shared" si="19"/>
        <v>1.066608293628099E-3</v>
      </c>
      <c r="AZ67" s="306">
        <f t="shared" si="25"/>
        <v>0.11769922343998755</v>
      </c>
      <c r="BA67" s="2">
        <f t="shared" si="25"/>
        <v>0.11769922343998755</v>
      </c>
      <c r="BB67" s="2">
        <f t="shared" si="25"/>
        <v>0.11769922343998755</v>
      </c>
      <c r="BC67" s="2">
        <f t="shared" si="25"/>
        <v>0.11769922343998755</v>
      </c>
      <c r="BD67" s="2">
        <f t="shared" si="25"/>
        <v>0.11769922343998755</v>
      </c>
      <c r="BE67" s="2">
        <f t="shared" si="25"/>
        <v>0.11236997906393552</v>
      </c>
      <c r="BF67" s="2">
        <f t="shared" si="25"/>
        <v>0.10940031467499137</v>
      </c>
      <c r="BG67" s="2">
        <f t="shared" si="25"/>
        <v>0.10516343473025849</v>
      </c>
      <c r="BH67" s="2">
        <f t="shared" si="25"/>
        <v>9.9540496268298528E-2</v>
      </c>
      <c r="BI67" s="2">
        <f t="shared" si="25"/>
        <v>9.2753866693795206E-2</v>
      </c>
      <c r="BJ67" s="2">
        <f t="shared" si="25"/>
        <v>8.5441559807214892E-2</v>
      </c>
      <c r="BK67" s="2">
        <f t="shared" si="25"/>
        <v>7.8466148959991711E-2</v>
      </c>
      <c r="BL67" s="2">
        <f t="shared" si="25"/>
        <v>7.254371260745289E-2</v>
      </c>
      <c r="BM67" s="2">
        <f t="shared" si="25"/>
        <v>6.799262884167509E-2</v>
      </c>
      <c r="BN67" s="2">
        <f t="shared" si="25"/>
        <v>6.4756203930896261E-2</v>
      </c>
      <c r="BO67" s="2">
        <f t="shared" si="11"/>
        <v>6.2579437632118484E-2</v>
      </c>
      <c r="BP67" s="2">
        <f t="shared" si="11"/>
        <v>6.1169723675195103E-2</v>
      </c>
      <c r="BQ67" s="2">
        <f t="shared" si="11"/>
        <v>6.0279003917525067E-2</v>
      </c>
      <c r="BR67" s="2">
        <f t="shared" si="11"/>
        <v>5.9724947440487883E-2</v>
      </c>
      <c r="BS67" s="2">
        <f t="shared" si="20"/>
        <v>5.9383655165051306E-2</v>
      </c>
      <c r="BT67" s="2">
        <f t="shared" si="20"/>
        <v>5.9174686161010966E-2</v>
      </c>
      <c r="BU67" s="2">
        <f t="shared" si="20"/>
        <v>5.904720880300058E-2</v>
      </c>
    </row>
    <row r="68" spans="1:73" x14ac:dyDescent="0.25">
      <c r="A68" t="s">
        <v>22</v>
      </c>
      <c r="B68" s="1" t="s">
        <v>5</v>
      </c>
      <c r="C68" t="s">
        <v>11</v>
      </c>
      <c r="D68" t="s">
        <v>11</v>
      </c>
      <c r="E68" s="97">
        <v>6.6269400000000003</v>
      </c>
      <c r="F68" s="5">
        <f t="shared" si="7"/>
        <v>1.6236002999999999E-2</v>
      </c>
      <c r="G68" s="1">
        <f>LOOKUP(RIGHT(D68,5),Ref!$C$4:$C$21,Ref!$E$4:$E$21)*$G$3</f>
        <v>4.5</v>
      </c>
      <c r="H68" s="36">
        <f t="shared" si="23"/>
        <v>6.6269400000000003</v>
      </c>
      <c r="I68" s="12">
        <f t="shared" si="23"/>
        <v>6.6269400000000003</v>
      </c>
      <c r="J68" s="12">
        <f t="shared" si="23"/>
        <v>6.6269400000000003</v>
      </c>
      <c r="K68" s="12">
        <f t="shared" si="23"/>
        <v>6.6269400000000003</v>
      </c>
      <c r="L68" s="12">
        <f t="shared" si="23"/>
        <v>6.6269400000000003</v>
      </c>
      <c r="M68" s="12">
        <f t="shared" si="22"/>
        <v>6.9412284159953446</v>
      </c>
      <c r="N68" s="12">
        <f t="shared" si="22"/>
        <v>7.1296476075099795</v>
      </c>
      <c r="O68" s="12">
        <f t="shared" si="22"/>
        <v>7.4168906120652522</v>
      </c>
      <c r="P68" s="12">
        <f t="shared" si="22"/>
        <v>7.8358630007332959</v>
      </c>
      <c r="Q68" s="12">
        <f t="shared" si="22"/>
        <v>8.4091986629336759</v>
      </c>
      <c r="R68" s="12">
        <f t="shared" si="22"/>
        <v>9.1288793596851825</v>
      </c>
      <c r="S68" s="12">
        <f t="shared" si="22"/>
        <v>9.94041</v>
      </c>
      <c r="T68" s="12">
        <f t="shared" si="22"/>
        <v>10.751940640314817</v>
      </c>
      <c r="U68" s="12">
        <f t="shared" si="22"/>
        <v>11.471621337066324</v>
      </c>
      <c r="V68" s="12">
        <f t="shared" si="22"/>
        <v>12.044956999266706</v>
      </c>
      <c r="W68" s="12">
        <f t="shared" si="22"/>
        <v>12.463929387934748</v>
      </c>
      <c r="X68" s="12">
        <f t="shared" si="22"/>
        <v>12.751172392490021</v>
      </c>
      <c r="Y68" s="12">
        <f t="shared" si="22"/>
        <v>12.939591584004656</v>
      </c>
      <c r="Z68" s="12">
        <f t="shared" si="22"/>
        <v>13.059629605544608</v>
      </c>
      <c r="AA68" s="12">
        <f t="shared" si="22"/>
        <v>13.134686465753818</v>
      </c>
      <c r="AB68" s="12">
        <f t="shared" ref="AB68:AC83" si="26">AB$3*$E68</f>
        <v>13.181070190403618</v>
      </c>
      <c r="AC68" s="12">
        <f t="shared" si="26"/>
        <v>13.20952687849582</v>
      </c>
      <c r="AD68" s="300">
        <f t="shared" si="24"/>
        <v>2.0738979232540599E-3</v>
      </c>
      <c r="AE68" s="299">
        <f t="shared" si="24"/>
        <v>2.0738979232540599E-3</v>
      </c>
      <c r="AF68" s="299">
        <f t="shared" si="24"/>
        <v>2.0738979232540599E-3</v>
      </c>
      <c r="AG68" s="299">
        <f t="shared" si="24"/>
        <v>2.0738979232540599E-3</v>
      </c>
      <c r="AH68" s="299">
        <f t="shared" si="24"/>
        <v>2.0738979232540599E-3</v>
      </c>
      <c r="AI68" s="299">
        <f t="shared" si="24"/>
        <v>1.9799949345937901E-3</v>
      </c>
      <c r="AJ68" s="299">
        <f t="shared" si="24"/>
        <v>1.9276684992190229E-3</v>
      </c>
      <c r="AK68" s="299">
        <f t="shared" si="24"/>
        <v>1.8530133208614654E-3</v>
      </c>
      <c r="AL68" s="299">
        <f t="shared" si="24"/>
        <v>1.7539353485688948E-3</v>
      </c>
      <c r="AM68" s="299">
        <f t="shared" si="24"/>
        <v>1.6343527670607556E-3</v>
      </c>
      <c r="AN68" s="299">
        <f t="shared" si="24"/>
        <v>1.5055075833539354E-3</v>
      </c>
      <c r="AO68" s="299">
        <f t="shared" si="24"/>
        <v>1.3825986155027066E-3</v>
      </c>
      <c r="AP68" s="299">
        <f t="shared" si="24"/>
        <v>1.2782433946851521E-3</v>
      </c>
      <c r="AQ68" s="299">
        <f t="shared" si="24"/>
        <v>1.1980518446090861E-3</v>
      </c>
      <c r="AR68" s="299">
        <f t="shared" si="24"/>
        <v>1.1410250036065688E-3</v>
      </c>
      <c r="AS68" s="299">
        <f t="shared" si="10"/>
        <v>1.102669685920497E-3</v>
      </c>
      <c r="AT68" s="299">
        <f t="shared" si="10"/>
        <v>1.0778300755798535E-3</v>
      </c>
      <c r="AU68" s="299">
        <f t="shared" si="10"/>
        <v>1.0621353088546071E-3</v>
      </c>
      <c r="AV68" s="299">
        <f t="shared" si="10"/>
        <v>1.0523726567018613E-3</v>
      </c>
      <c r="AW68" s="299">
        <f t="shared" si="19"/>
        <v>1.0463589777619023E-3</v>
      </c>
      <c r="AX68" s="299">
        <f t="shared" si="19"/>
        <v>1.0426768771427365E-3</v>
      </c>
      <c r="AY68" s="299">
        <f t="shared" si="19"/>
        <v>1.0404306853641267E-3</v>
      </c>
      <c r="AZ68" s="306">
        <f t="shared" si="25"/>
        <v>0.11481054895415044</v>
      </c>
      <c r="BA68" s="2">
        <f t="shared" si="25"/>
        <v>0.11481054895415044</v>
      </c>
      <c r="BB68" s="2">
        <f t="shared" si="25"/>
        <v>0.11481054895415044</v>
      </c>
      <c r="BC68" s="2">
        <f t="shared" si="25"/>
        <v>0.11481054895415044</v>
      </c>
      <c r="BD68" s="2">
        <f t="shared" si="25"/>
        <v>0.11481054895415044</v>
      </c>
      <c r="BE68" s="2">
        <f t="shared" si="25"/>
        <v>0.10961209942795348</v>
      </c>
      <c r="BF68" s="2">
        <f t="shared" si="25"/>
        <v>0.10671531906917642</v>
      </c>
      <c r="BG68" s="2">
        <f t="shared" si="25"/>
        <v>0.10258242423698888</v>
      </c>
      <c r="BH68" s="2">
        <f t="shared" si="25"/>
        <v>9.709748871502942E-2</v>
      </c>
      <c r="BI68" s="2">
        <f t="shared" si="25"/>
        <v>9.0477422377935157E-2</v>
      </c>
      <c r="BJ68" s="2">
        <f t="shared" si="25"/>
        <v>8.3344580348628475E-2</v>
      </c>
      <c r="BK68" s="2">
        <f t="shared" si="25"/>
        <v>7.654036596943363E-2</v>
      </c>
      <c r="BL68" s="2">
        <f t="shared" si="25"/>
        <v>7.0763283088953161E-2</v>
      </c>
      <c r="BM68" s="2">
        <f t="shared" si="25"/>
        <v>6.6323895893236534E-2</v>
      </c>
      <c r="BN68" s="2">
        <f t="shared" si="25"/>
        <v>6.316690207632436E-2</v>
      </c>
      <c r="BO68" s="2">
        <f t="shared" si="11"/>
        <v>6.1043559828148873E-2</v>
      </c>
      <c r="BP68" s="2">
        <f t="shared" si="11"/>
        <v>5.9668444270608911E-2</v>
      </c>
      <c r="BQ68" s="2">
        <f t="shared" si="11"/>
        <v>5.8799585315098921E-2</v>
      </c>
      <c r="BR68" s="2">
        <f t="shared" si="11"/>
        <v>5.8259126963539132E-2</v>
      </c>
      <c r="BS68" s="2">
        <f t="shared" si="20"/>
        <v>5.792621097351424E-2</v>
      </c>
      <c r="BT68" s="2">
        <f t="shared" si="20"/>
        <v>5.7722370664571962E-2</v>
      </c>
      <c r="BU68" s="2">
        <f t="shared" si="20"/>
        <v>5.7598021964345748E-2</v>
      </c>
    </row>
    <row r="69" spans="1:73" x14ac:dyDescent="0.25">
      <c r="A69" t="s">
        <v>23</v>
      </c>
      <c r="B69" s="1" t="s">
        <v>5</v>
      </c>
      <c r="C69" t="s">
        <v>13</v>
      </c>
      <c r="D69" t="s">
        <v>13</v>
      </c>
      <c r="E69" s="97">
        <v>5.4502895000000002</v>
      </c>
      <c r="F69" s="5">
        <f t="shared" si="7"/>
        <v>1.3353209275000002E-2</v>
      </c>
      <c r="G69" s="1">
        <f>LOOKUP(RIGHT(D69,5),Ref!$C$4:$C$21,Ref!$E$4:$E$21)*$G$3</f>
        <v>1.5</v>
      </c>
      <c r="H69" s="36">
        <f t="shared" si="23"/>
        <v>5.4502895000000002</v>
      </c>
      <c r="I69" s="12">
        <f t="shared" si="23"/>
        <v>5.4502895000000002</v>
      </c>
      <c r="J69" s="12">
        <f t="shared" si="23"/>
        <v>5.4502895000000002</v>
      </c>
      <c r="K69" s="12">
        <f t="shared" si="23"/>
        <v>5.4502895000000002</v>
      </c>
      <c r="L69" s="12">
        <f t="shared" si="23"/>
        <v>5.4502895000000002</v>
      </c>
      <c r="M69" s="12">
        <f t="shared" ref="M69:AB84" si="27">M$3*$E69</f>
        <v>5.708774238608024</v>
      </c>
      <c r="N69" s="12">
        <f t="shared" si="27"/>
        <v>5.8637385420588934</v>
      </c>
      <c r="O69" s="12">
        <f t="shared" si="27"/>
        <v>6.0999799342664662</v>
      </c>
      <c r="P69" s="12">
        <f t="shared" si="27"/>
        <v>6.4445614169337846</v>
      </c>
      <c r="Q69" s="12">
        <f t="shared" si="27"/>
        <v>6.9160981050079604</v>
      </c>
      <c r="R69" s="12">
        <f t="shared" si="27"/>
        <v>7.5079954429735105</v>
      </c>
      <c r="S69" s="12">
        <f t="shared" si="27"/>
        <v>8.1754342500000003</v>
      </c>
      <c r="T69" s="12">
        <f t="shared" si="27"/>
        <v>8.8428730570264911</v>
      </c>
      <c r="U69" s="12">
        <f t="shared" si="27"/>
        <v>9.4347703949920394</v>
      </c>
      <c r="V69" s="12">
        <f t="shared" si="27"/>
        <v>9.906307083066217</v>
      </c>
      <c r="W69" s="12">
        <f t="shared" si="27"/>
        <v>10.250888565733533</v>
      </c>
      <c r="X69" s="12">
        <f t="shared" si="27"/>
        <v>10.487129957941107</v>
      </c>
      <c r="Y69" s="12">
        <f t="shared" si="27"/>
        <v>10.642094261391977</v>
      </c>
      <c r="Z69" s="12">
        <f t="shared" si="27"/>
        <v>10.740818856514306</v>
      </c>
      <c r="AA69" s="12">
        <f t="shared" si="27"/>
        <v>10.802548948698817</v>
      </c>
      <c r="AB69" s="12">
        <f t="shared" si="27"/>
        <v>10.840696981943376</v>
      </c>
      <c r="AC69" s="12">
        <f t="shared" si="26"/>
        <v>10.864101024882306</v>
      </c>
      <c r="AD69" s="300">
        <f t="shared" si="24"/>
        <v>2.5216269894524426E-3</v>
      </c>
      <c r="AE69" s="299">
        <f t="shared" si="24"/>
        <v>2.5216269894524426E-3</v>
      </c>
      <c r="AF69" s="299">
        <f t="shared" si="24"/>
        <v>2.5216269894524426E-3</v>
      </c>
      <c r="AG69" s="299">
        <f t="shared" si="24"/>
        <v>2.5216269894524426E-3</v>
      </c>
      <c r="AH69" s="299">
        <f t="shared" si="24"/>
        <v>2.5216269894524426E-3</v>
      </c>
      <c r="AI69" s="299">
        <f t="shared" si="24"/>
        <v>2.4074514999353654E-3</v>
      </c>
      <c r="AJ69" s="299">
        <f t="shared" si="24"/>
        <v>2.3438284304374128E-3</v>
      </c>
      <c r="AK69" s="299">
        <f t="shared" si="24"/>
        <v>2.2530561168447438E-3</v>
      </c>
      <c r="AL69" s="299">
        <f t="shared" si="24"/>
        <v>2.1325884283477331E-3</v>
      </c>
      <c r="AM69" s="299">
        <f t="shared" si="24"/>
        <v>1.9871894375786099E-3</v>
      </c>
      <c r="AN69" s="299">
        <f t="shared" si="24"/>
        <v>1.8305281626657681E-3</v>
      </c>
      <c r="AO69" s="299">
        <f t="shared" si="24"/>
        <v>1.6810846596349617E-3</v>
      </c>
      <c r="AP69" s="299">
        <f t="shared" si="24"/>
        <v>1.5542004295321964E-3</v>
      </c>
      <c r="AQ69" s="299">
        <f t="shared" si="24"/>
        <v>1.4566965096282935E-3</v>
      </c>
      <c r="AR69" s="299">
        <f t="shared" si="24"/>
        <v>1.387358274711924E-3</v>
      </c>
      <c r="AS69" s="299">
        <f t="shared" si="10"/>
        <v>1.3407225154579365E-3</v>
      </c>
      <c r="AT69" s="299">
        <f t="shared" si="10"/>
        <v>1.3105203386101149E-3</v>
      </c>
      <c r="AU69" s="299">
        <f t="shared" si="10"/>
        <v>1.2914372646922608E-3</v>
      </c>
      <c r="AV69" s="299">
        <f t="shared" si="10"/>
        <v>1.2795669759567512E-3</v>
      </c>
      <c r="AW69" s="299">
        <f t="shared" si="19"/>
        <v>1.2722550176627245E-3</v>
      </c>
      <c r="AX69" s="299">
        <f t="shared" si="19"/>
        <v>1.2677779967857278E-3</v>
      </c>
      <c r="AY69" s="299">
        <f t="shared" si="19"/>
        <v>1.2650468798156402E-3</v>
      </c>
      <c r="AZ69" s="306">
        <f t="shared" si="25"/>
        <v>0.13959673505163675</v>
      </c>
      <c r="BA69" s="2">
        <f t="shared" si="25"/>
        <v>0.13959673505163675</v>
      </c>
      <c r="BB69" s="2">
        <f t="shared" si="25"/>
        <v>0.13959673505163675</v>
      </c>
      <c r="BC69" s="2">
        <f t="shared" si="25"/>
        <v>0.13959673505163675</v>
      </c>
      <c r="BD69" s="2">
        <f t="shared" si="25"/>
        <v>0.13959673505163675</v>
      </c>
      <c r="BE69" s="2">
        <f t="shared" si="25"/>
        <v>0.13327600417979302</v>
      </c>
      <c r="BF69" s="2">
        <f t="shared" si="25"/>
        <v>0.1297538445530807</v>
      </c>
      <c r="BG69" s="2">
        <f t="shared" si="25"/>
        <v>0.12472870853430282</v>
      </c>
      <c r="BH69" s="2">
        <f t="shared" si="25"/>
        <v>0.11805964286212266</v>
      </c>
      <c r="BI69" s="2">
        <f t="shared" si="25"/>
        <v>0.11001038558653327</v>
      </c>
      <c r="BJ69" s="2">
        <f t="shared" si="25"/>
        <v>0.10133765065058287</v>
      </c>
      <c r="BK69" s="2">
        <f t="shared" si="25"/>
        <v>9.3064490034424505E-2</v>
      </c>
      <c r="BL69" s="2">
        <f t="shared" si="25"/>
        <v>8.6040205980527681E-2</v>
      </c>
      <c r="BM69" s="2">
        <f t="shared" si="25"/>
        <v>8.064240966479394E-2</v>
      </c>
      <c r="BN69" s="2">
        <f t="shared" si="25"/>
        <v>7.6803859693265281E-2</v>
      </c>
      <c r="BO69" s="2">
        <f t="shared" si="11"/>
        <v>7.4222113956983929E-2</v>
      </c>
      <c r="BP69" s="2">
        <f t="shared" si="11"/>
        <v>7.2550127855532998E-2</v>
      </c>
      <c r="BQ69" s="2">
        <f t="shared" si="11"/>
        <v>7.1493692932832587E-2</v>
      </c>
      <c r="BR69" s="2">
        <f t="shared" si="11"/>
        <v>7.0836556267287465E-2</v>
      </c>
      <c r="BS69" s="2">
        <f t="shared" si="20"/>
        <v>7.0431767807713791E-2</v>
      </c>
      <c r="BT69" s="2">
        <f t="shared" si="20"/>
        <v>7.018392088197857E-2</v>
      </c>
      <c r="BU69" s="2">
        <f t="shared" si="20"/>
        <v>7.0032726826052341E-2</v>
      </c>
    </row>
    <row r="70" spans="1:73" x14ac:dyDescent="0.25">
      <c r="A70" t="s">
        <v>23</v>
      </c>
      <c r="B70" s="1" t="s">
        <v>5</v>
      </c>
      <c r="C70" t="s">
        <v>14</v>
      </c>
      <c r="D70" t="s">
        <v>14</v>
      </c>
      <c r="E70" s="97">
        <v>6.00352</v>
      </c>
      <c r="F70" s="5">
        <f t="shared" si="7"/>
        <v>1.4708624E-2</v>
      </c>
      <c r="G70" s="1">
        <f>LOOKUP(RIGHT(D70,5),Ref!$C$4:$C$21,Ref!$E$4:$E$21)*$G$3</f>
        <v>2</v>
      </c>
      <c r="H70" s="36">
        <f t="shared" ref="H70:L85" si="28">$E70</f>
        <v>6.00352</v>
      </c>
      <c r="I70" s="12">
        <f t="shared" si="28"/>
        <v>6.00352</v>
      </c>
      <c r="J70" s="12">
        <f t="shared" si="28"/>
        <v>6.00352</v>
      </c>
      <c r="K70" s="12">
        <f t="shared" si="28"/>
        <v>6.00352</v>
      </c>
      <c r="L70" s="12">
        <f t="shared" si="28"/>
        <v>6.00352</v>
      </c>
      <c r="M70" s="12">
        <f t="shared" si="27"/>
        <v>6.2882421781389857</v>
      </c>
      <c r="N70" s="12">
        <f t="shared" si="27"/>
        <v>6.458936100921135</v>
      </c>
      <c r="O70" s="12">
        <f t="shared" si="27"/>
        <v>6.7191571264182235</v>
      </c>
      <c r="P70" s="12">
        <f t="shared" si="27"/>
        <v>7.0987152806819367</v>
      </c>
      <c r="Q70" s="12">
        <f t="shared" si="27"/>
        <v>7.6181152020231933</v>
      </c>
      <c r="R70" s="12">
        <f t="shared" si="27"/>
        <v>8.2700929559430421</v>
      </c>
      <c r="S70" s="12">
        <f t="shared" si="27"/>
        <v>9.0052799999999991</v>
      </c>
      <c r="T70" s="12">
        <f t="shared" si="27"/>
        <v>9.7404670440569578</v>
      </c>
      <c r="U70" s="12">
        <f t="shared" si="27"/>
        <v>10.392444797976806</v>
      </c>
      <c r="V70" s="12">
        <f t="shared" si="27"/>
        <v>10.911844719318063</v>
      </c>
      <c r="W70" s="12">
        <f t="shared" si="27"/>
        <v>11.291402873581776</v>
      </c>
      <c r="X70" s="12">
        <f t="shared" si="27"/>
        <v>11.551623899078864</v>
      </c>
      <c r="Y70" s="12">
        <f t="shared" si="27"/>
        <v>11.722317821861015</v>
      </c>
      <c r="Z70" s="12">
        <f t="shared" si="27"/>
        <v>11.831063436439617</v>
      </c>
      <c r="AA70" s="12">
        <f t="shared" si="27"/>
        <v>11.899059428768384</v>
      </c>
      <c r="AB70" s="12">
        <f t="shared" si="27"/>
        <v>11.941079670178382</v>
      </c>
      <c r="AC70" s="12">
        <f t="shared" si="26"/>
        <v>11.966859335619038</v>
      </c>
      <c r="AD70" s="300">
        <f t="shared" si="24"/>
        <v>2.2892564867826306E-3</v>
      </c>
      <c r="AE70" s="299">
        <f t="shared" si="24"/>
        <v>2.2892564867826306E-3</v>
      </c>
      <c r="AF70" s="299">
        <f t="shared" si="24"/>
        <v>2.2892564867826306E-3</v>
      </c>
      <c r="AG70" s="299">
        <f t="shared" si="24"/>
        <v>2.2892564867826306E-3</v>
      </c>
      <c r="AH70" s="299">
        <f t="shared" si="24"/>
        <v>2.2892564867826306E-3</v>
      </c>
      <c r="AI70" s="299">
        <f t="shared" si="24"/>
        <v>2.1856023852434856E-3</v>
      </c>
      <c r="AJ70" s="299">
        <f t="shared" si="24"/>
        <v>2.1278422465844226E-3</v>
      </c>
      <c r="AK70" s="299">
        <f t="shared" si="24"/>
        <v>2.0454346944042295E-3</v>
      </c>
      <c r="AL70" s="299">
        <f t="shared" si="24"/>
        <v>1.9360682264480092E-3</v>
      </c>
      <c r="AM70" s="299">
        <f t="shared" si="24"/>
        <v>1.8040679011889031E-3</v>
      </c>
      <c r="AN70" s="299">
        <f t="shared" si="24"/>
        <v>1.6618431227732279E-3</v>
      </c>
      <c r="AO70" s="299">
        <f t="shared" si="24"/>
        <v>1.5261709911884207E-3</v>
      </c>
      <c r="AP70" s="299">
        <f t="shared" si="24"/>
        <v>1.4109792724892765E-3</v>
      </c>
      <c r="AQ70" s="299">
        <f t="shared" si="24"/>
        <v>1.3224604383950977E-3</v>
      </c>
      <c r="AR70" s="299">
        <f t="shared" si="24"/>
        <v>1.259511792648399E-3</v>
      </c>
      <c r="AS70" s="299">
        <f t="shared" si="10"/>
        <v>1.2171735662434668E-3</v>
      </c>
      <c r="AT70" s="299">
        <f t="shared" si="10"/>
        <v>1.1897545508406991E-3</v>
      </c>
      <c r="AU70" s="299">
        <f t="shared" si="10"/>
        <v>1.1724300016758417E-3</v>
      </c>
      <c r="AV70" s="299">
        <f t="shared" si="10"/>
        <v>1.1616535721716316E-3</v>
      </c>
      <c r="AW70" s="299">
        <f t="shared" si="19"/>
        <v>1.1550154183028393E-3</v>
      </c>
      <c r="AX70" s="299">
        <f t="shared" si="19"/>
        <v>1.1509509594724906E-3</v>
      </c>
      <c r="AY70" s="299">
        <f t="shared" si="19"/>
        <v>1.1484715177207615E-3</v>
      </c>
      <c r="AZ70" s="306">
        <f t="shared" si="25"/>
        <v>0.1267327533324146</v>
      </c>
      <c r="BA70" s="2">
        <f t="shared" si="25"/>
        <v>0.1267327533324146</v>
      </c>
      <c r="BB70" s="2">
        <f t="shared" si="25"/>
        <v>0.1267327533324146</v>
      </c>
      <c r="BC70" s="2">
        <f t="shared" si="25"/>
        <v>0.1267327533324146</v>
      </c>
      <c r="BD70" s="2">
        <f t="shared" si="25"/>
        <v>0.1267327533324146</v>
      </c>
      <c r="BE70" s="2">
        <f t="shared" si="25"/>
        <v>0.12099448426641071</v>
      </c>
      <c r="BF70" s="2">
        <f t="shared" si="25"/>
        <v>0.11779689524683654</v>
      </c>
      <c r="BG70" s="2">
        <f t="shared" si="25"/>
        <v>0.11323483064486685</v>
      </c>
      <c r="BH70" s="2">
        <f t="shared" si="25"/>
        <v>0.10718032618616696</v>
      </c>
      <c r="BI70" s="2">
        <f t="shared" si="25"/>
        <v>9.9872816190040778E-2</v>
      </c>
      <c r="BJ70" s="2">
        <f t="shared" si="25"/>
        <v>9.1999282636776425E-2</v>
      </c>
      <c r="BK70" s="2">
        <f t="shared" si="25"/>
        <v>8.4488502221609751E-2</v>
      </c>
      <c r="BL70" s="2">
        <f t="shared" si="25"/>
        <v>7.811151311788872E-2</v>
      </c>
      <c r="BM70" s="2">
        <f t="shared" si="25"/>
        <v>7.3211129245963194E-2</v>
      </c>
      <c r="BN70" s="2">
        <f t="shared" si="25"/>
        <v>6.9726305575008835E-2</v>
      </c>
      <c r="BO70" s="2">
        <f t="shared" si="11"/>
        <v>6.7382470345322895E-2</v>
      </c>
      <c r="BP70" s="2">
        <f t="shared" si="11"/>
        <v>6.5864559470888595E-2</v>
      </c>
      <c r="BQ70" s="2">
        <f t="shared" si="11"/>
        <v>6.4905476105358462E-2</v>
      </c>
      <c r="BR70" s="2">
        <f t="shared" si="11"/>
        <v>6.4308895254743231E-2</v>
      </c>
      <c r="BS70" s="2">
        <f t="shared" si="20"/>
        <v>6.3941408465170518E-2</v>
      </c>
      <c r="BT70" s="2">
        <f t="shared" si="20"/>
        <v>6.371640088679284E-2</v>
      </c>
      <c r="BU70" s="2">
        <f t="shared" si="20"/>
        <v>6.357913951754994E-2</v>
      </c>
    </row>
    <row r="71" spans="1:73" x14ac:dyDescent="0.25">
      <c r="A71" t="s">
        <v>23</v>
      </c>
      <c r="B71" s="1" t="s">
        <v>5</v>
      </c>
      <c r="C71" t="s">
        <v>15</v>
      </c>
      <c r="D71" t="s">
        <v>15</v>
      </c>
      <c r="E71" s="97">
        <v>6.1874799999999999</v>
      </c>
      <c r="F71" s="5">
        <f t="shared" ref="F71:F134" si="29">E71/$B$2*$F$3/1000</f>
        <v>1.5159325999999999E-2</v>
      </c>
      <c r="G71" s="1">
        <f>LOOKUP(RIGHT(D71,5),Ref!$C$4:$C$21,Ref!$E$4:$E$21)*$G$3</f>
        <v>2.5</v>
      </c>
      <c r="H71" s="36">
        <f t="shared" si="28"/>
        <v>6.1874799999999999</v>
      </c>
      <c r="I71" s="12">
        <f t="shared" si="28"/>
        <v>6.1874799999999999</v>
      </c>
      <c r="J71" s="12">
        <f t="shared" si="28"/>
        <v>6.1874799999999999</v>
      </c>
      <c r="K71" s="12">
        <f t="shared" si="28"/>
        <v>6.1874799999999999</v>
      </c>
      <c r="L71" s="12">
        <f t="shared" si="28"/>
        <v>6.1874799999999999</v>
      </c>
      <c r="M71" s="12">
        <f t="shared" si="27"/>
        <v>6.4809266417687308</v>
      </c>
      <c r="N71" s="12">
        <f t="shared" si="27"/>
        <v>6.6568509717178435</v>
      </c>
      <c r="O71" s="12">
        <f t="shared" si="27"/>
        <v>6.9250456959534121</v>
      </c>
      <c r="P71" s="12">
        <f t="shared" si="27"/>
        <v>7.3162342800413533</v>
      </c>
      <c r="Q71" s="12">
        <f t="shared" si="27"/>
        <v>7.8515496658984176</v>
      </c>
      <c r="R71" s="12">
        <f t="shared" si="27"/>
        <v>8.5235053373751484</v>
      </c>
      <c r="S71" s="12">
        <f t="shared" si="27"/>
        <v>9.2812199999999994</v>
      </c>
      <c r="T71" s="12">
        <f t="shared" si="27"/>
        <v>10.03893466262485</v>
      </c>
      <c r="U71" s="12">
        <f t="shared" si="27"/>
        <v>10.710890334101581</v>
      </c>
      <c r="V71" s="12">
        <f t="shared" si="27"/>
        <v>11.246205719958645</v>
      </c>
      <c r="W71" s="12">
        <f t="shared" si="27"/>
        <v>11.637394304046586</v>
      </c>
      <c r="X71" s="12">
        <f t="shared" si="27"/>
        <v>11.905589028282156</v>
      </c>
      <c r="Y71" s="12">
        <f t="shared" si="27"/>
        <v>12.08151335823127</v>
      </c>
      <c r="Z71" s="12">
        <f t="shared" si="27"/>
        <v>12.193591158470598</v>
      </c>
      <c r="AA71" s="12">
        <f t="shared" si="27"/>
        <v>12.263670685583758</v>
      </c>
      <c r="AB71" s="12">
        <f t="shared" si="27"/>
        <v>12.306978512212059</v>
      </c>
      <c r="AC71" s="12">
        <f t="shared" si="26"/>
        <v>12.333548118763007</v>
      </c>
      <c r="AD71" s="300">
        <f t="shared" si="24"/>
        <v>2.2211945902902734E-3</v>
      </c>
      <c r="AE71" s="299">
        <f t="shared" si="24"/>
        <v>2.2211945902902734E-3</v>
      </c>
      <c r="AF71" s="299">
        <f t="shared" si="24"/>
        <v>2.2211945902902734E-3</v>
      </c>
      <c r="AG71" s="299">
        <f t="shared" si="24"/>
        <v>2.2211945902902734E-3</v>
      </c>
      <c r="AH71" s="299">
        <f t="shared" si="24"/>
        <v>2.2211945902902734E-3</v>
      </c>
      <c r="AI71" s="299">
        <f t="shared" si="24"/>
        <v>2.1206222293820702E-3</v>
      </c>
      <c r="AJ71" s="299">
        <f t="shared" si="24"/>
        <v>2.0645793577053198E-3</v>
      </c>
      <c r="AK71" s="299">
        <f t="shared" si="24"/>
        <v>1.9846218648867844E-3</v>
      </c>
      <c r="AL71" s="299">
        <f t="shared" si="24"/>
        <v>1.878506971957106E-3</v>
      </c>
      <c r="AM71" s="299">
        <f t="shared" si="24"/>
        <v>1.7504311490535087E-3</v>
      </c>
      <c r="AN71" s="299">
        <f t="shared" si="24"/>
        <v>1.6124348562632168E-3</v>
      </c>
      <c r="AO71" s="299">
        <f t="shared" si="24"/>
        <v>1.4807963935268488E-3</v>
      </c>
      <c r="AP71" s="299">
        <f t="shared" si="24"/>
        <v>1.3690294404143241E-3</v>
      </c>
      <c r="AQ71" s="299">
        <f t="shared" si="24"/>
        <v>1.2831423602361119E-3</v>
      </c>
      <c r="AR71" s="299">
        <f t="shared" si="24"/>
        <v>1.2220652410028826E-3</v>
      </c>
      <c r="AS71" s="299">
        <f t="shared" si="10"/>
        <v>1.1809857726269787E-3</v>
      </c>
      <c r="AT71" s="299">
        <f t="shared" si="10"/>
        <v>1.1543819521134863E-3</v>
      </c>
      <c r="AU71" s="299">
        <f t="shared" si="10"/>
        <v>1.1375724792097833E-3</v>
      </c>
      <c r="AV71" s="299">
        <f t="shared" si="10"/>
        <v>1.1271164437871043E-3</v>
      </c>
      <c r="AW71" s="299">
        <f t="shared" si="19"/>
        <v>1.1206756489054448E-3</v>
      </c>
      <c r="AX71" s="299">
        <f t="shared" si="19"/>
        <v>1.1167320305216803E-3</v>
      </c>
      <c r="AY71" s="299">
        <f t="shared" si="19"/>
        <v>1.1143263050655428E-3</v>
      </c>
      <c r="AZ71" s="306">
        <f t="shared" si="25"/>
        <v>0.12296486118520267</v>
      </c>
      <c r="BA71" s="2">
        <f t="shared" si="25"/>
        <v>0.12296486118520267</v>
      </c>
      <c r="BB71" s="2">
        <f t="shared" si="25"/>
        <v>0.12296486118520267</v>
      </c>
      <c r="BC71" s="2">
        <f t="shared" si="25"/>
        <v>0.12296486118520267</v>
      </c>
      <c r="BD71" s="2">
        <f t="shared" si="25"/>
        <v>0.12296486118520267</v>
      </c>
      <c r="BE71" s="2">
        <f t="shared" si="25"/>
        <v>0.11739719662658822</v>
      </c>
      <c r="BF71" s="2">
        <f t="shared" si="25"/>
        <v>0.11429467514275408</v>
      </c>
      <c r="BG71" s="2">
        <f t="shared" si="25"/>
        <v>0.10986824530714784</v>
      </c>
      <c r="BH71" s="2">
        <f t="shared" si="25"/>
        <v>0.10399374735193927</v>
      </c>
      <c r="BI71" s="2">
        <f t="shared" si="25"/>
        <v>9.690349697344211E-2</v>
      </c>
      <c r="BJ71" s="2">
        <f t="shared" si="25"/>
        <v>8.9264051487122395E-2</v>
      </c>
      <c r="BK71" s="2">
        <f t="shared" si="25"/>
        <v>8.1976574123468454E-2</v>
      </c>
      <c r="BL71" s="2">
        <f t="shared" si="25"/>
        <v>7.578917931589392E-2</v>
      </c>
      <c r="BM71" s="2">
        <f t="shared" si="25"/>
        <v>7.1034488782303132E-2</v>
      </c>
      <c r="BN71" s="2">
        <f t="shared" si="25"/>
        <v>6.7653272422000074E-2</v>
      </c>
      <c r="BO71" s="2">
        <f t="shared" si="11"/>
        <v>6.5379121769695084E-2</v>
      </c>
      <c r="BP71" s="2">
        <f t="shared" si="11"/>
        <v>6.3906339911348253E-2</v>
      </c>
      <c r="BQ71" s="2">
        <f t="shared" si="11"/>
        <v>6.2975771058337418E-2</v>
      </c>
      <c r="BR71" s="2">
        <f t="shared" si="11"/>
        <v>6.2396927156088751E-2</v>
      </c>
      <c r="BS71" s="2">
        <f t="shared" si="20"/>
        <v>6.2040366118164499E-2</v>
      </c>
      <c r="BT71" s="2">
        <f t="shared" si="20"/>
        <v>6.1822048241267608E-2</v>
      </c>
      <c r="BU71" s="2">
        <f t="shared" si="20"/>
        <v>6.1688867790506217E-2</v>
      </c>
    </row>
    <row r="72" spans="1:73" x14ac:dyDescent="0.25">
      <c r="A72" t="s">
        <v>23</v>
      </c>
      <c r="B72" s="1" t="s">
        <v>5</v>
      </c>
      <c r="C72" t="s">
        <v>16</v>
      </c>
      <c r="D72" t="s">
        <v>16</v>
      </c>
      <c r="E72" s="97">
        <v>6.2152200000000004</v>
      </c>
      <c r="F72" s="5">
        <f t="shared" si="29"/>
        <v>1.5227289000000001E-2</v>
      </c>
      <c r="G72" s="1">
        <f>LOOKUP(RIGHT(D72,5),Ref!$C$4:$C$21,Ref!$E$4:$E$21)*$G$3</f>
        <v>3</v>
      </c>
      <c r="H72" s="36">
        <f t="shared" si="28"/>
        <v>6.2152200000000004</v>
      </c>
      <c r="I72" s="12">
        <f t="shared" si="28"/>
        <v>6.2152200000000004</v>
      </c>
      <c r="J72" s="12">
        <f t="shared" si="28"/>
        <v>6.2152200000000004</v>
      </c>
      <c r="K72" s="12">
        <f t="shared" si="28"/>
        <v>6.2152200000000004</v>
      </c>
      <c r="L72" s="12">
        <f t="shared" si="28"/>
        <v>6.2152200000000004</v>
      </c>
      <c r="M72" s="12">
        <f t="shared" si="27"/>
        <v>6.5099822354906767</v>
      </c>
      <c r="N72" s="12">
        <f t="shared" si="27"/>
        <v>6.6866952776316335</v>
      </c>
      <c r="O72" s="12">
        <f t="shared" si="27"/>
        <v>6.9560923850103062</v>
      </c>
      <c r="P72" s="12">
        <f t="shared" si="27"/>
        <v>7.3490347640717424</v>
      </c>
      <c r="Q72" s="12">
        <f t="shared" si="27"/>
        <v>7.8867501009272223</v>
      </c>
      <c r="R72" s="12">
        <f t="shared" si="27"/>
        <v>8.5617183155276102</v>
      </c>
      <c r="S72" s="12">
        <f t="shared" si="27"/>
        <v>9.3228299999999997</v>
      </c>
      <c r="T72" s="12">
        <f t="shared" si="27"/>
        <v>10.083941684472391</v>
      </c>
      <c r="U72" s="12">
        <f t="shared" si="27"/>
        <v>10.75890989907278</v>
      </c>
      <c r="V72" s="12">
        <f t="shared" si="27"/>
        <v>11.296625235928259</v>
      </c>
      <c r="W72" s="12">
        <f t="shared" si="27"/>
        <v>11.689567614989693</v>
      </c>
      <c r="X72" s="12">
        <f t="shared" si="27"/>
        <v>11.958964722368368</v>
      </c>
      <c r="Y72" s="12">
        <f t="shared" si="27"/>
        <v>12.135677764509325</v>
      </c>
      <c r="Z72" s="12">
        <f t="shared" si="27"/>
        <v>12.248258037189556</v>
      </c>
      <c r="AA72" s="12">
        <f t="shared" si="27"/>
        <v>12.318651748119411</v>
      </c>
      <c r="AB72" s="12">
        <f t="shared" si="27"/>
        <v>12.362153734423487</v>
      </c>
      <c r="AC72" s="12">
        <f t="shared" si="26"/>
        <v>12.388842459078369</v>
      </c>
      <c r="AD72" s="300">
        <f t="shared" si="24"/>
        <v>2.2112808723632081E-3</v>
      </c>
      <c r="AE72" s="299">
        <f t="shared" si="24"/>
        <v>2.2112808723632081E-3</v>
      </c>
      <c r="AF72" s="299">
        <f t="shared" si="24"/>
        <v>2.2112808723632081E-3</v>
      </c>
      <c r="AG72" s="299">
        <f t="shared" si="24"/>
        <v>2.2112808723632081E-3</v>
      </c>
      <c r="AH72" s="299">
        <f t="shared" si="24"/>
        <v>2.2112808723632081E-3</v>
      </c>
      <c r="AI72" s="299">
        <f t="shared" si="24"/>
        <v>2.1111573897395382E-3</v>
      </c>
      <c r="AJ72" s="299">
        <f t="shared" si="24"/>
        <v>2.0553646506824394E-3</v>
      </c>
      <c r="AK72" s="299">
        <f t="shared" si="24"/>
        <v>1.9757640271059881E-3</v>
      </c>
      <c r="AL72" s="299">
        <f t="shared" si="24"/>
        <v>1.8701227500949528E-3</v>
      </c>
      <c r="AM72" s="299">
        <f t="shared" si="24"/>
        <v>1.7426185599456821E-3</v>
      </c>
      <c r="AN72" s="299">
        <f t="shared" si="24"/>
        <v>1.6052381773181848E-3</v>
      </c>
      <c r="AO72" s="299">
        <f t="shared" si="24"/>
        <v>1.4741872482421389E-3</v>
      </c>
      <c r="AP72" s="299">
        <f t="shared" si="24"/>
        <v>1.3629191375325123E-3</v>
      </c>
      <c r="AQ72" s="299">
        <f t="shared" si="24"/>
        <v>1.2774153917502094E-3</v>
      </c>
      <c r="AR72" s="299">
        <f t="shared" si="24"/>
        <v>1.216610874176701E-3</v>
      </c>
      <c r="AS72" s="299">
        <f t="shared" si="10"/>
        <v>1.1757147532048711E-3</v>
      </c>
      <c r="AT72" s="299">
        <f t="shared" si="10"/>
        <v>1.1492296718480044E-3</v>
      </c>
      <c r="AU72" s="299">
        <f t="shared" si="10"/>
        <v>1.1324952236060749E-3</v>
      </c>
      <c r="AV72" s="299">
        <f t="shared" si="10"/>
        <v>1.1220858559477915E-3</v>
      </c>
      <c r="AW72" s="299">
        <f t="shared" si="19"/>
        <v>1.1156738078602947E-3</v>
      </c>
      <c r="AX72" s="299">
        <f t="shared" si="19"/>
        <v>1.1117477907800989E-3</v>
      </c>
      <c r="AY72" s="299">
        <f t="shared" si="19"/>
        <v>1.1093528026468805E-3</v>
      </c>
      <c r="AZ72" s="306">
        <f t="shared" si="25"/>
        <v>0.12241603986443243</v>
      </c>
      <c r="BA72" s="2">
        <f t="shared" si="25"/>
        <v>0.12241603986443243</v>
      </c>
      <c r="BB72" s="2">
        <f t="shared" si="25"/>
        <v>0.12241603986443243</v>
      </c>
      <c r="BC72" s="2">
        <f t="shared" si="25"/>
        <v>0.12241603986443243</v>
      </c>
      <c r="BD72" s="2">
        <f t="shared" si="25"/>
        <v>0.12241603986443243</v>
      </c>
      <c r="BE72" s="2">
        <f t="shared" si="25"/>
        <v>0.1168732251123986</v>
      </c>
      <c r="BF72" s="2">
        <f t="shared" si="25"/>
        <v>0.11378455091731073</v>
      </c>
      <c r="BG72" s="2">
        <f t="shared" si="25"/>
        <v>0.10937787728721927</v>
      </c>
      <c r="BH72" s="2">
        <f t="shared" si="25"/>
        <v>0.1035295986087664</v>
      </c>
      <c r="BI72" s="2">
        <f t="shared" si="25"/>
        <v>9.647099369824938E-2</v>
      </c>
      <c r="BJ72" s="2">
        <f t="shared" si="25"/>
        <v>8.8865644867846996E-2</v>
      </c>
      <c r="BK72" s="2">
        <f t="shared" si="25"/>
        <v>8.161069324295496E-2</v>
      </c>
      <c r="BL72" s="2">
        <f t="shared" si="25"/>
        <v>7.5450914244951456E-2</v>
      </c>
      <c r="BM72" s="2">
        <f t="shared" si="25"/>
        <v>7.0717445022175376E-2</v>
      </c>
      <c r="BN72" s="2">
        <f t="shared" si="25"/>
        <v>6.7351319831908923E-2</v>
      </c>
      <c r="BO72" s="2">
        <f t="shared" si="11"/>
        <v>6.5087319252987497E-2</v>
      </c>
      <c r="BP72" s="2">
        <f t="shared" si="11"/>
        <v>6.3621110769155234E-2</v>
      </c>
      <c r="BQ72" s="2">
        <f t="shared" si="11"/>
        <v>6.2694695265500117E-2</v>
      </c>
      <c r="BR72" s="2">
        <f t="shared" si="11"/>
        <v>6.2118434880785556E-2</v>
      </c>
      <c r="BS72" s="2">
        <f t="shared" si="20"/>
        <v>6.1763465259286145E-2</v>
      </c>
      <c r="BT72" s="2">
        <f t="shared" si="20"/>
        <v>6.1546121786819855E-2</v>
      </c>
      <c r="BU72" s="2">
        <f t="shared" si="20"/>
        <v>6.1413535751976819E-2</v>
      </c>
    </row>
    <row r="73" spans="1:73" x14ac:dyDescent="0.25">
      <c r="A73" t="s">
        <v>23</v>
      </c>
      <c r="B73" s="1" t="s">
        <v>5</v>
      </c>
      <c r="C73" t="s">
        <v>17</v>
      </c>
      <c r="D73" t="s">
        <v>17</v>
      </c>
      <c r="E73" s="97">
        <v>6.1198090000000001</v>
      </c>
      <c r="F73" s="5">
        <f t="shared" si="29"/>
        <v>1.4993532050000001E-2</v>
      </c>
      <c r="G73" s="1">
        <f>LOOKUP(RIGHT(D73,5),Ref!$C$4:$C$21,Ref!$E$4:$E$21)*$G$3</f>
        <v>3</v>
      </c>
      <c r="H73" s="36">
        <f t="shared" si="28"/>
        <v>6.1198090000000001</v>
      </c>
      <c r="I73" s="12">
        <f t="shared" si="28"/>
        <v>6.1198090000000001</v>
      </c>
      <c r="J73" s="12">
        <f t="shared" si="28"/>
        <v>6.1198090000000001</v>
      </c>
      <c r="K73" s="12">
        <f t="shared" si="28"/>
        <v>6.1198090000000001</v>
      </c>
      <c r="L73" s="12">
        <f t="shared" si="28"/>
        <v>6.1198090000000001</v>
      </c>
      <c r="M73" s="12">
        <f t="shared" si="27"/>
        <v>6.4100462855049321</v>
      </c>
      <c r="N73" s="12">
        <f t="shared" si="27"/>
        <v>6.5840465728176261</v>
      </c>
      <c r="O73" s="12">
        <f t="shared" si="27"/>
        <v>6.8493081150172532</v>
      </c>
      <c r="P73" s="12">
        <f t="shared" si="27"/>
        <v>7.2362183624198542</v>
      </c>
      <c r="Q73" s="12">
        <f t="shared" si="27"/>
        <v>7.765679130972889</v>
      </c>
      <c r="R73" s="12">
        <f t="shared" si="27"/>
        <v>8.4302857827769095</v>
      </c>
      <c r="S73" s="12">
        <f t="shared" si="27"/>
        <v>9.1797135000000001</v>
      </c>
      <c r="T73" s="12">
        <f t="shared" si="27"/>
        <v>9.9291412172230906</v>
      </c>
      <c r="U73" s="12">
        <f t="shared" si="27"/>
        <v>10.59374786902711</v>
      </c>
      <c r="V73" s="12">
        <f t="shared" si="27"/>
        <v>11.123208637580147</v>
      </c>
      <c r="W73" s="12">
        <f t="shared" si="27"/>
        <v>11.510118884982745</v>
      </c>
      <c r="X73" s="12">
        <f t="shared" si="27"/>
        <v>11.775380427182375</v>
      </c>
      <c r="Y73" s="12">
        <f t="shared" si="27"/>
        <v>11.949380714495069</v>
      </c>
      <c r="Z73" s="12">
        <f t="shared" si="27"/>
        <v>12.060232746437773</v>
      </c>
      <c r="AA73" s="12">
        <f t="shared" si="27"/>
        <v>12.129545830398103</v>
      </c>
      <c r="AB73" s="12">
        <f t="shared" si="27"/>
        <v>12.172380009606814</v>
      </c>
      <c r="AC73" s="12">
        <f t="shared" si="26"/>
        <v>12.198659030677904</v>
      </c>
      <c r="AD73" s="300">
        <f t="shared" ref="AD73:AS89" si="30">Algae_electricity_factor/H73</f>
        <v>2.2457558893634196E-3</v>
      </c>
      <c r="AE73" s="299">
        <f t="shared" si="30"/>
        <v>2.2457558893634196E-3</v>
      </c>
      <c r="AF73" s="299">
        <f t="shared" si="30"/>
        <v>2.2457558893634196E-3</v>
      </c>
      <c r="AG73" s="299">
        <f t="shared" si="30"/>
        <v>2.2457558893634196E-3</v>
      </c>
      <c r="AH73" s="299">
        <f t="shared" si="30"/>
        <v>2.2457558893634196E-3</v>
      </c>
      <c r="AI73" s="299">
        <f t="shared" si="30"/>
        <v>2.1440714296568687E-3</v>
      </c>
      <c r="AJ73" s="299">
        <f t="shared" si="30"/>
        <v>2.0874088528276802E-3</v>
      </c>
      <c r="AK73" s="299">
        <f t="shared" si="30"/>
        <v>2.0065672141973191E-3</v>
      </c>
      <c r="AL73" s="299">
        <f t="shared" si="30"/>
        <v>1.8992789348238079E-3</v>
      </c>
      <c r="AM73" s="299">
        <f t="shared" si="30"/>
        <v>1.7697868881439934E-3</v>
      </c>
      <c r="AN73" s="299">
        <f t="shared" si="30"/>
        <v>1.630264674017037E-3</v>
      </c>
      <c r="AO73" s="299">
        <f t="shared" si="30"/>
        <v>1.4971705929089465E-3</v>
      </c>
      <c r="AP73" s="299">
        <f t="shared" si="30"/>
        <v>1.3841677545777687E-3</v>
      </c>
      <c r="AQ73" s="299">
        <f t="shared" si="30"/>
        <v>1.2973309610011909E-3</v>
      </c>
      <c r="AR73" s="299">
        <f t="shared" si="30"/>
        <v>1.2355784694261726E-3</v>
      </c>
      <c r="AS73" s="299">
        <f t="shared" si="10"/>
        <v>1.19404475669322E-3</v>
      </c>
      <c r="AT73" s="299">
        <f t="shared" si="10"/>
        <v>1.1671467591657114E-3</v>
      </c>
      <c r="AU73" s="299">
        <f t="shared" si="10"/>
        <v>1.1501514121863851E-3</v>
      </c>
      <c r="AV73" s="299">
        <f t="shared" si="10"/>
        <v>1.1395797570812804E-3</v>
      </c>
      <c r="AW73" s="299">
        <f t="shared" si="19"/>
        <v>1.1330677418346655E-3</v>
      </c>
      <c r="AX73" s="299">
        <f t="shared" si="19"/>
        <v>1.1290805161096181E-3</v>
      </c>
      <c r="AY73" s="299">
        <f t="shared" si="19"/>
        <v>1.1266481888678136E-3</v>
      </c>
      <c r="AZ73" s="306">
        <f t="shared" ref="AZ73:BO89" si="31">Algae_yield_cost_factor/H73</f>
        <v>0.12432456949003111</v>
      </c>
      <c r="BA73" s="2">
        <f t="shared" si="31"/>
        <v>0.12432456949003111</v>
      </c>
      <c r="BB73" s="2">
        <f t="shared" si="31"/>
        <v>0.12432456949003111</v>
      </c>
      <c r="BC73" s="2">
        <f t="shared" si="31"/>
        <v>0.12432456949003111</v>
      </c>
      <c r="BD73" s="2">
        <f t="shared" si="31"/>
        <v>0.12432456949003111</v>
      </c>
      <c r="BE73" s="2">
        <f t="shared" si="31"/>
        <v>0.11869533937792537</v>
      </c>
      <c r="BF73" s="2">
        <f t="shared" si="31"/>
        <v>0.11555851114835251</v>
      </c>
      <c r="BG73" s="2">
        <f t="shared" si="31"/>
        <v>0.11108313518821765</v>
      </c>
      <c r="BH73" s="2">
        <f t="shared" si="31"/>
        <v>0.10514367880846888</v>
      </c>
      <c r="BI73" s="2">
        <f t="shared" si="31"/>
        <v>9.7975026582240332E-2</v>
      </c>
      <c r="BJ73" s="2">
        <f t="shared" si="31"/>
        <v>9.0251106414520457E-2</v>
      </c>
      <c r="BK73" s="2">
        <f t="shared" si="31"/>
        <v>8.2883046326687401E-2</v>
      </c>
      <c r="BL73" s="2">
        <f t="shared" si="31"/>
        <v>7.6627233175660753E-2</v>
      </c>
      <c r="BM73" s="2">
        <f t="shared" si="31"/>
        <v>7.1819966709863819E-2</v>
      </c>
      <c r="BN73" s="2">
        <f t="shared" si="31"/>
        <v>6.8401361880032041E-2</v>
      </c>
      <c r="BO73" s="2">
        <f t="shared" si="11"/>
        <v>6.6102064356510629E-2</v>
      </c>
      <c r="BP73" s="2">
        <f t="shared" si="11"/>
        <v>6.4612996921091653E-2</v>
      </c>
      <c r="BQ73" s="2">
        <f t="shared" si="11"/>
        <v>6.3672138118696459E-2</v>
      </c>
      <c r="BR73" s="2">
        <f t="shared" si="11"/>
        <v>6.3086893535362953E-2</v>
      </c>
      <c r="BS73" s="2">
        <f t="shared" si="20"/>
        <v>6.2726389753147607E-2</v>
      </c>
      <c r="BT73" s="2">
        <f t="shared" si="20"/>
        <v>6.2505657783090696E-2</v>
      </c>
      <c r="BU73" s="2">
        <f t="shared" si="20"/>
        <v>6.2371004663119615E-2</v>
      </c>
    </row>
    <row r="74" spans="1:73" x14ac:dyDescent="0.25">
      <c r="A74" t="s">
        <v>23</v>
      </c>
      <c r="B74" s="1" t="s">
        <v>5</v>
      </c>
      <c r="C74" t="s">
        <v>18</v>
      </c>
      <c r="D74" t="s">
        <v>18</v>
      </c>
      <c r="E74" s="97">
        <v>5.9341699999999999</v>
      </c>
      <c r="F74" s="5">
        <f t="shared" si="29"/>
        <v>1.45387165E-2</v>
      </c>
      <c r="G74" s="1">
        <f>LOOKUP(RIGHT(D74,5),Ref!$C$4:$C$21,Ref!$E$4:$E$21)*$G$3</f>
        <v>3</v>
      </c>
      <c r="H74" s="36">
        <f t="shared" si="28"/>
        <v>5.9341699999999999</v>
      </c>
      <c r="I74" s="12">
        <f t="shared" si="28"/>
        <v>5.9341699999999999</v>
      </c>
      <c r="J74" s="12">
        <f t="shared" si="28"/>
        <v>5.9341699999999999</v>
      </c>
      <c r="K74" s="12">
        <f t="shared" si="28"/>
        <v>5.9341699999999999</v>
      </c>
      <c r="L74" s="12">
        <f t="shared" si="28"/>
        <v>5.9341699999999999</v>
      </c>
      <c r="M74" s="12">
        <f t="shared" si="27"/>
        <v>6.215603193834121</v>
      </c>
      <c r="N74" s="12">
        <f t="shared" si="27"/>
        <v>6.3843253361366621</v>
      </c>
      <c r="O74" s="12">
        <f t="shared" si="27"/>
        <v>6.6415404037759895</v>
      </c>
      <c r="P74" s="12">
        <f t="shared" si="27"/>
        <v>7.0167140706059659</v>
      </c>
      <c r="Q74" s="12">
        <f t="shared" si="27"/>
        <v>7.5301141144511847</v>
      </c>
      <c r="R74" s="12">
        <f t="shared" si="27"/>
        <v>8.174560510561891</v>
      </c>
      <c r="S74" s="12">
        <f t="shared" si="27"/>
        <v>8.901254999999999</v>
      </c>
      <c r="T74" s="12">
        <f t="shared" si="27"/>
        <v>9.6279494894381088</v>
      </c>
      <c r="U74" s="12">
        <f t="shared" si="27"/>
        <v>10.272395885548816</v>
      </c>
      <c r="V74" s="12">
        <f t="shared" si="27"/>
        <v>10.785795929394034</v>
      </c>
      <c r="W74" s="12">
        <f t="shared" si="27"/>
        <v>11.160969596224009</v>
      </c>
      <c r="X74" s="12">
        <f t="shared" si="27"/>
        <v>11.418184663863338</v>
      </c>
      <c r="Y74" s="12">
        <f t="shared" si="27"/>
        <v>11.586906806165878</v>
      </c>
      <c r="Z74" s="12">
        <f t="shared" si="27"/>
        <v>11.694396239642224</v>
      </c>
      <c r="AA74" s="12">
        <f t="shared" si="27"/>
        <v>11.761606772429255</v>
      </c>
      <c r="AB74" s="12">
        <f t="shared" si="27"/>
        <v>11.803141614649814</v>
      </c>
      <c r="AC74" s="12">
        <f t="shared" si="26"/>
        <v>11.828623484830636</v>
      </c>
      <c r="AD74" s="300">
        <f t="shared" si="30"/>
        <v>2.3160100070488813E-3</v>
      </c>
      <c r="AE74" s="299">
        <f t="shared" si="30"/>
        <v>2.3160100070488813E-3</v>
      </c>
      <c r="AF74" s="299">
        <f t="shared" si="30"/>
        <v>2.3160100070488813E-3</v>
      </c>
      <c r="AG74" s="299">
        <f t="shared" si="30"/>
        <v>2.3160100070488813E-3</v>
      </c>
      <c r="AH74" s="299">
        <f t="shared" si="30"/>
        <v>2.3160100070488813E-3</v>
      </c>
      <c r="AI74" s="299">
        <f t="shared" si="30"/>
        <v>2.2111445462224661E-3</v>
      </c>
      <c r="AJ74" s="299">
        <f t="shared" si="30"/>
        <v>2.1527093905659113E-3</v>
      </c>
      <c r="AK74" s="299">
        <f t="shared" si="30"/>
        <v>2.0693387780514679E-3</v>
      </c>
      <c r="AL74" s="299">
        <f t="shared" si="30"/>
        <v>1.9586941929275962E-3</v>
      </c>
      <c r="AM74" s="299">
        <f t="shared" si="30"/>
        <v>1.8251512386981842E-3</v>
      </c>
      <c r="AN74" s="299">
        <f t="shared" si="30"/>
        <v>1.6812643426850813E-3</v>
      </c>
      <c r="AO74" s="299">
        <f t="shared" si="30"/>
        <v>1.5440066713659211E-3</v>
      </c>
      <c r="AP74" s="299">
        <f t="shared" si="30"/>
        <v>1.4274687583899386E-3</v>
      </c>
      <c r="AQ74" s="299">
        <f t="shared" si="30"/>
        <v>1.3379154441335076E-3</v>
      </c>
      <c r="AR74" s="299">
        <f t="shared" si="30"/>
        <v>1.2742311456194406E-3</v>
      </c>
      <c r="AS74" s="299">
        <f t="shared" si="10"/>
        <v>1.2313981312321654E-3</v>
      </c>
      <c r="AT74" s="299">
        <f t="shared" si="10"/>
        <v>1.2036586820167192E-3</v>
      </c>
      <c r="AU74" s="299">
        <f t="shared" si="10"/>
        <v>1.1861316685671207E-3</v>
      </c>
      <c r="AV74" s="299">
        <f t="shared" si="10"/>
        <v>1.1752292997342228E-3</v>
      </c>
      <c r="AW74" s="299">
        <f t="shared" si="19"/>
        <v>1.1685135687197134E-3</v>
      </c>
      <c r="AX74" s="299">
        <f t="shared" si="19"/>
        <v>1.1644016103704959E-3</v>
      </c>
      <c r="AY74" s="299">
        <f t="shared" si="19"/>
        <v>1.1618931924880726E-3</v>
      </c>
      <c r="AZ74" s="306">
        <f t="shared" si="31"/>
        <v>0.12821382253730812</v>
      </c>
      <c r="BA74" s="2">
        <f t="shared" si="31"/>
        <v>0.12821382253730812</v>
      </c>
      <c r="BB74" s="2">
        <f t="shared" si="31"/>
        <v>0.12821382253730812</v>
      </c>
      <c r="BC74" s="2">
        <f t="shared" si="31"/>
        <v>0.12821382253730812</v>
      </c>
      <c r="BD74" s="2">
        <f t="shared" si="31"/>
        <v>0.12821382253730812</v>
      </c>
      <c r="BE74" s="2">
        <f t="shared" si="31"/>
        <v>0.12240849287820911</v>
      </c>
      <c r="BF74" s="2">
        <f t="shared" si="31"/>
        <v>0.11917353506089108</v>
      </c>
      <c r="BG74" s="2">
        <f t="shared" si="31"/>
        <v>0.1145581556431769</v>
      </c>
      <c r="BH74" s="2">
        <f t="shared" si="31"/>
        <v>0.10843289488928984</v>
      </c>
      <c r="BI74" s="2">
        <f t="shared" si="31"/>
        <v>0.10103998528071045</v>
      </c>
      <c r="BJ74" s="2">
        <f t="shared" si="31"/>
        <v>9.3074437249950709E-2</v>
      </c>
      <c r="BK74" s="2">
        <f t="shared" si="31"/>
        <v>8.547588169153876E-2</v>
      </c>
      <c r="BL74" s="2">
        <f t="shared" si="31"/>
        <v>7.9024367558311825E-2</v>
      </c>
      <c r="BM74" s="2">
        <f t="shared" si="31"/>
        <v>7.4066715084118745E-2</v>
      </c>
      <c r="BN74" s="2">
        <f t="shared" si="31"/>
        <v>7.0541165832067002E-2</v>
      </c>
      <c r="BO74" s="2">
        <f t="shared" si="11"/>
        <v>6.8169939244671615E-2</v>
      </c>
      <c r="BP74" s="2">
        <f t="shared" si="11"/>
        <v>6.6634289222362864E-2</v>
      </c>
      <c r="BQ74" s="2">
        <f t="shared" si="11"/>
        <v>6.5663997476992017E-2</v>
      </c>
      <c r="BR74" s="2">
        <f t="shared" si="11"/>
        <v>6.5060444651864724E-2</v>
      </c>
      <c r="BS74" s="2">
        <f t="shared" si="20"/>
        <v>6.4688663207966818E-2</v>
      </c>
      <c r="BT74" s="2">
        <f t="shared" si="20"/>
        <v>6.4461026066303884E-2</v>
      </c>
      <c r="BU74" s="2">
        <f t="shared" si="20"/>
        <v>6.432216058461443E-2</v>
      </c>
    </row>
    <row r="75" spans="1:73" x14ac:dyDescent="0.25">
      <c r="A75" t="s">
        <v>23</v>
      </c>
      <c r="B75" s="1" t="s">
        <v>5</v>
      </c>
      <c r="C75" t="s">
        <v>9</v>
      </c>
      <c r="D75" t="s">
        <v>9</v>
      </c>
      <c r="E75" s="97">
        <v>5.7826950000000004</v>
      </c>
      <c r="F75" s="5">
        <f t="shared" si="29"/>
        <v>1.4167602750000001E-2</v>
      </c>
      <c r="G75" s="1">
        <f>LOOKUP(RIGHT(D75,5),Ref!$C$4:$C$21,Ref!$E$4:$E$21)*$G$3</f>
        <v>4.5</v>
      </c>
      <c r="H75" s="36">
        <f t="shared" si="28"/>
        <v>5.7826950000000004</v>
      </c>
      <c r="I75" s="12">
        <f t="shared" si="28"/>
        <v>5.7826950000000004</v>
      </c>
      <c r="J75" s="12">
        <f t="shared" si="28"/>
        <v>5.7826950000000004</v>
      </c>
      <c r="K75" s="12">
        <f t="shared" si="28"/>
        <v>5.7826950000000004</v>
      </c>
      <c r="L75" s="12">
        <f t="shared" si="28"/>
        <v>5.7826950000000004</v>
      </c>
      <c r="M75" s="12">
        <f t="shared" si="27"/>
        <v>6.0569443596945494</v>
      </c>
      <c r="N75" s="12">
        <f t="shared" si="27"/>
        <v>6.2213597183179452</v>
      </c>
      <c r="O75" s="12">
        <f t="shared" si="27"/>
        <v>6.4720091411626894</v>
      </c>
      <c r="P75" s="12">
        <f t="shared" si="27"/>
        <v>6.837606164387398</v>
      </c>
      <c r="Q75" s="12">
        <f t="shared" si="27"/>
        <v>7.3379012126491645</v>
      </c>
      <c r="R75" s="12">
        <f t="shared" si="27"/>
        <v>7.9658975377556924</v>
      </c>
      <c r="S75" s="12">
        <f t="shared" si="27"/>
        <v>8.6740425000000005</v>
      </c>
      <c r="T75" s="12">
        <f t="shared" si="27"/>
        <v>9.3821874622443087</v>
      </c>
      <c r="U75" s="12">
        <f t="shared" si="27"/>
        <v>10.010183787350837</v>
      </c>
      <c r="V75" s="12">
        <f t="shared" si="27"/>
        <v>10.510478835612602</v>
      </c>
      <c r="W75" s="12">
        <f t="shared" si="27"/>
        <v>10.876075858837311</v>
      </c>
      <c r="X75" s="12">
        <f t="shared" si="27"/>
        <v>11.126725281682056</v>
      </c>
      <c r="Y75" s="12">
        <f t="shared" si="27"/>
        <v>11.291140640305452</v>
      </c>
      <c r="Z75" s="12">
        <f t="shared" si="27"/>
        <v>11.395886309795287</v>
      </c>
      <c r="AA75" s="12">
        <f t="shared" si="27"/>
        <v>11.461381233583264</v>
      </c>
      <c r="AB75" s="12">
        <f t="shared" si="27"/>
        <v>11.501855861784783</v>
      </c>
      <c r="AC75" s="12">
        <f t="shared" si="26"/>
        <v>11.526687284424394</v>
      </c>
      <c r="AD75" s="300">
        <f t="shared" si="30"/>
        <v>2.3766768096068112E-3</v>
      </c>
      <c r="AE75" s="299">
        <f t="shared" si="30"/>
        <v>2.3766768096068112E-3</v>
      </c>
      <c r="AF75" s="299">
        <f t="shared" si="30"/>
        <v>2.3766768096068112E-3</v>
      </c>
      <c r="AG75" s="299">
        <f t="shared" si="30"/>
        <v>2.3766768096068112E-3</v>
      </c>
      <c r="AH75" s="299">
        <f t="shared" si="30"/>
        <v>2.3766768096068112E-3</v>
      </c>
      <c r="AI75" s="299">
        <f t="shared" si="30"/>
        <v>2.2690644469156632E-3</v>
      </c>
      <c r="AJ75" s="299">
        <f t="shared" si="30"/>
        <v>2.2090986095954415E-3</v>
      </c>
      <c r="AK75" s="299">
        <f t="shared" si="30"/>
        <v>2.1235441427482652E-3</v>
      </c>
      <c r="AL75" s="299">
        <f t="shared" si="30"/>
        <v>2.0100012742925492E-3</v>
      </c>
      <c r="AM75" s="299">
        <f t="shared" si="30"/>
        <v>1.8729602246263383E-3</v>
      </c>
      <c r="AN75" s="299">
        <f t="shared" si="30"/>
        <v>1.725304278443101E-3</v>
      </c>
      <c r="AO75" s="299">
        <f t="shared" si="30"/>
        <v>1.5844512064045408E-3</v>
      </c>
      <c r="AP75" s="299">
        <f t="shared" si="30"/>
        <v>1.4648606371207233E-3</v>
      </c>
      <c r="AQ75" s="299">
        <f t="shared" si="30"/>
        <v>1.3729615155414104E-3</v>
      </c>
      <c r="AR75" s="299">
        <f t="shared" si="30"/>
        <v>1.3076090365133413E-3</v>
      </c>
      <c r="AS75" s="299">
        <f t="shared" si="10"/>
        <v>1.2636540312802209E-3</v>
      </c>
      <c r="AT75" s="299">
        <f t="shared" si="10"/>
        <v>1.2351879601229451E-3</v>
      </c>
      <c r="AU75" s="299">
        <f t="shared" si="10"/>
        <v>1.2172018347260142E-3</v>
      </c>
      <c r="AV75" s="299">
        <f t="shared" si="10"/>
        <v>1.2060138834235304E-3</v>
      </c>
      <c r="AW75" s="299">
        <f t="shared" si="19"/>
        <v>1.1991222369655431E-3</v>
      </c>
      <c r="AX75" s="299">
        <f t="shared" si="19"/>
        <v>1.1949025677841017E-3</v>
      </c>
      <c r="AY75" s="299">
        <f t="shared" si="19"/>
        <v>1.1923284430645131E-3</v>
      </c>
      <c r="AZ75" s="306">
        <f t="shared" si="31"/>
        <v>0.13157232385353501</v>
      </c>
      <c r="BA75" s="2">
        <f t="shared" si="31"/>
        <v>0.13157232385353501</v>
      </c>
      <c r="BB75" s="2">
        <f t="shared" si="31"/>
        <v>0.13157232385353501</v>
      </c>
      <c r="BC75" s="2">
        <f t="shared" si="31"/>
        <v>0.13157232385353501</v>
      </c>
      <c r="BD75" s="2">
        <f t="shared" si="31"/>
        <v>0.13157232385353501</v>
      </c>
      <c r="BE75" s="2">
        <f t="shared" si="31"/>
        <v>0.12561492629009174</v>
      </c>
      <c r="BF75" s="2">
        <f t="shared" si="31"/>
        <v>0.12229523026068087</v>
      </c>
      <c r="BG75" s="2">
        <f t="shared" si="31"/>
        <v>0.11755895313051631</v>
      </c>
      <c r="BH75" s="2">
        <f t="shared" si="31"/>
        <v>0.11127324402638858</v>
      </c>
      <c r="BI75" s="2">
        <f t="shared" si="31"/>
        <v>0.10368668059671721</v>
      </c>
      <c r="BJ75" s="2">
        <f t="shared" si="31"/>
        <v>9.5512478748324095E-2</v>
      </c>
      <c r="BK75" s="2">
        <f t="shared" si="31"/>
        <v>8.771488256902335E-2</v>
      </c>
      <c r="BL75" s="2">
        <f t="shared" si="31"/>
        <v>8.1094374030362529E-2</v>
      </c>
      <c r="BM75" s="2">
        <f t="shared" si="31"/>
        <v>7.6006858160550556E-2</v>
      </c>
      <c r="BN75" s="2">
        <f t="shared" si="31"/>
        <v>7.238895878922838E-2</v>
      </c>
      <c r="BO75" s="2">
        <f t="shared" si="11"/>
        <v>6.995561902669134E-2</v>
      </c>
      <c r="BP75" s="2">
        <f t="shared" si="11"/>
        <v>6.8379743367870699E-2</v>
      </c>
      <c r="BQ75" s="2">
        <f t="shared" si="11"/>
        <v>6.7384035282518212E-2</v>
      </c>
      <c r="BR75" s="2">
        <f t="shared" si="11"/>
        <v>6.6764672672474684E-2</v>
      </c>
      <c r="BS75" s="2">
        <f t="shared" si="20"/>
        <v>6.6383152586954777E-2</v>
      </c>
      <c r="BT75" s="2">
        <f t="shared" si="20"/>
        <v>6.6149552596475952E-2</v>
      </c>
      <c r="BU75" s="2">
        <f t="shared" si="20"/>
        <v>6.6007049598223899E-2</v>
      </c>
    </row>
    <row r="76" spans="1:73" x14ac:dyDescent="0.25">
      <c r="A76" t="s">
        <v>23</v>
      </c>
      <c r="B76" s="1" t="s">
        <v>5</v>
      </c>
      <c r="C76" t="s">
        <v>11</v>
      </c>
      <c r="D76" t="s">
        <v>11</v>
      </c>
      <c r="E76" s="97">
        <v>6.3316549999999996</v>
      </c>
      <c r="F76" s="5">
        <f t="shared" si="29"/>
        <v>1.5512554749999997E-2</v>
      </c>
      <c r="G76" s="1">
        <f>LOOKUP(RIGHT(D76,5),Ref!$C$4:$C$21,Ref!$E$4:$E$21)*$G$3</f>
        <v>4.5</v>
      </c>
      <c r="H76" s="36">
        <f t="shared" si="28"/>
        <v>6.3316549999999996</v>
      </c>
      <c r="I76" s="12">
        <f t="shared" si="28"/>
        <v>6.3316549999999996</v>
      </c>
      <c r="J76" s="12">
        <f t="shared" si="28"/>
        <v>6.3316549999999996</v>
      </c>
      <c r="K76" s="12">
        <f t="shared" si="28"/>
        <v>6.3316549999999996</v>
      </c>
      <c r="L76" s="12">
        <f t="shared" si="28"/>
        <v>6.3316549999999996</v>
      </c>
      <c r="M76" s="12">
        <f t="shared" si="27"/>
        <v>6.631939267034106</v>
      </c>
      <c r="N76" s="12">
        <f t="shared" si="27"/>
        <v>6.8119628248224053</v>
      </c>
      <c r="O76" s="12">
        <f t="shared" si="27"/>
        <v>7.0864067772359505</v>
      </c>
      <c r="P76" s="12">
        <f t="shared" si="27"/>
        <v>7.4867104799361348</v>
      </c>
      <c r="Q76" s="12">
        <f t="shared" si="27"/>
        <v>8.0344992953244372</v>
      </c>
      <c r="R76" s="12">
        <f t="shared" si="27"/>
        <v>8.7221122632991221</v>
      </c>
      <c r="S76" s="12">
        <f t="shared" si="27"/>
        <v>9.4974825000000003</v>
      </c>
      <c r="T76" s="12">
        <f t="shared" si="27"/>
        <v>10.272852736700877</v>
      </c>
      <c r="U76" s="12">
        <f t="shared" si="27"/>
        <v>10.960465704675562</v>
      </c>
      <c r="V76" s="12">
        <f t="shared" si="27"/>
        <v>11.508254520063865</v>
      </c>
      <c r="W76" s="12">
        <f t="shared" si="27"/>
        <v>11.908558222764047</v>
      </c>
      <c r="X76" s="12">
        <f t="shared" si="27"/>
        <v>12.183002175177593</v>
      </c>
      <c r="Y76" s="12">
        <f t="shared" si="27"/>
        <v>12.363025732965893</v>
      </c>
      <c r="Z76" s="12">
        <f t="shared" si="27"/>
        <v>12.47771506760202</v>
      </c>
      <c r="AA76" s="12">
        <f t="shared" si="27"/>
        <v>12.549427523762473</v>
      </c>
      <c r="AB76" s="12">
        <f t="shared" si="27"/>
        <v>12.593744469758292</v>
      </c>
      <c r="AC76" s="12">
        <f t="shared" si="26"/>
        <v>12.620933176980998</v>
      </c>
      <c r="AD76" s="300">
        <f t="shared" si="30"/>
        <v>2.1706168613939421E-3</v>
      </c>
      <c r="AE76" s="299">
        <f t="shared" si="30"/>
        <v>2.1706168613939421E-3</v>
      </c>
      <c r="AF76" s="299">
        <f t="shared" si="30"/>
        <v>2.1706168613939421E-3</v>
      </c>
      <c r="AG76" s="299">
        <f t="shared" si="30"/>
        <v>2.1706168613939421E-3</v>
      </c>
      <c r="AH76" s="299">
        <f t="shared" si="30"/>
        <v>2.1706168613939421E-3</v>
      </c>
      <c r="AI76" s="299">
        <f t="shared" si="30"/>
        <v>2.0723345842211826E-3</v>
      </c>
      <c r="AJ76" s="299">
        <f t="shared" si="30"/>
        <v>2.017567837194938E-3</v>
      </c>
      <c r="AK76" s="299">
        <f t="shared" si="30"/>
        <v>1.9394310170957958E-3</v>
      </c>
      <c r="AL76" s="299">
        <f t="shared" si="30"/>
        <v>1.835732414170569E-3</v>
      </c>
      <c r="AM76" s="299">
        <f t="shared" si="30"/>
        <v>1.7105729428002006E-3</v>
      </c>
      <c r="AN76" s="299">
        <f t="shared" si="30"/>
        <v>1.5757188956807546E-3</v>
      </c>
      <c r="AO76" s="299">
        <f t="shared" si="30"/>
        <v>1.4470779075959612E-3</v>
      </c>
      <c r="AP76" s="299">
        <f t="shared" si="30"/>
        <v>1.3378559447687567E-3</v>
      </c>
      <c r="AQ76" s="299">
        <f t="shared" si="30"/>
        <v>1.2539245570255704E-3</v>
      </c>
      <c r="AR76" s="299">
        <f t="shared" si="30"/>
        <v>1.1942381948164447E-3</v>
      </c>
      <c r="AS76" s="299">
        <f t="shared" si="10"/>
        <v>1.1540941267984405E-3</v>
      </c>
      <c r="AT76" s="299">
        <f t="shared" si="10"/>
        <v>1.1280960887892902E-3</v>
      </c>
      <c r="AU76" s="299">
        <f t="shared" si="10"/>
        <v>1.1116693761206115E-3</v>
      </c>
      <c r="AV76" s="299">
        <f t="shared" si="10"/>
        <v>1.1014514299348011E-3</v>
      </c>
      <c r="AW76" s="299">
        <f t="shared" si="19"/>
        <v>1.0951572952236756E-3</v>
      </c>
      <c r="AX76" s="299">
        <f t="shared" si="19"/>
        <v>1.0913034750333502E-3</v>
      </c>
      <c r="AY76" s="299">
        <f t="shared" si="19"/>
        <v>1.088952529167642E-3</v>
      </c>
      <c r="AZ76" s="306">
        <f t="shared" si="31"/>
        <v>0.12016488884599963</v>
      </c>
      <c r="BA76" s="2">
        <f t="shared" si="31"/>
        <v>0.12016488884599963</v>
      </c>
      <c r="BB76" s="2">
        <f t="shared" si="31"/>
        <v>0.12016488884599963</v>
      </c>
      <c r="BC76" s="2">
        <f t="shared" si="31"/>
        <v>0.12016488884599963</v>
      </c>
      <c r="BD76" s="2">
        <f t="shared" si="31"/>
        <v>0.12016488884599963</v>
      </c>
      <c r="BE76" s="2">
        <f t="shared" si="31"/>
        <v>0.11472400283702794</v>
      </c>
      <c r="BF76" s="2">
        <f t="shared" si="31"/>
        <v>0.11169212734305456</v>
      </c>
      <c r="BG76" s="2">
        <f t="shared" si="31"/>
        <v>0.10736648956285065</v>
      </c>
      <c r="BH76" s="2">
        <f t="shared" si="31"/>
        <v>0.10162575690955637</v>
      </c>
      <c r="BI76" s="2">
        <f t="shared" si="31"/>
        <v>9.4696955133094521E-2</v>
      </c>
      <c r="BJ76" s="2">
        <f t="shared" si="31"/>
        <v>8.7231463700334272E-2</v>
      </c>
      <c r="BK76" s="2">
        <f t="shared" si="31"/>
        <v>8.0109925897333081E-2</v>
      </c>
      <c r="BL76" s="2">
        <f t="shared" si="31"/>
        <v>7.4063421211911784E-2</v>
      </c>
      <c r="BM76" s="2">
        <f t="shared" si="31"/>
        <v>6.9416997396529817E-2</v>
      </c>
      <c r="BN76" s="2">
        <f t="shared" si="31"/>
        <v>6.6112773049965143E-2</v>
      </c>
      <c r="BO76" s="2">
        <f t="shared" si="11"/>
        <v>6.3890405962983288E-2</v>
      </c>
      <c r="BP76" s="2">
        <f t="shared" si="11"/>
        <v>6.2451160095530957E-2</v>
      </c>
      <c r="BQ76" s="2">
        <f t="shared" si="11"/>
        <v>6.154178076791008E-2</v>
      </c>
      <c r="BR76" s="2">
        <f t="shared" si="11"/>
        <v>6.0976117435292368E-2</v>
      </c>
      <c r="BS76" s="2">
        <f t="shared" si="20"/>
        <v>6.0627675473287866E-2</v>
      </c>
      <c r="BT76" s="2">
        <f t="shared" si="20"/>
        <v>6.0414328805324762E-2</v>
      </c>
      <c r="BU76" s="2">
        <f t="shared" si="20"/>
        <v>6.0284180941065392E-2</v>
      </c>
    </row>
    <row r="77" spans="1:73" x14ac:dyDescent="0.25">
      <c r="A77" t="s">
        <v>25</v>
      </c>
      <c r="B77" s="1" t="s">
        <v>5</v>
      </c>
      <c r="C77" t="s">
        <v>14</v>
      </c>
      <c r="D77" t="s">
        <v>14</v>
      </c>
      <c r="E77" s="97">
        <v>6.4521050000000004</v>
      </c>
      <c r="F77" s="5">
        <f t="shared" si="29"/>
        <v>1.5807657249999999E-2</v>
      </c>
      <c r="G77" s="1">
        <f>LOOKUP(RIGHT(D77,5),Ref!$C$4:$C$21,Ref!$E$4:$E$21)*$G$3</f>
        <v>2</v>
      </c>
      <c r="H77" s="36">
        <f t="shared" si="28"/>
        <v>6.4521050000000004</v>
      </c>
      <c r="I77" s="12">
        <f t="shared" si="28"/>
        <v>6.4521050000000004</v>
      </c>
      <c r="J77" s="12">
        <f t="shared" si="28"/>
        <v>6.4521050000000004</v>
      </c>
      <c r="K77" s="12">
        <f t="shared" si="28"/>
        <v>6.4521050000000004</v>
      </c>
      <c r="L77" s="12">
        <f t="shared" si="28"/>
        <v>6.4521050000000004</v>
      </c>
      <c r="M77" s="12">
        <f t="shared" si="27"/>
        <v>6.7581017134583448</v>
      </c>
      <c r="N77" s="12">
        <f t="shared" si="27"/>
        <v>6.941549942605965</v>
      </c>
      <c r="O77" s="12">
        <f t="shared" si="27"/>
        <v>7.2212147691935158</v>
      </c>
      <c r="P77" s="12">
        <f t="shared" si="27"/>
        <v>7.6291336342786114</v>
      </c>
      <c r="Q77" s="12">
        <f t="shared" si="27"/>
        <v>8.187343289528453</v>
      </c>
      <c r="R77" s="12">
        <f t="shared" si="27"/>
        <v>8.8880370368558594</v>
      </c>
      <c r="S77" s="12">
        <f t="shared" si="27"/>
        <v>9.6781575000000011</v>
      </c>
      <c r="T77" s="12">
        <f t="shared" si="27"/>
        <v>10.468277963144143</v>
      </c>
      <c r="U77" s="12">
        <f t="shared" si="27"/>
        <v>11.168971710471547</v>
      </c>
      <c r="V77" s="12">
        <f t="shared" si="27"/>
        <v>11.727181365721391</v>
      </c>
      <c r="W77" s="12">
        <f t="shared" si="27"/>
        <v>12.135100230806485</v>
      </c>
      <c r="X77" s="12">
        <f t="shared" si="27"/>
        <v>12.414765057394035</v>
      </c>
      <c r="Y77" s="12">
        <f t="shared" si="27"/>
        <v>12.598213286541657</v>
      </c>
      <c r="Z77" s="12">
        <f t="shared" si="27"/>
        <v>12.715084409408021</v>
      </c>
      <c r="AA77" s="12">
        <f t="shared" si="27"/>
        <v>12.78816108477254</v>
      </c>
      <c r="AB77" s="12">
        <f t="shared" si="27"/>
        <v>12.833321092518439</v>
      </c>
      <c r="AC77" s="12">
        <f t="shared" si="26"/>
        <v>12.861027023087169</v>
      </c>
      <c r="AD77" s="300">
        <f t="shared" si="30"/>
        <v>2.130095078044957E-3</v>
      </c>
      <c r="AE77" s="299">
        <f t="shared" si="30"/>
        <v>2.130095078044957E-3</v>
      </c>
      <c r="AF77" s="299">
        <f t="shared" si="30"/>
        <v>2.130095078044957E-3</v>
      </c>
      <c r="AG77" s="299">
        <f t="shared" si="30"/>
        <v>2.130095078044957E-3</v>
      </c>
      <c r="AH77" s="299">
        <f t="shared" si="30"/>
        <v>2.130095078044957E-3</v>
      </c>
      <c r="AI77" s="299">
        <f t="shared" si="30"/>
        <v>2.0336475664696979E-3</v>
      </c>
      <c r="AJ77" s="299">
        <f t="shared" si="30"/>
        <v>1.97990322293492E-3</v>
      </c>
      <c r="AK77" s="299">
        <f t="shared" si="30"/>
        <v>1.9032250864717294E-3</v>
      </c>
      <c r="AL77" s="299">
        <f t="shared" si="30"/>
        <v>1.80146236287927E-3</v>
      </c>
      <c r="AM77" s="299">
        <f t="shared" si="30"/>
        <v>1.6786394093316218E-3</v>
      </c>
      <c r="AN77" s="299">
        <f t="shared" si="30"/>
        <v>1.5463028615361231E-3</v>
      </c>
      <c r="AO77" s="299">
        <f t="shared" si="30"/>
        <v>1.4200633853633047E-3</v>
      </c>
      <c r="AP77" s="299">
        <f t="shared" si="30"/>
        <v>1.3128804137525381E-3</v>
      </c>
      <c r="AQ77" s="299">
        <f t="shared" si="30"/>
        <v>1.230515884523537E-3</v>
      </c>
      <c r="AR77" s="299">
        <f t="shared" si="30"/>
        <v>1.1719437667862681E-3</v>
      </c>
      <c r="AS77" s="299">
        <f t="shared" si="10"/>
        <v>1.1325491213199379E-3</v>
      </c>
      <c r="AT77" s="299">
        <f t="shared" si="10"/>
        <v>1.1070364231616121E-3</v>
      </c>
      <c r="AU77" s="299">
        <f t="shared" si="10"/>
        <v>1.0909163697213466E-3</v>
      </c>
      <c r="AV77" s="299">
        <f t="shared" si="10"/>
        <v>1.0808891754867339E-3</v>
      </c>
      <c r="AW77" s="299">
        <f t="shared" si="19"/>
        <v>1.0747125417347458E-3</v>
      </c>
      <c r="AX77" s="299">
        <f t="shared" si="19"/>
        <v>1.0709306659163614E-3</v>
      </c>
      <c r="AY77" s="299">
        <f t="shared" si="19"/>
        <v>1.0686236082746554E-3</v>
      </c>
      <c r="AZ77" s="306">
        <f t="shared" si="31"/>
        <v>0.11792161151844517</v>
      </c>
      <c r="BA77" s="2">
        <f t="shared" si="31"/>
        <v>0.11792161151844517</v>
      </c>
      <c r="BB77" s="2">
        <f t="shared" si="31"/>
        <v>0.11792161151844517</v>
      </c>
      <c r="BC77" s="2">
        <f t="shared" si="31"/>
        <v>0.11792161151844517</v>
      </c>
      <c r="BD77" s="2">
        <f t="shared" si="31"/>
        <v>0.11792161151844517</v>
      </c>
      <c r="BE77" s="2">
        <f t="shared" si="31"/>
        <v>0.11258229774361732</v>
      </c>
      <c r="BF77" s="2">
        <f t="shared" si="31"/>
        <v>0.10960702228997948</v>
      </c>
      <c r="BG77" s="2">
        <f t="shared" si="31"/>
        <v>0.10536213692633195</v>
      </c>
      <c r="BH77" s="2">
        <f t="shared" si="31"/>
        <v>9.9728574142109755E-2</v>
      </c>
      <c r="BI77" s="2">
        <f t="shared" si="31"/>
        <v>9.292912149650906E-2</v>
      </c>
      <c r="BJ77" s="2">
        <f t="shared" si="31"/>
        <v>8.5602998292113958E-2</v>
      </c>
      <c r="BK77" s="2">
        <f t="shared" si="31"/>
        <v>7.8614407678963452E-2</v>
      </c>
      <c r="BL77" s="2">
        <f t="shared" si="31"/>
        <v>7.2680781114614096E-2</v>
      </c>
      <c r="BM77" s="2">
        <f t="shared" si="31"/>
        <v>6.8121098254093029E-2</v>
      </c>
      <c r="BN77" s="2">
        <f t="shared" si="31"/>
        <v>6.4878558245049789E-2</v>
      </c>
      <c r="BO77" s="2">
        <f t="shared" si="11"/>
        <v>6.2697679031502571E-2</v>
      </c>
      <c r="BP77" s="2">
        <f t="shared" si="11"/>
        <v>6.1285301475203682E-2</v>
      </c>
      <c r="BQ77" s="2">
        <f t="shared" si="11"/>
        <v>6.0392898737395256E-2</v>
      </c>
      <c r="BR77" s="2">
        <f t="shared" si="11"/>
        <v>5.9837795392318635E-2</v>
      </c>
      <c r="BS77" s="2">
        <f t="shared" si="20"/>
        <v>5.9495858258478508E-2</v>
      </c>
      <c r="BT77" s="2">
        <f t="shared" si="20"/>
        <v>5.9286494415679611E-2</v>
      </c>
      <c r="BU77" s="2">
        <f t="shared" si="20"/>
        <v>5.9158776194187995E-2</v>
      </c>
    </row>
    <row r="78" spans="1:73" x14ac:dyDescent="0.25">
      <c r="A78" t="s">
        <v>25</v>
      </c>
      <c r="B78" s="1" t="s">
        <v>5</v>
      </c>
      <c r="C78" t="s">
        <v>16</v>
      </c>
      <c r="D78" t="s">
        <v>16</v>
      </c>
      <c r="E78" s="97">
        <v>6.7804407500000003</v>
      </c>
      <c r="F78" s="5">
        <f t="shared" si="29"/>
        <v>1.6612079837500002E-2</v>
      </c>
      <c r="G78" s="1">
        <f>LOOKUP(RIGHT(D78,5),Ref!$C$4:$C$21,Ref!$E$4:$E$21)*$G$3</f>
        <v>3</v>
      </c>
      <c r="H78" s="36">
        <f t="shared" si="28"/>
        <v>6.7804407500000003</v>
      </c>
      <c r="I78" s="12">
        <f t="shared" si="28"/>
        <v>6.7804407500000003</v>
      </c>
      <c r="J78" s="12">
        <f t="shared" si="28"/>
        <v>6.7804407500000003</v>
      </c>
      <c r="K78" s="12">
        <f t="shared" si="28"/>
        <v>6.7804407500000003</v>
      </c>
      <c r="L78" s="12">
        <f t="shared" si="28"/>
        <v>6.7804407500000003</v>
      </c>
      <c r="M78" s="12">
        <f t="shared" si="27"/>
        <v>7.1020090730975056</v>
      </c>
      <c r="N78" s="12">
        <f t="shared" si="27"/>
        <v>7.2947926450368756</v>
      </c>
      <c r="O78" s="12">
        <f t="shared" si="27"/>
        <v>7.5886890999978389</v>
      </c>
      <c r="P78" s="12">
        <f t="shared" si="27"/>
        <v>8.0173662054567139</v>
      </c>
      <c r="Q78" s="12">
        <f t="shared" si="27"/>
        <v>8.603982122820037</v>
      </c>
      <c r="R78" s="12">
        <f t="shared" si="27"/>
        <v>9.3403328855011996</v>
      </c>
      <c r="S78" s="12">
        <f t="shared" si="27"/>
        <v>10.170661125000001</v>
      </c>
      <c r="T78" s="12">
        <f t="shared" si="27"/>
        <v>11.000989364498801</v>
      </c>
      <c r="U78" s="12">
        <f t="shared" si="27"/>
        <v>11.737340127179964</v>
      </c>
      <c r="V78" s="12">
        <f t="shared" si="27"/>
        <v>12.323956044543287</v>
      </c>
      <c r="W78" s="12">
        <f t="shared" si="27"/>
        <v>12.752633150002161</v>
      </c>
      <c r="X78" s="12">
        <f t="shared" si="27"/>
        <v>13.046529604963126</v>
      </c>
      <c r="Y78" s="12">
        <f t="shared" si="27"/>
        <v>13.239313176902495</v>
      </c>
      <c r="Z78" s="12">
        <f t="shared" si="27"/>
        <v>13.362131656140102</v>
      </c>
      <c r="AA78" s="12">
        <f t="shared" si="27"/>
        <v>13.43892706903498</v>
      </c>
      <c r="AB78" s="12">
        <f t="shared" si="27"/>
        <v>13.486385186469615</v>
      </c>
      <c r="AC78" s="12">
        <f t="shared" si="26"/>
        <v>13.515501020859306</v>
      </c>
      <c r="AD78" s="300">
        <f t="shared" si="30"/>
        <v>2.0269474522772372E-3</v>
      </c>
      <c r="AE78" s="299">
        <f t="shared" si="30"/>
        <v>2.0269474522772372E-3</v>
      </c>
      <c r="AF78" s="299">
        <f t="shared" si="30"/>
        <v>2.0269474522772372E-3</v>
      </c>
      <c r="AG78" s="299">
        <f t="shared" si="30"/>
        <v>2.0269474522772372E-3</v>
      </c>
      <c r="AH78" s="299">
        <f t="shared" si="30"/>
        <v>2.0269474522772372E-3</v>
      </c>
      <c r="AI78" s="299">
        <f t="shared" si="30"/>
        <v>1.9351703105520053E-3</v>
      </c>
      <c r="AJ78" s="299">
        <f t="shared" si="30"/>
        <v>1.8840284806285656E-3</v>
      </c>
      <c r="AK78" s="299">
        <f t="shared" si="30"/>
        <v>1.8110634027072177E-3</v>
      </c>
      <c r="AL78" s="299">
        <f t="shared" si="30"/>
        <v>1.7142284325462401E-3</v>
      </c>
      <c r="AM78" s="299">
        <f t="shared" si="30"/>
        <v>1.5973530520336163E-3</v>
      </c>
      <c r="AN78" s="299">
        <f t="shared" si="30"/>
        <v>1.4714247631220033E-3</v>
      </c>
      <c r="AO78" s="299">
        <f t="shared" si="30"/>
        <v>1.351298301518158E-3</v>
      </c>
      <c r="AP78" s="299">
        <f t="shared" si="30"/>
        <v>1.249305553178799E-3</v>
      </c>
      <c r="AQ78" s="299">
        <f t="shared" si="30"/>
        <v>1.1709294401125378E-3</v>
      </c>
      <c r="AR78" s="299">
        <f t="shared" si="30"/>
        <v>1.1151936159018152E-3</v>
      </c>
      <c r="AS78" s="299">
        <f t="shared" si="10"/>
        <v>1.0777066149297121E-3</v>
      </c>
      <c r="AT78" s="299">
        <f t="shared" si="10"/>
        <v>1.0534293424897419E-3</v>
      </c>
      <c r="AU78" s="299">
        <f t="shared" si="10"/>
        <v>1.038089885773421E-3</v>
      </c>
      <c r="AV78" s="299">
        <f t="shared" si="10"/>
        <v>1.0285482479297282E-3</v>
      </c>
      <c r="AW78" s="299">
        <f t="shared" si="19"/>
        <v>1.0226707112055305E-3</v>
      </c>
      <c r="AX78" s="299">
        <f t="shared" si="19"/>
        <v>1.0190719687672644E-3</v>
      </c>
      <c r="AY78" s="299">
        <f t="shared" si="19"/>
        <v>1.0168766279783426E-3</v>
      </c>
      <c r="AZ78" s="306">
        <f t="shared" si="31"/>
        <v>0.11221138084367417</v>
      </c>
      <c r="BA78" s="2">
        <f t="shared" si="31"/>
        <v>0.11221138084367417</v>
      </c>
      <c r="BB78" s="2">
        <f t="shared" si="31"/>
        <v>0.11221138084367417</v>
      </c>
      <c r="BC78" s="2">
        <f t="shared" si="31"/>
        <v>0.11221138084367417</v>
      </c>
      <c r="BD78" s="2">
        <f t="shared" si="31"/>
        <v>0.11221138084367417</v>
      </c>
      <c r="BE78" s="2">
        <f t="shared" si="31"/>
        <v>0.10713061775270023</v>
      </c>
      <c r="BF78" s="2">
        <f t="shared" si="31"/>
        <v>0.10429941690033763</v>
      </c>
      <c r="BG78" s="2">
        <f t="shared" si="31"/>
        <v>0.10026008566966256</v>
      </c>
      <c r="BH78" s="2">
        <f t="shared" si="31"/>
        <v>9.4899322269747302E-2</v>
      </c>
      <c r="BI78" s="2">
        <f t="shared" si="31"/>
        <v>8.8429126005301881E-2</v>
      </c>
      <c r="BJ78" s="2">
        <f t="shared" si="31"/>
        <v>8.1457762652898336E-2</v>
      </c>
      <c r="BK78" s="2">
        <f t="shared" si="31"/>
        <v>7.480758722911611E-2</v>
      </c>
      <c r="BL78" s="2">
        <f t="shared" si="31"/>
        <v>6.9161290323716373E-2</v>
      </c>
      <c r="BM78" s="2">
        <f t="shared" si="31"/>
        <v>6.4822405335630273E-2</v>
      </c>
      <c r="BN78" s="2">
        <f t="shared" si="31"/>
        <v>6.1736881934360534E-2</v>
      </c>
      <c r="BO78" s="2">
        <f t="shared" si="11"/>
        <v>5.9661609515215201E-2</v>
      </c>
      <c r="BP78" s="2">
        <f t="shared" si="11"/>
        <v>5.8317624864529495E-2</v>
      </c>
      <c r="BQ78" s="2">
        <f t="shared" si="11"/>
        <v>5.7468435795717504E-2</v>
      </c>
      <c r="BR78" s="2">
        <f t="shared" si="11"/>
        <v>5.6940212749408067E-2</v>
      </c>
      <c r="BS78" s="2">
        <f t="shared" si="20"/>
        <v>5.6614833563558599E-2</v>
      </c>
      <c r="BT78" s="2">
        <f t="shared" si="20"/>
        <v>5.6415607945822475E-2</v>
      </c>
      <c r="BU78" s="2">
        <f t="shared" si="20"/>
        <v>5.629407434559492E-2</v>
      </c>
    </row>
    <row r="79" spans="1:73" x14ac:dyDescent="0.25">
      <c r="A79" t="s">
        <v>25</v>
      </c>
      <c r="B79" s="1" t="s">
        <v>5</v>
      </c>
      <c r="C79" t="s">
        <v>17</v>
      </c>
      <c r="D79" t="s">
        <v>17</v>
      </c>
      <c r="E79" s="97">
        <v>6.9547100000000004</v>
      </c>
      <c r="F79" s="5">
        <f t="shared" si="29"/>
        <v>1.7039039500000002E-2</v>
      </c>
      <c r="G79" s="1">
        <f>LOOKUP(RIGHT(D79,5),Ref!$C$4:$C$21,Ref!$E$4:$E$21)*$G$3</f>
        <v>3</v>
      </c>
      <c r="H79" s="36">
        <f t="shared" si="28"/>
        <v>6.9547100000000004</v>
      </c>
      <c r="I79" s="12">
        <f t="shared" si="28"/>
        <v>6.9547100000000004</v>
      </c>
      <c r="J79" s="12">
        <f t="shared" si="28"/>
        <v>6.9547100000000004</v>
      </c>
      <c r="K79" s="12">
        <f t="shared" si="28"/>
        <v>6.9547100000000004</v>
      </c>
      <c r="L79" s="12">
        <f t="shared" si="28"/>
        <v>6.9547100000000004</v>
      </c>
      <c r="M79" s="12">
        <f t="shared" si="27"/>
        <v>7.2845431944467558</v>
      </c>
      <c r="N79" s="12">
        <f t="shared" si="27"/>
        <v>7.4822816431755426</v>
      </c>
      <c r="O79" s="12">
        <f t="shared" si="27"/>
        <v>7.7837317538164417</v>
      </c>
      <c r="P79" s="12">
        <f t="shared" si="27"/>
        <v>8.2234266146713058</v>
      </c>
      <c r="Q79" s="12">
        <f t="shared" si="27"/>
        <v>8.8251195926161206</v>
      </c>
      <c r="R79" s="12">
        <f t="shared" si="27"/>
        <v>9.5803958646971505</v>
      </c>
      <c r="S79" s="12">
        <f t="shared" si="27"/>
        <v>10.432065000000001</v>
      </c>
      <c r="T79" s="12">
        <f t="shared" si="27"/>
        <v>11.283734135302851</v>
      </c>
      <c r="U79" s="12">
        <f t="shared" si="27"/>
        <v>12.039010407383881</v>
      </c>
      <c r="V79" s="12">
        <f t="shared" si="27"/>
        <v>12.640703385328695</v>
      </c>
      <c r="W79" s="12">
        <f t="shared" si="27"/>
        <v>13.080398246183558</v>
      </c>
      <c r="X79" s="12">
        <f t="shared" si="27"/>
        <v>13.38184835682446</v>
      </c>
      <c r="Y79" s="12">
        <f t="shared" si="27"/>
        <v>13.579586805553246</v>
      </c>
      <c r="Z79" s="12">
        <f t="shared" si="27"/>
        <v>13.705561935671236</v>
      </c>
      <c r="AA79" s="12">
        <f t="shared" si="27"/>
        <v>13.784331125714543</v>
      </c>
      <c r="AB79" s="12">
        <f t="shared" si="27"/>
        <v>13.833009000217588</v>
      </c>
      <c r="AC79" s="12">
        <f t="shared" si="26"/>
        <v>13.862873162748368</v>
      </c>
      <c r="AD79" s="300">
        <f t="shared" si="30"/>
        <v>1.9761567489556373E-3</v>
      </c>
      <c r="AE79" s="299">
        <f t="shared" si="30"/>
        <v>1.9761567489556373E-3</v>
      </c>
      <c r="AF79" s="299">
        <f t="shared" si="30"/>
        <v>1.9761567489556373E-3</v>
      </c>
      <c r="AG79" s="299">
        <f t="shared" si="30"/>
        <v>1.9761567489556373E-3</v>
      </c>
      <c r="AH79" s="299">
        <f t="shared" si="30"/>
        <v>1.9761567489556373E-3</v>
      </c>
      <c r="AI79" s="299">
        <f t="shared" si="30"/>
        <v>1.8866793341285218E-3</v>
      </c>
      <c r="AJ79" s="299">
        <f t="shared" si="30"/>
        <v>1.8368190024047749E-3</v>
      </c>
      <c r="AK79" s="299">
        <f t="shared" si="30"/>
        <v>1.7656822637535827E-3</v>
      </c>
      <c r="AL79" s="299">
        <f t="shared" si="30"/>
        <v>1.67127375819339E-3</v>
      </c>
      <c r="AM79" s="299">
        <f t="shared" si="30"/>
        <v>1.5573270094864635E-3</v>
      </c>
      <c r="AN79" s="299">
        <f t="shared" si="30"/>
        <v>1.4345541977209011E-3</v>
      </c>
      <c r="AO79" s="299">
        <f t="shared" si="30"/>
        <v>1.3174378326370913E-3</v>
      </c>
      <c r="AP79" s="299">
        <f t="shared" si="30"/>
        <v>1.2180007911149165E-3</v>
      </c>
      <c r="AQ79" s="299">
        <f t="shared" si="30"/>
        <v>1.1415886055800655E-3</v>
      </c>
      <c r="AR79" s="299">
        <f t="shared" si="30"/>
        <v>1.0872493946405409E-3</v>
      </c>
      <c r="AS79" s="299">
        <f t="shared" si="10"/>
        <v>1.0507017328420564E-3</v>
      </c>
      <c r="AT79" s="299">
        <f t="shared" si="10"/>
        <v>1.027032793756052E-3</v>
      </c>
      <c r="AU79" s="299">
        <f t="shared" si="10"/>
        <v>1.012077709014603E-3</v>
      </c>
      <c r="AV79" s="299">
        <f t="shared" si="10"/>
        <v>1.0027751629620549E-3</v>
      </c>
      <c r="AW79" s="299">
        <f t="shared" si="19"/>
        <v>9.9704490397003781E-4</v>
      </c>
      <c r="AX79" s="299">
        <f t="shared" si="19"/>
        <v>9.9353633785050511E-4</v>
      </c>
      <c r="AY79" s="299">
        <f t="shared" si="19"/>
        <v>9.9139600731977984E-4</v>
      </c>
      <c r="AZ79" s="306">
        <f t="shared" si="31"/>
        <v>0.10939961828548102</v>
      </c>
      <c r="BA79" s="2">
        <f t="shared" si="31"/>
        <v>0.10939961828548102</v>
      </c>
      <c r="BB79" s="2">
        <f t="shared" si="31"/>
        <v>0.10939961828548102</v>
      </c>
      <c r="BC79" s="2">
        <f t="shared" si="31"/>
        <v>0.10939961828548102</v>
      </c>
      <c r="BD79" s="2">
        <f t="shared" si="31"/>
        <v>0.10939961828548102</v>
      </c>
      <c r="BE79" s="2">
        <f t="shared" si="31"/>
        <v>0.10444616758758914</v>
      </c>
      <c r="BF79" s="2">
        <f t="shared" si="31"/>
        <v>0.10168591020363006</v>
      </c>
      <c r="BG79" s="2">
        <f t="shared" si="31"/>
        <v>9.7747795446980687E-2</v>
      </c>
      <c r="BH79" s="2">
        <f t="shared" si="31"/>
        <v>9.2521360612473708E-2</v>
      </c>
      <c r="BI79" s="2">
        <f t="shared" si="31"/>
        <v>8.6213292783341583E-2</v>
      </c>
      <c r="BJ79" s="2">
        <f t="shared" si="31"/>
        <v>7.9416615976157165E-2</v>
      </c>
      <c r="BK79" s="2">
        <f t="shared" si="31"/>
        <v>7.2933078856987341E-2</v>
      </c>
      <c r="BL79" s="2">
        <f t="shared" si="31"/>
        <v>6.7428265338670801E-2</v>
      </c>
      <c r="BM79" s="2">
        <f t="shared" si="31"/>
        <v>6.3198102961981875E-2</v>
      </c>
      <c r="BN79" s="2">
        <f t="shared" si="31"/>
        <v>6.0189895775046985E-2</v>
      </c>
      <c r="BO79" s="2">
        <f t="shared" si="11"/>
        <v>5.81666249732272E-2</v>
      </c>
      <c r="BP79" s="2">
        <f t="shared" si="11"/>
        <v>5.6856317527929849E-2</v>
      </c>
      <c r="BQ79" s="2">
        <f t="shared" si="11"/>
        <v>5.6028407210083758E-2</v>
      </c>
      <c r="BR79" s="2">
        <f t="shared" si="11"/>
        <v>5.5513420234597273E-2</v>
      </c>
      <c r="BS79" s="2">
        <f t="shared" si="20"/>
        <v>5.5196194312749268E-2</v>
      </c>
      <c r="BT79" s="2">
        <f t="shared" si="20"/>
        <v>5.5001960836882996E-2</v>
      </c>
      <c r="BU79" s="2">
        <f t="shared" si="20"/>
        <v>5.4883472592876105E-2</v>
      </c>
    </row>
    <row r="80" spans="1:73" x14ac:dyDescent="0.25">
      <c r="A80" t="s">
        <v>25</v>
      </c>
      <c r="B80" s="1" t="s">
        <v>5</v>
      </c>
      <c r="C80" t="s">
        <v>18</v>
      </c>
      <c r="D80" t="s">
        <v>18</v>
      </c>
      <c r="E80" s="97">
        <v>6.8963830000000002</v>
      </c>
      <c r="F80" s="5">
        <f t="shared" si="29"/>
        <v>1.6896138350000003E-2</v>
      </c>
      <c r="G80" s="1">
        <f>LOOKUP(RIGHT(D80,5),Ref!$C$4:$C$21,Ref!$E$4:$E$21)*$G$3</f>
        <v>3</v>
      </c>
      <c r="H80" s="36">
        <f t="shared" si="28"/>
        <v>6.8963830000000002</v>
      </c>
      <c r="I80" s="12">
        <f t="shared" si="28"/>
        <v>6.8963830000000002</v>
      </c>
      <c r="J80" s="12">
        <f t="shared" si="28"/>
        <v>6.8963830000000002</v>
      </c>
      <c r="K80" s="12">
        <f t="shared" si="28"/>
        <v>6.8963830000000002</v>
      </c>
      <c r="L80" s="12">
        <f t="shared" si="28"/>
        <v>6.8963830000000002</v>
      </c>
      <c r="M80" s="12">
        <f t="shared" si="27"/>
        <v>7.2234499855419276</v>
      </c>
      <c r="N80" s="12">
        <f t="shared" si="27"/>
        <v>7.419530063109443</v>
      </c>
      <c r="O80" s="12">
        <f t="shared" si="27"/>
        <v>7.7184520049836571</v>
      </c>
      <c r="P80" s="12">
        <f t="shared" si="27"/>
        <v>8.154459281144252</v>
      </c>
      <c r="Q80" s="12">
        <f t="shared" si="27"/>
        <v>8.7511060463318717</v>
      </c>
      <c r="R80" s="12">
        <f t="shared" si="27"/>
        <v>9.5000480501081608</v>
      </c>
      <c r="S80" s="12">
        <f t="shared" si="27"/>
        <v>10.3445745</v>
      </c>
      <c r="T80" s="12">
        <f t="shared" si="27"/>
        <v>11.18910094989184</v>
      </c>
      <c r="U80" s="12">
        <f t="shared" si="27"/>
        <v>11.938042953668129</v>
      </c>
      <c r="V80" s="12">
        <f t="shared" si="27"/>
        <v>12.534689718855748</v>
      </c>
      <c r="W80" s="12">
        <f t="shared" si="27"/>
        <v>12.970696995016342</v>
      </c>
      <c r="X80" s="12">
        <f t="shared" si="27"/>
        <v>13.269618936890557</v>
      </c>
      <c r="Y80" s="12">
        <f t="shared" si="27"/>
        <v>13.465699014458073</v>
      </c>
      <c r="Z80" s="12">
        <f t="shared" si="27"/>
        <v>13.59061763015427</v>
      </c>
      <c r="AA80" s="12">
        <f t="shared" si="27"/>
        <v>13.668726207383001</v>
      </c>
      <c r="AB80" s="12">
        <f t="shared" si="27"/>
        <v>13.716995835620404</v>
      </c>
      <c r="AC80" s="12">
        <f t="shared" si="26"/>
        <v>13.746609536664229</v>
      </c>
      <c r="AD80" s="300">
        <f t="shared" si="30"/>
        <v>1.9928703355845028E-3</v>
      </c>
      <c r="AE80" s="299">
        <f t="shared" si="30"/>
        <v>1.9928703355845028E-3</v>
      </c>
      <c r="AF80" s="299">
        <f t="shared" si="30"/>
        <v>1.9928703355845028E-3</v>
      </c>
      <c r="AG80" s="299">
        <f t="shared" si="30"/>
        <v>1.9928703355845028E-3</v>
      </c>
      <c r="AH80" s="299">
        <f t="shared" si="30"/>
        <v>1.9928703355845028E-3</v>
      </c>
      <c r="AI80" s="299">
        <f t="shared" si="30"/>
        <v>1.9026361546127834E-3</v>
      </c>
      <c r="AJ80" s="299">
        <f t="shared" si="30"/>
        <v>1.8523541230547249E-3</v>
      </c>
      <c r="AK80" s="299">
        <f t="shared" si="30"/>
        <v>1.7806157367637036E-3</v>
      </c>
      <c r="AL80" s="299">
        <f t="shared" si="30"/>
        <v>1.6854087597578545E-3</v>
      </c>
      <c r="AM80" s="299">
        <f t="shared" si="30"/>
        <v>1.5704982925318393E-3</v>
      </c>
      <c r="AN80" s="299">
        <f t="shared" si="30"/>
        <v>1.4466871147428338E-3</v>
      </c>
      <c r="AO80" s="299">
        <f t="shared" si="30"/>
        <v>1.3285802237230017E-3</v>
      </c>
      <c r="AP80" s="299">
        <f t="shared" si="30"/>
        <v>1.2283021812992145E-3</v>
      </c>
      <c r="AQ80" s="299">
        <f t="shared" si="30"/>
        <v>1.1512437303893557E-3</v>
      </c>
      <c r="AR80" s="299">
        <f t="shared" si="30"/>
        <v>1.0964449389485062E-3</v>
      </c>
      <c r="AS80" s="299">
        <f t="shared" si="10"/>
        <v>1.0595881708446266E-3</v>
      </c>
      <c r="AT80" s="299">
        <f t="shared" si="10"/>
        <v>1.0357190488206867E-3</v>
      </c>
      <c r="AU80" s="299">
        <f t="shared" si="10"/>
        <v>1.0206374796267767E-3</v>
      </c>
      <c r="AV80" s="299">
        <f t="shared" si="10"/>
        <v>1.0112562561568625E-3</v>
      </c>
      <c r="AW80" s="299">
        <f t="shared" si="19"/>
        <v>1.005477532800812E-3</v>
      </c>
      <c r="AX80" s="299">
        <f t="shared" si="19"/>
        <v>1.0019392925555738E-3</v>
      </c>
      <c r="AY80" s="299">
        <f t="shared" si="19"/>
        <v>9.9978085991844507E-4</v>
      </c>
      <c r="AZ80" s="306">
        <f t="shared" si="31"/>
        <v>0.11032487889466373</v>
      </c>
      <c r="BA80" s="2">
        <f t="shared" si="31"/>
        <v>0.11032487889466373</v>
      </c>
      <c r="BB80" s="2">
        <f t="shared" si="31"/>
        <v>0.11032487889466373</v>
      </c>
      <c r="BC80" s="2">
        <f t="shared" si="31"/>
        <v>0.11032487889466373</v>
      </c>
      <c r="BD80" s="2">
        <f t="shared" si="31"/>
        <v>0.11032487889466373</v>
      </c>
      <c r="BE80" s="2">
        <f t="shared" si="31"/>
        <v>0.10532953378359092</v>
      </c>
      <c r="BF80" s="2">
        <f t="shared" si="31"/>
        <v>0.10254593118628824</v>
      </c>
      <c r="BG80" s="2">
        <f t="shared" si="31"/>
        <v>9.8574509343966402E-2</v>
      </c>
      <c r="BH80" s="2">
        <f t="shared" si="31"/>
        <v>9.3303871299662028E-2</v>
      </c>
      <c r="BI80" s="2">
        <f t="shared" si="31"/>
        <v>8.6942452217812383E-2</v>
      </c>
      <c r="BJ80" s="2">
        <f t="shared" si="31"/>
        <v>8.0088291687909444E-2</v>
      </c>
      <c r="BK80" s="2">
        <f t="shared" si="31"/>
        <v>7.3549919263109151E-2</v>
      </c>
      <c r="BL80" s="2">
        <f t="shared" si="31"/>
        <v>6.7998548113338136E-2</v>
      </c>
      <c r="BM80" s="2">
        <f t="shared" si="31"/>
        <v>6.3732608622625059E-2</v>
      </c>
      <c r="BN80" s="2">
        <f t="shared" si="31"/>
        <v>6.069895915665894E-2</v>
      </c>
      <c r="BO80" s="2">
        <f t="shared" si="11"/>
        <v>5.8658576295364244E-2</v>
      </c>
      <c r="BP80" s="2">
        <f t="shared" si="11"/>
        <v>5.7337186765101217E-2</v>
      </c>
      <c r="BQ80" s="2">
        <f t="shared" si="11"/>
        <v>5.6502274294806663E-2</v>
      </c>
      <c r="BR80" s="2">
        <f t="shared" si="11"/>
        <v>5.5982931754189988E-2</v>
      </c>
      <c r="BS80" s="2">
        <f t="shared" si="20"/>
        <v>5.5663022855433127E-2</v>
      </c>
      <c r="BT80" s="2">
        <f t="shared" si="20"/>
        <v>5.5467146626264598E-2</v>
      </c>
      <c r="BU80" s="2">
        <f t="shared" si="20"/>
        <v>5.5347656253488441E-2</v>
      </c>
    </row>
    <row r="81" spans="1:73" x14ac:dyDescent="0.25">
      <c r="A81" t="s">
        <v>25</v>
      </c>
      <c r="B81" s="1" t="s">
        <v>5</v>
      </c>
      <c r="C81" t="s">
        <v>11</v>
      </c>
      <c r="D81" t="s">
        <v>11</v>
      </c>
      <c r="E81" s="97">
        <v>6.9640174999999997</v>
      </c>
      <c r="F81" s="5">
        <f t="shared" si="29"/>
        <v>1.7061842875E-2</v>
      </c>
      <c r="G81" s="1">
        <f>LOOKUP(RIGHT(D81,5),Ref!$C$4:$C$21,Ref!$E$4:$E$21)*$G$3</f>
        <v>4.5</v>
      </c>
      <c r="H81" s="36">
        <f t="shared" si="28"/>
        <v>6.9640174999999997</v>
      </c>
      <c r="I81" s="12">
        <f t="shared" si="28"/>
        <v>6.9640174999999997</v>
      </c>
      <c r="J81" s="12">
        <f t="shared" si="28"/>
        <v>6.9640174999999997</v>
      </c>
      <c r="K81" s="12">
        <f t="shared" si="28"/>
        <v>6.9640174999999997</v>
      </c>
      <c r="L81" s="12">
        <f t="shared" si="28"/>
        <v>6.9640174999999997</v>
      </c>
      <c r="M81" s="12">
        <f t="shared" si="27"/>
        <v>7.2942921107613552</v>
      </c>
      <c r="N81" s="12">
        <f t="shared" si="27"/>
        <v>7.4922951931860897</v>
      </c>
      <c r="O81" s="12">
        <f t="shared" si="27"/>
        <v>7.7941487350131622</v>
      </c>
      <c r="P81" s="12">
        <f t="shared" si="27"/>
        <v>8.2344320402341324</v>
      </c>
      <c r="Q81" s="12">
        <f t="shared" si="27"/>
        <v>8.8369302648955195</v>
      </c>
      <c r="R81" s="12">
        <f t="shared" si="27"/>
        <v>9.5932173244719898</v>
      </c>
      <c r="S81" s="12">
        <f t="shared" si="27"/>
        <v>10.446026249999999</v>
      </c>
      <c r="T81" s="12">
        <f t="shared" si="27"/>
        <v>11.29883517552801</v>
      </c>
      <c r="U81" s="12">
        <f t="shared" si="27"/>
        <v>12.055122235104479</v>
      </c>
      <c r="V81" s="12">
        <f t="shared" si="27"/>
        <v>12.657620459765868</v>
      </c>
      <c r="W81" s="12">
        <f t="shared" si="27"/>
        <v>13.097903764986835</v>
      </c>
      <c r="X81" s="12">
        <f t="shared" si="27"/>
        <v>13.39975730681391</v>
      </c>
      <c r="Y81" s="12">
        <f t="shared" si="27"/>
        <v>13.597760389238644</v>
      </c>
      <c r="Z81" s="12">
        <f t="shared" si="27"/>
        <v>13.723904112083517</v>
      </c>
      <c r="AA81" s="12">
        <f t="shared" si="27"/>
        <v>13.802778719065319</v>
      </c>
      <c r="AB81" s="12">
        <f t="shared" si="27"/>
        <v>13.851521739249053</v>
      </c>
      <c r="AC81" s="12">
        <f t="shared" si="26"/>
        <v>13.88142586903839</v>
      </c>
      <c r="AD81" s="300">
        <f t="shared" si="30"/>
        <v>1.9735155897481964E-3</v>
      </c>
      <c r="AE81" s="299">
        <f t="shared" si="30"/>
        <v>1.9735155897481964E-3</v>
      </c>
      <c r="AF81" s="299">
        <f t="shared" si="30"/>
        <v>1.9735155897481964E-3</v>
      </c>
      <c r="AG81" s="299">
        <f t="shared" si="30"/>
        <v>1.9735155897481964E-3</v>
      </c>
      <c r="AH81" s="299">
        <f t="shared" si="30"/>
        <v>1.9735155897481964E-3</v>
      </c>
      <c r="AI81" s="299">
        <f t="shared" si="30"/>
        <v>1.8841577626502193E-3</v>
      </c>
      <c r="AJ81" s="299">
        <f t="shared" si="30"/>
        <v>1.8343640699085711E-3</v>
      </c>
      <c r="AK81" s="299">
        <f t="shared" si="30"/>
        <v>1.7633224064341712E-3</v>
      </c>
      <c r="AL81" s="299">
        <f t="shared" si="30"/>
        <v>1.6690400790700414E-3</v>
      </c>
      <c r="AM81" s="299">
        <f t="shared" si="30"/>
        <v>1.5552456216753627E-3</v>
      </c>
      <c r="AN81" s="299">
        <f t="shared" si="30"/>
        <v>1.4326368973701642E-3</v>
      </c>
      <c r="AO81" s="299">
        <f t="shared" si="30"/>
        <v>1.3156770598321309E-3</v>
      </c>
      <c r="AP81" s="299">
        <f t="shared" si="30"/>
        <v>1.2163729172097603E-3</v>
      </c>
      <c r="AQ81" s="299">
        <f t="shared" si="30"/>
        <v>1.1400628575551019E-3</v>
      </c>
      <c r="AR81" s="299">
        <f t="shared" si="30"/>
        <v>1.0857962716780242E-3</v>
      </c>
      <c r="AS81" s="299">
        <f t="shared" si="10"/>
        <v>1.049297456305068E-3</v>
      </c>
      <c r="AT81" s="299">
        <f t="shared" si="10"/>
        <v>1.0256601510641168E-3</v>
      </c>
      <c r="AU81" s="299">
        <f t="shared" si="10"/>
        <v>1.0107250539880105E-3</v>
      </c>
      <c r="AV81" s="299">
        <f t="shared" si="10"/>
        <v>1.0014349409093002E-3</v>
      </c>
      <c r="AW81" s="299">
        <f t="shared" si="19"/>
        <v>9.9571234048298441E-4</v>
      </c>
      <c r="AX81" s="299">
        <f t="shared" si="19"/>
        <v>9.9220846360772172E-4</v>
      </c>
      <c r="AY81" s="299">
        <f t="shared" si="19"/>
        <v>9.9007099365659929E-4</v>
      </c>
      <c r="AZ81" s="306">
        <f t="shared" si="31"/>
        <v>0.10925340427220606</v>
      </c>
      <c r="BA81" s="2">
        <f t="shared" si="31"/>
        <v>0.10925340427220606</v>
      </c>
      <c r="BB81" s="2">
        <f t="shared" si="31"/>
        <v>0.10925340427220606</v>
      </c>
      <c r="BC81" s="2">
        <f t="shared" si="31"/>
        <v>0.10925340427220606</v>
      </c>
      <c r="BD81" s="2">
        <f t="shared" si="31"/>
        <v>0.10925340427220606</v>
      </c>
      <c r="BE81" s="2">
        <f t="shared" si="31"/>
        <v>0.10430657392562298</v>
      </c>
      <c r="BF81" s="2">
        <f t="shared" si="31"/>
        <v>0.10155000566157223</v>
      </c>
      <c r="BG81" s="2">
        <f t="shared" si="31"/>
        <v>9.761715424653529E-2</v>
      </c>
      <c r="BH81" s="2">
        <f t="shared" si="31"/>
        <v>9.2397704610187592E-2</v>
      </c>
      <c r="BI81" s="2">
        <f t="shared" si="31"/>
        <v>8.6098067595785574E-2</v>
      </c>
      <c r="BJ81" s="2">
        <f t="shared" si="31"/>
        <v>7.9310474635587852E-2</v>
      </c>
      <c r="BK81" s="2">
        <f t="shared" si="31"/>
        <v>7.2835602848137379E-2</v>
      </c>
      <c r="BL81" s="2">
        <f t="shared" si="31"/>
        <v>6.7338146584713099E-2</v>
      </c>
      <c r="BM81" s="2">
        <f t="shared" si="31"/>
        <v>6.3113637875080716E-2</v>
      </c>
      <c r="BN81" s="2">
        <f t="shared" si="31"/>
        <v>6.0109451196192001E-2</v>
      </c>
      <c r="BO81" s="2">
        <f t="shared" si="11"/>
        <v>5.808888452212433E-2</v>
      </c>
      <c r="BP81" s="2">
        <f t="shared" si="11"/>
        <v>5.6780328319776488E-2</v>
      </c>
      <c r="BQ81" s="2">
        <f t="shared" si="11"/>
        <v>5.595352451484243E-2</v>
      </c>
      <c r="BR81" s="2">
        <f t="shared" si="11"/>
        <v>5.5439225826149352E-2</v>
      </c>
      <c r="BS81" s="2">
        <f t="shared" si="20"/>
        <v>5.5122423880873433E-2</v>
      </c>
      <c r="BT81" s="2">
        <f t="shared" si="20"/>
        <v>5.4928450000574891E-2</v>
      </c>
      <c r="BU81" s="2">
        <f t="shared" si="20"/>
        <v>5.4810120117647812E-2</v>
      </c>
    </row>
    <row r="82" spans="1:73" x14ac:dyDescent="0.25">
      <c r="A82" t="s">
        <v>26</v>
      </c>
      <c r="B82" s="1" t="s">
        <v>5</v>
      </c>
      <c r="C82" t="s">
        <v>6</v>
      </c>
      <c r="D82" t="s">
        <v>6</v>
      </c>
      <c r="E82" s="97">
        <v>5.2820427499999996</v>
      </c>
      <c r="F82" s="5">
        <f t="shared" si="29"/>
        <v>1.2941004737499999E-2</v>
      </c>
      <c r="G82" s="1">
        <f>LOOKUP(RIGHT(D82,5),Ref!$C$4:$C$21,Ref!$E$4:$E$21)*$G$3</f>
        <v>3</v>
      </c>
      <c r="H82" s="36">
        <f t="shared" si="28"/>
        <v>5.2820427499999996</v>
      </c>
      <c r="I82" s="12">
        <f t="shared" si="28"/>
        <v>5.2820427499999996</v>
      </c>
      <c r="J82" s="12">
        <f t="shared" si="28"/>
        <v>5.2820427499999996</v>
      </c>
      <c r="K82" s="12">
        <f t="shared" si="28"/>
        <v>5.2820427499999996</v>
      </c>
      <c r="L82" s="12">
        <f t="shared" si="28"/>
        <v>5.2820427499999996</v>
      </c>
      <c r="M82" s="12">
        <f t="shared" si="27"/>
        <v>5.5325482395799854</v>
      </c>
      <c r="N82" s="12">
        <f t="shared" si="27"/>
        <v>5.682728899809403</v>
      </c>
      <c r="O82" s="12">
        <f t="shared" si="27"/>
        <v>5.9116776800457407</v>
      </c>
      <c r="P82" s="12">
        <f t="shared" si="27"/>
        <v>6.2456221654363162</v>
      </c>
      <c r="Q82" s="12">
        <f t="shared" si="27"/>
        <v>6.7026028349220779</v>
      </c>
      <c r="R82" s="12">
        <f t="shared" si="27"/>
        <v>7.2762287024553949</v>
      </c>
      <c r="S82" s="12">
        <f t="shared" si="27"/>
        <v>7.9230641249999998</v>
      </c>
      <c r="T82" s="12">
        <f t="shared" si="27"/>
        <v>8.5698995475446029</v>
      </c>
      <c r="U82" s="12">
        <f t="shared" si="27"/>
        <v>9.1435254150779208</v>
      </c>
      <c r="V82" s="12">
        <f t="shared" si="27"/>
        <v>9.6005060845636816</v>
      </c>
      <c r="W82" s="12">
        <f t="shared" si="27"/>
        <v>9.9344505699542562</v>
      </c>
      <c r="X82" s="12">
        <f t="shared" si="27"/>
        <v>10.163399350190595</v>
      </c>
      <c r="Y82" s="12">
        <f t="shared" si="27"/>
        <v>10.313580010420013</v>
      </c>
      <c r="Z82" s="12">
        <f t="shared" si="27"/>
        <v>10.40925704407347</v>
      </c>
      <c r="AA82" s="12">
        <f t="shared" si="27"/>
        <v>10.469081570069756</v>
      </c>
      <c r="AB82" s="12">
        <f t="shared" si="27"/>
        <v>10.506051999333408</v>
      </c>
      <c r="AC82" s="12">
        <f t="shared" si="26"/>
        <v>10.528733575298551</v>
      </c>
      <c r="AD82" s="300">
        <f t="shared" si="30"/>
        <v>2.6019473438622324E-3</v>
      </c>
      <c r="AE82" s="299">
        <f t="shared" si="30"/>
        <v>2.6019473438622324E-3</v>
      </c>
      <c r="AF82" s="299">
        <f t="shared" si="30"/>
        <v>2.6019473438622324E-3</v>
      </c>
      <c r="AG82" s="299">
        <f t="shared" si="30"/>
        <v>2.6019473438622324E-3</v>
      </c>
      <c r="AH82" s="299">
        <f t="shared" si="30"/>
        <v>2.6019473438622324E-3</v>
      </c>
      <c r="AI82" s="299">
        <f t="shared" si="30"/>
        <v>2.4841350691182824E-3</v>
      </c>
      <c r="AJ82" s="299">
        <f t="shared" si="30"/>
        <v>2.4184854399776517E-3</v>
      </c>
      <c r="AK82" s="299">
        <f t="shared" si="30"/>
        <v>2.3248217929606272E-3</v>
      </c>
      <c r="AL82" s="299">
        <f t="shared" si="30"/>
        <v>2.2005168963930015E-3</v>
      </c>
      <c r="AM82" s="299">
        <f t="shared" si="30"/>
        <v>2.0504865709664324E-3</v>
      </c>
      <c r="AN82" s="299">
        <f t="shared" si="30"/>
        <v>1.8888352284599608E-3</v>
      </c>
      <c r="AO82" s="299">
        <f t="shared" si="30"/>
        <v>1.7346315625748213E-3</v>
      </c>
      <c r="AP82" s="299">
        <f t="shared" si="30"/>
        <v>1.603705740922832E-3</v>
      </c>
      <c r="AQ82" s="299">
        <f t="shared" si="30"/>
        <v>1.5030960684886045E-3</v>
      </c>
      <c r="AR82" s="299">
        <f t="shared" si="30"/>
        <v>1.4315492311001302E-3</v>
      </c>
      <c r="AS82" s="299">
        <f t="shared" si="10"/>
        <v>1.383428002057344E-3</v>
      </c>
      <c r="AT82" s="299">
        <f t="shared" si="10"/>
        <v>1.3522638076079855E-3</v>
      </c>
      <c r="AU82" s="299">
        <f t="shared" si="10"/>
        <v>1.3325728883320663E-3</v>
      </c>
      <c r="AV82" s="299">
        <f t="shared" si="10"/>
        <v>1.3203245001384802E-3</v>
      </c>
      <c r="AW82" s="299">
        <f t="shared" si="19"/>
        <v>1.3127796370238508E-3</v>
      </c>
      <c r="AX82" s="299">
        <f t="shared" si="19"/>
        <v>1.3081600114297233E-3</v>
      </c>
      <c r="AY82" s="299">
        <f t="shared" si="19"/>
        <v>1.3053419013064492E-3</v>
      </c>
      <c r="AZ82" s="306">
        <f t="shared" si="31"/>
        <v>0.14404325282793629</v>
      </c>
      <c r="BA82" s="2">
        <f t="shared" si="31"/>
        <v>0.14404325282793629</v>
      </c>
      <c r="BB82" s="2">
        <f t="shared" si="31"/>
        <v>0.14404325282793629</v>
      </c>
      <c r="BC82" s="2">
        <f t="shared" si="31"/>
        <v>0.14404325282793629</v>
      </c>
      <c r="BD82" s="2">
        <f t="shared" si="31"/>
        <v>0.14404325282793629</v>
      </c>
      <c r="BE82" s="2">
        <f t="shared" si="31"/>
        <v>0.13752119029765184</v>
      </c>
      <c r="BF82" s="2">
        <f t="shared" si="31"/>
        <v>0.13388684075915291</v>
      </c>
      <c r="BG82" s="2">
        <f t="shared" si="31"/>
        <v>0.12870164113553817</v>
      </c>
      <c r="BH82" s="2">
        <f t="shared" si="31"/>
        <v>0.12182014843881701</v>
      </c>
      <c r="BI82" s="2">
        <f t="shared" si="31"/>
        <v>0.11351450145935181</v>
      </c>
      <c r="BJ82" s="2">
        <f t="shared" si="31"/>
        <v>0.10456551744030093</v>
      </c>
      <c r="BK82" s="2">
        <f t="shared" si="31"/>
        <v>9.6028835218624181E-2</v>
      </c>
      <c r="BL82" s="2">
        <f t="shared" si="31"/>
        <v>8.8780809514180353E-2</v>
      </c>
      <c r="BM82" s="2">
        <f t="shared" si="31"/>
        <v>8.3211079397402632E-2</v>
      </c>
      <c r="BN82" s="2">
        <f t="shared" si="31"/>
        <v>7.9250261661679491E-2</v>
      </c>
      <c r="BO82" s="2">
        <f t="shared" si="11"/>
        <v>7.6586280633104117E-2</v>
      </c>
      <c r="BP82" s="2">
        <f t="shared" si="11"/>
        <v>7.4861037441370404E-2</v>
      </c>
      <c r="BQ82" s="2">
        <f t="shared" si="11"/>
        <v>7.3770952328631137E-2</v>
      </c>
      <c r="BR82" s="2">
        <f t="shared" si="11"/>
        <v>7.3092884157318891E-2</v>
      </c>
      <c r="BS82" s="2">
        <f t="shared" si="20"/>
        <v>7.2675202136298592E-2</v>
      </c>
      <c r="BT82" s="2">
        <f t="shared" si="20"/>
        <v>7.2419460643683473E-2</v>
      </c>
      <c r="BU82" s="2">
        <f t="shared" si="20"/>
        <v>7.2263450665256621E-2</v>
      </c>
    </row>
    <row r="83" spans="1:73" x14ac:dyDescent="0.25">
      <c r="A83" t="s">
        <v>26</v>
      </c>
      <c r="B83" s="1" t="s">
        <v>5</v>
      </c>
      <c r="C83" t="s">
        <v>7</v>
      </c>
      <c r="D83" t="s">
        <v>7</v>
      </c>
      <c r="E83" s="97">
        <v>5.3152394999999997</v>
      </c>
      <c r="F83" s="5">
        <f t="shared" si="29"/>
        <v>1.3022336774999999E-2</v>
      </c>
      <c r="G83" s="1">
        <f>LOOKUP(RIGHT(D83,5),Ref!$C$4:$C$21,Ref!$E$4:$E$21)*$G$3</f>
        <v>3.5</v>
      </c>
      <c r="H83" s="36">
        <f t="shared" si="28"/>
        <v>5.3152394999999997</v>
      </c>
      <c r="I83" s="12">
        <f t="shared" si="28"/>
        <v>5.3152394999999997</v>
      </c>
      <c r="J83" s="12">
        <f t="shared" si="28"/>
        <v>5.3152394999999997</v>
      </c>
      <c r="K83" s="12">
        <f t="shared" si="28"/>
        <v>5.3152394999999997</v>
      </c>
      <c r="L83" s="12">
        <f t="shared" si="28"/>
        <v>5.3152394999999997</v>
      </c>
      <c r="M83" s="12">
        <f t="shared" si="27"/>
        <v>5.5673193744353933</v>
      </c>
      <c r="N83" s="12">
        <f t="shared" si="27"/>
        <v>5.7184438948470238</v>
      </c>
      <c r="O83" s="12">
        <f t="shared" si="27"/>
        <v>5.9488315796473792</v>
      </c>
      <c r="P83" s="12">
        <f t="shared" si="27"/>
        <v>6.2848748499437352</v>
      </c>
      <c r="Q83" s="12">
        <f t="shared" si="27"/>
        <v>6.7447275660519423</v>
      </c>
      <c r="R83" s="12">
        <f t="shared" si="27"/>
        <v>7.32195857565232</v>
      </c>
      <c r="S83" s="12">
        <f t="shared" si="27"/>
        <v>7.9728592499999991</v>
      </c>
      <c r="T83" s="12">
        <f t="shared" si="27"/>
        <v>8.623759924347679</v>
      </c>
      <c r="U83" s="12">
        <f t="shared" si="27"/>
        <v>9.2009909339480576</v>
      </c>
      <c r="V83" s="12">
        <f t="shared" si="27"/>
        <v>9.6608436500562647</v>
      </c>
      <c r="W83" s="12">
        <f t="shared" si="27"/>
        <v>9.9968869203526189</v>
      </c>
      <c r="X83" s="12">
        <f t="shared" si="27"/>
        <v>10.227274605152976</v>
      </c>
      <c r="Y83" s="12">
        <f t="shared" si="27"/>
        <v>10.378399125564606</v>
      </c>
      <c r="Z83" s="12">
        <f t="shared" si="27"/>
        <v>10.474677473277277</v>
      </c>
      <c r="AA83" s="12">
        <f t="shared" si="27"/>
        <v>10.534877986354196</v>
      </c>
      <c r="AB83" s="12">
        <f t="shared" si="27"/>
        <v>10.572080768545637</v>
      </c>
      <c r="AC83" s="12">
        <f t="shared" si="26"/>
        <v>10.59490489439963</v>
      </c>
      <c r="AD83" s="300">
        <f t="shared" si="30"/>
        <v>2.5856966752917268E-3</v>
      </c>
      <c r="AE83" s="299">
        <f t="shared" si="30"/>
        <v>2.5856966752917268E-3</v>
      </c>
      <c r="AF83" s="299">
        <f t="shared" si="30"/>
        <v>2.5856966752917268E-3</v>
      </c>
      <c r="AG83" s="299">
        <f t="shared" si="30"/>
        <v>2.5856966752917268E-3</v>
      </c>
      <c r="AH83" s="299">
        <f t="shared" si="30"/>
        <v>2.5856966752917268E-3</v>
      </c>
      <c r="AI83" s="299">
        <f t="shared" si="30"/>
        <v>2.468620206456731E-3</v>
      </c>
      <c r="AJ83" s="299">
        <f t="shared" si="30"/>
        <v>2.4033805972834364E-3</v>
      </c>
      <c r="AK83" s="299">
        <f t="shared" si="30"/>
        <v>2.3103019340049834E-3</v>
      </c>
      <c r="AL83" s="299">
        <f t="shared" si="30"/>
        <v>2.1867733935310258E-3</v>
      </c>
      <c r="AM83" s="299">
        <f t="shared" si="30"/>
        <v>2.0376800944050789E-3</v>
      </c>
      <c r="AN83" s="299">
        <f t="shared" si="30"/>
        <v>1.877038358183395E-3</v>
      </c>
      <c r="AO83" s="299">
        <f t="shared" si="30"/>
        <v>1.7237977835278179E-3</v>
      </c>
      <c r="AP83" s="299">
        <f t="shared" si="30"/>
        <v>1.5936896694824048E-3</v>
      </c>
      <c r="AQ83" s="299">
        <f t="shared" si="30"/>
        <v>1.4937083627395787E-3</v>
      </c>
      <c r="AR83" s="299">
        <f t="shared" si="30"/>
        <v>1.4226083768004276E-3</v>
      </c>
      <c r="AS83" s="299">
        <f t="shared" si="10"/>
        <v>1.374787692711491E-3</v>
      </c>
      <c r="AT83" s="299">
        <f t="shared" si="10"/>
        <v>1.343818136711084E-3</v>
      </c>
      <c r="AU83" s="299">
        <f t="shared" si="10"/>
        <v>1.3242501986337493E-3</v>
      </c>
      <c r="AV83" s="299">
        <f t="shared" si="10"/>
        <v>1.312078308720394E-3</v>
      </c>
      <c r="AW83" s="299">
        <f t="shared" si="19"/>
        <v>1.3045805676469447E-3</v>
      </c>
      <c r="AX83" s="299">
        <f t="shared" si="19"/>
        <v>1.299989794290979E-3</v>
      </c>
      <c r="AY83" s="299">
        <f t="shared" si="19"/>
        <v>1.2971892848980646E-3</v>
      </c>
      <c r="AZ83" s="306">
        <f t="shared" si="31"/>
        <v>0.14314361926423405</v>
      </c>
      <c r="BA83" s="2">
        <f t="shared" si="31"/>
        <v>0.14314361926423405</v>
      </c>
      <c r="BB83" s="2">
        <f t="shared" si="31"/>
        <v>0.14314361926423405</v>
      </c>
      <c r="BC83" s="2">
        <f t="shared" si="31"/>
        <v>0.14314361926423405</v>
      </c>
      <c r="BD83" s="2">
        <f t="shared" si="31"/>
        <v>0.14314361926423405</v>
      </c>
      <c r="BE83" s="2">
        <f t="shared" si="31"/>
        <v>0.13666229079293268</v>
      </c>
      <c r="BF83" s="2">
        <f t="shared" si="31"/>
        <v>0.13305063987282004</v>
      </c>
      <c r="BG83" s="2">
        <f t="shared" si="31"/>
        <v>0.12789782482484016</v>
      </c>
      <c r="BH83" s="2">
        <f t="shared" si="31"/>
        <v>0.12105931103672321</v>
      </c>
      <c r="BI83" s="2">
        <f t="shared" si="31"/>
        <v>0.11280553763442525</v>
      </c>
      <c r="BJ83" s="2">
        <f t="shared" si="31"/>
        <v>0.10391244520506368</v>
      </c>
      <c r="BK83" s="2">
        <f t="shared" si="31"/>
        <v>9.5429079509489381E-2</v>
      </c>
      <c r="BL83" s="2">
        <f t="shared" si="31"/>
        <v>8.8226321924629605E-2</v>
      </c>
      <c r="BM83" s="2">
        <f t="shared" si="31"/>
        <v>8.2691377999189866E-2</v>
      </c>
      <c r="BN83" s="2">
        <f t="shared" si="31"/>
        <v>7.8755297864880225E-2</v>
      </c>
      <c r="BO83" s="2">
        <f t="shared" si="11"/>
        <v>7.6107954941174893E-2</v>
      </c>
      <c r="BP83" s="2">
        <f t="shared" si="11"/>
        <v>7.4393486892673236E-2</v>
      </c>
      <c r="BQ83" s="2">
        <f t="shared" si="11"/>
        <v>7.3310209992991232E-2</v>
      </c>
      <c r="BR83" s="2">
        <f t="shared" si="11"/>
        <v>7.2636376750239762E-2</v>
      </c>
      <c r="BS83" s="2">
        <f t="shared" si="20"/>
        <v>7.2221303395420003E-2</v>
      </c>
      <c r="BT83" s="2">
        <f t="shared" si="20"/>
        <v>7.1967159156587121E-2</v>
      </c>
      <c r="BU83" s="2">
        <f t="shared" si="20"/>
        <v>7.1812123550858142E-2</v>
      </c>
    </row>
    <row r="84" spans="1:73" x14ac:dyDescent="0.25">
      <c r="A84" t="s">
        <v>26</v>
      </c>
      <c r="B84" s="1" t="s">
        <v>5</v>
      </c>
      <c r="C84" t="s">
        <v>8</v>
      </c>
      <c r="D84" t="s">
        <v>8</v>
      </c>
      <c r="E84" s="97">
        <v>4.6656124999999999</v>
      </c>
      <c r="F84" s="5">
        <f t="shared" si="29"/>
        <v>1.1430750625E-2</v>
      </c>
      <c r="G84" s="1">
        <f>LOOKUP(RIGHT(D84,5),Ref!$C$4:$C$21,Ref!$E$4:$E$21)*$G$3</f>
        <v>4</v>
      </c>
      <c r="H84" s="36">
        <f t="shared" si="28"/>
        <v>4.6656124999999999</v>
      </c>
      <c r="I84" s="12">
        <f t="shared" si="28"/>
        <v>4.6656124999999999</v>
      </c>
      <c r="J84" s="12">
        <f t="shared" si="28"/>
        <v>4.6656124999999999</v>
      </c>
      <c r="K84" s="12">
        <f t="shared" si="28"/>
        <v>4.6656124999999999</v>
      </c>
      <c r="L84" s="12">
        <f t="shared" si="28"/>
        <v>4.6656124999999999</v>
      </c>
      <c r="M84" s="12">
        <f t="shared" si="27"/>
        <v>4.8868832467206698</v>
      </c>
      <c r="N84" s="12">
        <f t="shared" si="27"/>
        <v>5.019537372934364</v>
      </c>
      <c r="O84" s="12">
        <f t="shared" si="27"/>
        <v>5.2217671430229169</v>
      </c>
      <c r="P84" s="12">
        <f t="shared" si="27"/>
        <v>5.5167393041899837</v>
      </c>
      <c r="Q84" s="12">
        <f t="shared" si="27"/>
        <v>5.9203889573116166</v>
      </c>
      <c r="R84" s="12">
        <f t="shared" si="27"/>
        <v>6.4270709636029872</v>
      </c>
      <c r="S84" s="12">
        <f t="shared" si="27"/>
        <v>6.9984187499999999</v>
      </c>
      <c r="T84" s="12">
        <f t="shared" si="27"/>
        <v>7.5697665363970126</v>
      </c>
      <c r="U84" s="12">
        <f t="shared" si="27"/>
        <v>8.0764485426883823</v>
      </c>
      <c r="V84" s="12">
        <f t="shared" si="27"/>
        <v>8.480098195810017</v>
      </c>
      <c r="W84" s="12">
        <f t="shared" si="27"/>
        <v>8.775070356977082</v>
      </c>
      <c r="X84" s="12">
        <f t="shared" si="27"/>
        <v>8.9773001270656358</v>
      </c>
      <c r="Y84" s="12">
        <f t="shared" si="27"/>
        <v>9.1099542532793301</v>
      </c>
      <c r="Z84" s="12">
        <f t="shared" si="27"/>
        <v>9.1944654898035871</v>
      </c>
      <c r="AA84" s="12">
        <f t="shared" si="27"/>
        <v>9.2473083139732406</v>
      </c>
      <c r="AB84" s="12">
        <f t="shared" ref="AB84:AC99" si="32">AB$3*$E84</f>
        <v>9.2799641831259212</v>
      </c>
      <c r="AC84" s="12">
        <f t="shared" si="32"/>
        <v>9.2999987510670206</v>
      </c>
      <c r="AD84" s="300">
        <f t="shared" si="30"/>
        <v>2.9457219397301553E-3</v>
      </c>
      <c r="AE84" s="299">
        <f t="shared" si="30"/>
        <v>2.9457219397301553E-3</v>
      </c>
      <c r="AF84" s="299">
        <f t="shared" si="30"/>
        <v>2.9457219397301553E-3</v>
      </c>
      <c r="AG84" s="299">
        <f t="shared" si="30"/>
        <v>2.9457219397301553E-3</v>
      </c>
      <c r="AH84" s="299">
        <f t="shared" si="30"/>
        <v>2.9457219397301553E-3</v>
      </c>
      <c r="AI84" s="299">
        <f t="shared" si="30"/>
        <v>2.8123440666915594E-3</v>
      </c>
      <c r="AJ84" s="299">
        <f t="shared" si="30"/>
        <v>2.7380206745019034E-3</v>
      </c>
      <c r="AK84" s="299">
        <f t="shared" si="30"/>
        <v>2.6319819951934886E-3</v>
      </c>
      <c r="AL84" s="299">
        <f t="shared" si="30"/>
        <v>2.491253681878886E-3</v>
      </c>
      <c r="AM84" s="299">
        <f t="shared" si="30"/>
        <v>2.3214010435169239E-3</v>
      </c>
      <c r="AN84" s="299">
        <f t="shared" si="30"/>
        <v>2.1383919955700412E-3</v>
      </c>
      <c r="AO84" s="299">
        <f t="shared" si="30"/>
        <v>1.9638146264867704E-3</v>
      </c>
      <c r="AP84" s="299">
        <f t="shared" si="30"/>
        <v>1.8155906179466942E-3</v>
      </c>
      <c r="AQ84" s="299">
        <f t="shared" si="30"/>
        <v>1.7016881901601854E-3</v>
      </c>
      <c r="AR84" s="299">
        <f t="shared" si="30"/>
        <v>1.620688438527742E-3</v>
      </c>
      <c r="AS84" s="299">
        <f t="shared" si="10"/>
        <v>1.5662093344472946E-3</v>
      </c>
      <c r="AT84" s="299">
        <f t="shared" si="10"/>
        <v>1.5309276629945489E-3</v>
      </c>
      <c r="AU84" s="299">
        <f t="shared" si="10"/>
        <v>1.5086351392579109E-3</v>
      </c>
      <c r="AV84" s="299">
        <f t="shared" si="10"/>
        <v>1.4947684690067666E-3</v>
      </c>
      <c r="AW84" s="299">
        <f t="shared" si="19"/>
        <v>1.4862267631719228E-3</v>
      </c>
      <c r="AX84" s="299">
        <f t="shared" si="19"/>
        <v>1.4809967832116978E-3</v>
      </c>
      <c r="AY84" s="299">
        <f t="shared" si="19"/>
        <v>1.477806338624767E-3</v>
      </c>
      <c r="AZ84" s="306">
        <f t="shared" si="31"/>
        <v>0.1630745415068692</v>
      </c>
      <c r="BA84" s="2">
        <f t="shared" si="31"/>
        <v>0.1630745415068692</v>
      </c>
      <c r="BB84" s="2">
        <f t="shared" si="31"/>
        <v>0.1630745415068692</v>
      </c>
      <c r="BC84" s="2">
        <f t="shared" si="31"/>
        <v>0.1630745415068692</v>
      </c>
      <c r="BD84" s="2">
        <f t="shared" si="31"/>
        <v>0.1630745415068692</v>
      </c>
      <c r="BE84" s="2">
        <f t="shared" si="31"/>
        <v>0.15569077075798346</v>
      </c>
      <c r="BF84" s="2">
        <f t="shared" si="31"/>
        <v>0.15157624353764657</v>
      </c>
      <c r="BG84" s="2">
        <f t="shared" si="31"/>
        <v>0.14570596475233877</v>
      </c>
      <c r="BH84" s="2">
        <f t="shared" si="31"/>
        <v>0.13791527518952273</v>
      </c>
      <c r="BI84" s="2">
        <f t="shared" si="31"/>
        <v>0.12851226917221129</v>
      </c>
      <c r="BJ84" s="2">
        <f t="shared" si="31"/>
        <v>0.1183809271120437</v>
      </c>
      <c r="BK84" s="2">
        <f t="shared" si="31"/>
        <v>0.10871636100457947</v>
      </c>
      <c r="BL84" s="2">
        <f t="shared" si="31"/>
        <v>0.10051071134465352</v>
      </c>
      <c r="BM84" s="2">
        <f t="shared" si="31"/>
        <v>9.4205097112270889E-2</v>
      </c>
      <c r="BN84" s="2">
        <f t="shared" si="31"/>
        <v>8.9720968049892047E-2</v>
      </c>
      <c r="BO84" s="2">
        <f t="shared" si="11"/>
        <v>8.670501640836073E-2</v>
      </c>
      <c r="BP84" s="2">
        <f t="shared" si="11"/>
        <v>8.4751830563440295E-2</v>
      </c>
      <c r="BQ84" s="2">
        <f t="shared" si="11"/>
        <v>8.3517721179811155E-2</v>
      </c>
      <c r="BR84" s="2">
        <f t="shared" si="11"/>
        <v>8.2750065257188865E-2</v>
      </c>
      <c r="BS84" s="2">
        <f t="shared" si="20"/>
        <v>8.2277198234705626E-2</v>
      </c>
      <c r="BT84" s="2">
        <f t="shared" si="20"/>
        <v>8.1987667653899365E-2</v>
      </c>
      <c r="BU84" s="2">
        <f t="shared" si="20"/>
        <v>8.1811045318573153E-2</v>
      </c>
    </row>
    <row r="85" spans="1:73" x14ac:dyDescent="0.25">
      <c r="A85" t="s">
        <v>27</v>
      </c>
      <c r="B85" s="1" t="s">
        <v>5</v>
      </c>
      <c r="C85" t="s">
        <v>17</v>
      </c>
      <c r="D85" t="s">
        <v>17</v>
      </c>
      <c r="E85" s="97">
        <v>6.1931010000000004</v>
      </c>
      <c r="F85" s="5">
        <f t="shared" si="29"/>
        <v>1.5173097450000003E-2</v>
      </c>
      <c r="G85" s="1">
        <f>LOOKUP(RIGHT(D85,5),Ref!$C$4:$C$21,Ref!$E$4:$E$21)*$G$3</f>
        <v>3</v>
      </c>
      <c r="H85" s="36">
        <f t="shared" si="28"/>
        <v>6.1931010000000004</v>
      </c>
      <c r="I85" s="12">
        <f t="shared" si="28"/>
        <v>6.1931010000000004</v>
      </c>
      <c r="J85" s="12">
        <f t="shared" si="28"/>
        <v>6.1931010000000004</v>
      </c>
      <c r="K85" s="12">
        <f t="shared" si="28"/>
        <v>6.1931010000000004</v>
      </c>
      <c r="L85" s="12">
        <f t="shared" si="28"/>
        <v>6.1931010000000004</v>
      </c>
      <c r="M85" s="12">
        <f t="shared" ref="M85:AB100" si="33">M$3*$E85</f>
        <v>6.4868142226018621</v>
      </c>
      <c r="N85" s="12">
        <f t="shared" si="33"/>
        <v>6.6628983705477429</v>
      </c>
      <c r="O85" s="12">
        <f t="shared" si="33"/>
        <v>6.9313367355780988</v>
      </c>
      <c r="P85" s="12">
        <f t="shared" si="33"/>
        <v>7.3228806939106699</v>
      </c>
      <c r="Q85" s="12">
        <f t="shared" si="33"/>
        <v>7.8586823856279393</v>
      </c>
      <c r="R85" s="12">
        <f t="shared" si="33"/>
        <v>8.5312484934744646</v>
      </c>
      <c r="S85" s="12">
        <f t="shared" si="33"/>
        <v>9.2896515000000015</v>
      </c>
      <c r="T85" s="12">
        <f t="shared" si="33"/>
        <v>10.048054506525537</v>
      </c>
      <c r="U85" s="12">
        <f t="shared" si="33"/>
        <v>10.720620614372063</v>
      </c>
      <c r="V85" s="12">
        <f t="shared" si="33"/>
        <v>11.256422306089332</v>
      </c>
      <c r="W85" s="12">
        <f t="shared" si="33"/>
        <v>11.647966264421902</v>
      </c>
      <c r="X85" s="12">
        <f t="shared" si="33"/>
        <v>11.916404629452257</v>
      </c>
      <c r="Y85" s="12">
        <f t="shared" si="33"/>
        <v>12.092488777398138</v>
      </c>
      <c r="Z85" s="12">
        <f t="shared" si="33"/>
        <v>12.204668394421546</v>
      </c>
      <c r="AA85" s="12">
        <f t="shared" si="33"/>
        <v>12.274811585097561</v>
      </c>
      <c r="AB85" s="12">
        <f t="shared" si="33"/>
        <v>12.318158754607532</v>
      </c>
      <c r="AC85" s="12">
        <f t="shared" si="32"/>
        <v>12.344752498247962</v>
      </c>
      <c r="AD85" s="300">
        <f t="shared" si="30"/>
        <v>2.2191785833186408E-3</v>
      </c>
      <c r="AE85" s="299">
        <f t="shared" si="30"/>
        <v>2.2191785833186408E-3</v>
      </c>
      <c r="AF85" s="299">
        <f t="shared" si="30"/>
        <v>2.2191785833186408E-3</v>
      </c>
      <c r="AG85" s="299">
        <f t="shared" si="30"/>
        <v>2.2191785833186408E-3</v>
      </c>
      <c r="AH85" s="299">
        <f t="shared" si="30"/>
        <v>2.2191785833186408E-3</v>
      </c>
      <c r="AI85" s="299">
        <f t="shared" si="30"/>
        <v>2.1186975041836021E-3</v>
      </c>
      <c r="AJ85" s="299">
        <f t="shared" si="30"/>
        <v>2.0627054982979469E-3</v>
      </c>
      <c r="AK85" s="299">
        <f t="shared" si="30"/>
        <v>1.9828205767271805E-3</v>
      </c>
      <c r="AL85" s="299">
        <f t="shared" si="30"/>
        <v>1.8768019960993939E-3</v>
      </c>
      <c r="AM85" s="299">
        <f t="shared" si="30"/>
        <v>1.7488424177396109E-3</v>
      </c>
      <c r="AN85" s="299">
        <f t="shared" si="30"/>
        <v>1.6109713735383174E-3</v>
      </c>
      <c r="AO85" s="299">
        <f t="shared" si="30"/>
        <v>1.4794523888790939E-3</v>
      </c>
      <c r="AP85" s="299">
        <f t="shared" si="30"/>
        <v>1.3677868780074508E-3</v>
      </c>
      <c r="AQ85" s="299">
        <f t="shared" si="30"/>
        <v>1.2819777509060059E-3</v>
      </c>
      <c r="AR85" s="299">
        <f t="shared" si="30"/>
        <v>1.2209560666620026E-3</v>
      </c>
      <c r="AS85" s="299">
        <f t="shared" si="30"/>
        <v>1.1799138829503956E-3</v>
      </c>
      <c r="AT85" s="299">
        <f t="shared" ref="AT85:AY140" si="34">Algae_electricity_factor/X85</f>
        <v>1.1533342086723845E-3</v>
      </c>
      <c r="AU85" s="299">
        <f t="shared" si="34"/>
        <v>1.1365399924304399E-3</v>
      </c>
      <c r="AV85" s="299">
        <f t="shared" si="34"/>
        <v>1.1260934471444648E-3</v>
      </c>
      <c r="AW85" s="299">
        <f t="shared" si="19"/>
        <v>1.1196584980754328E-3</v>
      </c>
      <c r="AX85" s="299">
        <f t="shared" si="19"/>
        <v>1.1157184590098379E-3</v>
      </c>
      <c r="AY85" s="299">
        <f t="shared" si="19"/>
        <v>1.1133149170451031E-3</v>
      </c>
      <c r="AZ85" s="306">
        <f t="shared" si="31"/>
        <v>0.12285325546704595</v>
      </c>
      <c r="BA85" s="2">
        <f t="shared" si="31"/>
        <v>0.12285325546704595</v>
      </c>
      <c r="BB85" s="2">
        <f t="shared" si="31"/>
        <v>0.12285325546704595</v>
      </c>
      <c r="BC85" s="2">
        <f t="shared" si="31"/>
        <v>0.12285325546704595</v>
      </c>
      <c r="BD85" s="2">
        <f t="shared" si="31"/>
        <v>0.12285325546704595</v>
      </c>
      <c r="BE85" s="2">
        <f t="shared" si="31"/>
        <v>0.11729064424802406</v>
      </c>
      <c r="BF85" s="2">
        <f t="shared" si="31"/>
        <v>0.11419093868359131</v>
      </c>
      <c r="BG85" s="2">
        <f t="shared" si="31"/>
        <v>0.1097685263768621</v>
      </c>
      <c r="BH85" s="2">
        <f t="shared" si="31"/>
        <v>0.10389936025024896</v>
      </c>
      <c r="BI85" s="2">
        <f t="shared" si="31"/>
        <v>9.6815545145030504E-2</v>
      </c>
      <c r="BJ85" s="2">
        <f t="shared" si="31"/>
        <v>8.9183033394020214E-2</v>
      </c>
      <c r="BK85" s="2">
        <f t="shared" si="31"/>
        <v>8.1902170311363959E-2</v>
      </c>
      <c r="BL85" s="2">
        <f t="shared" si="31"/>
        <v>7.5720391324718792E-2</v>
      </c>
      <c r="BM85" s="2">
        <f t="shared" si="31"/>
        <v>7.0970016256916346E-2</v>
      </c>
      <c r="BN85" s="2">
        <f t="shared" si="31"/>
        <v>6.7591868765853644E-2</v>
      </c>
      <c r="BO85" s="2">
        <f t="shared" si="31"/>
        <v>6.5319782184652384E-2</v>
      </c>
      <c r="BP85" s="2">
        <f t="shared" ref="BP85:BU140" si="35">Algae_yield_cost_factor/X85</f>
        <v>6.3848337056778018E-2</v>
      </c>
      <c r="BQ85" s="2">
        <f t="shared" si="35"/>
        <v>6.2918612809324703E-2</v>
      </c>
      <c r="BR85" s="2">
        <f t="shared" si="35"/>
        <v>6.2340294279030165E-2</v>
      </c>
      <c r="BS85" s="2">
        <f t="shared" si="20"/>
        <v>6.1984056864052513E-2</v>
      </c>
      <c r="BT85" s="2">
        <f t="shared" si="20"/>
        <v>6.1765937137449961E-2</v>
      </c>
      <c r="BU85" s="2">
        <f t="shared" si="20"/>
        <v>6.1632877564309282E-2</v>
      </c>
    </row>
    <row r="86" spans="1:73" x14ac:dyDescent="0.25">
      <c r="A86" t="s">
        <v>27</v>
      </c>
      <c r="B86" s="1" t="s">
        <v>5</v>
      </c>
      <c r="C86" t="s">
        <v>18</v>
      </c>
      <c r="D86" t="s">
        <v>18</v>
      </c>
      <c r="E86" s="97">
        <v>5.5684399999999998</v>
      </c>
      <c r="F86" s="5">
        <f t="shared" si="29"/>
        <v>1.3642678E-2</v>
      </c>
      <c r="G86" s="1">
        <f>LOOKUP(RIGHT(D86,5),Ref!$C$4:$C$21,Ref!$E$4:$E$21)*$G$3</f>
        <v>3</v>
      </c>
      <c r="H86" s="36">
        <f t="shared" ref="H86:L101" si="36">$E86</f>
        <v>5.5684399999999998</v>
      </c>
      <c r="I86" s="12">
        <f t="shared" si="36"/>
        <v>5.5684399999999998</v>
      </c>
      <c r="J86" s="12">
        <f t="shared" si="36"/>
        <v>5.5684399999999998</v>
      </c>
      <c r="K86" s="12">
        <f t="shared" si="36"/>
        <v>5.5684399999999998</v>
      </c>
      <c r="L86" s="12">
        <f t="shared" si="36"/>
        <v>5.5684399999999998</v>
      </c>
      <c r="M86" s="12">
        <f t="shared" si="33"/>
        <v>5.8325281292368896</v>
      </c>
      <c r="N86" s="12">
        <f t="shared" si="33"/>
        <v>5.9908517239574923</v>
      </c>
      <c r="O86" s="12">
        <f t="shared" si="33"/>
        <v>6.2322143191048402</v>
      </c>
      <c r="P86" s="12">
        <f t="shared" si="33"/>
        <v>6.5842655837842665</v>
      </c>
      <c r="Q86" s="12">
        <f t="shared" si="33"/>
        <v>7.0660241684135361</v>
      </c>
      <c r="R86" s="12">
        <f t="shared" si="33"/>
        <v>7.6707525617623453</v>
      </c>
      <c r="S86" s="12">
        <f t="shared" si="33"/>
        <v>8.3526600000000002</v>
      </c>
      <c r="T86" s="12">
        <f t="shared" si="33"/>
        <v>9.0345674382376551</v>
      </c>
      <c r="U86" s="12">
        <f t="shared" si="33"/>
        <v>9.6392958315864643</v>
      </c>
      <c r="V86" s="12">
        <f t="shared" si="33"/>
        <v>10.121054416215733</v>
      </c>
      <c r="W86" s="12">
        <f t="shared" si="33"/>
        <v>10.473105680895157</v>
      </c>
      <c r="X86" s="12">
        <f t="shared" si="33"/>
        <v>10.714468276042506</v>
      </c>
      <c r="Y86" s="12">
        <f t="shared" si="33"/>
        <v>10.872791870763109</v>
      </c>
      <c r="Z86" s="12">
        <f t="shared" si="33"/>
        <v>10.973656601794918</v>
      </c>
      <c r="AA86" s="12">
        <f t="shared" si="33"/>
        <v>11.036724868998691</v>
      </c>
      <c r="AB86" s="12">
        <f t="shared" si="33"/>
        <v>11.0756998691781</v>
      </c>
      <c r="AC86" s="12">
        <f t="shared" si="32"/>
        <v>11.099611261199176</v>
      </c>
      <c r="AD86" s="300">
        <f t="shared" si="30"/>
        <v>2.4681234068301464E-3</v>
      </c>
      <c r="AE86" s="299">
        <f t="shared" si="30"/>
        <v>2.4681234068301464E-3</v>
      </c>
      <c r="AF86" s="299">
        <f t="shared" si="30"/>
        <v>2.4681234068301464E-3</v>
      </c>
      <c r="AG86" s="299">
        <f t="shared" si="30"/>
        <v>2.4681234068301464E-3</v>
      </c>
      <c r="AH86" s="299">
        <f t="shared" si="30"/>
        <v>2.4681234068301464E-3</v>
      </c>
      <c r="AI86" s="299">
        <f t="shared" si="30"/>
        <v>2.3563704793186195E-3</v>
      </c>
      <c r="AJ86" s="299">
        <f t="shared" si="30"/>
        <v>2.2940973565692569E-3</v>
      </c>
      <c r="AK86" s="299">
        <f t="shared" si="30"/>
        <v>2.2052510391689021E-3</v>
      </c>
      <c r="AL86" s="299">
        <f t="shared" si="30"/>
        <v>2.0873394198097049E-3</v>
      </c>
      <c r="AM86" s="299">
        <f t="shared" si="30"/>
        <v>1.9450254875953775E-3</v>
      </c>
      <c r="AN86" s="299">
        <f t="shared" si="30"/>
        <v>1.791688233047591E-3</v>
      </c>
      <c r="AO86" s="299">
        <f t="shared" si="30"/>
        <v>1.6454156045534309E-3</v>
      </c>
      <c r="AP86" s="299">
        <f t="shared" si="30"/>
        <v>1.5212235890078407E-3</v>
      </c>
      <c r="AQ86" s="299">
        <f t="shared" si="30"/>
        <v>1.425788495721196E-3</v>
      </c>
      <c r="AR86" s="299">
        <f t="shared" si="30"/>
        <v>1.3579214712559561E-3</v>
      </c>
      <c r="AS86" s="299">
        <f t="shared" si="30"/>
        <v>1.3122752240149807E-3</v>
      </c>
      <c r="AT86" s="299">
        <f t="shared" si="34"/>
        <v>1.2827138733762335E-3</v>
      </c>
      <c r="AU86" s="299">
        <f t="shared" si="34"/>
        <v>1.2640357018592191E-3</v>
      </c>
      <c r="AV86" s="299">
        <f t="shared" si="34"/>
        <v>1.2524172755033426E-3</v>
      </c>
      <c r="AW86" s="299">
        <f t="shared" si="19"/>
        <v>1.245260461473853E-3</v>
      </c>
      <c r="AX86" s="299">
        <f t="shared" si="19"/>
        <v>1.2408784334952494E-3</v>
      </c>
      <c r="AY86" s="299">
        <f t="shared" si="19"/>
        <v>1.2382052650413663E-3</v>
      </c>
      <c r="AZ86" s="306">
        <f t="shared" si="31"/>
        <v>0.13663478807102489</v>
      </c>
      <c r="BA86" s="2">
        <f t="shared" si="31"/>
        <v>0.13663478807102489</v>
      </c>
      <c r="BB86" s="2">
        <f t="shared" si="31"/>
        <v>0.13663478807102489</v>
      </c>
      <c r="BC86" s="2">
        <f t="shared" si="31"/>
        <v>0.13663478807102489</v>
      </c>
      <c r="BD86" s="2">
        <f t="shared" si="31"/>
        <v>0.13663478807102489</v>
      </c>
      <c r="BE86" s="2">
        <f t="shared" si="31"/>
        <v>0.13044816971774539</v>
      </c>
      <c r="BF86" s="2">
        <f t="shared" si="31"/>
        <v>0.12700074285657889</v>
      </c>
      <c r="BG86" s="2">
        <f t="shared" si="31"/>
        <v>0.12208222957831477</v>
      </c>
      <c r="BH86" s="2">
        <f t="shared" si="31"/>
        <v>0.11555466735121096</v>
      </c>
      <c r="BI86" s="2">
        <f t="shared" si="31"/>
        <v>0.10767619826257149</v>
      </c>
      <c r="BJ86" s="2">
        <f t="shared" si="31"/>
        <v>9.9187480388679777E-2</v>
      </c>
      <c r="BK86" s="2">
        <f t="shared" si="31"/>
        <v>9.1089858714016578E-2</v>
      </c>
      <c r="BL86" s="2">
        <f t="shared" si="31"/>
        <v>8.4214615086722178E-2</v>
      </c>
      <c r="BM86" s="2">
        <f t="shared" si="31"/>
        <v>7.8931348573518773E-2</v>
      </c>
      <c r="BN86" s="2">
        <f t="shared" si="31"/>
        <v>7.5174244500376589E-2</v>
      </c>
      <c r="BO86" s="2">
        <f t="shared" si="31"/>
        <v>7.2647277939163035E-2</v>
      </c>
      <c r="BP86" s="2">
        <f t="shared" si="35"/>
        <v>7.101076784066436E-2</v>
      </c>
      <c r="BQ86" s="2">
        <f t="shared" si="35"/>
        <v>6.9976748228954916E-2</v>
      </c>
      <c r="BR86" s="2">
        <f t="shared" si="35"/>
        <v>6.9333554611301557E-2</v>
      </c>
      <c r="BS86" s="2">
        <f t="shared" si="20"/>
        <v>6.8937354905291334E-2</v>
      </c>
      <c r="BT86" s="2">
        <f t="shared" si="20"/>
        <v>6.8694766766253842E-2</v>
      </c>
      <c r="BU86" s="2">
        <f t="shared" si="20"/>
        <v>6.854678072788814E-2</v>
      </c>
    </row>
    <row r="87" spans="1:73" x14ac:dyDescent="0.25">
      <c r="A87" t="s">
        <v>27</v>
      </c>
      <c r="B87" s="1" t="s">
        <v>5</v>
      </c>
      <c r="C87" t="s">
        <v>6</v>
      </c>
      <c r="D87" t="s">
        <v>6</v>
      </c>
      <c r="E87" s="97">
        <v>4.6683500000000002</v>
      </c>
      <c r="F87" s="5">
        <f t="shared" si="29"/>
        <v>1.1437457500000001E-2</v>
      </c>
      <c r="G87" s="1">
        <f>LOOKUP(RIGHT(D87,5),Ref!$C$4:$C$21,Ref!$E$4:$E$21)*$G$3</f>
        <v>3</v>
      </c>
      <c r="H87" s="36">
        <f t="shared" si="36"/>
        <v>4.6683500000000002</v>
      </c>
      <c r="I87" s="12">
        <f t="shared" si="36"/>
        <v>4.6683500000000002</v>
      </c>
      <c r="J87" s="12">
        <f t="shared" si="36"/>
        <v>4.6683500000000002</v>
      </c>
      <c r="K87" s="12">
        <f t="shared" si="36"/>
        <v>4.6683500000000002</v>
      </c>
      <c r="L87" s="12">
        <f t="shared" si="36"/>
        <v>4.6683500000000002</v>
      </c>
      <c r="M87" s="12">
        <f t="shared" si="33"/>
        <v>4.8897505750484935</v>
      </c>
      <c r="N87" s="12">
        <f t="shared" si="33"/>
        <v>5.0224825347021724</v>
      </c>
      <c r="O87" s="12">
        <f t="shared" si="33"/>
        <v>5.2248309610219525</v>
      </c>
      <c r="P87" s="12">
        <f t="shared" si="33"/>
        <v>5.5199761940614041</v>
      </c>
      <c r="Q87" s="12">
        <f t="shared" si="33"/>
        <v>5.9238626844526179</v>
      </c>
      <c r="R87" s="12">
        <f t="shared" si="33"/>
        <v>6.4308419811838231</v>
      </c>
      <c r="S87" s="12">
        <f t="shared" si="33"/>
        <v>7.0025250000000003</v>
      </c>
      <c r="T87" s="12">
        <f t="shared" si="33"/>
        <v>7.5742080188161776</v>
      </c>
      <c r="U87" s="12">
        <f t="shared" si="33"/>
        <v>8.0811873155473837</v>
      </c>
      <c r="V87" s="12">
        <f t="shared" si="33"/>
        <v>8.4850738059385975</v>
      </c>
      <c r="W87" s="12">
        <f t="shared" si="33"/>
        <v>8.7802190389780463</v>
      </c>
      <c r="X87" s="12">
        <f t="shared" si="33"/>
        <v>8.9825674652978282</v>
      </c>
      <c r="Y87" s="12">
        <f t="shared" si="33"/>
        <v>9.1152994249515071</v>
      </c>
      <c r="Z87" s="12">
        <f t="shared" si="33"/>
        <v>9.1998602475719071</v>
      </c>
      <c r="AA87" s="12">
        <f t="shared" si="33"/>
        <v>9.2527340767234705</v>
      </c>
      <c r="AB87" s="12">
        <f t="shared" si="33"/>
        <v>9.2854091063704711</v>
      </c>
      <c r="AC87" s="12">
        <f t="shared" si="32"/>
        <v>9.3054554293876155</v>
      </c>
      <c r="AD87" s="300">
        <f t="shared" si="30"/>
        <v>2.9439945812823071E-3</v>
      </c>
      <c r="AE87" s="299">
        <f t="shared" si="30"/>
        <v>2.9439945812823071E-3</v>
      </c>
      <c r="AF87" s="299">
        <f t="shared" si="30"/>
        <v>2.9439945812823071E-3</v>
      </c>
      <c r="AG87" s="299">
        <f t="shared" si="30"/>
        <v>2.9439945812823071E-3</v>
      </c>
      <c r="AH87" s="299">
        <f t="shared" si="30"/>
        <v>2.9439945812823071E-3</v>
      </c>
      <c r="AI87" s="299">
        <f t="shared" si="30"/>
        <v>2.8106949204444766E-3</v>
      </c>
      <c r="AJ87" s="299">
        <f t="shared" si="30"/>
        <v>2.7364151111665814E-3</v>
      </c>
      <c r="AK87" s="299">
        <f t="shared" si="30"/>
        <v>2.6304386124754312E-3</v>
      </c>
      <c r="AL87" s="299">
        <f t="shared" si="30"/>
        <v>2.4897928216275882E-3</v>
      </c>
      <c r="AM87" s="299">
        <f t="shared" si="30"/>
        <v>2.3200397841090753E-3</v>
      </c>
      <c r="AN87" s="299">
        <f t="shared" si="30"/>
        <v>2.1371380518666184E-3</v>
      </c>
      <c r="AO87" s="299">
        <f t="shared" si="30"/>
        <v>1.9626630541882046E-3</v>
      </c>
      <c r="AP87" s="299">
        <f t="shared" si="30"/>
        <v>1.8145259635577499E-3</v>
      </c>
      <c r="AQ87" s="299">
        <f t="shared" si="30"/>
        <v>1.7006903276561816E-3</v>
      </c>
      <c r="AR87" s="299">
        <f t="shared" si="30"/>
        <v>1.6197380739234452E-3</v>
      </c>
      <c r="AS87" s="299">
        <f t="shared" si="30"/>
        <v>1.5652909161510981E-3</v>
      </c>
      <c r="AT87" s="299">
        <f t="shared" si="34"/>
        <v>1.530029933716014E-3</v>
      </c>
      <c r="AU87" s="299">
        <f t="shared" si="34"/>
        <v>1.5077504822176891E-3</v>
      </c>
      <c r="AV87" s="299">
        <f t="shared" si="34"/>
        <v>1.4938919433212659E-3</v>
      </c>
      <c r="AW87" s="299">
        <f t="shared" si="19"/>
        <v>1.4853552463053245E-3</v>
      </c>
      <c r="AX87" s="299">
        <f t="shared" si="19"/>
        <v>1.4801283331824491E-3</v>
      </c>
      <c r="AY87" s="299">
        <f t="shared" si="19"/>
        <v>1.4769397594582552E-3</v>
      </c>
      <c r="AZ87" s="306">
        <f t="shared" si="31"/>
        <v>0.16297891530973851</v>
      </c>
      <c r="BA87" s="2">
        <f t="shared" si="31"/>
        <v>0.16297891530973851</v>
      </c>
      <c r="BB87" s="2">
        <f t="shared" si="31"/>
        <v>0.16297891530973851</v>
      </c>
      <c r="BC87" s="2">
        <f t="shared" si="31"/>
        <v>0.16297891530973851</v>
      </c>
      <c r="BD87" s="2">
        <f t="shared" si="31"/>
        <v>0.16297891530973851</v>
      </c>
      <c r="BE87" s="2">
        <f t="shared" si="31"/>
        <v>0.15559947437169067</v>
      </c>
      <c r="BF87" s="2">
        <f t="shared" si="31"/>
        <v>0.15148735989210063</v>
      </c>
      <c r="BG87" s="2">
        <f t="shared" si="31"/>
        <v>0.14562052341256998</v>
      </c>
      <c r="BH87" s="2">
        <f t="shared" si="31"/>
        <v>0.13783440227600269</v>
      </c>
      <c r="BI87" s="2">
        <f t="shared" si="31"/>
        <v>0.12843691014024944</v>
      </c>
      <c r="BJ87" s="2">
        <f t="shared" si="31"/>
        <v>0.11831150905470668</v>
      </c>
      <c r="BK87" s="2">
        <f t="shared" si="31"/>
        <v>0.10865261020649233</v>
      </c>
      <c r="BL87" s="2">
        <f t="shared" si="31"/>
        <v>0.10045177230359918</v>
      </c>
      <c r="BM87" s="2">
        <f t="shared" si="31"/>
        <v>9.4149855655793771E-2</v>
      </c>
      <c r="BN87" s="2">
        <f t="shared" si="31"/>
        <v>8.9668356067063734E-2</v>
      </c>
      <c r="BO87" s="2">
        <f t="shared" si="31"/>
        <v>8.6654172966369902E-2</v>
      </c>
      <c r="BP87" s="2">
        <f t="shared" si="35"/>
        <v>8.4702132461077051E-2</v>
      </c>
      <c r="BQ87" s="2">
        <f t="shared" si="35"/>
        <v>8.3468746753787015E-2</v>
      </c>
      <c r="BR87" s="2">
        <f t="shared" si="35"/>
        <v>8.2701540981236624E-2</v>
      </c>
      <c r="BS87" s="2">
        <f t="shared" si="20"/>
        <v>8.2228951245904972E-2</v>
      </c>
      <c r="BT87" s="2">
        <f t="shared" si="20"/>
        <v>8.1939590444563615E-2</v>
      </c>
      <c r="BU87" s="2">
        <f t="shared" si="20"/>
        <v>8.1763071679801513E-2</v>
      </c>
    </row>
    <row r="88" spans="1:73" x14ac:dyDescent="0.25">
      <c r="A88" t="s">
        <v>27</v>
      </c>
      <c r="B88" s="1" t="s">
        <v>5</v>
      </c>
      <c r="C88" t="s">
        <v>7</v>
      </c>
      <c r="D88" t="s">
        <v>7</v>
      </c>
      <c r="E88" s="97">
        <v>3.8755700000000002</v>
      </c>
      <c r="F88" s="5">
        <f t="shared" si="29"/>
        <v>9.4951465000000009E-3</v>
      </c>
      <c r="G88" s="1">
        <f>LOOKUP(RIGHT(D88,5),Ref!$C$4:$C$21,Ref!$E$4:$E$21)*$G$3</f>
        <v>3.5</v>
      </c>
      <c r="H88" s="36">
        <f t="shared" si="36"/>
        <v>3.8755700000000002</v>
      </c>
      <c r="I88" s="12">
        <f t="shared" si="36"/>
        <v>3.8755700000000002</v>
      </c>
      <c r="J88" s="12">
        <f t="shared" si="36"/>
        <v>3.8755700000000002</v>
      </c>
      <c r="K88" s="12">
        <f t="shared" si="36"/>
        <v>3.8755700000000002</v>
      </c>
      <c r="L88" s="12">
        <f t="shared" si="36"/>
        <v>3.8755700000000002</v>
      </c>
      <c r="M88" s="12">
        <f t="shared" si="33"/>
        <v>4.0593722913107824</v>
      </c>
      <c r="N88" s="12">
        <f t="shared" si="33"/>
        <v>4.1695636867449304</v>
      </c>
      <c r="O88" s="12">
        <f t="shared" si="33"/>
        <v>4.3375492685012587</v>
      </c>
      <c r="P88" s="12">
        <f t="shared" si="33"/>
        <v>4.582572887298201</v>
      </c>
      <c r="Q88" s="12">
        <f t="shared" si="33"/>
        <v>4.9178713044189122</v>
      </c>
      <c r="R88" s="12">
        <f t="shared" si="33"/>
        <v>5.3387552897740287</v>
      </c>
      <c r="S88" s="12">
        <f t="shared" si="33"/>
        <v>5.8133550000000005</v>
      </c>
      <c r="T88" s="12">
        <f t="shared" si="33"/>
        <v>6.2879547102259714</v>
      </c>
      <c r="U88" s="12">
        <f t="shared" si="33"/>
        <v>6.7088386955810879</v>
      </c>
      <c r="V88" s="12">
        <f t="shared" si="33"/>
        <v>7.0441371127018</v>
      </c>
      <c r="W88" s="12">
        <f t="shared" si="33"/>
        <v>7.2891607314987414</v>
      </c>
      <c r="X88" s="12">
        <f t="shared" si="33"/>
        <v>7.4571463132550697</v>
      </c>
      <c r="Y88" s="12">
        <f t="shared" si="33"/>
        <v>7.5673377086892177</v>
      </c>
      <c r="Z88" s="12">
        <f t="shared" si="33"/>
        <v>7.6375383978669662</v>
      </c>
      <c r="AA88" s="12">
        <f t="shared" si="33"/>
        <v>7.6814331842572177</v>
      </c>
      <c r="AB88" s="12">
        <f t="shared" si="33"/>
        <v>7.708559334749153</v>
      </c>
      <c r="AC88" s="12">
        <f t="shared" si="32"/>
        <v>7.7252013877433701</v>
      </c>
      <c r="AD88" s="300">
        <f t="shared" si="30"/>
        <v>3.5462130998870512E-3</v>
      </c>
      <c r="AE88" s="299">
        <f t="shared" si="30"/>
        <v>3.5462130998870512E-3</v>
      </c>
      <c r="AF88" s="299">
        <f t="shared" si="30"/>
        <v>3.5462130998870512E-3</v>
      </c>
      <c r="AG88" s="299">
        <f t="shared" si="30"/>
        <v>3.5462130998870512E-3</v>
      </c>
      <c r="AH88" s="299">
        <f t="shared" si="30"/>
        <v>3.5462130998870512E-3</v>
      </c>
      <c r="AI88" s="299">
        <f t="shared" si="30"/>
        <v>3.3856458874067484E-3</v>
      </c>
      <c r="AJ88" s="299">
        <f t="shared" si="30"/>
        <v>3.2961715268243156E-3</v>
      </c>
      <c r="AK88" s="299">
        <f t="shared" si="30"/>
        <v>3.168516656014387E-3</v>
      </c>
      <c r="AL88" s="299">
        <f t="shared" si="30"/>
        <v>2.9991006016779858E-3</v>
      </c>
      <c r="AM88" s="299">
        <f t="shared" si="30"/>
        <v>2.7946231718548767E-3</v>
      </c>
      <c r="AN88" s="299">
        <f t="shared" si="30"/>
        <v>2.5743073727042807E-3</v>
      </c>
      <c r="AO88" s="299">
        <f t="shared" si="30"/>
        <v>2.3641420665913675E-3</v>
      </c>
      <c r="AP88" s="299">
        <f t="shared" si="30"/>
        <v>2.185702304944775E-3</v>
      </c>
      <c r="AQ88" s="299">
        <f t="shared" si="30"/>
        <v>2.0485806451989606E-3</v>
      </c>
      <c r="AR88" s="299">
        <f t="shared" si="30"/>
        <v>1.9510689362856341E-3</v>
      </c>
      <c r="AS88" s="299">
        <f t="shared" si="30"/>
        <v>1.8854841606303016E-3</v>
      </c>
      <c r="AT88" s="299">
        <f t="shared" si="34"/>
        <v>1.8430102516696005E-3</v>
      </c>
      <c r="AU88" s="299">
        <f t="shared" si="34"/>
        <v>1.8161733535095354E-3</v>
      </c>
      <c r="AV88" s="299">
        <f t="shared" si="34"/>
        <v>1.7994799354943487E-3</v>
      </c>
      <c r="AW88" s="299">
        <f t="shared" si="19"/>
        <v>1.789196986272848E-3</v>
      </c>
      <c r="AX88" s="299">
        <f t="shared" si="19"/>
        <v>1.7829008647017822E-3</v>
      </c>
      <c r="AY88" s="299">
        <f t="shared" si="19"/>
        <v>1.7790600417659714E-3</v>
      </c>
      <c r="AZ88" s="306">
        <f t="shared" si="31"/>
        <v>0.19631760471007303</v>
      </c>
      <c r="BA88" s="2">
        <f t="shared" si="31"/>
        <v>0.19631760471007303</v>
      </c>
      <c r="BB88" s="2">
        <f t="shared" si="31"/>
        <v>0.19631760471007303</v>
      </c>
      <c r="BC88" s="2">
        <f t="shared" si="31"/>
        <v>0.19631760471007303</v>
      </c>
      <c r="BD88" s="2">
        <f t="shared" si="31"/>
        <v>0.19631760471007303</v>
      </c>
      <c r="BE88" s="2">
        <f t="shared" si="31"/>
        <v>0.18742863789922051</v>
      </c>
      <c r="BF88" s="2">
        <f t="shared" si="31"/>
        <v>0.18247535628366615</v>
      </c>
      <c r="BG88" s="2">
        <f t="shared" si="31"/>
        <v>0.17540840972374927</v>
      </c>
      <c r="BH88" s="2">
        <f t="shared" si="31"/>
        <v>0.16602957290545056</v>
      </c>
      <c r="BI88" s="2">
        <f t="shared" si="31"/>
        <v>0.15470974578016489</v>
      </c>
      <c r="BJ88" s="2">
        <f t="shared" si="31"/>
        <v>0.14251310988978139</v>
      </c>
      <c r="BK88" s="2">
        <f t="shared" si="31"/>
        <v>0.13087840314004867</v>
      </c>
      <c r="BL88" s="2">
        <f t="shared" si="31"/>
        <v>0.12100001579987131</v>
      </c>
      <c r="BM88" s="2">
        <f t="shared" si="31"/>
        <v>0.1134089898132984</v>
      </c>
      <c r="BN88" s="2">
        <f t="shared" si="31"/>
        <v>0.1080107622996558</v>
      </c>
      <c r="BO88" s="2">
        <f t="shared" si="31"/>
        <v>0.10438000303634121</v>
      </c>
      <c r="BP88" s="2">
        <f t="shared" si="35"/>
        <v>0.10202865644915948</v>
      </c>
      <c r="BQ88" s="2">
        <f t="shared" si="35"/>
        <v>0.10054297146175702</v>
      </c>
      <c r="BR88" s="2">
        <f t="shared" si="35"/>
        <v>9.961882738274784E-2</v>
      </c>
      <c r="BS88" s="2">
        <f t="shared" si="20"/>
        <v>9.9049565495867811E-2</v>
      </c>
      <c r="BT88" s="2">
        <f t="shared" si="20"/>
        <v>9.8701013541718632E-2</v>
      </c>
      <c r="BU88" s="2">
        <f t="shared" si="20"/>
        <v>9.8488386399007477E-2</v>
      </c>
    </row>
    <row r="89" spans="1:73" x14ac:dyDescent="0.25">
      <c r="A89" t="s">
        <v>27</v>
      </c>
      <c r="B89" s="1" t="s">
        <v>5</v>
      </c>
      <c r="C89" t="s">
        <v>8</v>
      </c>
      <c r="D89" t="s">
        <v>8</v>
      </c>
      <c r="E89" s="97">
        <v>3.9175450000000001</v>
      </c>
      <c r="F89" s="5">
        <f t="shared" si="29"/>
        <v>9.5979852500000015E-3</v>
      </c>
      <c r="G89" s="1">
        <f>LOOKUP(RIGHT(D89,5),Ref!$C$4:$C$21,Ref!$E$4:$E$21)*$G$3</f>
        <v>4</v>
      </c>
      <c r="H89" s="36">
        <f t="shared" si="36"/>
        <v>3.9175450000000001</v>
      </c>
      <c r="I89" s="12">
        <f t="shared" si="36"/>
        <v>3.9175450000000001</v>
      </c>
      <c r="J89" s="12">
        <f t="shared" si="36"/>
        <v>3.9175450000000001</v>
      </c>
      <c r="K89" s="12">
        <f t="shared" si="36"/>
        <v>3.9175450000000001</v>
      </c>
      <c r="L89" s="12">
        <f t="shared" si="36"/>
        <v>3.9175450000000001</v>
      </c>
      <c r="M89" s="12">
        <f t="shared" si="33"/>
        <v>4.1033379923374111</v>
      </c>
      <c r="N89" s="12">
        <f t="shared" si="33"/>
        <v>4.2147228338513223</v>
      </c>
      <c r="O89" s="12">
        <f t="shared" si="33"/>
        <v>4.3845278111531369</v>
      </c>
      <c r="P89" s="12">
        <f t="shared" si="33"/>
        <v>4.6322051986599719</v>
      </c>
      <c r="Q89" s="12">
        <f t="shared" si="33"/>
        <v>4.971135120580918</v>
      </c>
      <c r="R89" s="12">
        <f t="shared" si="33"/>
        <v>5.3965775593468308</v>
      </c>
      <c r="S89" s="12">
        <f t="shared" si="33"/>
        <v>5.8763174999999999</v>
      </c>
      <c r="T89" s="12">
        <f t="shared" si="33"/>
        <v>6.3560574406531689</v>
      </c>
      <c r="U89" s="12">
        <f t="shared" si="33"/>
        <v>6.7814998794190826</v>
      </c>
      <c r="V89" s="12">
        <f t="shared" si="33"/>
        <v>7.1204298013400278</v>
      </c>
      <c r="W89" s="12">
        <f t="shared" si="33"/>
        <v>7.3681071888468628</v>
      </c>
      <c r="X89" s="12">
        <f t="shared" si="33"/>
        <v>7.5379121661486783</v>
      </c>
      <c r="Y89" s="12">
        <f t="shared" si="33"/>
        <v>7.6492970076625895</v>
      </c>
      <c r="Z89" s="12">
        <f t="shared" si="33"/>
        <v>7.7202580169811785</v>
      </c>
      <c r="AA89" s="12">
        <f t="shared" si="33"/>
        <v>7.764628213094058</v>
      </c>
      <c r="AB89" s="12">
        <f t="shared" si="33"/>
        <v>7.7920481578322329</v>
      </c>
      <c r="AC89" s="12">
        <f t="shared" si="32"/>
        <v>7.808870455325823</v>
      </c>
      <c r="AD89" s="300">
        <f t="shared" si="30"/>
        <v>3.5082167795211692E-3</v>
      </c>
      <c r="AE89" s="299">
        <f t="shared" si="30"/>
        <v>3.5082167795211692E-3</v>
      </c>
      <c r="AF89" s="299">
        <f t="shared" si="30"/>
        <v>3.5082167795211692E-3</v>
      </c>
      <c r="AG89" s="299">
        <f t="shared" si="30"/>
        <v>3.5082167795211692E-3</v>
      </c>
      <c r="AH89" s="299">
        <f t="shared" si="30"/>
        <v>3.5082167795211692E-3</v>
      </c>
      <c r="AI89" s="299">
        <f t="shared" si="30"/>
        <v>3.3493699834608081E-3</v>
      </c>
      <c r="AJ89" s="299">
        <f t="shared" si="30"/>
        <v>3.2608543065145421E-3</v>
      </c>
      <c r="AK89" s="299">
        <f t="shared" si="30"/>
        <v>3.1345672089407215E-3</v>
      </c>
      <c r="AL89" s="299">
        <f t="shared" si="30"/>
        <v>2.9669663829886201E-3</v>
      </c>
      <c r="AM89" s="299">
        <f t="shared" si="30"/>
        <v>2.7646798508110574E-3</v>
      </c>
      <c r="AN89" s="299">
        <f t="shared" si="30"/>
        <v>2.5467246513904826E-3</v>
      </c>
      <c r="AO89" s="299">
        <f t="shared" ref="AO89:AS139" si="37">Algae_electricity_factor/S89</f>
        <v>2.3388111863474463E-3</v>
      </c>
      <c r="AP89" s="299">
        <f t="shared" si="37"/>
        <v>2.1622833386661343E-3</v>
      </c>
      <c r="AQ89" s="299">
        <f t="shared" si="37"/>
        <v>2.0266308851879778E-3</v>
      </c>
      <c r="AR89" s="299">
        <f t="shared" si="37"/>
        <v>1.9301639770316654E-3</v>
      </c>
      <c r="AS89" s="299">
        <f t="shared" si="37"/>
        <v>1.865281917224685E-3</v>
      </c>
      <c r="AT89" s="299">
        <f t="shared" si="34"/>
        <v>1.8232630999932746E-3</v>
      </c>
      <c r="AU89" s="299">
        <f t="shared" si="34"/>
        <v>1.7967137489578167E-3</v>
      </c>
      <c r="AV89" s="299">
        <f t="shared" si="34"/>
        <v>1.7801991945475628E-3</v>
      </c>
      <c r="AW89" s="299">
        <f t="shared" si="19"/>
        <v>1.7700264232036803E-3</v>
      </c>
      <c r="AX89" s="299">
        <f t="shared" si="19"/>
        <v>1.7637977621730667E-3</v>
      </c>
      <c r="AY89" s="299">
        <f t="shared" si="19"/>
        <v>1.7599980921896099E-3</v>
      </c>
      <c r="AZ89" s="306">
        <f t="shared" si="31"/>
        <v>0.19421413647736471</v>
      </c>
      <c r="BA89" s="2">
        <f t="shared" si="31"/>
        <v>0.19421413647736471</v>
      </c>
      <c r="BB89" s="2">
        <f t="shared" si="31"/>
        <v>0.19421413647736471</v>
      </c>
      <c r="BC89" s="2">
        <f t="shared" si="31"/>
        <v>0.19421413647736471</v>
      </c>
      <c r="BD89" s="2">
        <f t="shared" si="31"/>
        <v>0.19421413647736471</v>
      </c>
      <c r="BE89" s="2">
        <f t="shared" si="31"/>
        <v>0.18542041155445108</v>
      </c>
      <c r="BF89" s="2">
        <f t="shared" si="31"/>
        <v>0.18052020246156408</v>
      </c>
      <c r="BG89" s="2">
        <f t="shared" si="31"/>
        <v>0.17352897553775923</v>
      </c>
      <c r="BH89" s="2">
        <f t="shared" si="31"/>
        <v>0.16425062937762736</v>
      </c>
      <c r="BI89" s="2">
        <f t="shared" si="31"/>
        <v>0.15305208988109481</v>
      </c>
      <c r="BJ89" s="2">
        <f t="shared" si="31"/>
        <v>0.14098613629085052</v>
      </c>
      <c r="BK89" s="2">
        <f t="shared" ref="BK89:BO139" si="38">Algae_yield_cost_factor/S89</f>
        <v>0.12947609098490981</v>
      </c>
      <c r="BL89" s="2">
        <f t="shared" si="38"/>
        <v>0.11970354679614587</v>
      </c>
      <c r="BM89" s="2">
        <f t="shared" si="38"/>
        <v>0.11219385575678771</v>
      </c>
      <c r="BN89" s="2">
        <f t="shared" si="38"/>
        <v>0.10685346819134867</v>
      </c>
      <c r="BO89" s="2">
        <f t="shared" si="38"/>
        <v>0.1032616111282839</v>
      </c>
      <c r="BP89" s="2">
        <f t="shared" si="35"/>
        <v>0.10093545832266611</v>
      </c>
      <c r="BQ89" s="2">
        <f t="shared" si="35"/>
        <v>9.9465691883064936E-2</v>
      </c>
      <c r="BR89" s="2">
        <f t="shared" si="35"/>
        <v>9.8551449655270323E-2</v>
      </c>
      <c r="BS89" s="2">
        <f t="shared" si="20"/>
        <v>9.7988287192315712E-2</v>
      </c>
      <c r="BT89" s="2">
        <f t="shared" si="20"/>
        <v>9.7643469839370972E-2</v>
      </c>
      <c r="BU89" s="2">
        <f t="shared" si="20"/>
        <v>9.7433120915369542E-2</v>
      </c>
    </row>
    <row r="90" spans="1:73" x14ac:dyDescent="0.25">
      <c r="A90" t="s">
        <v>27</v>
      </c>
      <c r="B90" s="1" t="s">
        <v>5</v>
      </c>
      <c r="C90" t="s">
        <v>9</v>
      </c>
      <c r="D90" t="s">
        <v>9</v>
      </c>
      <c r="E90" s="97">
        <v>5.0391899999999996</v>
      </c>
      <c r="F90" s="5">
        <f t="shared" si="29"/>
        <v>1.23460155E-2</v>
      </c>
      <c r="G90" s="1">
        <f>LOOKUP(RIGHT(D90,5),Ref!$C$4:$C$21,Ref!$E$4:$E$21)*$G$3</f>
        <v>4.5</v>
      </c>
      <c r="H90" s="36">
        <f t="shared" si="36"/>
        <v>5.0391899999999996</v>
      </c>
      <c r="I90" s="12">
        <f t="shared" si="36"/>
        <v>5.0391899999999996</v>
      </c>
      <c r="J90" s="12">
        <f t="shared" si="36"/>
        <v>5.0391899999999996</v>
      </c>
      <c r="K90" s="12">
        <f t="shared" si="36"/>
        <v>5.0391899999999996</v>
      </c>
      <c r="L90" s="12">
        <f t="shared" si="36"/>
        <v>5.0391899999999996</v>
      </c>
      <c r="M90" s="12">
        <f t="shared" si="33"/>
        <v>5.2781779858576625</v>
      </c>
      <c r="N90" s="12">
        <f t="shared" si="33"/>
        <v>5.4214537821812492</v>
      </c>
      <c r="O90" s="12">
        <f t="shared" si="33"/>
        <v>5.6398761726246338</v>
      </c>
      <c r="P90" s="12">
        <f t="shared" si="33"/>
        <v>5.9584668753097523</v>
      </c>
      <c r="Q90" s="12">
        <f t="shared" si="33"/>
        <v>6.3944369211534653</v>
      </c>
      <c r="R90" s="12">
        <f t="shared" si="33"/>
        <v>6.9416891628009267</v>
      </c>
      <c r="S90" s="12">
        <f t="shared" si="33"/>
        <v>7.5587849999999994</v>
      </c>
      <c r="T90" s="12">
        <f t="shared" si="33"/>
        <v>8.1758808371990721</v>
      </c>
      <c r="U90" s="12">
        <f t="shared" si="33"/>
        <v>8.7231330788465336</v>
      </c>
      <c r="V90" s="12">
        <f t="shared" si="33"/>
        <v>9.1591031246902457</v>
      </c>
      <c r="W90" s="12">
        <f t="shared" si="33"/>
        <v>9.4776938273753633</v>
      </c>
      <c r="X90" s="12">
        <f t="shared" si="33"/>
        <v>9.6961162178187497</v>
      </c>
      <c r="Y90" s="12">
        <f t="shared" si="33"/>
        <v>9.8393920141423372</v>
      </c>
      <c r="Z90" s="12">
        <f t="shared" si="33"/>
        <v>9.9306700999200732</v>
      </c>
      <c r="AA90" s="12">
        <f t="shared" si="33"/>
        <v>9.9877440706211278</v>
      </c>
      <c r="AB90" s="12">
        <f t="shared" si="33"/>
        <v>10.023014708565341</v>
      </c>
      <c r="AC90" s="12">
        <f t="shared" si="32"/>
        <v>10.044653452550852</v>
      </c>
      <c r="AD90" s="300">
        <f t="shared" ref="AD90:AN113" si="39">Algae_electricity_factor/H90</f>
        <v>2.7273425101115973E-3</v>
      </c>
      <c r="AE90" s="299">
        <f t="shared" si="39"/>
        <v>2.7273425101115973E-3</v>
      </c>
      <c r="AF90" s="299">
        <f t="shared" si="39"/>
        <v>2.7273425101115973E-3</v>
      </c>
      <c r="AG90" s="299">
        <f t="shared" si="39"/>
        <v>2.7273425101115973E-3</v>
      </c>
      <c r="AH90" s="299">
        <f t="shared" si="39"/>
        <v>2.7273425101115973E-3</v>
      </c>
      <c r="AI90" s="299">
        <f t="shared" si="39"/>
        <v>2.6038525302393783E-3</v>
      </c>
      <c r="AJ90" s="299">
        <f t="shared" si="39"/>
        <v>2.5350390606852517E-3</v>
      </c>
      <c r="AK90" s="299">
        <f t="shared" si="39"/>
        <v>2.4368614988817018E-3</v>
      </c>
      <c r="AL90" s="299">
        <f t="shared" si="39"/>
        <v>2.3065659994652224E-3</v>
      </c>
      <c r="AM90" s="299">
        <f t="shared" si="39"/>
        <v>2.1493052903632536E-3</v>
      </c>
      <c r="AN90" s="299">
        <f t="shared" si="39"/>
        <v>1.9798635146584132E-3</v>
      </c>
      <c r="AO90" s="299">
        <f t="shared" si="37"/>
        <v>1.8182283400743982E-3</v>
      </c>
      <c r="AP90" s="299">
        <f t="shared" si="37"/>
        <v>1.6809928345577012E-3</v>
      </c>
      <c r="AQ90" s="299">
        <f t="shared" si="37"/>
        <v>1.5755344988209886E-3</v>
      </c>
      <c r="AR90" s="299">
        <f t="shared" si="37"/>
        <v>1.5005396179545755E-3</v>
      </c>
      <c r="AS90" s="299">
        <f t="shared" si="37"/>
        <v>1.4500992914365165E-3</v>
      </c>
      <c r="AT90" s="299">
        <f t="shared" si="34"/>
        <v>1.4174332067382167E-3</v>
      </c>
      <c r="AU90" s="299">
        <f t="shared" si="34"/>
        <v>1.3967933266380013E-3</v>
      </c>
      <c r="AV90" s="299">
        <f t="shared" si="34"/>
        <v>1.3839546541416048E-3</v>
      </c>
      <c r="AW90" s="299">
        <f t="shared" si="19"/>
        <v>1.3760461828368174E-3</v>
      </c>
      <c r="AX90" s="299">
        <f t="shared" si="19"/>
        <v>1.3712039244823645E-3</v>
      </c>
      <c r="AY90" s="299">
        <f t="shared" si="19"/>
        <v>1.3682500017000642E-3</v>
      </c>
      <c r="AZ90" s="306">
        <f t="shared" ref="AZ90:BJ113" si="40">Algae_yield_cost_factor/H90</f>
        <v>0.15098510262288539</v>
      </c>
      <c r="BA90" s="2">
        <f t="shared" si="40"/>
        <v>0.15098510262288539</v>
      </c>
      <c r="BB90" s="2">
        <f t="shared" si="40"/>
        <v>0.15098510262288539</v>
      </c>
      <c r="BC90" s="2">
        <f t="shared" si="40"/>
        <v>0.15098510262288539</v>
      </c>
      <c r="BD90" s="2">
        <f t="shared" si="40"/>
        <v>0.15098510262288539</v>
      </c>
      <c r="BE90" s="2">
        <f t="shared" si="40"/>
        <v>0.14414872354149816</v>
      </c>
      <c r="BF90" s="2">
        <f t="shared" si="40"/>
        <v>0.14033922446906907</v>
      </c>
      <c r="BG90" s="2">
        <f t="shared" si="40"/>
        <v>0.13490413548071639</v>
      </c>
      <c r="BH90" s="2">
        <f t="shared" si="40"/>
        <v>0.12769100428147723</v>
      </c>
      <c r="BI90" s="2">
        <f t="shared" si="40"/>
        <v>0.11898508479601556</v>
      </c>
      <c r="BJ90" s="2">
        <f t="shared" si="40"/>
        <v>0.10960482404821807</v>
      </c>
      <c r="BK90" s="2">
        <f t="shared" si="38"/>
        <v>0.10065673508192359</v>
      </c>
      <c r="BL90" s="2">
        <f t="shared" si="38"/>
        <v>9.3059406617632456E-2</v>
      </c>
      <c r="BM90" s="2">
        <f t="shared" si="38"/>
        <v>8.7221255529306291E-2</v>
      </c>
      <c r="BN90" s="2">
        <f t="shared" si="38"/>
        <v>8.3069554838312729E-2</v>
      </c>
      <c r="BO90" s="2">
        <f t="shared" si="38"/>
        <v>8.0277189065614318E-2</v>
      </c>
      <c r="BP90" s="2">
        <f t="shared" si="35"/>
        <v>7.8468801548397471E-2</v>
      </c>
      <c r="BQ90" s="2">
        <f t="shared" si="35"/>
        <v>7.7326182165792845E-2</v>
      </c>
      <c r="BR90" s="2">
        <f t="shared" si="35"/>
        <v>7.6615435980734212E-2</v>
      </c>
      <c r="BS90" s="2">
        <f t="shared" si="20"/>
        <v>7.6177624687463752E-2</v>
      </c>
      <c r="BT90" s="2">
        <f t="shared" si="20"/>
        <v>7.5909558292479251E-2</v>
      </c>
      <c r="BU90" s="2">
        <f t="shared" si="20"/>
        <v>7.5746029754067912E-2</v>
      </c>
    </row>
    <row r="91" spans="1:73" x14ac:dyDescent="0.25">
      <c r="A91" t="s">
        <v>27</v>
      </c>
      <c r="B91" s="1" t="s">
        <v>5</v>
      </c>
      <c r="C91" t="s">
        <v>10</v>
      </c>
      <c r="D91" t="s">
        <v>10</v>
      </c>
      <c r="E91" s="97">
        <v>6.2174100000000001</v>
      </c>
      <c r="F91" s="5">
        <f t="shared" si="29"/>
        <v>1.52326545E-2</v>
      </c>
      <c r="G91" s="1">
        <f>LOOKUP(RIGHT(D91,5),Ref!$C$4:$C$21,Ref!$E$4:$E$21)*$G$3</f>
        <v>4.5</v>
      </c>
      <c r="H91" s="36">
        <f t="shared" si="36"/>
        <v>6.2174100000000001</v>
      </c>
      <c r="I91" s="12">
        <f t="shared" si="36"/>
        <v>6.2174100000000001</v>
      </c>
      <c r="J91" s="12">
        <f t="shared" si="36"/>
        <v>6.2174100000000001</v>
      </c>
      <c r="K91" s="12">
        <f t="shared" si="36"/>
        <v>6.2174100000000001</v>
      </c>
      <c r="L91" s="12">
        <f t="shared" si="36"/>
        <v>6.2174100000000001</v>
      </c>
      <c r="M91" s="12">
        <f t="shared" si="33"/>
        <v>6.5122760981529355</v>
      </c>
      <c r="N91" s="12">
        <f t="shared" si="33"/>
        <v>6.6890514070458797</v>
      </c>
      <c r="O91" s="12">
        <f t="shared" si="33"/>
        <v>6.9585434394095342</v>
      </c>
      <c r="P91" s="12">
        <f t="shared" si="33"/>
        <v>7.3516242759688781</v>
      </c>
      <c r="Q91" s="12">
        <f t="shared" si="33"/>
        <v>7.8895290826400224</v>
      </c>
      <c r="R91" s="12">
        <f t="shared" si="33"/>
        <v>8.5647351295922789</v>
      </c>
      <c r="S91" s="12">
        <f t="shared" si="33"/>
        <v>9.3261149999999997</v>
      </c>
      <c r="T91" s="12">
        <f t="shared" si="33"/>
        <v>10.087494870407722</v>
      </c>
      <c r="U91" s="12">
        <f t="shared" si="33"/>
        <v>10.762700917359979</v>
      </c>
      <c r="V91" s="12">
        <f t="shared" si="33"/>
        <v>11.300605724031122</v>
      </c>
      <c r="W91" s="12">
        <f t="shared" si="33"/>
        <v>11.693686560590464</v>
      </c>
      <c r="X91" s="12">
        <f t="shared" si="33"/>
        <v>11.963178592954121</v>
      </c>
      <c r="Y91" s="12">
        <f t="shared" si="33"/>
        <v>12.139953901847065</v>
      </c>
      <c r="Z91" s="12">
        <f t="shared" si="33"/>
        <v>12.25257384340421</v>
      </c>
      <c r="AA91" s="12">
        <f t="shared" si="33"/>
        <v>12.322992358319592</v>
      </c>
      <c r="AB91" s="12">
        <f t="shared" si="33"/>
        <v>12.366509673019124</v>
      </c>
      <c r="AC91" s="12">
        <f t="shared" si="32"/>
        <v>12.393207801734842</v>
      </c>
      <c r="AD91" s="300">
        <f t="shared" si="39"/>
        <v>2.2105019780791777E-3</v>
      </c>
      <c r="AE91" s="299">
        <f t="shared" si="39"/>
        <v>2.2105019780791777E-3</v>
      </c>
      <c r="AF91" s="299">
        <f t="shared" si="39"/>
        <v>2.2105019780791777E-3</v>
      </c>
      <c r="AG91" s="299">
        <f t="shared" si="39"/>
        <v>2.2105019780791777E-3</v>
      </c>
      <c r="AH91" s="299">
        <f t="shared" si="39"/>
        <v>2.2105019780791777E-3</v>
      </c>
      <c r="AI91" s="299">
        <f t="shared" si="39"/>
        <v>2.1104137626209258E-3</v>
      </c>
      <c r="AJ91" s="299">
        <f t="shared" si="39"/>
        <v>2.0546406758142877E-3</v>
      </c>
      <c r="AK91" s="299">
        <f t="shared" si="39"/>
        <v>1.975068090499047E-3</v>
      </c>
      <c r="AL91" s="299">
        <f t="shared" si="39"/>
        <v>1.8694640242231336E-3</v>
      </c>
      <c r="AM91" s="299">
        <f t="shared" si="39"/>
        <v>1.742004745729428E-3</v>
      </c>
      <c r="AN91" s="299">
        <f t="shared" si="39"/>
        <v>1.6046727535149728E-3</v>
      </c>
      <c r="AO91" s="299">
        <f t="shared" si="37"/>
        <v>1.4736679853861185E-3</v>
      </c>
      <c r="AP91" s="299">
        <f t="shared" si="37"/>
        <v>1.3624390673889644E-3</v>
      </c>
      <c r="AQ91" s="299">
        <f t="shared" si="37"/>
        <v>1.2769654391641754E-3</v>
      </c>
      <c r="AR91" s="299">
        <f t="shared" si="37"/>
        <v>1.2161823391734687E-3</v>
      </c>
      <c r="AS91" s="299">
        <f t="shared" si="37"/>
        <v>1.1753006233164579E-3</v>
      </c>
      <c r="AT91" s="299">
        <f t="shared" si="34"/>
        <v>1.1488248709773288E-3</v>
      </c>
      <c r="AU91" s="299">
        <f t="shared" si="34"/>
        <v>1.1320963172222758E-3</v>
      </c>
      <c r="AV91" s="299">
        <f t="shared" si="34"/>
        <v>1.1216906161253372E-3</v>
      </c>
      <c r="AW91" s="299">
        <f t="shared" si="19"/>
        <v>1.1152808265965188E-3</v>
      </c>
      <c r="AX91" s="299">
        <f t="shared" si="19"/>
        <v>1.1113561924036353E-3</v>
      </c>
      <c r="AY91" s="299">
        <f t="shared" si="19"/>
        <v>1.108962047873141E-3</v>
      </c>
      <c r="AZ91" s="306">
        <f t="shared" si="40"/>
        <v>0.12237292044214838</v>
      </c>
      <c r="BA91" s="2">
        <f t="shared" si="40"/>
        <v>0.12237292044214838</v>
      </c>
      <c r="BB91" s="2">
        <f t="shared" si="40"/>
        <v>0.12237292044214838</v>
      </c>
      <c r="BC91" s="2">
        <f t="shared" si="40"/>
        <v>0.12237292044214838</v>
      </c>
      <c r="BD91" s="2">
        <f t="shared" si="40"/>
        <v>0.12237292044214838</v>
      </c>
      <c r="BE91" s="2">
        <f t="shared" si="40"/>
        <v>0.1168320580729085</v>
      </c>
      <c r="BF91" s="2">
        <f t="shared" si="40"/>
        <v>0.11374447182223595</v>
      </c>
      <c r="BG91" s="2">
        <f t="shared" si="40"/>
        <v>0.10933935038433545</v>
      </c>
      <c r="BH91" s="2">
        <f t="shared" si="40"/>
        <v>0.10349313168428287</v>
      </c>
      <c r="BI91" s="2">
        <f t="shared" si="40"/>
        <v>9.643701307348776E-2</v>
      </c>
      <c r="BJ91" s="2">
        <f t="shared" si="40"/>
        <v>8.8834343126083043E-2</v>
      </c>
      <c r="BK91" s="2">
        <f t="shared" si="38"/>
        <v>8.1581946961432256E-2</v>
      </c>
      <c r="BL91" s="2">
        <f t="shared" si="38"/>
        <v>7.5424337663674623E-2</v>
      </c>
      <c r="BM91" s="2">
        <f t="shared" si="38"/>
        <v>7.0692535742491625E-2</v>
      </c>
      <c r="BN91" s="2">
        <f t="shared" si="38"/>
        <v>6.7327596225064304E-2</v>
      </c>
      <c r="BO91" s="2">
        <f t="shared" si="38"/>
        <v>6.5064393110242522E-2</v>
      </c>
      <c r="BP91" s="2">
        <f t="shared" si="35"/>
        <v>6.3598701078852612E-2</v>
      </c>
      <c r="BQ91" s="2">
        <f t="shared" si="35"/>
        <v>6.2672611892740163E-2</v>
      </c>
      <c r="BR91" s="2">
        <f t="shared" si="35"/>
        <v>6.2096554488083627E-2</v>
      </c>
      <c r="BS91" s="2">
        <f t="shared" si="20"/>
        <v>6.1741709899913386E-2</v>
      </c>
      <c r="BT91" s="2">
        <f t="shared" si="20"/>
        <v>6.1524442983795273E-2</v>
      </c>
      <c r="BU91" s="2">
        <f t="shared" si="20"/>
        <v>6.1391903650620021E-2</v>
      </c>
    </row>
    <row r="92" spans="1:73" x14ac:dyDescent="0.25">
      <c r="A92" t="s">
        <v>27</v>
      </c>
      <c r="B92" s="1" t="s">
        <v>5</v>
      </c>
      <c r="C92" t="s">
        <v>11</v>
      </c>
      <c r="D92" t="s">
        <v>11</v>
      </c>
      <c r="E92" s="97">
        <v>5.0896877500000004</v>
      </c>
      <c r="F92" s="5">
        <f t="shared" si="29"/>
        <v>1.2469734987500002E-2</v>
      </c>
      <c r="G92" s="1">
        <f>LOOKUP(RIGHT(D92,5),Ref!$C$4:$C$21,Ref!$E$4:$E$21)*$G$3</f>
        <v>4.5</v>
      </c>
      <c r="H92" s="36">
        <f t="shared" si="36"/>
        <v>5.0896877500000004</v>
      </c>
      <c r="I92" s="12">
        <f t="shared" si="36"/>
        <v>5.0896877500000004</v>
      </c>
      <c r="J92" s="12">
        <f t="shared" si="36"/>
        <v>5.0896877500000004</v>
      </c>
      <c r="K92" s="12">
        <f t="shared" si="36"/>
        <v>5.0896877500000004</v>
      </c>
      <c r="L92" s="12">
        <f t="shared" si="36"/>
        <v>5.0896877500000004</v>
      </c>
      <c r="M92" s="12">
        <f t="shared" si="33"/>
        <v>5.3310706357449158</v>
      </c>
      <c r="N92" s="12">
        <f t="shared" si="33"/>
        <v>5.4757821995914178</v>
      </c>
      <c r="O92" s="12">
        <f t="shared" si="33"/>
        <v>5.6963934019801776</v>
      </c>
      <c r="P92" s="12">
        <f t="shared" si="33"/>
        <v>6.0181767038045457</v>
      </c>
      <c r="Q92" s="12">
        <f t="shared" si="33"/>
        <v>6.4585156078144532</v>
      </c>
      <c r="R92" s="12">
        <f t="shared" si="33"/>
        <v>7.0112518671087294</v>
      </c>
      <c r="S92" s="12">
        <f t="shared" si="33"/>
        <v>7.634531625000001</v>
      </c>
      <c r="T92" s="12">
        <f t="shared" si="33"/>
        <v>8.2578113828912727</v>
      </c>
      <c r="U92" s="12">
        <f t="shared" si="33"/>
        <v>8.8105476421855471</v>
      </c>
      <c r="V92" s="12">
        <f t="shared" si="33"/>
        <v>9.2508865461954546</v>
      </c>
      <c r="W92" s="12">
        <f t="shared" si="33"/>
        <v>9.5726698480198227</v>
      </c>
      <c r="X92" s="12">
        <f t="shared" si="33"/>
        <v>9.7932810504085825</v>
      </c>
      <c r="Y92" s="12">
        <f t="shared" si="33"/>
        <v>9.9379926142550854</v>
      </c>
      <c r="Z92" s="12">
        <f t="shared" si="33"/>
        <v>10.030185398219649</v>
      </c>
      <c r="AA92" s="12">
        <f t="shared" si="33"/>
        <v>10.087831307487015</v>
      </c>
      <c r="AB92" s="12">
        <f t="shared" si="33"/>
        <v>10.123455392683118</v>
      </c>
      <c r="AC92" s="12">
        <f t="shared" si="32"/>
        <v>10.145310978638094</v>
      </c>
      <c r="AD92" s="300">
        <f t="shared" si="39"/>
        <v>2.7002829600949996E-3</v>
      </c>
      <c r="AE92" s="299">
        <f t="shared" si="39"/>
        <v>2.7002829600949996E-3</v>
      </c>
      <c r="AF92" s="299">
        <f t="shared" si="39"/>
        <v>2.7002829600949996E-3</v>
      </c>
      <c r="AG92" s="299">
        <f t="shared" si="39"/>
        <v>2.7002829600949996E-3</v>
      </c>
      <c r="AH92" s="299">
        <f t="shared" si="39"/>
        <v>2.7002829600949996E-3</v>
      </c>
      <c r="AI92" s="299">
        <f t="shared" si="39"/>
        <v>2.5780181960783294E-3</v>
      </c>
      <c r="AJ92" s="299">
        <f t="shared" si="39"/>
        <v>2.5098874649460592E-3</v>
      </c>
      <c r="AK92" s="299">
        <f t="shared" si="39"/>
        <v>2.4126839797882845E-3</v>
      </c>
      <c r="AL92" s="299">
        <f t="shared" si="39"/>
        <v>2.2836812177417275E-3</v>
      </c>
      <c r="AM92" s="299">
        <f t="shared" si="39"/>
        <v>2.127980783525591E-3</v>
      </c>
      <c r="AN92" s="299">
        <f t="shared" si="39"/>
        <v>1.9602201381472817E-3</v>
      </c>
      <c r="AO92" s="299">
        <f t="shared" si="37"/>
        <v>1.8001886400633329E-3</v>
      </c>
      <c r="AP92" s="299">
        <f t="shared" si="37"/>
        <v>1.6643147277502083E-3</v>
      </c>
      <c r="AQ92" s="299">
        <f t="shared" si="37"/>
        <v>1.5599027054486274E-3</v>
      </c>
      <c r="AR92" s="299">
        <f t="shared" si="37"/>
        <v>1.4856518923779785E-3</v>
      </c>
      <c r="AS92" s="299">
        <f t="shared" si="37"/>
        <v>1.4357120136523065E-3</v>
      </c>
      <c r="AT92" s="299">
        <f t="shared" si="34"/>
        <v>1.4033700281639388E-3</v>
      </c>
      <c r="AU92" s="299">
        <f t="shared" si="34"/>
        <v>1.3829349283089026E-3</v>
      </c>
      <c r="AV92" s="299">
        <f t="shared" si="34"/>
        <v>1.3702236357434369E-3</v>
      </c>
      <c r="AW92" s="299">
        <f t="shared" si="19"/>
        <v>1.3623936289784107E-3</v>
      </c>
      <c r="AX92" s="299">
        <f t="shared" si="19"/>
        <v>1.3575994134831328E-3</v>
      </c>
      <c r="AY92" s="299">
        <f t="shared" si="19"/>
        <v>1.3546747982854045E-3</v>
      </c>
      <c r="AZ92" s="306">
        <f t="shared" si="40"/>
        <v>0.14948709167595159</v>
      </c>
      <c r="BA92" s="2">
        <f t="shared" si="40"/>
        <v>0.14948709167595159</v>
      </c>
      <c r="BB92" s="2">
        <f t="shared" si="40"/>
        <v>0.14948709167595159</v>
      </c>
      <c r="BC92" s="2">
        <f t="shared" si="40"/>
        <v>0.14948709167595159</v>
      </c>
      <c r="BD92" s="2">
        <f t="shared" si="40"/>
        <v>0.14948709167595159</v>
      </c>
      <c r="BE92" s="2">
        <f t="shared" si="40"/>
        <v>0.14271854028433906</v>
      </c>
      <c r="BF92" s="2">
        <f t="shared" si="40"/>
        <v>0.13894683746606812</v>
      </c>
      <c r="BG92" s="2">
        <f t="shared" si="40"/>
        <v>0.13356567315412837</v>
      </c>
      <c r="BH92" s="2">
        <f t="shared" si="40"/>
        <v>0.12642410762137168</v>
      </c>
      <c r="BI92" s="2">
        <f t="shared" si="40"/>
        <v>0.11780456462250234</v>
      </c>
      <c r="BJ92" s="2">
        <f t="shared" si="40"/>
        <v>0.10851737089284896</v>
      </c>
      <c r="BK92" s="2">
        <f t="shared" si="38"/>
        <v>9.965806111730105E-2</v>
      </c>
      <c r="BL92" s="2">
        <f t="shared" si="38"/>
        <v>9.2136110163832191E-2</v>
      </c>
      <c r="BM92" s="2">
        <f t="shared" si="38"/>
        <v>8.6355882765249192E-2</v>
      </c>
      <c r="BN92" s="2">
        <f t="shared" si="38"/>
        <v>8.2245373509539366E-2</v>
      </c>
      <c r="BO92" s="2">
        <f t="shared" si="38"/>
        <v>7.9480712420433433E-2</v>
      </c>
      <c r="BP92" s="2">
        <f t="shared" si="35"/>
        <v>7.7690266966705182E-2</v>
      </c>
      <c r="BQ92" s="2">
        <f t="shared" si="35"/>
        <v>7.6558984175019704E-2</v>
      </c>
      <c r="BR92" s="2">
        <f t="shared" si="35"/>
        <v>7.5855289715907631E-2</v>
      </c>
      <c r="BS92" s="2">
        <f t="shared" si="20"/>
        <v>7.5421822202908315E-2</v>
      </c>
      <c r="BT92" s="2">
        <f t="shared" si="20"/>
        <v>7.5156415450413142E-2</v>
      </c>
      <c r="BU92" s="2">
        <f t="shared" si="20"/>
        <v>7.4994509373664683E-2</v>
      </c>
    </row>
    <row r="93" spans="1:73" x14ac:dyDescent="0.25">
      <c r="A93" t="s">
        <v>47</v>
      </c>
      <c r="B93" s="1" t="s">
        <v>5</v>
      </c>
      <c r="C93" t="s">
        <v>14</v>
      </c>
      <c r="D93" t="s">
        <v>14</v>
      </c>
      <c r="E93" s="97">
        <v>4.2128664999999996</v>
      </c>
      <c r="F93" s="5">
        <f t="shared" si="29"/>
        <v>1.0321522925E-2</v>
      </c>
      <c r="G93" s="1">
        <f>LOOKUP(RIGHT(D93,5),Ref!$C$4:$C$21,Ref!$E$4:$E$21)*$G$3</f>
        <v>2</v>
      </c>
      <c r="H93" s="36">
        <f t="shared" si="36"/>
        <v>4.2128664999999996</v>
      </c>
      <c r="I93" s="12">
        <f t="shared" si="36"/>
        <v>4.2128664999999996</v>
      </c>
      <c r="J93" s="12">
        <f t="shared" si="36"/>
        <v>4.2128664999999996</v>
      </c>
      <c r="K93" s="12">
        <f t="shared" si="36"/>
        <v>4.2128664999999996</v>
      </c>
      <c r="L93" s="12">
        <f t="shared" si="36"/>
        <v>4.2128664999999996</v>
      </c>
      <c r="M93" s="12">
        <f t="shared" si="33"/>
        <v>4.4126653723430191</v>
      </c>
      <c r="N93" s="12">
        <f t="shared" si="33"/>
        <v>4.5324468853624653</v>
      </c>
      <c r="O93" s="12">
        <f t="shared" si="33"/>
        <v>4.7150524968890908</v>
      </c>
      <c r="P93" s="12">
        <f t="shared" si="33"/>
        <v>4.9814008779887509</v>
      </c>
      <c r="Q93" s="12">
        <f t="shared" si="33"/>
        <v>5.3458808045520367</v>
      </c>
      <c r="R93" s="12">
        <f t="shared" si="33"/>
        <v>5.8033949359673018</v>
      </c>
      <c r="S93" s="12">
        <f t="shared" si="33"/>
        <v>6.319299749999999</v>
      </c>
      <c r="T93" s="12">
        <f t="shared" si="33"/>
        <v>6.835204564032697</v>
      </c>
      <c r="U93" s="12">
        <f t="shared" si="33"/>
        <v>7.2927186954479621</v>
      </c>
      <c r="V93" s="12">
        <f t="shared" si="33"/>
        <v>7.657198622011248</v>
      </c>
      <c r="W93" s="12">
        <f t="shared" si="33"/>
        <v>7.9235470031109072</v>
      </c>
      <c r="X93" s="12">
        <f t="shared" si="33"/>
        <v>8.1061526146375336</v>
      </c>
      <c r="Y93" s="12">
        <f t="shared" si="33"/>
        <v>8.2259341276569806</v>
      </c>
      <c r="Z93" s="12">
        <f t="shared" si="33"/>
        <v>8.3022444850273409</v>
      </c>
      <c r="AA93" s="12">
        <f t="shared" si="33"/>
        <v>8.3499594985887367</v>
      </c>
      <c r="AB93" s="12">
        <f t="shared" si="33"/>
        <v>8.3794464774541524</v>
      </c>
      <c r="AC93" s="12">
        <f t="shared" si="32"/>
        <v>8.3975369125515869</v>
      </c>
      <c r="AD93" s="300">
        <f t="shared" si="39"/>
        <v>3.2622911510557621E-3</v>
      </c>
      <c r="AE93" s="299">
        <f t="shared" si="39"/>
        <v>3.2622911510557621E-3</v>
      </c>
      <c r="AF93" s="299">
        <f t="shared" si="39"/>
        <v>3.2622911510557621E-3</v>
      </c>
      <c r="AG93" s="299">
        <f t="shared" si="39"/>
        <v>3.2622911510557621E-3</v>
      </c>
      <c r="AH93" s="299">
        <f t="shared" si="39"/>
        <v>3.2622911510557621E-3</v>
      </c>
      <c r="AI93" s="299">
        <f t="shared" si="39"/>
        <v>3.1145794987467498E-3</v>
      </c>
      <c r="AJ93" s="299">
        <f t="shared" si="39"/>
        <v>3.0322687614749992E-3</v>
      </c>
      <c r="AK93" s="299">
        <f t="shared" si="39"/>
        <v>2.9148343762019713E-3</v>
      </c>
      <c r="AL93" s="299">
        <f t="shared" si="39"/>
        <v>2.7589823505789119E-3</v>
      </c>
      <c r="AM93" s="299">
        <f t="shared" si="39"/>
        <v>2.5708760831005691E-3</v>
      </c>
      <c r="AN93" s="299">
        <f t="shared" si="39"/>
        <v>2.3681995203103465E-3</v>
      </c>
      <c r="AO93" s="299">
        <f t="shared" si="37"/>
        <v>2.1748607673705085E-3</v>
      </c>
      <c r="AP93" s="299">
        <f t="shared" si="37"/>
        <v>2.0107075033056047E-3</v>
      </c>
      <c r="AQ93" s="299">
        <f t="shared" si="37"/>
        <v>1.8845642725953309E-3</v>
      </c>
      <c r="AR93" s="299">
        <f t="shared" si="37"/>
        <v>1.7948596845878018E-3</v>
      </c>
      <c r="AS93" s="299">
        <f t="shared" si="37"/>
        <v>1.7345258503714701E-3</v>
      </c>
      <c r="AT93" s="299">
        <f t="shared" si="34"/>
        <v>1.6954525478229975E-3</v>
      </c>
      <c r="AU93" s="299">
        <f t="shared" si="34"/>
        <v>1.6707643035118605E-3</v>
      </c>
      <c r="AV93" s="299">
        <f t="shared" si="34"/>
        <v>1.6554074176344856E-3</v>
      </c>
      <c r="AW93" s="299">
        <f t="shared" si="19"/>
        <v>1.645947756495361E-3</v>
      </c>
      <c r="AX93" s="299">
        <f t="shared" si="19"/>
        <v>1.6401557239500199E-3</v>
      </c>
      <c r="AY93" s="299">
        <f t="shared" si="19"/>
        <v>1.6366224104340703E-3</v>
      </c>
      <c r="AZ93" s="306">
        <f t="shared" si="40"/>
        <v>0.18059974587047034</v>
      </c>
      <c r="BA93" s="2">
        <f t="shared" si="40"/>
        <v>0.18059974587047034</v>
      </c>
      <c r="BB93" s="2">
        <f t="shared" si="40"/>
        <v>0.18059974587047034</v>
      </c>
      <c r="BC93" s="2">
        <f t="shared" si="40"/>
        <v>0.18059974587047034</v>
      </c>
      <c r="BD93" s="2">
        <f t="shared" si="40"/>
        <v>0.18059974587047034</v>
      </c>
      <c r="BE93" s="2">
        <f t="shared" si="40"/>
        <v>0.17242246014277504</v>
      </c>
      <c r="BF93" s="2">
        <f t="shared" si="40"/>
        <v>0.16786575519359279</v>
      </c>
      <c r="BG93" s="2">
        <f t="shared" si="40"/>
        <v>0.16136461254423115</v>
      </c>
      <c r="BH93" s="2">
        <f t="shared" si="40"/>
        <v>0.15273667747724196</v>
      </c>
      <c r="BI93" s="2">
        <f t="shared" si="40"/>
        <v>0.14232315442543306</v>
      </c>
      <c r="BJ93" s="2">
        <f t="shared" si="40"/>
        <v>0.13110302291694742</v>
      </c>
      <c r="BK93" s="2">
        <f t="shared" si="38"/>
        <v>0.12039983058031357</v>
      </c>
      <c r="BL93" s="2">
        <f t="shared" si="38"/>
        <v>0.11131234071469089</v>
      </c>
      <c r="BM93" s="2">
        <f t="shared" si="38"/>
        <v>0.10432907822992372</v>
      </c>
      <c r="BN93" s="2">
        <f t="shared" si="38"/>
        <v>9.9363051272969863E-2</v>
      </c>
      <c r="BO93" s="2">
        <f t="shared" si="38"/>
        <v>9.6022983013478586E-2</v>
      </c>
      <c r="BP93" s="2">
        <f t="shared" si="35"/>
        <v>9.3859893275675621E-2</v>
      </c>
      <c r="BQ93" s="2">
        <f t="shared" si="35"/>
        <v>9.249315730940956E-2</v>
      </c>
      <c r="BR93" s="2">
        <f t="shared" si="35"/>
        <v>9.1643003365940043E-2</v>
      </c>
      <c r="BS93" s="2">
        <f t="shared" si="20"/>
        <v>9.1119318532600205E-2</v>
      </c>
      <c r="BT93" s="2">
        <f t="shared" si="20"/>
        <v>9.0798672839948413E-2</v>
      </c>
      <c r="BU93" s="2">
        <f t="shared" si="20"/>
        <v>9.0603069353467861E-2</v>
      </c>
    </row>
    <row r="94" spans="1:73" x14ac:dyDescent="0.25">
      <c r="A94" t="s">
        <v>47</v>
      </c>
      <c r="B94" s="1" t="s">
        <v>5</v>
      </c>
      <c r="C94" t="s">
        <v>16</v>
      </c>
      <c r="D94" t="s">
        <v>16</v>
      </c>
      <c r="E94" s="97">
        <v>3.73827525</v>
      </c>
      <c r="F94" s="5">
        <f t="shared" si="29"/>
        <v>9.1587743624999985E-3</v>
      </c>
      <c r="G94" s="1">
        <f>LOOKUP(RIGHT(D94,5),Ref!$C$4:$C$21,Ref!$E$4:$E$21)*$G$3</f>
        <v>3</v>
      </c>
      <c r="H94" s="36">
        <f t="shared" si="36"/>
        <v>3.73827525</v>
      </c>
      <c r="I94" s="12">
        <f t="shared" si="36"/>
        <v>3.73827525</v>
      </c>
      <c r="J94" s="12">
        <f t="shared" si="36"/>
        <v>3.73827525</v>
      </c>
      <c r="K94" s="12">
        <f t="shared" si="36"/>
        <v>3.73827525</v>
      </c>
      <c r="L94" s="12">
        <f t="shared" si="36"/>
        <v>3.73827525</v>
      </c>
      <c r="M94" s="12">
        <f t="shared" si="33"/>
        <v>3.9155662179093365</v>
      </c>
      <c r="N94" s="12">
        <f t="shared" si="33"/>
        <v>4.0218540068834585</v>
      </c>
      <c r="O94" s="12">
        <f t="shared" si="33"/>
        <v>4.183888583122962</v>
      </c>
      <c r="P94" s="12">
        <f t="shared" si="33"/>
        <v>4.4202320706135874</v>
      </c>
      <c r="Q94" s="12">
        <f t="shared" si="33"/>
        <v>4.743652309207274</v>
      </c>
      <c r="R94" s="12">
        <f t="shared" si="33"/>
        <v>5.1496261880365548</v>
      </c>
      <c r="S94" s="12">
        <f t="shared" si="33"/>
        <v>5.6074128749999996</v>
      </c>
      <c r="T94" s="12">
        <f t="shared" si="33"/>
        <v>6.0651995619634453</v>
      </c>
      <c r="U94" s="12">
        <f t="shared" si="33"/>
        <v>6.4711734407927262</v>
      </c>
      <c r="V94" s="12">
        <f t="shared" si="33"/>
        <v>6.7945936793864128</v>
      </c>
      <c r="W94" s="12">
        <f t="shared" si="33"/>
        <v>7.0309371668770373</v>
      </c>
      <c r="X94" s="12">
        <f t="shared" si="33"/>
        <v>7.1929717431165416</v>
      </c>
      <c r="Y94" s="12">
        <f t="shared" si="33"/>
        <v>7.2992595320906632</v>
      </c>
      <c r="Z94" s="12">
        <f t="shared" si="33"/>
        <v>7.3669733132599164</v>
      </c>
      <c r="AA94" s="12">
        <f t="shared" si="33"/>
        <v>7.4093130964574101</v>
      </c>
      <c r="AB94" s="12">
        <f t="shared" si="33"/>
        <v>7.435478284290884</v>
      </c>
      <c r="AC94" s="12">
        <f t="shared" si="32"/>
        <v>7.4515307810378069</v>
      </c>
      <c r="AD94" s="300">
        <f t="shared" si="39"/>
        <v>3.676454028774168E-3</v>
      </c>
      <c r="AE94" s="299">
        <f t="shared" si="39"/>
        <v>3.676454028774168E-3</v>
      </c>
      <c r="AF94" s="299">
        <f t="shared" si="39"/>
        <v>3.676454028774168E-3</v>
      </c>
      <c r="AG94" s="299">
        <f t="shared" si="39"/>
        <v>3.676454028774168E-3</v>
      </c>
      <c r="AH94" s="299">
        <f t="shared" si="39"/>
        <v>3.676454028774168E-3</v>
      </c>
      <c r="AI94" s="299">
        <f t="shared" si="39"/>
        <v>3.5099897022983989E-3</v>
      </c>
      <c r="AJ94" s="299">
        <f t="shared" si="39"/>
        <v>3.4172292380595876E-3</v>
      </c>
      <c r="AK94" s="299">
        <f t="shared" si="39"/>
        <v>3.2848860170341071E-3</v>
      </c>
      <c r="AL94" s="299">
        <f t="shared" si="39"/>
        <v>3.1092478593825199E-3</v>
      </c>
      <c r="AM94" s="299">
        <f t="shared" si="39"/>
        <v>2.8972606354081614E-3</v>
      </c>
      <c r="AN94" s="299">
        <f t="shared" si="39"/>
        <v>2.6688533500660574E-3</v>
      </c>
      <c r="AO94" s="299">
        <f t="shared" si="37"/>
        <v>2.4509693525161121E-3</v>
      </c>
      <c r="AP94" s="299">
        <f t="shared" si="37"/>
        <v>2.2659760759924838E-3</v>
      </c>
      <c r="AQ94" s="299">
        <f t="shared" si="37"/>
        <v>2.1238183815153089E-3</v>
      </c>
      <c r="AR94" s="299">
        <f t="shared" si="37"/>
        <v>2.0227253831564475E-3</v>
      </c>
      <c r="AS94" s="299">
        <f t="shared" si="37"/>
        <v>1.9547318909740471E-3</v>
      </c>
      <c r="AT94" s="299">
        <f t="shared" si="34"/>
        <v>1.9106980528154403E-3</v>
      </c>
      <c r="AU94" s="299">
        <f t="shared" si="34"/>
        <v>1.8828755222507893E-3</v>
      </c>
      <c r="AV94" s="299">
        <f t="shared" si="34"/>
        <v>1.8655690090246385E-3</v>
      </c>
      <c r="AW94" s="299">
        <f t="shared" si="19"/>
        <v>1.8549084003617608E-3</v>
      </c>
      <c r="AX94" s="299">
        <f t="shared" si="19"/>
        <v>1.8483810426244793E-3</v>
      </c>
      <c r="AY94" s="299">
        <f t="shared" si="19"/>
        <v>1.8443991586940918E-3</v>
      </c>
      <c r="AZ94" s="306">
        <f t="shared" si="40"/>
        <v>0.20352771489638644</v>
      </c>
      <c r="BA94" s="2">
        <f t="shared" si="40"/>
        <v>0.20352771489638644</v>
      </c>
      <c r="BB94" s="2">
        <f t="shared" si="40"/>
        <v>0.20352771489638644</v>
      </c>
      <c r="BC94" s="2">
        <f t="shared" si="40"/>
        <v>0.20352771489638644</v>
      </c>
      <c r="BD94" s="2">
        <f t="shared" si="40"/>
        <v>0.20352771489638644</v>
      </c>
      <c r="BE94" s="2">
        <f t="shared" si="40"/>
        <v>0.1943122851061013</v>
      </c>
      <c r="BF94" s="2">
        <f t="shared" si="40"/>
        <v>0.18917708548943477</v>
      </c>
      <c r="BG94" s="2">
        <f t="shared" si="40"/>
        <v>0.18185059285644392</v>
      </c>
      <c r="BH94" s="2">
        <f t="shared" si="40"/>
        <v>0.17212730171893501</v>
      </c>
      <c r="BI94" s="2">
        <f t="shared" si="40"/>
        <v>0.16039173398300022</v>
      </c>
      <c r="BJ94" s="2">
        <f t="shared" si="40"/>
        <v>0.14774715513405279</v>
      </c>
      <c r="BK94" s="2">
        <f t="shared" si="38"/>
        <v>0.13568514326425765</v>
      </c>
      <c r="BL94" s="2">
        <f t="shared" si="38"/>
        <v>0.12544395473113096</v>
      </c>
      <c r="BM94" s="2">
        <f t="shared" si="38"/>
        <v>0.11757413493046691</v>
      </c>
      <c r="BN94" s="2">
        <f t="shared" si="38"/>
        <v>0.1119776479930623</v>
      </c>
      <c r="BO94" s="2">
        <f t="shared" si="38"/>
        <v>0.10821354269393431</v>
      </c>
      <c r="BP94" s="2">
        <f t="shared" si="35"/>
        <v>0.10577583875737054</v>
      </c>
      <c r="BQ94" s="2">
        <f t="shared" si="35"/>
        <v>0.10423558936919952</v>
      </c>
      <c r="BR94" s="2">
        <f t="shared" si="35"/>
        <v>0.10327750446940899</v>
      </c>
      <c r="BS94" s="2">
        <f t="shared" si="20"/>
        <v>0.10268733543599297</v>
      </c>
      <c r="BT94" s="2">
        <f t="shared" si="20"/>
        <v>0.10232598229674997</v>
      </c>
      <c r="BU94" s="2">
        <f t="shared" si="20"/>
        <v>0.1021055460473119</v>
      </c>
    </row>
    <row r="95" spans="1:73" x14ac:dyDescent="0.25">
      <c r="A95" t="s">
        <v>47</v>
      </c>
      <c r="B95" s="1" t="s">
        <v>5</v>
      </c>
      <c r="C95" t="s">
        <v>17</v>
      </c>
      <c r="D95" t="s">
        <v>17</v>
      </c>
      <c r="E95" s="97">
        <v>6.4594779999999998</v>
      </c>
      <c r="F95" s="5">
        <f t="shared" si="29"/>
        <v>1.5825721099999999E-2</v>
      </c>
      <c r="G95" s="1">
        <f>LOOKUP(RIGHT(D95,5),Ref!$C$4:$C$21,Ref!$E$4:$E$21)*$G$3</f>
        <v>3</v>
      </c>
      <c r="H95" s="36">
        <f t="shared" si="36"/>
        <v>6.4594779999999998</v>
      </c>
      <c r="I95" s="12">
        <f t="shared" si="36"/>
        <v>6.4594779999999998</v>
      </c>
      <c r="J95" s="12">
        <f t="shared" si="36"/>
        <v>6.4594779999999998</v>
      </c>
      <c r="K95" s="12">
        <f t="shared" si="36"/>
        <v>6.4594779999999998</v>
      </c>
      <c r="L95" s="12">
        <f t="shared" si="36"/>
        <v>6.4594779999999998</v>
      </c>
      <c r="M95" s="12">
        <f t="shared" si="33"/>
        <v>6.7658243844212826</v>
      </c>
      <c r="N95" s="12">
        <f t="shared" si="33"/>
        <v>6.9494822449672613</v>
      </c>
      <c r="O95" s="12">
        <f t="shared" si="33"/>
        <v>7.2294666523375835</v>
      </c>
      <c r="P95" s="12">
        <f t="shared" si="33"/>
        <v>7.6378516576656352</v>
      </c>
      <c r="Q95" s="12">
        <f t="shared" si="33"/>
        <v>8.1966991946282146</v>
      </c>
      <c r="R95" s="12">
        <f t="shared" si="33"/>
        <v>8.8981936442069074</v>
      </c>
      <c r="S95" s="12">
        <f t="shared" si="33"/>
        <v>9.6892169999999993</v>
      </c>
      <c r="T95" s="12">
        <f t="shared" si="33"/>
        <v>10.480240355793093</v>
      </c>
      <c r="U95" s="12">
        <f t="shared" si="33"/>
        <v>11.181734805371786</v>
      </c>
      <c r="V95" s="12">
        <f t="shared" si="33"/>
        <v>11.740582342334365</v>
      </c>
      <c r="W95" s="12">
        <f t="shared" si="33"/>
        <v>12.148967347662413</v>
      </c>
      <c r="X95" s="12">
        <f t="shared" si="33"/>
        <v>12.428951755032738</v>
      </c>
      <c r="Y95" s="12">
        <f t="shared" si="33"/>
        <v>12.612609615578718</v>
      </c>
      <c r="Z95" s="12">
        <f t="shared" si="33"/>
        <v>12.729614290330691</v>
      </c>
      <c r="AA95" s="12">
        <f t="shared" si="33"/>
        <v>12.802774472446488</v>
      </c>
      <c r="AB95" s="12">
        <f t="shared" si="33"/>
        <v>12.847986085790421</v>
      </c>
      <c r="AC95" s="12">
        <f t="shared" si="32"/>
        <v>12.875723676697303</v>
      </c>
      <c r="AD95" s="300">
        <f t="shared" si="39"/>
        <v>2.1276637374613334E-3</v>
      </c>
      <c r="AE95" s="299">
        <f t="shared" si="39"/>
        <v>2.1276637374613334E-3</v>
      </c>
      <c r="AF95" s="299">
        <f t="shared" si="39"/>
        <v>2.1276637374613334E-3</v>
      </c>
      <c r="AG95" s="299">
        <f t="shared" si="39"/>
        <v>2.1276637374613334E-3</v>
      </c>
      <c r="AH95" s="299">
        <f t="shared" si="39"/>
        <v>2.1276637374613334E-3</v>
      </c>
      <c r="AI95" s="299">
        <f t="shared" si="39"/>
        <v>2.0313263133424977E-3</v>
      </c>
      <c r="AJ95" s="299">
        <f t="shared" si="39"/>
        <v>1.9776433148645314E-3</v>
      </c>
      <c r="AK95" s="299">
        <f t="shared" si="39"/>
        <v>1.9010527006283915E-3</v>
      </c>
      <c r="AL95" s="299">
        <f t="shared" si="39"/>
        <v>1.7994061314002699E-3</v>
      </c>
      <c r="AM95" s="299">
        <f t="shared" si="39"/>
        <v>1.6767233708583887E-3</v>
      </c>
      <c r="AN95" s="299">
        <f t="shared" si="39"/>
        <v>1.5445378751087206E-3</v>
      </c>
      <c r="AO95" s="299">
        <f t="shared" si="37"/>
        <v>1.418442491640889E-3</v>
      </c>
      <c r="AP95" s="299">
        <f t="shared" si="37"/>
        <v>1.3113818611929357E-3</v>
      </c>
      <c r="AQ95" s="299">
        <f t="shared" si="37"/>
        <v>1.2291113447733294E-3</v>
      </c>
      <c r="AR95" s="299">
        <f t="shared" si="37"/>
        <v>1.1706060826278091E-3</v>
      </c>
      <c r="AS95" s="299">
        <f t="shared" si="37"/>
        <v>1.131256403135668E-3</v>
      </c>
      <c r="AT95" s="299">
        <f t="shared" si="34"/>
        <v>1.1057728257706202E-3</v>
      </c>
      <c r="AU95" s="299">
        <f t="shared" si="34"/>
        <v>1.0896711721382053E-3</v>
      </c>
      <c r="AV95" s="299">
        <f t="shared" si="34"/>
        <v>1.079655423178751E-3</v>
      </c>
      <c r="AW95" s="299">
        <f t="shared" si="19"/>
        <v>1.073485839581691E-3</v>
      </c>
      <c r="AX95" s="299">
        <f t="shared" si="19"/>
        <v>1.0697082804852478E-3</v>
      </c>
      <c r="AY95" s="299">
        <f t="shared" si="19"/>
        <v>1.0674038561733542E-3</v>
      </c>
      <c r="AZ95" s="306">
        <f t="shared" si="40"/>
        <v>0.11778701301966162</v>
      </c>
      <c r="BA95" s="2">
        <f t="shared" si="40"/>
        <v>0.11778701301966162</v>
      </c>
      <c r="BB95" s="2">
        <f t="shared" si="40"/>
        <v>0.11778701301966162</v>
      </c>
      <c r="BC95" s="2">
        <f t="shared" si="40"/>
        <v>0.11778701301966162</v>
      </c>
      <c r="BD95" s="2">
        <f t="shared" si="40"/>
        <v>0.11778701301966162</v>
      </c>
      <c r="BE95" s="2">
        <f t="shared" si="40"/>
        <v>0.11245379366306102</v>
      </c>
      <c r="BF95" s="2">
        <f t="shared" si="40"/>
        <v>0.10948191425875095</v>
      </c>
      <c r="BG95" s="2">
        <f t="shared" si="40"/>
        <v>0.10524187410702089</v>
      </c>
      <c r="BH95" s="2">
        <f t="shared" si="40"/>
        <v>9.9614741603760729E-2</v>
      </c>
      <c r="BI95" s="2">
        <f t="shared" si="40"/>
        <v>9.282305001321059E-2</v>
      </c>
      <c r="BJ95" s="2">
        <f t="shared" si="40"/>
        <v>8.5505289018019723E-2</v>
      </c>
      <c r="BK95" s="2">
        <f t="shared" si="38"/>
        <v>7.8524675346441086E-2</v>
      </c>
      <c r="BL95" s="2">
        <f t="shared" si="38"/>
        <v>7.2597821562904508E-2</v>
      </c>
      <c r="BM95" s="2">
        <f t="shared" si="38"/>
        <v>6.8043343231562206E-2</v>
      </c>
      <c r="BN95" s="2">
        <f t="shared" si="38"/>
        <v>6.4804504333891538E-2</v>
      </c>
      <c r="BO95" s="2">
        <f t="shared" si="38"/>
        <v>6.2626114427133742E-2</v>
      </c>
      <c r="BP95" s="2">
        <f t="shared" si="35"/>
        <v>6.1215348991771328E-2</v>
      </c>
      <c r="BQ95" s="2">
        <f t="shared" si="35"/>
        <v>6.0323964863421106E-2</v>
      </c>
      <c r="BR95" s="2">
        <f t="shared" si="35"/>
        <v>5.9769495126348604E-2</v>
      </c>
      <c r="BS95" s="2">
        <f t="shared" si="20"/>
        <v>5.9427948287589259E-2</v>
      </c>
      <c r="BT95" s="2">
        <f t="shared" si="20"/>
        <v>5.9218823417601013E-2</v>
      </c>
      <c r="BU95" s="2">
        <f t="shared" si="20"/>
        <v>5.9091250976689047E-2</v>
      </c>
    </row>
    <row r="96" spans="1:73" x14ac:dyDescent="0.25">
      <c r="A96" t="s">
        <v>47</v>
      </c>
      <c r="B96" s="1" t="s">
        <v>5</v>
      </c>
      <c r="C96" t="s">
        <v>18</v>
      </c>
      <c r="D96" t="s">
        <v>18</v>
      </c>
      <c r="E96" s="97">
        <v>6.6400800000000002</v>
      </c>
      <c r="F96" s="5">
        <f t="shared" si="29"/>
        <v>1.6268195999999999E-2</v>
      </c>
      <c r="G96" s="1">
        <f>LOOKUP(RIGHT(D96,5),Ref!$C$4:$C$21,Ref!$E$4:$E$21)*$G$3</f>
        <v>3</v>
      </c>
      <c r="H96" s="36">
        <f t="shared" si="36"/>
        <v>6.6400800000000002</v>
      </c>
      <c r="I96" s="12">
        <f t="shared" si="36"/>
        <v>6.6400800000000002</v>
      </c>
      <c r="J96" s="12">
        <f t="shared" si="36"/>
        <v>6.6400800000000002</v>
      </c>
      <c r="K96" s="12">
        <f t="shared" si="36"/>
        <v>6.6400800000000002</v>
      </c>
      <c r="L96" s="12">
        <f t="shared" si="36"/>
        <v>6.6400800000000002</v>
      </c>
      <c r="M96" s="12">
        <f t="shared" si="33"/>
        <v>6.9549915919688976</v>
      </c>
      <c r="N96" s="12">
        <f t="shared" si="33"/>
        <v>7.1437843839954587</v>
      </c>
      <c r="O96" s="12">
        <f t="shared" si="33"/>
        <v>7.4315969384606229</v>
      </c>
      <c r="P96" s="12">
        <f t="shared" si="33"/>
        <v>7.8514000721161112</v>
      </c>
      <c r="Q96" s="12">
        <f t="shared" si="33"/>
        <v>8.4258725532104783</v>
      </c>
      <c r="R96" s="12">
        <f t="shared" si="33"/>
        <v>9.1469802440731911</v>
      </c>
      <c r="S96" s="12">
        <f t="shared" si="33"/>
        <v>9.9601199999999999</v>
      </c>
      <c r="T96" s="12">
        <f t="shared" si="33"/>
        <v>10.77325975592681</v>
      </c>
      <c r="U96" s="12">
        <f t="shared" si="33"/>
        <v>11.494367446789523</v>
      </c>
      <c r="V96" s="12">
        <f t="shared" si="33"/>
        <v>12.068839927883889</v>
      </c>
      <c r="W96" s="12">
        <f t="shared" si="33"/>
        <v>12.488643061539376</v>
      </c>
      <c r="X96" s="12">
        <f t="shared" si="33"/>
        <v>12.776455616004542</v>
      </c>
      <c r="Y96" s="12">
        <f t="shared" si="33"/>
        <v>12.965248408031103</v>
      </c>
      <c r="Z96" s="12">
        <f t="shared" si="33"/>
        <v>13.085524442832535</v>
      </c>
      <c r="AA96" s="12">
        <f t="shared" si="33"/>
        <v>13.160730126954915</v>
      </c>
      <c r="AB96" s="12">
        <f t="shared" si="33"/>
        <v>13.207205821977452</v>
      </c>
      <c r="AC96" s="12">
        <f t="shared" si="32"/>
        <v>13.235718934434676</v>
      </c>
      <c r="AD96" s="300">
        <f t="shared" si="39"/>
        <v>2.0697939036170136E-3</v>
      </c>
      <c r="AE96" s="299">
        <f t="shared" si="39"/>
        <v>2.0697939036170136E-3</v>
      </c>
      <c r="AF96" s="299">
        <f t="shared" si="39"/>
        <v>2.0697939036170136E-3</v>
      </c>
      <c r="AG96" s="299">
        <f t="shared" si="39"/>
        <v>2.0697939036170136E-3</v>
      </c>
      <c r="AH96" s="299">
        <f t="shared" si="39"/>
        <v>2.0697939036170136E-3</v>
      </c>
      <c r="AI96" s="299">
        <f t="shared" si="39"/>
        <v>1.9760767388129316E-3</v>
      </c>
      <c r="AJ96" s="299">
        <f t="shared" si="39"/>
        <v>1.9238538517931277E-3</v>
      </c>
      <c r="AK96" s="299">
        <f t="shared" si="39"/>
        <v>1.8493464079573859E-3</v>
      </c>
      <c r="AL96" s="299">
        <f t="shared" si="39"/>
        <v>1.750464500253785E-3</v>
      </c>
      <c r="AM96" s="299">
        <f t="shared" si="39"/>
        <v>1.631118559738076E-3</v>
      </c>
      <c r="AN96" s="299">
        <f t="shared" si="39"/>
        <v>1.5025283467114141E-3</v>
      </c>
      <c r="AO96" s="299">
        <f t="shared" si="37"/>
        <v>1.3798626024113423E-3</v>
      </c>
      <c r="AP96" s="299">
        <f t="shared" si="37"/>
        <v>1.2757138892866985E-3</v>
      </c>
      <c r="AQ96" s="299">
        <f t="shared" si="37"/>
        <v>1.1956810296131577E-3</v>
      </c>
      <c r="AR96" s="299">
        <f t="shared" si="37"/>
        <v>1.138767038559854E-3</v>
      </c>
      <c r="AS96" s="299">
        <f t="shared" si="37"/>
        <v>1.100487621898227E-3</v>
      </c>
      <c r="AT96" s="299">
        <f t="shared" si="34"/>
        <v>1.0756971664593127E-3</v>
      </c>
      <c r="AU96" s="299">
        <f t="shared" si="34"/>
        <v>1.060033457979565E-3</v>
      </c>
      <c r="AV96" s="299">
        <f t="shared" si="34"/>
        <v>1.0502901250593114E-3</v>
      </c>
      <c r="AW96" s="299">
        <f t="shared" si="19"/>
        <v>1.0442883465394185E-3</v>
      </c>
      <c r="AX96" s="299">
        <f t="shared" si="19"/>
        <v>1.0406135323990503E-3</v>
      </c>
      <c r="AY96" s="299">
        <f t="shared" si="19"/>
        <v>1.0383717855909787E-3</v>
      </c>
      <c r="AZ96" s="306">
        <f t="shared" si="40"/>
        <v>0.11458335129790873</v>
      </c>
      <c r="BA96" s="2">
        <f t="shared" si="40"/>
        <v>0.11458335129790873</v>
      </c>
      <c r="BB96" s="2">
        <f t="shared" si="40"/>
        <v>0.11458335129790873</v>
      </c>
      <c r="BC96" s="2">
        <f t="shared" si="40"/>
        <v>0.11458335129790873</v>
      </c>
      <c r="BD96" s="2">
        <f t="shared" si="40"/>
        <v>0.11458335129790873</v>
      </c>
      <c r="BE96" s="2">
        <f t="shared" si="40"/>
        <v>0.10939518894095886</v>
      </c>
      <c r="BF96" s="2">
        <f t="shared" si="40"/>
        <v>0.1065041409971398</v>
      </c>
      <c r="BG96" s="2">
        <f t="shared" si="40"/>
        <v>0.10237942471673098</v>
      </c>
      <c r="BH96" s="2">
        <f t="shared" si="40"/>
        <v>9.690534328881234E-2</v>
      </c>
      <c r="BI96" s="2">
        <f t="shared" si="40"/>
        <v>9.0298377346844247E-2</v>
      </c>
      <c r="BJ96" s="2">
        <f t="shared" si="40"/>
        <v>8.3179650440286856E-2</v>
      </c>
      <c r="BK96" s="2">
        <f t="shared" si="38"/>
        <v>7.6388900865272488E-2</v>
      </c>
      <c r="BL96" s="2">
        <f t="shared" si="38"/>
        <v>7.0623250206851007E-2</v>
      </c>
      <c r="BM96" s="2">
        <f t="shared" si="38"/>
        <v>6.6192648078144373E-2</v>
      </c>
      <c r="BN96" s="2">
        <f t="shared" si="38"/>
        <v>6.3041901610474127E-2</v>
      </c>
      <c r="BO96" s="2">
        <f t="shared" si="38"/>
        <v>6.092276122690584E-2</v>
      </c>
      <c r="BP96" s="2">
        <f t="shared" si="35"/>
        <v>5.9550366874295046E-2</v>
      </c>
      <c r="BQ96" s="2">
        <f t="shared" si="35"/>
        <v>5.868322729666535E-2</v>
      </c>
      <c r="BR96" s="2">
        <f t="shared" si="35"/>
        <v>5.8143838453716824E-2</v>
      </c>
      <c r="BS96" s="2">
        <f t="shared" si="20"/>
        <v>5.7811581268421536E-2</v>
      </c>
      <c r="BT96" s="2">
        <f t="shared" si="20"/>
        <v>5.7608144337399331E-2</v>
      </c>
      <c r="BU96" s="2">
        <f t="shared" si="20"/>
        <v>5.7484041709798886E-2</v>
      </c>
    </row>
    <row r="97" spans="1:73" x14ac:dyDescent="0.25">
      <c r="A97" t="s">
        <v>47</v>
      </c>
      <c r="B97" s="1" t="s">
        <v>5</v>
      </c>
      <c r="C97" t="s">
        <v>10</v>
      </c>
      <c r="D97" t="s">
        <v>10</v>
      </c>
      <c r="E97" s="97">
        <v>6.9013105000000001</v>
      </c>
      <c r="F97" s="5">
        <f t="shared" si="29"/>
        <v>1.6908210725000001E-2</v>
      </c>
      <c r="G97" s="1">
        <f>LOOKUP(RIGHT(D97,5),Ref!$C$4:$C$21,Ref!$E$4:$E$21)*$G$3</f>
        <v>4.5</v>
      </c>
      <c r="H97" s="36">
        <f t="shared" si="36"/>
        <v>6.9013105000000001</v>
      </c>
      <c r="I97" s="12">
        <f t="shared" si="36"/>
        <v>6.9013105000000001</v>
      </c>
      <c r="J97" s="12">
        <f t="shared" si="36"/>
        <v>6.9013105000000001</v>
      </c>
      <c r="K97" s="12">
        <f t="shared" si="36"/>
        <v>6.9013105000000001</v>
      </c>
      <c r="L97" s="12">
        <f t="shared" si="36"/>
        <v>6.9013105000000001</v>
      </c>
      <c r="M97" s="12">
        <f t="shared" si="33"/>
        <v>7.2286111765320102</v>
      </c>
      <c r="N97" s="12">
        <f t="shared" si="33"/>
        <v>7.4248313542914977</v>
      </c>
      <c r="O97" s="12">
        <f t="shared" si="33"/>
        <v>7.7239668773819217</v>
      </c>
      <c r="P97" s="12">
        <f t="shared" si="33"/>
        <v>8.1602856829128072</v>
      </c>
      <c r="Q97" s="12">
        <f t="shared" si="33"/>
        <v>8.7573587551856722</v>
      </c>
      <c r="R97" s="12">
        <f t="shared" si="33"/>
        <v>9.5068358817536645</v>
      </c>
      <c r="S97" s="12">
        <f t="shared" si="33"/>
        <v>10.35196575</v>
      </c>
      <c r="T97" s="12">
        <f t="shared" si="33"/>
        <v>11.197095618246337</v>
      </c>
      <c r="U97" s="12">
        <f t="shared" si="33"/>
        <v>11.946572744814327</v>
      </c>
      <c r="V97" s="12">
        <f t="shared" si="33"/>
        <v>12.543645817087194</v>
      </c>
      <c r="W97" s="12">
        <f t="shared" si="33"/>
        <v>12.979964622618077</v>
      </c>
      <c r="X97" s="12">
        <f t="shared" si="33"/>
        <v>13.279100145708503</v>
      </c>
      <c r="Y97" s="12">
        <f t="shared" si="33"/>
        <v>13.47532032346799</v>
      </c>
      <c r="Z97" s="12">
        <f t="shared" si="33"/>
        <v>13.600328194137242</v>
      </c>
      <c r="AA97" s="12">
        <f t="shared" si="33"/>
        <v>13.678492580333414</v>
      </c>
      <c r="AB97" s="12">
        <f t="shared" si="33"/>
        <v>13.726796697460591</v>
      </c>
      <c r="AC97" s="12">
        <f t="shared" si="32"/>
        <v>13.756431557641299</v>
      </c>
      <c r="AD97" s="300">
        <f t="shared" si="39"/>
        <v>1.9914474364730087E-3</v>
      </c>
      <c r="AE97" s="299">
        <f t="shared" si="39"/>
        <v>1.9914474364730087E-3</v>
      </c>
      <c r="AF97" s="299">
        <f t="shared" si="39"/>
        <v>1.9914474364730087E-3</v>
      </c>
      <c r="AG97" s="299">
        <f t="shared" si="39"/>
        <v>1.9914474364730087E-3</v>
      </c>
      <c r="AH97" s="299">
        <f t="shared" si="39"/>
        <v>1.9914474364730087E-3</v>
      </c>
      <c r="AI97" s="299">
        <f t="shared" si="39"/>
        <v>1.9012776822397675E-3</v>
      </c>
      <c r="AJ97" s="299">
        <f t="shared" si="39"/>
        <v>1.8510315517921579E-3</v>
      </c>
      <c r="AK97" s="299">
        <f t="shared" si="39"/>
        <v>1.7793443863378816E-3</v>
      </c>
      <c r="AL97" s="299">
        <f t="shared" si="39"/>
        <v>1.6842053866211574E-3</v>
      </c>
      <c r="AM97" s="299">
        <f t="shared" si="39"/>
        <v>1.5693769648743676E-3</v>
      </c>
      <c r="AN97" s="299">
        <f t="shared" si="39"/>
        <v>1.4456541876258905E-3</v>
      </c>
      <c r="AO97" s="299">
        <f t="shared" si="37"/>
        <v>1.3276316243153393E-3</v>
      </c>
      <c r="AP97" s="299">
        <f t="shared" si="37"/>
        <v>1.2274251798951548E-3</v>
      </c>
      <c r="AQ97" s="299">
        <f t="shared" si="37"/>
        <v>1.1504217483206613E-3</v>
      </c>
      <c r="AR97" s="299">
        <f t="shared" si="37"/>
        <v>1.0956620829334538E-3</v>
      </c>
      <c r="AS97" s="299">
        <f t="shared" si="37"/>
        <v>1.0588316303713589E-3</v>
      </c>
      <c r="AT97" s="299">
        <f t="shared" si="34"/>
        <v>1.0349795507770812E-3</v>
      </c>
      <c r="AU97" s="299">
        <f t="shared" si="34"/>
        <v>1.0199087497455663E-3</v>
      </c>
      <c r="AV97" s="299">
        <f t="shared" si="34"/>
        <v>1.0105342244206854E-3</v>
      </c>
      <c r="AW97" s="299">
        <f t="shared" si="19"/>
        <v>1.0047596270432205E-3</v>
      </c>
      <c r="AX97" s="299">
        <f t="shared" si="19"/>
        <v>1.0012239130832161E-3</v>
      </c>
      <c r="AY97" s="299">
        <f t="shared" si="19"/>
        <v>9.9906702155582567E-4</v>
      </c>
      <c r="AZ97" s="306">
        <f t="shared" si="40"/>
        <v>0.11024610750178793</v>
      </c>
      <c r="BA97" s="2">
        <f t="shared" si="40"/>
        <v>0.11024610750178793</v>
      </c>
      <c r="BB97" s="2">
        <f t="shared" si="40"/>
        <v>0.11024610750178793</v>
      </c>
      <c r="BC97" s="2">
        <f t="shared" si="40"/>
        <v>0.11024610750178793</v>
      </c>
      <c r="BD97" s="2">
        <f t="shared" si="40"/>
        <v>0.11024610750178793</v>
      </c>
      <c r="BE97" s="2">
        <f t="shared" si="40"/>
        <v>0.10525432904128601</v>
      </c>
      <c r="BF97" s="2">
        <f t="shared" si="40"/>
        <v>0.10247271392183964</v>
      </c>
      <c r="BG97" s="2">
        <f t="shared" si="40"/>
        <v>9.8504127654171048E-2</v>
      </c>
      <c r="BH97" s="2">
        <f t="shared" si="40"/>
        <v>9.3237252818167957E-2</v>
      </c>
      <c r="BI97" s="2">
        <f t="shared" si="40"/>
        <v>8.6880375756638345E-2</v>
      </c>
      <c r="BJ97" s="2">
        <f t="shared" si="40"/>
        <v>8.0031109061900627E-2</v>
      </c>
      <c r="BK97" s="2">
        <f t="shared" si="38"/>
        <v>7.3497405001191951E-2</v>
      </c>
      <c r="BL97" s="2">
        <f t="shared" si="38"/>
        <v>6.7949997501707424E-2</v>
      </c>
      <c r="BM97" s="2">
        <f t="shared" si="38"/>
        <v>6.3687103869725162E-2</v>
      </c>
      <c r="BN97" s="2">
        <f t="shared" si="38"/>
        <v>6.0655620413786193E-2</v>
      </c>
      <c r="BO97" s="2">
        <f t="shared" si="38"/>
        <v>5.86166943753006E-2</v>
      </c>
      <c r="BP97" s="2">
        <f t="shared" si="35"/>
        <v>5.72962483103273E-2</v>
      </c>
      <c r="BQ97" s="2">
        <f t="shared" si="35"/>
        <v>5.646193196321795E-2</v>
      </c>
      <c r="BR97" s="2">
        <f t="shared" si="35"/>
        <v>5.5942960230488982E-2</v>
      </c>
      <c r="BS97" s="2">
        <f t="shared" si="20"/>
        <v>5.5623279745031104E-2</v>
      </c>
      <c r="BT97" s="2">
        <f t="shared" si="20"/>
        <v>5.5427543370477034E-2</v>
      </c>
      <c r="BU97" s="2">
        <f t="shared" si="20"/>
        <v>5.5308138313208972E-2</v>
      </c>
    </row>
    <row r="98" spans="1:73" x14ac:dyDescent="0.25">
      <c r="A98" t="s">
        <v>47</v>
      </c>
      <c r="B98" s="1" t="s">
        <v>5</v>
      </c>
      <c r="C98" t="s">
        <v>11</v>
      </c>
      <c r="D98" t="s">
        <v>11</v>
      </c>
      <c r="E98" s="97">
        <v>6.91967</v>
      </c>
      <c r="F98" s="5">
        <f t="shared" si="29"/>
        <v>1.6953191499999999E-2</v>
      </c>
      <c r="G98" s="1">
        <f>LOOKUP(RIGHT(D98,5),Ref!$C$4:$C$21,Ref!$E$4:$E$21)*$G$3</f>
        <v>4.5</v>
      </c>
      <c r="H98" s="36">
        <f t="shared" si="36"/>
        <v>6.91967</v>
      </c>
      <c r="I98" s="12">
        <f t="shared" si="36"/>
        <v>6.91967</v>
      </c>
      <c r="J98" s="12">
        <f t="shared" si="36"/>
        <v>6.91967</v>
      </c>
      <c r="K98" s="12">
        <f t="shared" si="36"/>
        <v>6.91967</v>
      </c>
      <c r="L98" s="12">
        <f t="shared" si="36"/>
        <v>6.91967</v>
      </c>
      <c r="M98" s="12">
        <f t="shared" si="33"/>
        <v>7.2478413918506135</v>
      </c>
      <c r="N98" s="12">
        <f t="shared" si="33"/>
        <v>7.4445835725475975</v>
      </c>
      <c r="O98" s="12">
        <f t="shared" si="33"/>
        <v>7.7445148834287867</v>
      </c>
      <c r="P98" s="12">
        <f t="shared" si="33"/>
        <v>8.1819944243171303</v>
      </c>
      <c r="Q98" s="12">
        <f t="shared" si="33"/>
        <v>8.7806558852113152</v>
      </c>
      <c r="R98" s="12">
        <f t="shared" si="33"/>
        <v>9.5321268396624639</v>
      </c>
      <c r="S98" s="12">
        <f t="shared" si="33"/>
        <v>10.379505</v>
      </c>
      <c r="T98" s="12">
        <f t="shared" si="33"/>
        <v>11.226883160337536</v>
      </c>
      <c r="U98" s="12">
        <f t="shared" si="33"/>
        <v>11.978354114788685</v>
      </c>
      <c r="V98" s="12">
        <f t="shared" si="33"/>
        <v>12.57701557568287</v>
      </c>
      <c r="W98" s="12">
        <f t="shared" si="33"/>
        <v>13.014495116571211</v>
      </c>
      <c r="X98" s="12">
        <f t="shared" si="33"/>
        <v>13.314426427452402</v>
      </c>
      <c r="Y98" s="12">
        <f t="shared" si="33"/>
        <v>13.511168608149386</v>
      </c>
      <c r="Z98" s="12">
        <f t="shared" si="33"/>
        <v>13.636509036236763</v>
      </c>
      <c r="AA98" s="12">
        <f t="shared" si="33"/>
        <v>13.714881362511614</v>
      </c>
      <c r="AB98" s="12">
        <f t="shared" si="33"/>
        <v>13.763313982687365</v>
      </c>
      <c r="AC98" s="12">
        <f t="shared" si="32"/>
        <v>13.793027680244755</v>
      </c>
      <c r="AD98" s="300">
        <f t="shared" si="39"/>
        <v>1.9861636614938662E-3</v>
      </c>
      <c r="AE98" s="299">
        <f t="shared" si="39"/>
        <v>1.9861636614938662E-3</v>
      </c>
      <c r="AF98" s="299">
        <f t="shared" si="39"/>
        <v>1.9861636614938662E-3</v>
      </c>
      <c r="AG98" s="299">
        <f t="shared" si="39"/>
        <v>1.9861636614938662E-3</v>
      </c>
      <c r="AH98" s="299">
        <f t="shared" si="39"/>
        <v>1.9861636614938662E-3</v>
      </c>
      <c r="AI98" s="299">
        <f t="shared" si="39"/>
        <v>1.896233148669947E-3</v>
      </c>
      <c r="AJ98" s="299">
        <f t="shared" si="39"/>
        <v>1.8461203329370494E-3</v>
      </c>
      <c r="AK98" s="299">
        <f t="shared" si="39"/>
        <v>1.774623370269056E-3</v>
      </c>
      <c r="AL98" s="299">
        <f t="shared" si="39"/>
        <v>1.679736796530059E-3</v>
      </c>
      <c r="AM98" s="299">
        <f t="shared" si="39"/>
        <v>1.5652130413944022E-3</v>
      </c>
      <c r="AN98" s="299">
        <f t="shared" si="39"/>
        <v>1.4418185295587112E-3</v>
      </c>
      <c r="AO98" s="299">
        <f t="shared" si="37"/>
        <v>1.3241091076625774E-3</v>
      </c>
      <c r="AP98" s="299">
        <f t="shared" si="37"/>
        <v>1.2241685343339814E-3</v>
      </c>
      <c r="AQ98" s="299">
        <f t="shared" si="37"/>
        <v>1.1473694108409414E-3</v>
      </c>
      <c r="AR98" s="299">
        <f t="shared" si="37"/>
        <v>1.0927550356303864E-3</v>
      </c>
      <c r="AS98" s="299">
        <f t="shared" si="37"/>
        <v>1.0560223028575032E-3</v>
      </c>
      <c r="AT98" s="299">
        <f t="shared" si="34"/>
        <v>1.0322335083989777E-3</v>
      </c>
      <c r="AU98" s="299">
        <f t="shared" si="34"/>
        <v>1.0172026937210806E-3</v>
      </c>
      <c r="AV98" s="299">
        <f t="shared" si="34"/>
        <v>1.0078530412004954E-3</v>
      </c>
      <c r="AW98" s="299">
        <f t="shared" si="19"/>
        <v>1.0020937651780304E-3</v>
      </c>
      <c r="AX98" s="299">
        <f t="shared" si="19"/>
        <v>9.9856743229262174E-4</v>
      </c>
      <c r="AY98" s="299">
        <f t="shared" si="19"/>
        <v>9.9641626350200881E-4</v>
      </c>
      <c r="AZ98" s="306">
        <f t="shared" si="40"/>
        <v>0.10995359884014957</v>
      </c>
      <c r="BA98" s="2">
        <f t="shared" si="40"/>
        <v>0.10995359884014957</v>
      </c>
      <c r="BB98" s="2">
        <f t="shared" si="40"/>
        <v>0.10995359884014957</v>
      </c>
      <c r="BC98" s="2">
        <f t="shared" si="40"/>
        <v>0.10995359884014957</v>
      </c>
      <c r="BD98" s="2">
        <f t="shared" si="40"/>
        <v>0.10995359884014957</v>
      </c>
      <c r="BE98" s="2">
        <f t="shared" si="40"/>
        <v>0.10497506473330116</v>
      </c>
      <c r="BF98" s="2">
        <f t="shared" si="40"/>
        <v>0.10220082988817213</v>
      </c>
      <c r="BG98" s="2">
        <f t="shared" si="40"/>
        <v>9.8242773206391493E-2</v>
      </c>
      <c r="BH98" s="2">
        <f t="shared" si="40"/>
        <v>9.2989872618951058E-2</v>
      </c>
      <c r="BI98" s="2">
        <f t="shared" si="40"/>
        <v>8.6649861836364098E-2</v>
      </c>
      <c r="BJ98" s="2">
        <f t="shared" si="40"/>
        <v>7.9818767845220934E-2</v>
      </c>
      <c r="BK98" s="2">
        <f t="shared" si="38"/>
        <v>7.3302399226766374E-2</v>
      </c>
      <c r="BL98" s="2">
        <f t="shared" si="38"/>
        <v>6.776971029449487E-2</v>
      </c>
      <c r="BM98" s="2">
        <f t="shared" si="38"/>
        <v>6.3518127114548087E-2</v>
      </c>
      <c r="BN98" s="2">
        <f t="shared" si="38"/>
        <v>6.0494686891958291E-2</v>
      </c>
      <c r="BO98" s="2">
        <f t="shared" si="38"/>
        <v>5.8461170600267495E-2</v>
      </c>
      <c r="BP98" s="2">
        <f t="shared" si="35"/>
        <v>5.7144227986980461E-2</v>
      </c>
      <c r="BQ98" s="2">
        <f t="shared" si="35"/>
        <v>5.6312125275922359E-2</v>
      </c>
      <c r="BR98" s="2">
        <f t="shared" si="35"/>
        <v>5.5794530496361246E-2</v>
      </c>
      <c r="BS98" s="2">
        <f t="shared" si="20"/>
        <v>5.5475698197864999E-2</v>
      </c>
      <c r="BT98" s="2">
        <f t="shared" si="20"/>
        <v>5.5280481157609904E-2</v>
      </c>
      <c r="BU98" s="2">
        <f t="shared" si="20"/>
        <v>5.5161392909835495E-2</v>
      </c>
    </row>
    <row r="99" spans="1:73" x14ac:dyDescent="0.25">
      <c r="A99" t="s">
        <v>28</v>
      </c>
      <c r="B99" s="1" t="s">
        <v>5</v>
      </c>
      <c r="C99" t="s">
        <v>9</v>
      </c>
      <c r="D99" t="s">
        <v>9</v>
      </c>
      <c r="E99" s="97">
        <v>4.7701849999999997</v>
      </c>
      <c r="F99" s="5">
        <f t="shared" si="29"/>
        <v>1.1686953249999998E-2</v>
      </c>
      <c r="G99" s="1">
        <f>LOOKUP(RIGHT(D99,5),Ref!$C$4:$C$21,Ref!$E$4:$E$21)*$G$3</f>
        <v>4.5</v>
      </c>
      <c r="H99" s="36">
        <f t="shared" si="36"/>
        <v>4.7701849999999997</v>
      </c>
      <c r="I99" s="12">
        <f t="shared" si="36"/>
        <v>4.7701849999999997</v>
      </c>
      <c r="J99" s="12">
        <f t="shared" si="36"/>
        <v>4.7701849999999997</v>
      </c>
      <c r="K99" s="12">
        <f t="shared" si="36"/>
        <v>4.7701849999999997</v>
      </c>
      <c r="L99" s="12">
        <f t="shared" si="36"/>
        <v>4.7701849999999997</v>
      </c>
      <c r="M99" s="12">
        <f t="shared" si="33"/>
        <v>4.9964151888435309</v>
      </c>
      <c r="N99" s="12">
        <f t="shared" si="33"/>
        <v>5.1320425524646351</v>
      </c>
      <c r="O99" s="12">
        <f t="shared" si="33"/>
        <v>5.3388049905860742</v>
      </c>
      <c r="P99" s="12">
        <f t="shared" si="33"/>
        <v>5.6403884972782237</v>
      </c>
      <c r="Q99" s="12">
        <f t="shared" si="33"/>
        <v>6.0530853340978306</v>
      </c>
      <c r="R99" s="12">
        <f t="shared" si="33"/>
        <v>6.5711238351908809</v>
      </c>
      <c r="S99" s="12">
        <f t="shared" si="33"/>
        <v>7.1552774999999995</v>
      </c>
      <c r="T99" s="12">
        <f t="shared" si="33"/>
        <v>7.7394311648091181</v>
      </c>
      <c r="U99" s="12">
        <f t="shared" si="33"/>
        <v>8.2574696659021694</v>
      </c>
      <c r="V99" s="12">
        <f t="shared" si="33"/>
        <v>8.6701665027217754</v>
      </c>
      <c r="W99" s="12">
        <f t="shared" si="33"/>
        <v>8.971750009413924</v>
      </c>
      <c r="X99" s="12">
        <f t="shared" si="33"/>
        <v>9.1785124475353648</v>
      </c>
      <c r="Y99" s="12">
        <f t="shared" si="33"/>
        <v>9.3141398111564673</v>
      </c>
      <c r="Z99" s="12">
        <f t="shared" si="33"/>
        <v>9.4005452365533415</v>
      </c>
      <c r="AA99" s="12">
        <f t="shared" si="33"/>
        <v>9.4545724510319804</v>
      </c>
      <c r="AB99" s="12">
        <f t="shared" si="33"/>
        <v>9.4879602510676833</v>
      </c>
      <c r="AC99" s="12">
        <f t="shared" si="32"/>
        <v>9.5084438629137402</v>
      </c>
      <c r="AD99" s="300">
        <f t="shared" si="39"/>
        <v>2.8811455118678332E-3</v>
      </c>
      <c r="AE99" s="299">
        <f t="shared" si="39"/>
        <v>2.8811455118678332E-3</v>
      </c>
      <c r="AF99" s="299">
        <f t="shared" si="39"/>
        <v>2.8811455118678332E-3</v>
      </c>
      <c r="AG99" s="299">
        <f t="shared" si="39"/>
        <v>2.8811455118678332E-3</v>
      </c>
      <c r="AH99" s="299">
        <f t="shared" si="39"/>
        <v>2.8811455118678332E-3</v>
      </c>
      <c r="AI99" s="299">
        <f t="shared" si="39"/>
        <v>2.7506915626662222E-3</v>
      </c>
      <c r="AJ99" s="299">
        <f t="shared" si="39"/>
        <v>2.677997495739581E-3</v>
      </c>
      <c r="AK99" s="299">
        <f t="shared" si="39"/>
        <v>2.5742834075721762E-3</v>
      </c>
      <c r="AL99" s="299">
        <f t="shared" si="39"/>
        <v>2.4366401552235717E-3</v>
      </c>
      <c r="AM99" s="299">
        <f t="shared" si="39"/>
        <v>2.2705110443610897E-3</v>
      </c>
      <c r="AN99" s="299">
        <f t="shared" si="39"/>
        <v>2.0915139401158508E-3</v>
      </c>
      <c r="AO99" s="299">
        <f t="shared" si="37"/>
        <v>1.9207636745785556E-3</v>
      </c>
      <c r="AP99" s="299">
        <f t="shared" si="37"/>
        <v>1.7757890484278538E-3</v>
      </c>
      <c r="AQ99" s="299">
        <f t="shared" si="37"/>
        <v>1.6643836017080547E-3</v>
      </c>
      <c r="AR99" s="299">
        <f t="shared" si="37"/>
        <v>1.5851595351963324E-3</v>
      </c>
      <c r="AS99" s="299">
        <f t="shared" si="37"/>
        <v>1.5318747277965066E-3</v>
      </c>
      <c r="AT99" s="299">
        <f t="shared" si="34"/>
        <v>1.4973665048762582E-3</v>
      </c>
      <c r="AU99" s="299">
        <f t="shared" si="34"/>
        <v>1.4755626802023299E-3</v>
      </c>
      <c r="AV99" s="299">
        <f t="shared" si="34"/>
        <v>1.4619999965627818E-3</v>
      </c>
      <c r="AW99" s="299">
        <f t="shared" si="19"/>
        <v>1.453645542906504E-3</v>
      </c>
      <c r="AX99" s="299">
        <f t="shared" si="19"/>
        <v>1.448530215120019E-3</v>
      </c>
      <c r="AY99" s="299">
        <f t="shared" si="19"/>
        <v>1.4454097117967009E-3</v>
      </c>
      <c r="AZ99" s="306">
        <f t="shared" si="40"/>
        <v>0.15949960416340619</v>
      </c>
      <c r="BA99" s="2">
        <f t="shared" si="40"/>
        <v>0.15949960416340619</v>
      </c>
      <c r="BB99" s="2">
        <f t="shared" si="40"/>
        <v>0.15949960416340619</v>
      </c>
      <c r="BC99" s="2">
        <f t="shared" si="40"/>
        <v>0.15949960416340619</v>
      </c>
      <c r="BD99" s="2">
        <f t="shared" si="40"/>
        <v>0.15949960416340619</v>
      </c>
      <c r="BE99" s="2">
        <f t="shared" si="40"/>
        <v>0.15227770121768489</v>
      </c>
      <c r="BF99" s="2">
        <f t="shared" si="40"/>
        <v>0.14825337309816874</v>
      </c>
      <c r="BG99" s="2">
        <f t="shared" si="40"/>
        <v>0.14251178318515345</v>
      </c>
      <c r="BH99" s="2">
        <f t="shared" si="40"/>
        <v>0.13489188194277102</v>
      </c>
      <c r="BI99" s="2">
        <f t="shared" si="40"/>
        <v>0.1256950096177053</v>
      </c>
      <c r="BJ99" s="2">
        <f t="shared" si="40"/>
        <v>0.11578576790953392</v>
      </c>
      <c r="BK99" s="2">
        <f t="shared" si="38"/>
        <v>0.10633306944227081</v>
      </c>
      <c r="BL99" s="2">
        <f t="shared" si="38"/>
        <v>9.8307304901907852E-2</v>
      </c>
      <c r="BM99" s="2">
        <f t="shared" si="38"/>
        <v>9.2139923011523642E-2</v>
      </c>
      <c r="BN99" s="2">
        <f t="shared" si="38"/>
        <v>8.7754095500630902E-2</v>
      </c>
      <c r="BO99" s="2">
        <f t="shared" si="38"/>
        <v>8.4804259869911316E-2</v>
      </c>
      <c r="BP99" s="2">
        <f t="shared" si="35"/>
        <v>8.2893891971625638E-2</v>
      </c>
      <c r="BQ99" s="2">
        <f t="shared" si="35"/>
        <v>8.1686836864407086E-2</v>
      </c>
      <c r="BR99" s="2">
        <f t="shared" si="35"/>
        <v>8.0936009576097367E-2</v>
      </c>
      <c r="BS99" s="2">
        <f t="shared" si="20"/>
        <v>8.0473508794485005E-2</v>
      </c>
      <c r="BT99" s="2">
        <f t="shared" si="20"/>
        <v>8.0190325333688015E-2</v>
      </c>
      <c r="BU99" s="2">
        <f t="shared" si="20"/>
        <v>8.0017574931874003E-2</v>
      </c>
    </row>
    <row r="100" spans="1:73" x14ac:dyDescent="0.25">
      <c r="A100" t="s">
        <v>29</v>
      </c>
      <c r="B100" s="1" t="s">
        <v>5</v>
      </c>
      <c r="C100" t="s">
        <v>7</v>
      </c>
      <c r="D100" t="s">
        <v>7</v>
      </c>
      <c r="E100" s="97">
        <v>5.9189860000000003</v>
      </c>
      <c r="F100" s="5">
        <f t="shared" si="29"/>
        <v>1.45015157E-2</v>
      </c>
      <c r="G100" s="1">
        <f>LOOKUP(RIGHT(D100,5),Ref!$C$4:$C$21,Ref!$E$4:$E$21)*$G$3</f>
        <v>3.5</v>
      </c>
      <c r="H100" s="36">
        <f t="shared" si="36"/>
        <v>5.9189860000000003</v>
      </c>
      <c r="I100" s="12">
        <f t="shared" si="36"/>
        <v>5.9189860000000003</v>
      </c>
      <c r="J100" s="12">
        <f t="shared" si="36"/>
        <v>5.9189860000000003</v>
      </c>
      <c r="K100" s="12">
        <f t="shared" si="36"/>
        <v>5.9189860000000003</v>
      </c>
      <c r="L100" s="12">
        <f t="shared" si="36"/>
        <v>5.9189860000000003</v>
      </c>
      <c r="M100" s="12">
        <f t="shared" si="33"/>
        <v>6.1996990793757938</v>
      </c>
      <c r="N100" s="12">
        <f t="shared" si="33"/>
        <v>6.3679895055312201</v>
      </c>
      <c r="O100" s="12">
        <f t="shared" si="33"/>
        <v>6.6245464266080063</v>
      </c>
      <c r="P100" s="12">
        <f t="shared" si="33"/>
        <v>6.9987601214524906</v>
      </c>
      <c r="Q100" s="12">
        <f t="shared" si="33"/>
        <v>7.5108465079091031</v>
      </c>
      <c r="R100" s="12">
        <f t="shared" si="33"/>
        <v>8.15364393304686</v>
      </c>
      <c r="S100" s="12">
        <f t="shared" si="33"/>
        <v>8.8784790000000005</v>
      </c>
      <c r="T100" s="12">
        <f t="shared" si="33"/>
        <v>9.6033140669531409</v>
      </c>
      <c r="U100" s="12">
        <f t="shared" si="33"/>
        <v>10.246111492090899</v>
      </c>
      <c r="V100" s="12">
        <f t="shared" si="33"/>
        <v>10.758197878547511</v>
      </c>
      <c r="W100" s="12">
        <f t="shared" si="33"/>
        <v>11.132411573391993</v>
      </c>
      <c r="X100" s="12">
        <f t="shared" si="33"/>
        <v>11.388968494468781</v>
      </c>
      <c r="Y100" s="12">
        <f t="shared" si="33"/>
        <v>11.557258920624207</v>
      </c>
      <c r="Z100" s="12">
        <f t="shared" si="33"/>
        <v>11.664473316553954</v>
      </c>
      <c r="AA100" s="12">
        <f t="shared" si="33"/>
        <v>11.731511875041321</v>
      </c>
      <c r="AB100" s="12">
        <f t="shared" ref="AB100:AC115" si="41">AB$3*$E100</f>
        <v>11.772940440386717</v>
      </c>
      <c r="AC100" s="12">
        <f t="shared" si="41"/>
        <v>11.798357109079072</v>
      </c>
      <c r="AD100" s="300">
        <f t="shared" si="39"/>
        <v>2.3219512773858999E-3</v>
      </c>
      <c r="AE100" s="299">
        <f t="shared" si="39"/>
        <v>2.3219512773858999E-3</v>
      </c>
      <c r="AF100" s="299">
        <f t="shared" si="39"/>
        <v>2.3219512773858999E-3</v>
      </c>
      <c r="AG100" s="299">
        <f t="shared" si="39"/>
        <v>2.3219512773858999E-3</v>
      </c>
      <c r="AH100" s="299">
        <f t="shared" si="39"/>
        <v>2.3219512773858999E-3</v>
      </c>
      <c r="AI100" s="299">
        <f t="shared" si="39"/>
        <v>2.2168168047461121E-3</v>
      </c>
      <c r="AJ100" s="299">
        <f t="shared" si="39"/>
        <v>2.1582317451358242E-3</v>
      </c>
      <c r="AK100" s="299">
        <f t="shared" si="39"/>
        <v>2.0746472616339487E-3</v>
      </c>
      <c r="AL100" s="299">
        <f t="shared" si="39"/>
        <v>1.963718839484525E-3</v>
      </c>
      <c r="AM100" s="299">
        <f t="shared" si="39"/>
        <v>1.829833306945751E-3</v>
      </c>
      <c r="AN100" s="299">
        <f t="shared" si="39"/>
        <v>1.6855772972653642E-3</v>
      </c>
      <c r="AO100" s="299">
        <f t="shared" si="37"/>
        <v>1.5479675182572667E-3</v>
      </c>
      <c r="AP100" s="299">
        <f t="shared" si="37"/>
        <v>1.431130650076689E-3</v>
      </c>
      <c r="AQ100" s="299">
        <f t="shared" si="37"/>
        <v>1.3413476043217091E-3</v>
      </c>
      <c r="AR100" s="299">
        <f t="shared" si="37"/>
        <v>1.2774999362053763E-3</v>
      </c>
      <c r="AS100" s="299">
        <f t="shared" si="37"/>
        <v>1.2345570421038296E-3</v>
      </c>
      <c r="AT100" s="299">
        <f t="shared" si="34"/>
        <v>1.2067464327611441E-3</v>
      </c>
      <c r="AU100" s="299">
        <f t="shared" si="34"/>
        <v>1.1891744571892804E-3</v>
      </c>
      <c r="AV100" s="299">
        <f t="shared" si="34"/>
        <v>1.1782441204631726E-3</v>
      </c>
      <c r="AW100" s="299">
        <f t="shared" si="19"/>
        <v>1.1715111615552836E-3</v>
      </c>
      <c r="AX100" s="299">
        <f t="shared" si="19"/>
        <v>1.1673886547817964E-3</v>
      </c>
      <c r="AY100" s="299">
        <f t="shared" si="19"/>
        <v>1.1648738020442937E-3</v>
      </c>
      <c r="AZ100" s="306">
        <f t="shared" si="40"/>
        <v>0.12854273000243924</v>
      </c>
      <c r="BA100" s="2">
        <f t="shared" si="40"/>
        <v>0.12854273000243924</v>
      </c>
      <c r="BB100" s="2">
        <f t="shared" si="40"/>
        <v>0.12854273000243924</v>
      </c>
      <c r="BC100" s="2">
        <f t="shared" si="40"/>
        <v>0.12854273000243924</v>
      </c>
      <c r="BD100" s="2">
        <f t="shared" si="40"/>
        <v>0.12854273000243924</v>
      </c>
      <c r="BE100" s="2">
        <f t="shared" si="40"/>
        <v>0.12272250790643567</v>
      </c>
      <c r="BF100" s="2">
        <f t="shared" si="40"/>
        <v>0.11947925143804834</v>
      </c>
      <c r="BG100" s="2">
        <f t="shared" si="40"/>
        <v>0.1148520321678529</v>
      </c>
      <c r="BH100" s="2">
        <f t="shared" si="40"/>
        <v>0.108711058256461</v>
      </c>
      <c r="BI100" s="2">
        <f t="shared" si="40"/>
        <v>0.10129918358536978</v>
      </c>
      <c r="BJ100" s="2">
        <f t="shared" si="40"/>
        <v>9.3313201500314413E-2</v>
      </c>
      <c r="BK100" s="2">
        <f t="shared" si="38"/>
        <v>8.5695153334959487E-2</v>
      </c>
      <c r="BL100" s="2">
        <f t="shared" si="38"/>
        <v>7.9227089105043877E-2</v>
      </c>
      <c r="BM100" s="2">
        <f t="shared" si="38"/>
        <v>7.4256718743839711E-2</v>
      </c>
      <c r="BN100" s="2">
        <f t="shared" si="38"/>
        <v>7.0722125385273255E-2</v>
      </c>
      <c r="BO100" s="2">
        <f t="shared" si="38"/>
        <v>6.8344815880212073E-2</v>
      </c>
      <c r="BP100" s="2">
        <f t="shared" si="35"/>
        <v>6.68052264483594E-2</v>
      </c>
      <c r="BQ100" s="2">
        <f t="shared" si="35"/>
        <v>6.5832445609440821E-2</v>
      </c>
      <c r="BR100" s="2">
        <f t="shared" si="35"/>
        <v>6.5227344487680153E-2</v>
      </c>
      <c r="BS100" s="2">
        <f t="shared" si="20"/>
        <v>6.4854609311260483E-2</v>
      </c>
      <c r="BT100" s="2">
        <f t="shared" si="20"/>
        <v>6.4626388211068336E-2</v>
      </c>
      <c r="BU100" s="2">
        <f t="shared" si="20"/>
        <v>6.4487166497167139E-2</v>
      </c>
    </row>
    <row r="101" spans="1:73" x14ac:dyDescent="0.25">
      <c r="A101" t="s">
        <v>29</v>
      </c>
      <c r="B101" s="1" t="s">
        <v>5</v>
      </c>
      <c r="C101" t="s">
        <v>8</v>
      </c>
      <c r="D101" t="s">
        <v>8</v>
      </c>
      <c r="E101" s="97">
        <v>5.7383292499999996</v>
      </c>
      <c r="F101" s="5">
        <f t="shared" si="29"/>
        <v>1.4058906662499999E-2</v>
      </c>
      <c r="G101" s="1">
        <f>LOOKUP(RIGHT(D101,5),Ref!$C$4:$C$21,Ref!$E$4:$E$21)*$G$3</f>
        <v>4</v>
      </c>
      <c r="H101" s="36">
        <f t="shared" si="36"/>
        <v>5.7383292499999996</v>
      </c>
      <c r="I101" s="12">
        <f t="shared" si="36"/>
        <v>5.7383292499999996</v>
      </c>
      <c r="J101" s="12">
        <f t="shared" si="36"/>
        <v>5.7383292499999996</v>
      </c>
      <c r="K101" s="12">
        <f t="shared" si="36"/>
        <v>5.7383292499999996</v>
      </c>
      <c r="L101" s="12">
        <f t="shared" si="36"/>
        <v>5.7383292499999996</v>
      </c>
      <c r="M101" s="12">
        <f t="shared" ref="M101:AB116" si="42">M$3*$E101</f>
        <v>6.0104745252616212</v>
      </c>
      <c r="N101" s="12">
        <f t="shared" si="42"/>
        <v>6.1736284632676668</v>
      </c>
      <c r="O101" s="12">
        <f t="shared" si="42"/>
        <v>6.4223548641249861</v>
      </c>
      <c r="P101" s="12">
        <f t="shared" si="42"/>
        <v>6.7851469692045852</v>
      </c>
      <c r="Q101" s="12">
        <f t="shared" si="42"/>
        <v>7.2816036747840185</v>
      </c>
      <c r="R101" s="12">
        <f t="shared" si="42"/>
        <v>7.9047819128289598</v>
      </c>
      <c r="S101" s="12">
        <f t="shared" si="42"/>
        <v>8.6074938749999994</v>
      </c>
      <c r="T101" s="12">
        <f t="shared" si="42"/>
        <v>9.3102058371710381</v>
      </c>
      <c r="U101" s="12">
        <f t="shared" si="42"/>
        <v>9.9333840752159812</v>
      </c>
      <c r="V101" s="12">
        <f t="shared" si="42"/>
        <v>10.429840780795413</v>
      </c>
      <c r="W101" s="12">
        <f t="shared" si="42"/>
        <v>10.792632885875012</v>
      </c>
      <c r="X101" s="12">
        <f t="shared" si="42"/>
        <v>11.041359286732332</v>
      </c>
      <c r="Y101" s="12">
        <f t="shared" si="42"/>
        <v>11.204513224738378</v>
      </c>
      <c r="Z101" s="12">
        <f t="shared" si="42"/>
        <v>11.308455268896742</v>
      </c>
      <c r="AA101" s="12">
        <f t="shared" si="42"/>
        <v>11.373447705277888</v>
      </c>
      <c r="AB101" s="12">
        <f t="shared" si="42"/>
        <v>11.413611805734796</v>
      </c>
      <c r="AC101" s="12">
        <f t="shared" si="41"/>
        <v>11.438252717775287</v>
      </c>
      <c r="AD101" s="300">
        <f t="shared" si="39"/>
        <v>2.3950520273003264E-3</v>
      </c>
      <c r="AE101" s="299">
        <f t="shared" si="39"/>
        <v>2.3950520273003264E-3</v>
      </c>
      <c r="AF101" s="299">
        <f t="shared" si="39"/>
        <v>2.3950520273003264E-3</v>
      </c>
      <c r="AG101" s="299">
        <f t="shared" si="39"/>
        <v>2.3950520273003264E-3</v>
      </c>
      <c r="AH101" s="299">
        <f t="shared" si="39"/>
        <v>2.3950520273003264E-3</v>
      </c>
      <c r="AI101" s="299">
        <f t="shared" si="39"/>
        <v>2.2866076623011783E-3</v>
      </c>
      <c r="AJ101" s="299">
        <f t="shared" si="39"/>
        <v>2.2261782005998545E-3</v>
      </c>
      <c r="AK101" s="299">
        <f t="shared" si="39"/>
        <v>2.1399622715182615E-3</v>
      </c>
      <c r="AL101" s="299">
        <f t="shared" si="39"/>
        <v>2.0255415491965984E-3</v>
      </c>
      <c r="AM101" s="299">
        <f t="shared" si="39"/>
        <v>1.8874409700603365E-3</v>
      </c>
      <c r="AN101" s="299">
        <f t="shared" si="39"/>
        <v>1.7386434255984055E-3</v>
      </c>
      <c r="AO101" s="299">
        <f t="shared" si="37"/>
        <v>1.5967013515335508E-3</v>
      </c>
      <c r="AP101" s="299">
        <f t="shared" si="37"/>
        <v>1.4761861707351181E-3</v>
      </c>
      <c r="AQ101" s="299">
        <f t="shared" si="37"/>
        <v>1.3835765333809901E-3</v>
      </c>
      <c r="AR101" s="299">
        <f t="shared" si="37"/>
        <v>1.3177187832853119E-3</v>
      </c>
      <c r="AS101" s="299">
        <f t="shared" si="37"/>
        <v>1.2734239410215054E-3</v>
      </c>
      <c r="AT101" s="299">
        <f t="shared" si="34"/>
        <v>1.2447377851424531E-3</v>
      </c>
      <c r="AU101" s="299">
        <f t="shared" si="34"/>
        <v>1.2266126004639678E-3</v>
      </c>
      <c r="AV101" s="299">
        <f t="shared" si="34"/>
        <v>1.2153381497940073E-3</v>
      </c>
      <c r="AW101" s="299">
        <f t="shared" si="19"/>
        <v>1.2083932207426862E-3</v>
      </c>
      <c r="AX101" s="299">
        <f t="shared" si="19"/>
        <v>1.2041409272938262E-3</v>
      </c>
      <c r="AY101" s="299">
        <f t="shared" si="19"/>
        <v>1.2015469007929348E-3</v>
      </c>
      <c r="AZ101" s="306">
        <f t="shared" si="40"/>
        <v>0.13258957200586177</v>
      </c>
      <c r="BA101" s="2">
        <f t="shared" si="40"/>
        <v>0.13258957200586177</v>
      </c>
      <c r="BB101" s="2">
        <f t="shared" si="40"/>
        <v>0.13258957200586177</v>
      </c>
      <c r="BC101" s="2">
        <f t="shared" si="40"/>
        <v>0.13258957200586177</v>
      </c>
      <c r="BD101" s="2">
        <f t="shared" si="40"/>
        <v>0.13258957200586177</v>
      </c>
      <c r="BE101" s="2">
        <f t="shared" si="40"/>
        <v>0.1265861149711969</v>
      </c>
      <c r="BF101" s="2">
        <f t="shared" si="40"/>
        <v>0.12324075279442846</v>
      </c>
      <c r="BG101" s="2">
        <f t="shared" si="40"/>
        <v>0.1184678572553276</v>
      </c>
      <c r="BH101" s="2">
        <f t="shared" si="40"/>
        <v>0.11213355034745998</v>
      </c>
      <c r="BI101" s="2">
        <f t="shared" si="40"/>
        <v>0.10448833159115671</v>
      </c>
      <c r="BJ101" s="2">
        <f t="shared" si="40"/>
        <v>9.6250931104300094E-2</v>
      </c>
      <c r="BK101" s="2">
        <f t="shared" si="38"/>
        <v>8.8393048003907848E-2</v>
      </c>
      <c r="BL101" s="2">
        <f t="shared" si="38"/>
        <v>8.1721353167998736E-2</v>
      </c>
      <c r="BM101" s="2">
        <f t="shared" si="38"/>
        <v>7.6594503295663099E-2</v>
      </c>
      <c r="BN101" s="2">
        <f t="shared" si="38"/>
        <v>7.2948632225255647E-2</v>
      </c>
      <c r="BO101" s="2">
        <f t="shared" si="38"/>
        <v>7.0496479156812578E-2</v>
      </c>
      <c r="BP101" s="2">
        <f t="shared" si="35"/>
        <v>6.890841965449597E-2</v>
      </c>
      <c r="BQ101" s="2">
        <f t="shared" si="35"/>
        <v>6.790501327682473E-2</v>
      </c>
      <c r="BR101" s="2">
        <f t="shared" si="35"/>
        <v>6.7280862080152701E-2</v>
      </c>
      <c r="BS101" s="2">
        <f t="shared" si="20"/>
        <v>6.6896392281572292E-2</v>
      </c>
      <c r="BT101" s="2">
        <f t="shared" si="20"/>
        <v>6.6660986218571985E-2</v>
      </c>
      <c r="BU101" s="2">
        <f t="shared" si="20"/>
        <v>6.6517381461930133E-2</v>
      </c>
    </row>
    <row r="102" spans="1:73" x14ac:dyDescent="0.25">
      <c r="A102" t="s">
        <v>29</v>
      </c>
      <c r="B102" s="1" t="s">
        <v>5</v>
      </c>
      <c r="C102" t="s">
        <v>9</v>
      </c>
      <c r="D102" t="s">
        <v>9</v>
      </c>
      <c r="E102" s="97">
        <v>6.0128275000000002</v>
      </c>
      <c r="F102" s="5">
        <f t="shared" si="29"/>
        <v>1.4731427375E-2</v>
      </c>
      <c r="G102" s="1">
        <f>LOOKUP(RIGHT(D102,5),Ref!$C$4:$C$21,Ref!$E$4:$E$21)*$G$3</f>
        <v>4.5</v>
      </c>
      <c r="H102" s="36">
        <f t="shared" ref="H102:L117" si="43">$E102</f>
        <v>6.0128275000000002</v>
      </c>
      <c r="I102" s="12">
        <f t="shared" si="43"/>
        <v>6.0128275000000002</v>
      </c>
      <c r="J102" s="12">
        <f t="shared" si="43"/>
        <v>6.0128275000000002</v>
      </c>
      <c r="K102" s="12">
        <f t="shared" si="43"/>
        <v>6.0128275000000002</v>
      </c>
      <c r="L102" s="12">
        <f t="shared" si="43"/>
        <v>6.0128275000000002</v>
      </c>
      <c r="M102" s="12">
        <f t="shared" si="42"/>
        <v>6.297991094453586</v>
      </c>
      <c r="N102" s="12">
        <f t="shared" si="42"/>
        <v>6.4689496509316831</v>
      </c>
      <c r="O102" s="12">
        <f t="shared" si="42"/>
        <v>6.729574107614944</v>
      </c>
      <c r="P102" s="12">
        <f t="shared" si="42"/>
        <v>7.1097207062447643</v>
      </c>
      <c r="Q102" s="12">
        <f t="shared" si="42"/>
        <v>7.6299258743025948</v>
      </c>
      <c r="R102" s="12">
        <f t="shared" si="42"/>
        <v>8.2829144157178813</v>
      </c>
      <c r="S102" s="12">
        <f t="shared" si="42"/>
        <v>9.0192412500000003</v>
      </c>
      <c r="T102" s="12">
        <f t="shared" si="42"/>
        <v>9.7555680842821193</v>
      </c>
      <c r="U102" s="12">
        <f t="shared" si="42"/>
        <v>10.408556625697406</v>
      </c>
      <c r="V102" s="12">
        <f t="shared" si="42"/>
        <v>10.928761793755235</v>
      </c>
      <c r="W102" s="12">
        <f t="shared" si="42"/>
        <v>11.308908392385055</v>
      </c>
      <c r="X102" s="12">
        <f t="shared" si="42"/>
        <v>11.569532849068317</v>
      </c>
      <c r="Y102" s="12">
        <f t="shared" si="42"/>
        <v>11.740491405546415</v>
      </c>
      <c r="Z102" s="12">
        <f t="shared" si="42"/>
        <v>11.8494056128519</v>
      </c>
      <c r="AA102" s="12">
        <f t="shared" si="42"/>
        <v>11.917507022119162</v>
      </c>
      <c r="AB102" s="12">
        <f t="shared" si="42"/>
        <v>11.959592409209849</v>
      </c>
      <c r="AC102" s="12">
        <f t="shared" si="41"/>
        <v>11.985412041909061</v>
      </c>
      <c r="AD102" s="300">
        <f t="shared" si="39"/>
        <v>2.2857128536498445E-3</v>
      </c>
      <c r="AE102" s="299">
        <f t="shared" si="39"/>
        <v>2.2857128536498445E-3</v>
      </c>
      <c r="AF102" s="299">
        <f t="shared" si="39"/>
        <v>2.2857128536498445E-3</v>
      </c>
      <c r="AG102" s="299">
        <f t="shared" si="39"/>
        <v>2.2857128536498445E-3</v>
      </c>
      <c r="AH102" s="299">
        <f t="shared" si="39"/>
        <v>2.2857128536498445E-3</v>
      </c>
      <c r="AI102" s="299">
        <f t="shared" si="39"/>
        <v>2.1822192025061373E-3</v>
      </c>
      <c r="AJ102" s="299">
        <f t="shared" si="39"/>
        <v>2.1245484731126103E-3</v>
      </c>
      <c r="AK102" s="299">
        <f t="shared" si="39"/>
        <v>2.0422684829308141E-3</v>
      </c>
      <c r="AL102" s="299">
        <f t="shared" si="39"/>
        <v>1.9330713077741135E-3</v>
      </c>
      <c r="AM102" s="299">
        <f t="shared" si="39"/>
        <v>1.8012753111819029E-3</v>
      </c>
      <c r="AN102" s="299">
        <f t="shared" si="39"/>
        <v>1.6592706882796037E-3</v>
      </c>
      <c r="AO102" s="299">
        <f t="shared" si="37"/>
        <v>1.5238085690998961E-3</v>
      </c>
      <c r="AP102" s="299">
        <f t="shared" si="37"/>
        <v>1.4087951603425877E-3</v>
      </c>
      <c r="AQ102" s="299">
        <f t="shared" si="37"/>
        <v>1.3204133481483939E-3</v>
      </c>
      <c r="AR102" s="299">
        <f t="shared" si="37"/>
        <v>1.2575621431681712E-3</v>
      </c>
      <c r="AS102" s="299">
        <f t="shared" si="37"/>
        <v>1.2152894538241747E-3</v>
      </c>
      <c r="AT102" s="299">
        <f t="shared" si="34"/>
        <v>1.1879128814294363E-3</v>
      </c>
      <c r="AU102" s="299">
        <f t="shared" si="34"/>
        <v>1.1706151496381611E-3</v>
      </c>
      <c r="AV102" s="299">
        <f t="shared" si="34"/>
        <v>1.1598554014070474E-3</v>
      </c>
      <c r="AW102" s="299">
        <f t="shared" si="19"/>
        <v>1.1532275230063498E-3</v>
      </c>
      <c r="AX102" s="299">
        <f t="shared" si="19"/>
        <v>1.1491693557169711E-3</v>
      </c>
      <c r="AY102" s="299">
        <f t="shared" si="19"/>
        <v>1.1466937519938739E-3</v>
      </c>
      <c r="AZ102" s="306">
        <f t="shared" si="40"/>
        <v>0.12653657855413575</v>
      </c>
      <c r="BA102" s="2">
        <f t="shared" si="40"/>
        <v>0.12653657855413575</v>
      </c>
      <c r="BB102" s="2">
        <f t="shared" si="40"/>
        <v>0.12653657855413575</v>
      </c>
      <c r="BC102" s="2">
        <f t="shared" si="40"/>
        <v>0.12653657855413575</v>
      </c>
      <c r="BD102" s="2">
        <f t="shared" si="40"/>
        <v>0.12653657855413575</v>
      </c>
      <c r="BE102" s="2">
        <f t="shared" si="40"/>
        <v>0.12080719198797606</v>
      </c>
      <c r="BF102" s="2">
        <f t="shared" si="40"/>
        <v>0.11761455264636946</v>
      </c>
      <c r="BG102" s="2">
        <f t="shared" si="40"/>
        <v>0.11305954984956264</v>
      </c>
      <c r="BH102" s="2">
        <f t="shared" si="40"/>
        <v>0.10701441740432054</v>
      </c>
      <c r="BI102" s="2">
        <f t="shared" si="40"/>
        <v>9.9718218999835531E-2</v>
      </c>
      <c r="BJ102" s="2">
        <f t="shared" si="40"/>
        <v>9.1856873209075096E-2</v>
      </c>
      <c r="BK102" s="2">
        <f t="shared" si="38"/>
        <v>8.4357719036090503E-2</v>
      </c>
      <c r="BL102" s="2">
        <f t="shared" si="38"/>
        <v>7.7990601132912465E-2</v>
      </c>
      <c r="BM102" s="2">
        <f t="shared" si="38"/>
        <v>7.3097802764294312E-2</v>
      </c>
      <c r="BN102" s="2">
        <f t="shared" si="38"/>
        <v>6.9618373393495331E-2</v>
      </c>
      <c r="BO102" s="2">
        <f t="shared" si="38"/>
        <v>6.7278166281595955E-2</v>
      </c>
      <c r="BP102" s="2">
        <f t="shared" si="35"/>
        <v>6.5762605043079819E-2</v>
      </c>
      <c r="BQ102" s="2">
        <f t="shared" si="35"/>
        <v>6.480500628166061E-2</v>
      </c>
      <c r="BR102" s="2">
        <f t="shared" si="35"/>
        <v>6.4209348902784263E-2</v>
      </c>
      <c r="BS102" s="2">
        <f t="shared" si="20"/>
        <v>6.3842430960944829E-2</v>
      </c>
      <c r="BT102" s="2">
        <f t="shared" si="20"/>
        <v>6.3617771680940211E-2</v>
      </c>
      <c r="BU102" s="2">
        <f t="shared" si="20"/>
        <v>6.3480722784147958E-2</v>
      </c>
    </row>
    <row r="103" spans="1:73" x14ac:dyDescent="0.25">
      <c r="A103" t="s">
        <v>29</v>
      </c>
      <c r="B103" s="1" t="s">
        <v>5</v>
      </c>
      <c r="C103" t="s">
        <v>10</v>
      </c>
      <c r="D103" t="s">
        <v>10</v>
      </c>
      <c r="E103" s="97">
        <v>6.2334699999999996</v>
      </c>
      <c r="F103" s="5">
        <f t="shared" si="29"/>
        <v>1.52720015E-2</v>
      </c>
      <c r="G103" s="1">
        <f>LOOKUP(RIGHT(D103,5),Ref!$C$4:$C$21,Ref!$E$4:$E$21)*$G$3</f>
        <v>4.5</v>
      </c>
      <c r="H103" s="36">
        <f t="shared" si="43"/>
        <v>6.2334699999999996</v>
      </c>
      <c r="I103" s="12">
        <f t="shared" si="43"/>
        <v>6.2334699999999996</v>
      </c>
      <c r="J103" s="12">
        <f t="shared" si="43"/>
        <v>6.2334699999999996</v>
      </c>
      <c r="K103" s="12">
        <f t="shared" si="43"/>
        <v>6.2334699999999996</v>
      </c>
      <c r="L103" s="12">
        <f t="shared" si="43"/>
        <v>6.2334699999999996</v>
      </c>
      <c r="M103" s="12">
        <f t="shared" si="42"/>
        <v>6.5290977576761664</v>
      </c>
      <c r="N103" s="12">
        <f t="shared" si="42"/>
        <v>6.7063296894170197</v>
      </c>
      <c r="O103" s="12">
        <f t="shared" si="42"/>
        <v>6.9765178383372088</v>
      </c>
      <c r="P103" s="12">
        <f t="shared" si="42"/>
        <v>7.3706140298812075</v>
      </c>
      <c r="Q103" s="12">
        <f t="shared" si="42"/>
        <v>7.9099082818672235</v>
      </c>
      <c r="R103" s="12">
        <f t="shared" si="42"/>
        <v>8.586858432733175</v>
      </c>
      <c r="S103" s="12">
        <f t="shared" si="42"/>
        <v>9.350204999999999</v>
      </c>
      <c r="T103" s="12">
        <f t="shared" si="42"/>
        <v>10.113551567266823</v>
      </c>
      <c r="U103" s="12">
        <f t="shared" si="42"/>
        <v>10.790501718132775</v>
      </c>
      <c r="V103" s="12">
        <f t="shared" si="42"/>
        <v>11.329795970118791</v>
      </c>
      <c r="W103" s="12">
        <f t="shared" si="42"/>
        <v>11.723892161662789</v>
      </c>
      <c r="X103" s="12">
        <f t="shared" si="42"/>
        <v>11.994080310582978</v>
      </c>
      <c r="Y103" s="12">
        <f t="shared" si="42"/>
        <v>12.171312242323832</v>
      </c>
      <c r="Z103" s="12">
        <f t="shared" si="42"/>
        <v>12.284223088978342</v>
      </c>
      <c r="AA103" s="12">
        <f t="shared" si="42"/>
        <v>12.354823499787601</v>
      </c>
      <c r="AB103" s="12">
        <f t="shared" si="42"/>
        <v>12.398453222720477</v>
      </c>
      <c r="AC103" s="12">
        <f t="shared" si="41"/>
        <v>12.425220314548998</v>
      </c>
      <c r="AD103" s="300">
        <f t="shared" si="39"/>
        <v>2.2048068096147508E-3</v>
      </c>
      <c r="AE103" s="299">
        <f t="shared" si="39"/>
        <v>2.2048068096147508E-3</v>
      </c>
      <c r="AF103" s="299">
        <f t="shared" si="39"/>
        <v>2.2048068096147508E-3</v>
      </c>
      <c r="AG103" s="299">
        <f t="shared" si="39"/>
        <v>2.2048068096147508E-3</v>
      </c>
      <c r="AH103" s="299">
        <f t="shared" si="39"/>
        <v>2.2048068096147508E-3</v>
      </c>
      <c r="AI103" s="299">
        <f t="shared" si="39"/>
        <v>2.1049764628460511E-3</v>
      </c>
      <c r="AJ103" s="299">
        <f t="shared" si="39"/>
        <v>2.0493470706066629E-3</v>
      </c>
      <c r="AK103" s="299">
        <f t="shared" si="39"/>
        <v>1.9699794972222024E-3</v>
      </c>
      <c r="AL103" s="299">
        <f t="shared" si="39"/>
        <v>1.8646475107516607E-3</v>
      </c>
      <c r="AM103" s="299">
        <f t="shared" si="39"/>
        <v>1.7375166201402436E-3</v>
      </c>
      <c r="AN103" s="299">
        <f t="shared" si="39"/>
        <v>1.6005384520069127E-3</v>
      </c>
      <c r="AO103" s="299">
        <f t="shared" si="37"/>
        <v>1.4698712064098339E-3</v>
      </c>
      <c r="AP103" s="299">
        <f t="shared" si="37"/>
        <v>1.3589288601653369E-3</v>
      </c>
      <c r="AQ103" s="299">
        <f t="shared" si="37"/>
        <v>1.2736754474014854E-3</v>
      </c>
      <c r="AR103" s="299">
        <f t="shared" si="37"/>
        <v>1.2130489498466369E-3</v>
      </c>
      <c r="AS103" s="299">
        <f t="shared" si="37"/>
        <v>1.1722725622187928E-3</v>
      </c>
      <c r="AT103" s="299">
        <f t="shared" si="34"/>
        <v>1.1458650223812989E-3</v>
      </c>
      <c r="AU103" s="299">
        <f t="shared" si="34"/>
        <v>1.129179568308013E-3</v>
      </c>
      <c r="AV103" s="299">
        <f t="shared" si="34"/>
        <v>1.1188006766061013E-3</v>
      </c>
      <c r="AW103" s="299">
        <f t="shared" si="19"/>
        <v>1.1124074013494029E-3</v>
      </c>
      <c r="AX103" s="299">
        <f t="shared" si="19"/>
        <v>1.1084928786393913E-3</v>
      </c>
      <c r="AY103" s="299">
        <f t="shared" si="19"/>
        <v>1.1061049024166229E-3</v>
      </c>
      <c r="AZ103" s="306">
        <f t="shared" si="40"/>
        <v>0.12205763712446163</v>
      </c>
      <c r="BA103" s="2">
        <f t="shared" si="40"/>
        <v>0.12205763712446163</v>
      </c>
      <c r="BB103" s="2">
        <f t="shared" si="40"/>
        <v>0.12205763712446163</v>
      </c>
      <c r="BC103" s="2">
        <f t="shared" si="40"/>
        <v>0.12205763712446163</v>
      </c>
      <c r="BD103" s="2">
        <f t="shared" si="40"/>
        <v>0.12205763712446163</v>
      </c>
      <c r="BE103" s="2">
        <f t="shared" si="40"/>
        <v>0.1165310503111561</v>
      </c>
      <c r="BF103" s="2">
        <f t="shared" si="40"/>
        <v>0.11345141896123477</v>
      </c>
      <c r="BG103" s="2">
        <f t="shared" si="40"/>
        <v>0.10905764694031914</v>
      </c>
      <c r="BH103" s="2">
        <f t="shared" si="40"/>
        <v>0.10322649052055712</v>
      </c>
      <c r="BI103" s="2">
        <f t="shared" si="40"/>
        <v>9.6188551393242228E-2</v>
      </c>
      <c r="BJ103" s="2">
        <f t="shared" si="40"/>
        <v>8.8605469071887738E-2</v>
      </c>
      <c r="BK103" s="2">
        <f t="shared" si="38"/>
        <v>8.1371758082974421E-2</v>
      </c>
      <c r="BL103" s="2">
        <f t="shared" si="38"/>
        <v>7.52300133366339E-2</v>
      </c>
      <c r="BM103" s="2">
        <f t="shared" si="38"/>
        <v>7.0510402496639105E-2</v>
      </c>
      <c r="BN103" s="2">
        <f t="shared" si="38"/>
        <v>6.7154132456830148E-2</v>
      </c>
      <c r="BO103" s="2">
        <f t="shared" si="38"/>
        <v>6.4896760290424585E-2</v>
      </c>
      <c r="BP103" s="2">
        <f t="shared" si="35"/>
        <v>6.3434844488650638E-2</v>
      </c>
      <c r="BQ103" s="2">
        <f t="shared" si="35"/>
        <v>6.2511141291775152E-2</v>
      </c>
      <c r="BR103" s="2">
        <f t="shared" si="35"/>
        <v>6.1936568049538392E-2</v>
      </c>
      <c r="BS103" s="2">
        <f t="shared" si="20"/>
        <v>6.1582637687968414E-2</v>
      </c>
      <c r="BT103" s="2">
        <f t="shared" si="20"/>
        <v>6.1365930541396455E-2</v>
      </c>
      <c r="BU103" s="2">
        <f t="shared" si="20"/>
        <v>6.1233732684428006E-2</v>
      </c>
    </row>
    <row r="104" spans="1:73" x14ac:dyDescent="0.25">
      <c r="A104" t="s">
        <v>29</v>
      </c>
      <c r="B104" s="1" t="s">
        <v>5</v>
      </c>
      <c r="C104" t="s">
        <v>11</v>
      </c>
      <c r="D104" t="s">
        <v>11</v>
      </c>
      <c r="E104" s="97">
        <v>7.3072999999999997</v>
      </c>
      <c r="F104" s="5">
        <f t="shared" si="29"/>
        <v>1.7902885E-2</v>
      </c>
      <c r="G104" s="1">
        <f>LOOKUP(RIGHT(D104,5),Ref!$C$4:$C$21,Ref!$E$4:$E$21)*$G$3</f>
        <v>4.5</v>
      </c>
      <c r="H104" s="36">
        <f t="shared" si="43"/>
        <v>7.3072999999999997</v>
      </c>
      <c r="I104" s="12">
        <f t="shared" si="43"/>
        <v>7.3072999999999997</v>
      </c>
      <c r="J104" s="12">
        <f t="shared" si="43"/>
        <v>7.3072999999999997</v>
      </c>
      <c r="K104" s="12">
        <f t="shared" si="43"/>
        <v>7.3072999999999997</v>
      </c>
      <c r="L104" s="12">
        <f t="shared" si="43"/>
        <v>7.3072999999999997</v>
      </c>
      <c r="M104" s="12">
        <f t="shared" si="42"/>
        <v>7.6538550830704333</v>
      </c>
      <c r="N104" s="12">
        <f t="shared" si="42"/>
        <v>7.8616184788692323</v>
      </c>
      <c r="O104" s="12">
        <f t="shared" si="42"/>
        <v>8.1783515120922186</v>
      </c>
      <c r="P104" s="12">
        <f t="shared" si="42"/>
        <v>8.640338030110188</v>
      </c>
      <c r="Q104" s="12">
        <f t="shared" si="42"/>
        <v>9.2725356483769659</v>
      </c>
      <c r="R104" s="12">
        <f t="shared" si="42"/>
        <v>10.066102929108688</v>
      </c>
      <c r="S104" s="12">
        <f t="shared" si="42"/>
        <v>10.96095</v>
      </c>
      <c r="T104" s="12">
        <f t="shared" si="42"/>
        <v>11.855797070891311</v>
      </c>
      <c r="U104" s="12">
        <f t="shared" si="42"/>
        <v>12.649364351623033</v>
      </c>
      <c r="V104" s="12">
        <f t="shared" si="42"/>
        <v>13.281561969889811</v>
      </c>
      <c r="W104" s="12">
        <f t="shared" si="42"/>
        <v>13.743548487907779</v>
      </c>
      <c r="X104" s="12">
        <f t="shared" si="42"/>
        <v>14.060281521130767</v>
      </c>
      <c r="Y104" s="12">
        <f t="shared" si="42"/>
        <v>14.268044916929567</v>
      </c>
      <c r="Z104" s="12">
        <f t="shared" si="42"/>
        <v>14.400406736230615</v>
      </c>
      <c r="AA104" s="12">
        <f t="shared" si="42"/>
        <v>14.483169367944008</v>
      </c>
      <c r="AB104" s="12">
        <f t="shared" si="42"/>
        <v>14.534315114115467</v>
      </c>
      <c r="AC104" s="12">
        <f t="shared" si="41"/>
        <v>14.565693330440974</v>
      </c>
      <c r="AD104" s="300">
        <f t="shared" si="39"/>
        <v>1.8808037309990366E-3</v>
      </c>
      <c r="AE104" s="299">
        <f t="shared" si="39"/>
        <v>1.8808037309990366E-3</v>
      </c>
      <c r="AF104" s="299">
        <f t="shared" si="39"/>
        <v>1.8808037309990366E-3</v>
      </c>
      <c r="AG104" s="299">
        <f t="shared" si="39"/>
        <v>1.8808037309990366E-3</v>
      </c>
      <c r="AH104" s="299">
        <f t="shared" si="39"/>
        <v>1.8808037309990366E-3</v>
      </c>
      <c r="AI104" s="299">
        <f t="shared" si="39"/>
        <v>1.7956437578663764E-3</v>
      </c>
      <c r="AJ104" s="299">
        <f t="shared" si="39"/>
        <v>1.7481892743167124E-3</v>
      </c>
      <c r="AK104" s="299">
        <f t="shared" si="39"/>
        <v>1.6804850076703683E-3</v>
      </c>
      <c r="AL104" s="299">
        <f t="shared" si="39"/>
        <v>1.5906318775532895E-3</v>
      </c>
      <c r="AM104" s="299">
        <f t="shared" si="39"/>
        <v>1.4821832586790749E-3</v>
      </c>
      <c r="AN104" s="299">
        <f t="shared" si="39"/>
        <v>1.3653344497189836E-3</v>
      </c>
      <c r="AO104" s="299">
        <f t="shared" si="37"/>
        <v>1.2538691539993577E-3</v>
      </c>
      <c r="AP104" s="299">
        <f t="shared" si="37"/>
        <v>1.1592301235716094E-3</v>
      </c>
      <c r="AQ104" s="299">
        <f t="shared" si="37"/>
        <v>1.0865049595765518E-3</v>
      </c>
      <c r="AR104" s="299">
        <f t="shared" si="37"/>
        <v>1.0347877105634799E-3</v>
      </c>
      <c r="AS104" s="299">
        <f t="shared" si="37"/>
        <v>1.0000035373412858E-3</v>
      </c>
      <c r="AT104" s="299">
        <f t="shared" si="34"/>
        <v>9.7747666594544562E-4</v>
      </c>
      <c r="AU104" s="299">
        <f t="shared" si="34"/>
        <v>9.6324319018802431E-4</v>
      </c>
      <c r="AV104" s="299">
        <f t="shared" si="34"/>
        <v>9.5438950824570403E-4</v>
      </c>
      <c r="AW104" s="299">
        <f t="shared" si="19"/>
        <v>9.4893574426798712E-4</v>
      </c>
      <c r="AX104" s="299">
        <f t="shared" si="19"/>
        <v>9.4559647259757863E-4</v>
      </c>
      <c r="AY104" s="299">
        <f t="shared" si="19"/>
        <v>9.4355941675679743E-4</v>
      </c>
      <c r="AZ104" s="306">
        <f t="shared" si="40"/>
        <v>0.10412089544513264</v>
      </c>
      <c r="BA104" s="2">
        <f t="shared" si="40"/>
        <v>0.10412089544513264</v>
      </c>
      <c r="BB104" s="2">
        <f t="shared" si="40"/>
        <v>0.10412089544513264</v>
      </c>
      <c r="BC104" s="2">
        <f t="shared" si="40"/>
        <v>0.10412089544513264</v>
      </c>
      <c r="BD104" s="2">
        <f t="shared" si="40"/>
        <v>0.10412089544513264</v>
      </c>
      <c r="BE104" s="2">
        <f t="shared" si="40"/>
        <v>9.9406457403292889E-2</v>
      </c>
      <c r="BF104" s="2">
        <f t="shared" si="40"/>
        <v>9.6779387263734626E-2</v>
      </c>
      <c r="BG104" s="2">
        <f t="shared" si="40"/>
        <v>9.3031293428909603E-2</v>
      </c>
      <c r="BH104" s="2">
        <f t="shared" si="40"/>
        <v>8.8057043212291422E-2</v>
      </c>
      <c r="BI104" s="2">
        <f t="shared" si="40"/>
        <v>8.205335068400553E-2</v>
      </c>
      <c r="BJ104" s="2">
        <f t="shared" si="40"/>
        <v>7.558462541506987E-2</v>
      </c>
      <c r="BK104" s="2">
        <f t="shared" si="38"/>
        <v>6.9413930296755091E-2</v>
      </c>
      <c r="BL104" s="2">
        <f t="shared" si="38"/>
        <v>6.4174733654497176E-2</v>
      </c>
      <c r="BM104" s="2">
        <f t="shared" si="38"/>
        <v>6.0148684007872259E-2</v>
      </c>
      <c r="BN104" s="2">
        <f t="shared" si="38"/>
        <v>5.7285628076810459E-2</v>
      </c>
      <c r="BO104" s="2">
        <f t="shared" si="38"/>
        <v>5.5359983628365188E-2</v>
      </c>
      <c r="BP104" s="2">
        <f t="shared" si="35"/>
        <v>5.4112900808050729E-2</v>
      </c>
      <c r="BQ104" s="2">
        <f t="shared" si="35"/>
        <v>5.3324938610436363E-2</v>
      </c>
      <c r="BR104" s="2">
        <f t="shared" si="35"/>
        <v>5.2834800656843983E-2</v>
      </c>
      <c r="BS104" s="2">
        <f t="shared" si="20"/>
        <v>5.2532881440315919E-2</v>
      </c>
      <c r="BT104" s="2">
        <f t="shared" si="20"/>
        <v>5.2348020069229201E-2</v>
      </c>
      <c r="BU104" s="2">
        <f t="shared" si="20"/>
        <v>5.2235249090142925E-2</v>
      </c>
    </row>
    <row r="105" spans="1:73" x14ac:dyDescent="0.25">
      <c r="A105" t="s">
        <v>31</v>
      </c>
      <c r="B105" s="1" t="s">
        <v>5</v>
      </c>
      <c r="C105" t="s">
        <v>7</v>
      </c>
      <c r="D105" t="s">
        <v>7</v>
      </c>
      <c r="E105" s="97">
        <v>4.6672549999999999</v>
      </c>
      <c r="F105" s="5">
        <f t="shared" si="29"/>
        <v>1.1434774750000001E-2</v>
      </c>
      <c r="G105" s="1">
        <f>LOOKUP(RIGHT(D105,5),Ref!$C$4:$C$21,Ref!$E$4:$E$21)*$G$3</f>
        <v>3.5</v>
      </c>
      <c r="H105" s="36">
        <f t="shared" si="43"/>
        <v>4.6672549999999999</v>
      </c>
      <c r="I105" s="12">
        <f t="shared" si="43"/>
        <v>4.6672549999999999</v>
      </c>
      <c r="J105" s="12">
        <f t="shared" si="43"/>
        <v>4.6672549999999999</v>
      </c>
      <c r="K105" s="12">
        <f t="shared" si="43"/>
        <v>4.6672549999999999</v>
      </c>
      <c r="L105" s="12">
        <f t="shared" si="43"/>
        <v>4.6672549999999999</v>
      </c>
      <c r="M105" s="12">
        <f t="shared" si="42"/>
        <v>4.8886036437173646</v>
      </c>
      <c r="N105" s="12">
        <f t="shared" si="42"/>
        <v>5.0213044699950489</v>
      </c>
      <c r="O105" s="12">
        <f t="shared" si="42"/>
        <v>5.2236054338223381</v>
      </c>
      <c r="P105" s="12">
        <f t="shared" si="42"/>
        <v>5.5186814381128357</v>
      </c>
      <c r="Q105" s="12">
        <f t="shared" si="42"/>
        <v>5.9224731935962165</v>
      </c>
      <c r="R105" s="12">
        <f t="shared" si="42"/>
        <v>6.4293335741514888</v>
      </c>
      <c r="S105" s="12">
        <f t="shared" si="42"/>
        <v>7.0008824999999995</v>
      </c>
      <c r="T105" s="12">
        <f t="shared" si="42"/>
        <v>7.572431425848511</v>
      </c>
      <c r="U105" s="12">
        <f t="shared" si="42"/>
        <v>8.0792918064037824</v>
      </c>
      <c r="V105" s="12">
        <f t="shared" si="42"/>
        <v>8.4830835618871649</v>
      </c>
      <c r="W105" s="12">
        <f t="shared" si="42"/>
        <v>8.7781595661776599</v>
      </c>
      <c r="X105" s="12">
        <f t="shared" si="42"/>
        <v>8.9804605300049509</v>
      </c>
      <c r="Y105" s="12">
        <f t="shared" si="42"/>
        <v>9.1131613562826352</v>
      </c>
      <c r="Z105" s="12">
        <f t="shared" si="42"/>
        <v>9.1977023444645791</v>
      </c>
      <c r="AA105" s="12">
        <f t="shared" si="42"/>
        <v>9.2505637716233782</v>
      </c>
      <c r="AB105" s="12">
        <f t="shared" si="42"/>
        <v>9.2832311370726508</v>
      </c>
      <c r="AC105" s="12">
        <f t="shared" si="41"/>
        <v>9.3032727580593768</v>
      </c>
      <c r="AD105" s="300">
        <f t="shared" si="39"/>
        <v>2.9446852815047087E-3</v>
      </c>
      <c r="AE105" s="299">
        <f t="shared" si="39"/>
        <v>2.9446852815047087E-3</v>
      </c>
      <c r="AF105" s="299">
        <f t="shared" si="39"/>
        <v>2.9446852815047087E-3</v>
      </c>
      <c r="AG105" s="299">
        <f t="shared" si="39"/>
        <v>2.9446852815047087E-3</v>
      </c>
      <c r="AH105" s="299">
        <f t="shared" si="39"/>
        <v>2.9446852815047087E-3</v>
      </c>
      <c r="AI105" s="299">
        <f t="shared" si="39"/>
        <v>2.8113543467963441E-3</v>
      </c>
      <c r="AJ105" s="299">
        <f t="shared" si="39"/>
        <v>2.7370571104888232E-3</v>
      </c>
      <c r="AK105" s="299">
        <f t="shared" si="39"/>
        <v>2.6310557483038063E-3</v>
      </c>
      <c r="AL105" s="299">
        <f t="shared" si="39"/>
        <v>2.490376960085779E-3</v>
      </c>
      <c r="AM105" s="299">
        <f t="shared" si="39"/>
        <v>2.3205840962504951E-3</v>
      </c>
      <c r="AN105" s="299">
        <f t="shared" si="39"/>
        <v>2.1376394528328812E-3</v>
      </c>
      <c r="AO105" s="299">
        <f t="shared" si="37"/>
        <v>1.9631235210031393E-3</v>
      </c>
      <c r="AP105" s="299">
        <f t="shared" si="37"/>
        <v>1.8149516754440932E-3</v>
      </c>
      <c r="AQ105" s="299">
        <f t="shared" si="37"/>
        <v>1.7010893321907068E-3</v>
      </c>
      <c r="AR105" s="299">
        <f t="shared" si="37"/>
        <v>1.6201180859842703E-3</v>
      </c>
      <c r="AS105" s="299">
        <f t="shared" si="37"/>
        <v>1.5656581541857E-3</v>
      </c>
      <c r="AT105" s="299">
        <f t="shared" si="34"/>
        <v>1.5303888990559021E-3</v>
      </c>
      <c r="AU105" s="299">
        <f t="shared" si="34"/>
        <v>1.5081042205024047E-3</v>
      </c>
      <c r="AV105" s="299">
        <f t="shared" si="34"/>
        <v>1.4942424302087272E-3</v>
      </c>
      <c r="AW105" s="299">
        <f t="shared" si="19"/>
        <v>1.485703730370306E-3</v>
      </c>
      <c r="AX105" s="299">
        <f t="shared" si="19"/>
        <v>1.4804755909442031E-3</v>
      </c>
      <c r="AY105" s="299">
        <f t="shared" si="19"/>
        <v>1.4772862691382722E-3</v>
      </c>
      <c r="AZ105" s="306">
        <f t="shared" si="40"/>
        <v>0.16301715232748537</v>
      </c>
      <c r="BA105" s="2">
        <f t="shared" si="40"/>
        <v>0.16301715232748537</v>
      </c>
      <c r="BB105" s="2">
        <f t="shared" si="40"/>
        <v>0.16301715232748537</v>
      </c>
      <c r="BC105" s="2">
        <f t="shared" si="40"/>
        <v>0.16301715232748537</v>
      </c>
      <c r="BD105" s="2">
        <f t="shared" si="40"/>
        <v>0.16301715232748537</v>
      </c>
      <c r="BE105" s="2">
        <f t="shared" si="40"/>
        <v>0.15563598007460103</v>
      </c>
      <c r="BF105" s="2">
        <f t="shared" si="40"/>
        <v>0.15152290083834888</v>
      </c>
      <c r="BG105" s="2">
        <f t="shared" si="40"/>
        <v>0.14565468792107375</v>
      </c>
      <c r="BH105" s="2">
        <f t="shared" si="40"/>
        <v>0.13786674005709504</v>
      </c>
      <c r="BI105" s="2">
        <f t="shared" si="40"/>
        <v>0.12846704314489643</v>
      </c>
      <c r="BJ105" s="2">
        <f t="shared" si="40"/>
        <v>0.11833926650580266</v>
      </c>
      <c r="BK105" s="2">
        <f t="shared" si="38"/>
        <v>0.10867810155165693</v>
      </c>
      <c r="BL105" s="2">
        <f t="shared" si="38"/>
        <v>0.10047533962329191</v>
      </c>
      <c r="BM105" s="2">
        <f t="shared" si="38"/>
        <v>9.4171944462157084E-2</v>
      </c>
      <c r="BN105" s="2">
        <f t="shared" si="38"/>
        <v>8.968939345411317E-2</v>
      </c>
      <c r="BO105" s="2">
        <f t="shared" si="38"/>
        <v>8.6674503186038254E-2</v>
      </c>
      <c r="BP105" s="2">
        <f t="shared" si="35"/>
        <v>8.4722004706121498E-2</v>
      </c>
      <c r="BQ105" s="2">
        <f t="shared" si="35"/>
        <v>8.3488329630166266E-2</v>
      </c>
      <c r="BR105" s="2">
        <f t="shared" si="35"/>
        <v>8.2720943860953813E-2</v>
      </c>
      <c r="BS105" s="2">
        <f t="shared" si="20"/>
        <v>8.2248243249794684E-2</v>
      </c>
      <c r="BT105" s="2">
        <f t="shared" si="20"/>
        <v>8.1958814560566876E-2</v>
      </c>
      <c r="BU105" s="2">
        <f t="shared" si="20"/>
        <v>8.1782254382158553E-2</v>
      </c>
    </row>
    <row r="106" spans="1:73" x14ac:dyDescent="0.25">
      <c r="A106" t="s">
        <v>31</v>
      </c>
      <c r="B106" s="1" t="s">
        <v>5</v>
      </c>
      <c r="C106" t="s">
        <v>8</v>
      </c>
      <c r="D106" t="s">
        <v>8</v>
      </c>
      <c r="E106" s="97">
        <v>4.84063</v>
      </c>
      <c r="F106" s="5">
        <f t="shared" si="29"/>
        <v>1.1859543500000002E-2</v>
      </c>
      <c r="G106" s="1">
        <f>LOOKUP(RIGHT(D106,5),Ref!$C$4:$C$21,Ref!$E$4:$E$21)*$G$3</f>
        <v>4</v>
      </c>
      <c r="H106" s="36">
        <f t="shared" si="43"/>
        <v>4.84063</v>
      </c>
      <c r="I106" s="12">
        <f t="shared" si="43"/>
        <v>4.84063</v>
      </c>
      <c r="J106" s="12">
        <f t="shared" si="43"/>
        <v>4.84063</v>
      </c>
      <c r="K106" s="12">
        <f t="shared" si="43"/>
        <v>4.84063</v>
      </c>
      <c r="L106" s="12">
        <f t="shared" si="43"/>
        <v>4.84063</v>
      </c>
      <c r="M106" s="12">
        <f t="shared" si="42"/>
        <v>5.0702011044795245</v>
      </c>
      <c r="N106" s="12">
        <f t="shared" si="42"/>
        <v>5.2078313819562316</v>
      </c>
      <c r="O106" s="12">
        <f t="shared" si="42"/>
        <v>5.4176472404279226</v>
      </c>
      <c r="P106" s="12">
        <f t="shared" si="42"/>
        <v>5.7236844633027628</v>
      </c>
      <c r="Q106" s="12">
        <f t="shared" si="42"/>
        <v>6.1424759125262396</v>
      </c>
      <c r="R106" s="12">
        <f t="shared" si="42"/>
        <v>6.6681646876043672</v>
      </c>
      <c r="S106" s="12">
        <f t="shared" si="42"/>
        <v>7.2609449999999995</v>
      </c>
      <c r="T106" s="12">
        <f t="shared" si="42"/>
        <v>7.8537253123956328</v>
      </c>
      <c r="U106" s="12">
        <f t="shared" si="42"/>
        <v>8.3794140874737604</v>
      </c>
      <c r="V106" s="12">
        <f t="shared" si="42"/>
        <v>8.7982055366972372</v>
      </c>
      <c r="W106" s="12">
        <f t="shared" si="42"/>
        <v>9.1042427595720756</v>
      </c>
      <c r="X106" s="12">
        <f t="shared" si="42"/>
        <v>9.3140586180437683</v>
      </c>
      <c r="Y106" s="12">
        <f t="shared" si="42"/>
        <v>9.4516888955204745</v>
      </c>
      <c r="Z106" s="12">
        <f t="shared" si="42"/>
        <v>9.5393703364580631</v>
      </c>
      <c r="AA106" s="12">
        <f t="shared" si="42"/>
        <v>9.5941954124712012</v>
      </c>
      <c r="AB106" s="12">
        <f t="shared" si="42"/>
        <v>9.6280762758940721</v>
      </c>
      <c r="AC106" s="12">
        <f t="shared" si="41"/>
        <v>9.6488623850303803</v>
      </c>
      <c r="AD106" s="300">
        <f t="shared" si="39"/>
        <v>2.8392166109637092E-3</v>
      </c>
      <c r="AE106" s="299">
        <f t="shared" si="39"/>
        <v>2.8392166109637092E-3</v>
      </c>
      <c r="AF106" s="299">
        <f t="shared" si="39"/>
        <v>2.8392166109637092E-3</v>
      </c>
      <c r="AG106" s="299">
        <f t="shared" si="39"/>
        <v>2.8392166109637092E-3</v>
      </c>
      <c r="AH106" s="299">
        <f t="shared" si="39"/>
        <v>2.8392166109637092E-3</v>
      </c>
      <c r="AI106" s="299">
        <f t="shared" si="39"/>
        <v>2.7106611395328654E-3</v>
      </c>
      <c r="AJ106" s="299">
        <f t="shared" si="39"/>
        <v>2.6390249790243236E-3</v>
      </c>
      <c r="AK106" s="299">
        <f t="shared" si="39"/>
        <v>2.536820227232753E-3</v>
      </c>
      <c r="AL106" s="299">
        <f t="shared" si="39"/>
        <v>2.4011800775612167E-3</v>
      </c>
      <c r="AM106" s="299">
        <f t="shared" si="39"/>
        <v>2.2374686200237583E-3</v>
      </c>
      <c r="AN106" s="299">
        <f t="shared" si="39"/>
        <v>2.0610764351812736E-3</v>
      </c>
      <c r="AO106" s="299">
        <f t="shared" si="37"/>
        <v>1.8928110739758063E-3</v>
      </c>
      <c r="AP106" s="299">
        <f t="shared" si="37"/>
        <v>1.749946242942514E-3</v>
      </c>
      <c r="AQ106" s="299">
        <f t="shared" si="37"/>
        <v>1.6401620638457673E-3</v>
      </c>
      <c r="AR106" s="299">
        <f t="shared" si="37"/>
        <v>1.5620909339074699E-3</v>
      </c>
      <c r="AS106" s="299">
        <f t="shared" si="37"/>
        <v>1.5095815727320574E-3</v>
      </c>
      <c r="AT106" s="299">
        <f t="shared" si="34"/>
        <v>1.4755755430725245E-3</v>
      </c>
      <c r="AU106" s="299">
        <f t="shared" si="34"/>
        <v>1.4540890263583356E-3</v>
      </c>
      <c r="AV106" s="299">
        <f t="shared" si="34"/>
        <v>1.4407237185250334E-3</v>
      </c>
      <c r="AW106" s="299">
        <f t="shared" si="19"/>
        <v>1.4324908460447217E-3</v>
      </c>
      <c r="AX106" s="299">
        <f t="shared" si="19"/>
        <v>1.4274499608960584E-3</v>
      </c>
      <c r="AY106" s="299">
        <f t="shared" si="19"/>
        <v>1.4243748698138353E-3</v>
      </c>
      <c r="AZ106" s="306">
        <f t="shared" si="40"/>
        <v>0.15717842910658691</v>
      </c>
      <c r="BA106" s="2">
        <f t="shared" si="40"/>
        <v>0.15717842910658691</v>
      </c>
      <c r="BB106" s="2">
        <f t="shared" si="40"/>
        <v>0.15717842910658691</v>
      </c>
      <c r="BC106" s="2">
        <f t="shared" si="40"/>
        <v>0.15717842910658691</v>
      </c>
      <c r="BD106" s="2">
        <f t="shared" si="40"/>
        <v>0.15717842910658691</v>
      </c>
      <c r="BE106" s="2">
        <f t="shared" si="40"/>
        <v>0.15006162548740187</v>
      </c>
      <c r="BF106" s="2">
        <f t="shared" si="40"/>
        <v>0.14609586284270601</v>
      </c>
      <c r="BG106" s="2">
        <f t="shared" si="40"/>
        <v>0.14043782947117858</v>
      </c>
      <c r="BH106" s="2">
        <f t="shared" si="40"/>
        <v>0.13292881956794408</v>
      </c>
      <c r="BI106" s="2">
        <f t="shared" si="40"/>
        <v>0.12386578801793023</v>
      </c>
      <c r="BJ106" s="2">
        <f t="shared" si="40"/>
        <v>0.11410075409513637</v>
      </c>
      <c r="BK106" s="2">
        <f t="shared" si="38"/>
        <v>0.10478561940439128</v>
      </c>
      <c r="BL106" s="2">
        <f t="shared" si="38"/>
        <v>9.68766526740336E-2</v>
      </c>
      <c r="BM106" s="2">
        <f t="shared" si="38"/>
        <v>9.079902381523168E-2</v>
      </c>
      <c r="BN106" s="2">
        <f t="shared" si="38"/>
        <v>8.6477022628392797E-2</v>
      </c>
      <c r="BO106" s="2">
        <f t="shared" si="38"/>
        <v>8.3570115536108519E-2</v>
      </c>
      <c r="BP106" s="2">
        <f t="shared" si="35"/>
        <v>8.1687548950171579E-2</v>
      </c>
      <c r="BQ106" s="2">
        <f t="shared" si="35"/>
        <v>8.049805994427206E-2</v>
      </c>
      <c r="BR106" s="2">
        <f t="shared" si="35"/>
        <v>7.9758159338713344E-2</v>
      </c>
      <c r="BS106" s="2">
        <f t="shared" si="20"/>
        <v>7.930238926520318E-2</v>
      </c>
      <c r="BT106" s="2">
        <f t="shared" si="20"/>
        <v>7.9023326933039401E-2</v>
      </c>
      <c r="BU106" s="2">
        <f t="shared" si="20"/>
        <v>7.885309054325601E-2</v>
      </c>
    </row>
    <row r="107" spans="1:73" x14ac:dyDescent="0.25">
      <c r="A107" t="s">
        <v>31</v>
      </c>
      <c r="B107" s="1" t="s">
        <v>5</v>
      </c>
      <c r="C107" t="s">
        <v>9</v>
      </c>
      <c r="D107" t="s">
        <v>9</v>
      </c>
      <c r="E107" s="97">
        <v>5.4611299999999998</v>
      </c>
      <c r="F107" s="5">
        <f t="shared" si="29"/>
        <v>1.3379768499999998E-2</v>
      </c>
      <c r="G107" s="1">
        <f>LOOKUP(RIGHT(D107,5),Ref!$C$4:$C$21,Ref!$E$4:$E$21)*$G$3</f>
        <v>4.5</v>
      </c>
      <c r="H107" s="36">
        <f t="shared" si="43"/>
        <v>5.4611299999999998</v>
      </c>
      <c r="I107" s="12">
        <f t="shared" si="43"/>
        <v>5.4611299999999998</v>
      </c>
      <c r="J107" s="12">
        <f t="shared" si="43"/>
        <v>5.4611299999999998</v>
      </c>
      <c r="K107" s="12">
        <f t="shared" si="43"/>
        <v>5.4611299999999998</v>
      </c>
      <c r="L107" s="12">
        <f t="shared" si="43"/>
        <v>5.4611299999999998</v>
      </c>
      <c r="M107" s="12">
        <f t="shared" si="42"/>
        <v>5.7201288587862047</v>
      </c>
      <c r="N107" s="12">
        <f t="shared" si="42"/>
        <v>5.8754013826594127</v>
      </c>
      <c r="O107" s="12">
        <f t="shared" si="42"/>
        <v>6.1121126535426464</v>
      </c>
      <c r="P107" s="12">
        <f t="shared" si="42"/>
        <v>6.4573795008246062</v>
      </c>
      <c r="Q107" s="12">
        <f t="shared" si="42"/>
        <v>6.9298540644863218</v>
      </c>
      <c r="R107" s="12">
        <f t="shared" si="42"/>
        <v>7.5229286725936158</v>
      </c>
      <c r="S107" s="12">
        <f t="shared" si="42"/>
        <v>8.1916949999999993</v>
      </c>
      <c r="T107" s="12">
        <f t="shared" si="42"/>
        <v>8.8604613274063837</v>
      </c>
      <c r="U107" s="12">
        <f t="shared" si="42"/>
        <v>9.4535359355136777</v>
      </c>
      <c r="V107" s="12">
        <f t="shared" si="42"/>
        <v>9.9260104991753924</v>
      </c>
      <c r="W107" s="12">
        <f t="shared" si="42"/>
        <v>10.271277346457351</v>
      </c>
      <c r="X107" s="12">
        <f t="shared" si="42"/>
        <v>10.507988617340587</v>
      </c>
      <c r="Y107" s="12">
        <f t="shared" si="42"/>
        <v>10.663261141213795</v>
      </c>
      <c r="Z107" s="12">
        <f t="shared" si="42"/>
        <v>10.762182097276845</v>
      </c>
      <c r="AA107" s="12">
        <f t="shared" si="42"/>
        <v>10.824034969189723</v>
      </c>
      <c r="AB107" s="12">
        <f t="shared" si="42"/>
        <v>10.862258877991788</v>
      </c>
      <c r="AC107" s="12">
        <f t="shared" si="41"/>
        <v>10.885709471031861</v>
      </c>
      <c r="AD107" s="300">
        <f t="shared" si="39"/>
        <v>2.5166214874081483E-3</v>
      </c>
      <c r="AE107" s="299">
        <f t="shared" si="39"/>
        <v>2.5166214874081483E-3</v>
      </c>
      <c r="AF107" s="299">
        <f t="shared" si="39"/>
        <v>2.5166214874081483E-3</v>
      </c>
      <c r="AG107" s="299">
        <f t="shared" si="39"/>
        <v>2.5166214874081483E-3</v>
      </c>
      <c r="AH107" s="299">
        <f t="shared" si="39"/>
        <v>2.5166214874081483E-3</v>
      </c>
      <c r="AI107" s="299">
        <f t="shared" si="39"/>
        <v>2.4026726395191054E-3</v>
      </c>
      <c r="AJ107" s="299">
        <f t="shared" si="39"/>
        <v>2.3391758636426003E-3</v>
      </c>
      <c r="AK107" s="299">
        <f t="shared" si="39"/>
        <v>2.2485837357011608E-3</v>
      </c>
      <c r="AL107" s="299">
        <f t="shared" si="39"/>
        <v>2.1283551790279949E-3</v>
      </c>
      <c r="AM107" s="299">
        <f t="shared" si="39"/>
        <v>1.9832448094342387E-3</v>
      </c>
      <c r="AN107" s="299">
        <f t="shared" si="39"/>
        <v>1.8268945116544616E-3</v>
      </c>
      <c r="AO107" s="299">
        <f t="shared" si="37"/>
        <v>1.6777476582720988E-3</v>
      </c>
      <c r="AP107" s="299">
        <f t="shared" si="37"/>
        <v>1.5511152970126734E-3</v>
      </c>
      <c r="AQ107" s="299">
        <f t="shared" si="37"/>
        <v>1.4538049251919909E-3</v>
      </c>
      <c r="AR107" s="299">
        <f t="shared" si="37"/>
        <v>1.3846043286646749E-3</v>
      </c>
      <c r="AS107" s="299">
        <f t="shared" si="37"/>
        <v>1.3380611427330936E-3</v>
      </c>
      <c r="AT107" s="299">
        <f t="shared" si="34"/>
        <v>1.3079189180743094E-3</v>
      </c>
      <c r="AU107" s="299">
        <f t="shared" si="34"/>
        <v>1.2888737246066198E-3</v>
      </c>
      <c r="AV107" s="299">
        <f t="shared" si="34"/>
        <v>1.2770269987353959E-3</v>
      </c>
      <c r="AW107" s="299">
        <f t="shared" si="19"/>
        <v>1.2697295548887249E-3</v>
      </c>
      <c r="AX107" s="299">
        <f t="shared" si="19"/>
        <v>1.2652614210268364E-3</v>
      </c>
      <c r="AY107" s="299">
        <f t="shared" si="19"/>
        <v>1.2625357254024252E-3</v>
      </c>
      <c r="AZ107" s="306">
        <f t="shared" si="40"/>
        <v>0.13931963152062263</v>
      </c>
      <c r="BA107" s="2">
        <f t="shared" si="40"/>
        <v>0.13931963152062263</v>
      </c>
      <c r="BB107" s="2">
        <f t="shared" si="40"/>
        <v>0.13931963152062263</v>
      </c>
      <c r="BC107" s="2">
        <f t="shared" si="40"/>
        <v>0.13931963152062263</v>
      </c>
      <c r="BD107" s="2">
        <f t="shared" si="40"/>
        <v>0.13931963152062263</v>
      </c>
      <c r="BE107" s="2">
        <f t="shared" si="40"/>
        <v>0.13301144748121399</v>
      </c>
      <c r="BF107" s="2">
        <f t="shared" si="40"/>
        <v>0.12949627944258571</v>
      </c>
      <c r="BG107" s="2">
        <f t="shared" si="40"/>
        <v>0.12448111846322485</v>
      </c>
      <c r="BH107" s="2">
        <f t="shared" si="40"/>
        <v>0.11782529107806941</v>
      </c>
      <c r="BI107" s="2">
        <f t="shared" si="40"/>
        <v>0.10979201180950346</v>
      </c>
      <c r="BJ107" s="2">
        <f t="shared" si="40"/>
        <v>0.10113649250165077</v>
      </c>
      <c r="BK107" s="2">
        <f t="shared" si="38"/>
        <v>9.2879754347081747E-2</v>
      </c>
      <c r="BL107" s="2">
        <f t="shared" si="38"/>
        <v>8.5869413698906133E-2</v>
      </c>
      <c r="BM107" s="2">
        <f t="shared" si="38"/>
        <v>8.0482332163988937E-2</v>
      </c>
      <c r="BN107" s="2">
        <f t="shared" si="38"/>
        <v>7.6651401824471679E-2</v>
      </c>
      <c r="BO107" s="2">
        <f t="shared" si="38"/>
        <v>7.4074780927674846E-2</v>
      </c>
      <c r="BP107" s="2">
        <f t="shared" si="35"/>
        <v>7.2406113766687305E-2</v>
      </c>
      <c r="BQ107" s="2">
        <f t="shared" si="35"/>
        <v>7.1351775897669834E-2</v>
      </c>
      <c r="BR107" s="2">
        <f t="shared" si="35"/>
        <v>7.069594366729158E-2</v>
      </c>
      <c r="BS107" s="2">
        <f t="shared" si="20"/>
        <v>7.0291958724443562E-2</v>
      </c>
      <c r="BT107" s="2">
        <f t="shared" si="20"/>
        <v>7.0044603781978923E-2</v>
      </c>
      <c r="BU107" s="2">
        <f t="shared" si="20"/>
        <v>6.9893709850598937E-2</v>
      </c>
    </row>
    <row r="108" spans="1:73" x14ac:dyDescent="0.25">
      <c r="A108" t="s">
        <v>33</v>
      </c>
      <c r="B108" s="1" t="s">
        <v>5</v>
      </c>
      <c r="C108" t="s">
        <v>13</v>
      </c>
      <c r="D108" t="s">
        <v>13</v>
      </c>
      <c r="E108" s="97">
        <v>5.6863349999999997</v>
      </c>
      <c r="F108" s="5">
        <f t="shared" si="29"/>
        <v>1.3931520750000001E-2</v>
      </c>
      <c r="G108" s="1">
        <f>LOOKUP(RIGHT(D108,5),Ref!$C$4:$C$21,Ref!$E$4:$E$21)*$G$3</f>
        <v>1.5</v>
      </c>
      <c r="H108" s="36">
        <f t="shared" si="43"/>
        <v>5.6863349999999997</v>
      </c>
      <c r="I108" s="12">
        <f t="shared" si="43"/>
        <v>5.6863349999999997</v>
      </c>
      <c r="J108" s="12">
        <f t="shared" si="43"/>
        <v>5.6863349999999997</v>
      </c>
      <c r="K108" s="12">
        <f t="shared" si="43"/>
        <v>5.6863349999999997</v>
      </c>
      <c r="L108" s="12">
        <f t="shared" si="43"/>
        <v>5.6863349999999997</v>
      </c>
      <c r="M108" s="12">
        <f t="shared" si="42"/>
        <v>5.9560144025551587</v>
      </c>
      <c r="N108" s="12">
        <f t="shared" si="42"/>
        <v>6.1176900240910967</v>
      </c>
      <c r="O108" s="12">
        <f t="shared" si="42"/>
        <v>6.3641627475966374</v>
      </c>
      <c r="P108" s="12">
        <f t="shared" si="42"/>
        <v>6.7236676409134173</v>
      </c>
      <c r="Q108" s="12">
        <f t="shared" si="42"/>
        <v>7.2156260172859517</v>
      </c>
      <c r="R108" s="12">
        <f t="shared" si="42"/>
        <v>7.8331577189103028</v>
      </c>
      <c r="S108" s="12">
        <f t="shared" si="42"/>
        <v>8.5295024999999995</v>
      </c>
      <c r="T108" s="12">
        <f t="shared" si="42"/>
        <v>9.2258472810896972</v>
      </c>
      <c r="U108" s="12">
        <f t="shared" si="42"/>
        <v>9.8433789827140483</v>
      </c>
      <c r="V108" s="12">
        <f t="shared" si="42"/>
        <v>10.335337359086582</v>
      </c>
      <c r="W108" s="12">
        <f t="shared" si="42"/>
        <v>10.69484225240336</v>
      </c>
      <c r="X108" s="12">
        <f t="shared" si="42"/>
        <v>10.941314975908902</v>
      </c>
      <c r="Y108" s="12">
        <f t="shared" si="42"/>
        <v>11.10299059744484</v>
      </c>
      <c r="Z108" s="12">
        <f t="shared" si="42"/>
        <v>11.205990836350486</v>
      </c>
      <c r="AA108" s="12">
        <f t="shared" si="42"/>
        <v>11.27039438477521</v>
      </c>
      <c r="AB108" s="12">
        <f t="shared" si="42"/>
        <v>11.310194563576665</v>
      </c>
      <c r="AC108" s="12">
        <f t="shared" si="41"/>
        <v>11.334612207539458</v>
      </c>
      <c r="AD108" s="300">
        <f t="shared" si="39"/>
        <v>2.4169517102895382E-3</v>
      </c>
      <c r="AE108" s="299">
        <f t="shared" si="39"/>
        <v>2.4169517102895382E-3</v>
      </c>
      <c r="AF108" s="299">
        <f t="shared" si="39"/>
        <v>2.4169517102895382E-3</v>
      </c>
      <c r="AG108" s="299">
        <f t="shared" si="39"/>
        <v>2.4169517102895382E-3</v>
      </c>
      <c r="AH108" s="299">
        <f t="shared" si="39"/>
        <v>2.4169517102895382E-3</v>
      </c>
      <c r="AI108" s="299">
        <f t="shared" si="39"/>
        <v>2.3075157604778777E-3</v>
      </c>
      <c r="AJ108" s="299">
        <f t="shared" si="39"/>
        <v>2.246533748752846E-3</v>
      </c>
      <c r="AK108" s="299">
        <f t="shared" si="39"/>
        <v>2.159529485433004E-3</v>
      </c>
      <c r="AL108" s="299">
        <f t="shared" si="39"/>
        <v>2.0440625321661763E-3</v>
      </c>
      <c r="AM108" s="299">
        <f t="shared" si="39"/>
        <v>1.9046992001254945E-3</v>
      </c>
      <c r="AN108" s="299">
        <f t="shared" si="39"/>
        <v>1.7545410927128858E-3</v>
      </c>
      <c r="AO108" s="299">
        <f t="shared" si="37"/>
        <v>1.6113011401930255E-3</v>
      </c>
      <c r="AP108" s="299">
        <f t="shared" si="37"/>
        <v>1.4896840024329944E-3</v>
      </c>
      <c r="AQ108" s="299">
        <f t="shared" si="37"/>
        <v>1.3962275685681087E-3</v>
      </c>
      <c r="AR108" s="299">
        <f t="shared" si="37"/>
        <v>1.3297676337044012E-3</v>
      </c>
      <c r="AS108" s="299">
        <f t="shared" si="37"/>
        <v>1.2850677718449545E-3</v>
      </c>
      <c r="AT108" s="299">
        <f t="shared" si="34"/>
        <v>1.2561193178142254E-3</v>
      </c>
      <c r="AU108" s="299">
        <f t="shared" si="34"/>
        <v>1.2378284015382404E-3</v>
      </c>
      <c r="AV108" s="299">
        <f t="shared" si="34"/>
        <v>1.2264508604582448E-3</v>
      </c>
      <c r="AW108" s="299">
        <f t="shared" si="19"/>
        <v>1.2194424289264458E-3</v>
      </c>
      <c r="AX108" s="299">
        <f t="shared" si="19"/>
        <v>1.2151512537007206E-3</v>
      </c>
      <c r="AY108" s="299">
        <f t="shared" si="19"/>
        <v>1.2125335081501433E-3</v>
      </c>
      <c r="AZ108" s="306">
        <f t="shared" si="40"/>
        <v>0.13380193380907349</v>
      </c>
      <c r="BA108" s="2">
        <f t="shared" si="40"/>
        <v>0.13380193380907349</v>
      </c>
      <c r="BB108" s="2">
        <f t="shared" si="40"/>
        <v>0.13380193380907349</v>
      </c>
      <c r="BC108" s="2">
        <f t="shared" si="40"/>
        <v>0.13380193380907349</v>
      </c>
      <c r="BD108" s="2">
        <f t="shared" si="40"/>
        <v>0.13380193380907349</v>
      </c>
      <c r="BE108" s="2">
        <f t="shared" si="40"/>
        <v>0.12774358284960033</v>
      </c>
      <c r="BF108" s="2">
        <f t="shared" si="40"/>
        <v>0.12436763162076946</v>
      </c>
      <c r="BG108" s="2">
        <f t="shared" si="40"/>
        <v>0.1195510940655222</v>
      </c>
      <c r="BH108" s="2">
        <f t="shared" si="40"/>
        <v>0.11315886803453844</v>
      </c>
      <c r="BI108" s="2">
        <f t="shared" si="40"/>
        <v>0.10544374354540026</v>
      </c>
      <c r="BJ108" s="2">
        <f t="shared" si="40"/>
        <v>9.7131022582303009E-2</v>
      </c>
      <c r="BK108" s="2">
        <f t="shared" si="38"/>
        <v>8.9201289206048986E-2</v>
      </c>
      <c r="BL108" s="2">
        <f t="shared" si="38"/>
        <v>8.2468590266578962E-2</v>
      </c>
      <c r="BM108" s="2">
        <f t="shared" si="38"/>
        <v>7.7294861919096375E-2</v>
      </c>
      <c r="BN108" s="2">
        <f t="shared" si="38"/>
        <v>7.3615654027713293E-2</v>
      </c>
      <c r="BO108" s="2">
        <f t="shared" si="38"/>
        <v>7.1141079160399967E-2</v>
      </c>
      <c r="BP108" s="2">
        <f t="shared" si="35"/>
        <v>6.9538498888065695E-2</v>
      </c>
      <c r="BQ108" s="2">
        <f t="shared" si="35"/>
        <v>6.8525917644324807E-2</v>
      </c>
      <c r="BR108" s="2">
        <f t="shared" si="35"/>
        <v>6.7896059384428817E-2</v>
      </c>
      <c r="BS108" s="2">
        <f t="shared" si="20"/>
        <v>6.7508074102004267E-2</v>
      </c>
      <c r="BT108" s="2">
        <f t="shared" si="20"/>
        <v>6.7270515552087337E-2</v>
      </c>
      <c r="BU108" s="2">
        <f t="shared" si="20"/>
        <v>6.7125597713888013E-2</v>
      </c>
    </row>
    <row r="109" spans="1:73" x14ac:dyDescent="0.25">
      <c r="A109" t="s">
        <v>33</v>
      </c>
      <c r="B109" s="1" t="s">
        <v>5</v>
      </c>
      <c r="C109" t="s">
        <v>14</v>
      </c>
      <c r="D109" t="s">
        <v>14</v>
      </c>
      <c r="E109" s="97">
        <v>6.0998799999999997</v>
      </c>
      <c r="F109" s="5">
        <f t="shared" si="29"/>
        <v>1.4944706E-2</v>
      </c>
      <c r="G109" s="1">
        <f>LOOKUP(RIGHT(D109,5),Ref!$C$4:$C$21,Ref!$E$4:$E$21)*$G$3</f>
        <v>2</v>
      </c>
      <c r="H109" s="36">
        <f t="shared" si="43"/>
        <v>6.0998799999999997</v>
      </c>
      <c r="I109" s="12">
        <f t="shared" si="43"/>
        <v>6.0998799999999997</v>
      </c>
      <c r="J109" s="12">
        <f t="shared" si="43"/>
        <v>6.0998799999999997</v>
      </c>
      <c r="K109" s="12">
        <f t="shared" si="43"/>
        <v>6.0998799999999997</v>
      </c>
      <c r="L109" s="12">
        <f t="shared" si="43"/>
        <v>6.0998799999999997</v>
      </c>
      <c r="M109" s="12">
        <f t="shared" si="42"/>
        <v>6.3891721352783755</v>
      </c>
      <c r="N109" s="12">
        <f t="shared" si="42"/>
        <v>6.5626057951479826</v>
      </c>
      <c r="O109" s="12">
        <f t="shared" si="42"/>
        <v>6.8270035199842747</v>
      </c>
      <c r="P109" s="12">
        <f t="shared" si="42"/>
        <v>7.2126538041559165</v>
      </c>
      <c r="Q109" s="12">
        <f t="shared" si="42"/>
        <v>7.7403903973864061</v>
      </c>
      <c r="R109" s="12">
        <f t="shared" si="42"/>
        <v>8.4028327747884308</v>
      </c>
      <c r="S109" s="12">
        <f t="shared" si="42"/>
        <v>9.1498200000000001</v>
      </c>
      <c r="T109" s="12">
        <f t="shared" si="42"/>
        <v>9.8968072252115675</v>
      </c>
      <c r="U109" s="12">
        <f t="shared" si="42"/>
        <v>10.559249602613594</v>
      </c>
      <c r="V109" s="12">
        <f t="shared" si="42"/>
        <v>11.086986195844082</v>
      </c>
      <c r="W109" s="12">
        <f t="shared" si="42"/>
        <v>11.472636480015723</v>
      </c>
      <c r="X109" s="12">
        <f t="shared" si="42"/>
        <v>11.737034204852018</v>
      </c>
      <c r="Y109" s="12">
        <f t="shared" si="42"/>
        <v>11.910467864721623</v>
      </c>
      <c r="Z109" s="12">
        <f t="shared" si="42"/>
        <v>12.020958909884417</v>
      </c>
      <c r="AA109" s="12">
        <f t="shared" si="42"/>
        <v>12.090046277576436</v>
      </c>
      <c r="AB109" s="12">
        <f t="shared" si="42"/>
        <v>12.132740968386498</v>
      </c>
      <c r="AC109" s="12">
        <f t="shared" si="41"/>
        <v>12.158934412503973</v>
      </c>
      <c r="AD109" s="300">
        <f t="shared" si="39"/>
        <v>2.2530930286381468E-3</v>
      </c>
      <c r="AE109" s="299">
        <f t="shared" si="39"/>
        <v>2.2530930286381468E-3</v>
      </c>
      <c r="AF109" s="299">
        <f t="shared" si="39"/>
        <v>2.2530930286381468E-3</v>
      </c>
      <c r="AG109" s="299">
        <f t="shared" si="39"/>
        <v>2.2530930286381468E-3</v>
      </c>
      <c r="AH109" s="299">
        <f t="shared" si="39"/>
        <v>2.2530930286381468E-3</v>
      </c>
      <c r="AI109" s="299">
        <f t="shared" si="39"/>
        <v>2.1510763542654894E-3</v>
      </c>
      <c r="AJ109" s="299">
        <f t="shared" si="39"/>
        <v>2.0942286543693504E-3</v>
      </c>
      <c r="AK109" s="299">
        <f t="shared" si="39"/>
        <v>2.0131228969339854E-3</v>
      </c>
      <c r="AL109" s="299">
        <f t="shared" si="39"/>
        <v>1.9054840945797547E-3</v>
      </c>
      <c r="AM109" s="299">
        <f t="shared" si="39"/>
        <v>1.7755689826923814E-3</v>
      </c>
      <c r="AN109" s="299">
        <f t="shared" si="39"/>
        <v>1.6355909336628802E-3</v>
      </c>
      <c r="AO109" s="299">
        <f t="shared" si="37"/>
        <v>1.5020620190920979E-3</v>
      </c>
      <c r="AP109" s="299">
        <f t="shared" si="37"/>
        <v>1.388689987667761E-3</v>
      </c>
      <c r="AQ109" s="299">
        <f t="shared" si="37"/>
        <v>1.3015694884348113E-3</v>
      </c>
      <c r="AR109" s="299">
        <f t="shared" si="37"/>
        <v>1.2396152444639102E-3</v>
      </c>
      <c r="AS109" s="299">
        <f t="shared" si="37"/>
        <v>1.1979458363794008E-3</v>
      </c>
      <c r="AT109" s="299">
        <f t="shared" si="34"/>
        <v>1.1709599600423538E-3</v>
      </c>
      <c r="AU109" s="299">
        <f t="shared" si="34"/>
        <v>1.1539090873363001E-3</v>
      </c>
      <c r="AV109" s="299">
        <f t="shared" si="34"/>
        <v>1.1433028934345975E-3</v>
      </c>
      <c r="AW109" s="299">
        <f t="shared" si="19"/>
        <v>1.1367696026953749E-3</v>
      </c>
      <c r="AX109" s="299">
        <f t="shared" si="19"/>
        <v>1.1327693502515273E-3</v>
      </c>
      <c r="AY109" s="299">
        <f t="shared" si="19"/>
        <v>1.1303290763206729E-3</v>
      </c>
      <c r="AZ109" s="306">
        <f t="shared" si="40"/>
        <v>0.12473075196335302</v>
      </c>
      <c r="BA109" s="2">
        <f t="shared" si="40"/>
        <v>0.12473075196335302</v>
      </c>
      <c r="BB109" s="2">
        <f t="shared" si="40"/>
        <v>0.12473075196335302</v>
      </c>
      <c r="BC109" s="2">
        <f t="shared" si="40"/>
        <v>0.12473075196335302</v>
      </c>
      <c r="BD109" s="2">
        <f t="shared" si="40"/>
        <v>0.12473075196335302</v>
      </c>
      <c r="BE109" s="2">
        <f t="shared" si="40"/>
        <v>0.11908313051782693</v>
      </c>
      <c r="BF109" s="2">
        <f t="shared" si="40"/>
        <v>0.11593605391455046</v>
      </c>
      <c r="BG109" s="2">
        <f t="shared" si="40"/>
        <v>0.11144605639341611</v>
      </c>
      <c r="BH109" s="2">
        <f t="shared" si="40"/>
        <v>0.105487195135835</v>
      </c>
      <c r="BI109" s="2">
        <f t="shared" si="40"/>
        <v>9.8295122109489638E-2</v>
      </c>
      <c r="BJ109" s="2">
        <f t="shared" si="40"/>
        <v>9.0545967018292178E-2</v>
      </c>
      <c r="BK109" s="2">
        <f t="shared" si="38"/>
        <v>8.3153834642235344E-2</v>
      </c>
      <c r="BL109" s="2">
        <f t="shared" si="38"/>
        <v>7.6877583039913461E-2</v>
      </c>
      <c r="BM109" s="2">
        <f t="shared" si="38"/>
        <v>7.2054610689181578E-2</v>
      </c>
      <c r="BN109" s="2">
        <f t="shared" si="38"/>
        <v>6.8624836889525212E-2</v>
      </c>
      <c r="BO109" s="2">
        <f t="shared" si="38"/>
        <v>6.6318027300135904E-2</v>
      </c>
      <c r="BP109" s="2">
        <f t="shared" si="35"/>
        <v>6.4824094912468613E-2</v>
      </c>
      <c r="BQ109" s="2">
        <f t="shared" si="35"/>
        <v>6.3880162217624228E-2</v>
      </c>
      <c r="BR109" s="2">
        <f t="shared" si="35"/>
        <v>6.3293005573840141E-2</v>
      </c>
      <c r="BS109" s="2">
        <f t="shared" si="20"/>
        <v>6.2931323984868642E-2</v>
      </c>
      <c r="BT109" s="2">
        <f t="shared" si="20"/>
        <v>6.2709870858423208E-2</v>
      </c>
      <c r="BU109" s="2">
        <f t="shared" si="20"/>
        <v>6.2574777811432586E-2</v>
      </c>
    </row>
    <row r="110" spans="1:73" x14ac:dyDescent="0.25">
      <c r="A110" t="s">
        <v>33</v>
      </c>
      <c r="B110" s="1" t="s">
        <v>5</v>
      </c>
      <c r="C110" t="s">
        <v>15</v>
      </c>
      <c r="D110" t="s">
        <v>15</v>
      </c>
      <c r="E110" s="97">
        <v>5.8345250000000002</v>
      </c>
      <c r="F110" s="5">
        <f t="shared" si="29"/>
        <v>1.4294586250000001E-2</v>
      </c>
      <c r="G110" s="1">
        <f>LOOKUP(RIGHT(D110,5),Ref!$C$4:$C$21,Ref!$E$4:$E$21)*$G$3</f>
        <v>2.5</v>
      </c>
      <c r="H110" s="36">
        <f t="shared" si="43"/>
        <v>5.8345250000000002</v>
      </c>
      <c r="I110" s="12">
        <f t="shared" si="43"/>
        <v>5.8345250000000002</v>
      </c>
      <c r="J110" s="12">
        <f t="shared" si="43"/>
        <v>5.8345250000000002</v>
      </c>
      <c r="K110" s="12">
        <f t="shared" si="43"/>
        <v>5.8345250000000002</v>
      </c>
      <c r="L110" s="12">
        <f t="shared" si="43"/>
        <v>5.8345250000000002</v>
      </c>
      <c r="M110" s="12">
        <f t="shared" si="42"/>
        <v>6.1112324427013425</v>
      </c>
      <c r="N110" s="12">
        <f t="shared" si="42"/>
        <v>6.2771214477884456</v>
      </c>
      <c r="O110" s="12">
        <f t="shared" si="42"/>
        <v>6.5300174286110959</v>
      </c>
      <c r="P110" s="12">
        <f t="shared" si="42"/>
        <v>6.8988912792862811</v>
      </c>
      <c r="Q110" s="12">
        <f t="shared" si="42"/>
        <v>7.4036704465187713</v>
      </c>
      <c r="R110" s="12">
        <f t="shared" si="42"/>
        <v>8.037295470619501</v>
      </c>
      <c r="S110" s="12">
        <f t="shared" si="42"/>
        <v>8.7517875000000007</v>
      </c>
      <c r="T110" s="12">
        <f t="shared" si="42"/>
        <v>9.4662795293805004</v>
      </c>
      <c r="U110" s="12">
        <f t="shared" si="42"/>
        <v>10.099904553481229</v>
      </c>
      <c r="V110" s="12">
        <f t="shared" si="42"/>
        <v>10.604683720713719</v>
      </c>
      <c r="W110" s="12">
        <f t="shared" si="42"/>
        <v>10.973557571388904</v>
      </c>
      <c r="X110" s="12">
        <f t="shared" si="42"/>
        <v>11.226453552211554</v>
      </c>
      <c r="Y110" s="12">
        <f t="shared" si="42"/>
        <v>11.392342557298658</v>
      </c>
      <c r="Z110" s="12">
        <f t="shared" si="42"/>
        <v>11.498027056875443</v>
      </c>
      <c r="AA110" s="12">
        <f t="shared" si="42"/>
        <v>11.564109008320928</v>
      </c>
      <c r="AB110" s="12">
        <f t="shared" si="42"/>
        <v>11.604946408548239</v>
      </c>
      <c r="AC110" s="12">
        <f t="shared" si="41"/>
        <v>11.630000393960987</v>
      </c>
      <c r="AD110" s="300">
        <f t="shared" si="39"/>
        <v>2.3555640096716117E-3</v>
      </c>
      <c r="AE110" s="299">
        <f t="shared" si="39"/>
        <v>2.3555640096716117E-3</v>
      </c>
      <c r="AF110" s="299">
        <f t="shared" si="39"/>
        <v>2.3555640096716117E-3</v>
      </c>
      <c r="AG110" s="299">
        <f t="shared" si="39"/>
        <v>2.3555640096716117E-3</v>
      </c>
      <c r="AH110" s="299">
        <f t="shared" si="39"/>
        <v>2.3555640096716117E-3</v>
      </c>
      <c r="AI110" s="299">
        <f t="shared" si="39"/>
        <v>2.24890760290803E-3</v>
      </c>
      <c r="AJ110" s="299">
        <f t="shared" si="39"/>
        <v>2.1894744617967209E-3</v>
      </c>
      <c r="AK110" s="299">
        <f t="shared" si="39"/>
        <v>2.1046800033506889E-3</v>
      </c>
      <c r="AL110" s="299">
        <f t="shared" si="39"/>
        <v>1.9921457734511641E-3</v>
      </c>
      <c r="AM110" s="299">
        <f t="shared" si="39"/>
        <v>1.8563221043950628E-3</v>
      </c>
      <c r="AN110" s="299">
        <f t="shared" si="39"/>
        <v>1.7099778344306566E-3</v>
      </c>
      <c r="AO110" s="299">
        <f t="shared" si="37"/>
        <v>1.5703760064477408E-3</v>
      </c>
      <c r="AP110" s="299">
        <f t="shared" si="37"/>
        <v>1.4518477994309427E-3</v>
      </c>
      <c r="AQ110" s="299">
        <f t="shared" si="37"/>
        <v>1.360765047902569E-3</v>
      </c>
      <c r="AR110" s="299">
        <f t="shared" si="37"/>
        <v>1.2959931163891688E-3</v>
      </c>
      <c r="AS110" s="299">
        <f t="shared" si="37"/>
        <v>1.2524285778900558E-3</v>
      </c>
      <c r="AT110" s="299">
        <f t="shared" si="34"/>
        <v>1.2242153801831604E-3</v>
      </c>
      <c r="AU110" s="299">
        <f t="shared" si="34"/>
        <v>1.2063890314397401E-3</v>
      </c>
      <c r="AV110" s="299">
        <f t="shared" si="34"/>
        <v>1.195300466379668E-3</v>
      </c>
      <c r="AW110" s="299">
        <f t="shared" si="19"/>
        <v>1.1884700406784548E-3</v>
      </c>
      <c r="AX110" s="299">
        <f t="shared" si="19"/>
        <v>1.1842878562029105E-3</v>
      </c>
      <c r="AY110" s="299">
        <f t="shared" si="19"/>
        <v>1.1817365982778282E-3</v>
      </c>
      <c r="AZ110" s="306">
        <f t="shared" si="40"/>
        <v>0.13040352372921835</v>
      </c>
      <c r="BA110" s="2">
        <f t="shared" si="40"/>
        <v>0.13040352372921835</v>
      </c>
      <c r="BB110" s="2">
        <f t="shared" si="40"/>
        <v>0.13040352372921835</v>
      </c>
      <c r="BC110" s="2">
        <f t="shared" si="40"/>
        <v>0.13040352372921835</v>
      </c>
      <c r="BD110" s="2">
        <f t="shared" si="40"/>
        <v>0.13040352372921835</v>
      </c>
      <c r="BE110" s="2">
        <f t="shared" si="40"/>
        <v>0.1244990476830731</v>
      </c>
      <c r="BF110" s="2">
        <f t="shared" si="40"/>
        <v>0.12120884160275053</v>
      </c>
      <c r="BG110" s="2">
        <f t="shared" si="40"/>
        <v>0.116514638376401</v>
      </c>
      <c r="BH110" s="2">
        <f t="shared" si="40"/>
        <v>0.11028476728871282</v>
      </c>
      <c r="BI110" s="2">
        <f t="shared" si="40"/>
        <v>0.10276559779129125</v>
      </c>
      <c r="BJ110" s="2">
        <f t="shared" si="40"/>
        <v>9.466401006003744E-2</v>
      </c>
      <c r="BK110" s="2">
        <f t="shared" si="38"/>
        <v>8.6935682486145568E-2</v>
      </c>
      <c r="BL110" s="2">
        <f t="shared" si="38"/>
        <v>8.0373986097155681E-2</v>
      </c>
      <c r="BM110" s="2">
        <f t="shared" si="38"/>
        <v>7.5331664300131523E-2</v>
      </c>
      <c r="BN110" s="2">
        <f t="shared" si="38"/>
        <v>7.1745903916030349E-2</v>
      </c>
      <c r="BO110" s="2">
        <f t="shared" si="38"/>
        <v>6.9334180309031657E-2</v>
      </c>
      <c r="BP110" s="2">
        <f t="shared" si="35"/>
        <v>6.7772303670764811E-2</v>
      </c>
      <c r="BQ110" s="2">
        <f t="shared" si="35"/>
        <v>6.678544078704636E-2</v>
      </c>
      <c r="BR110" s="2">
        <f t="shared" si="35"/>
        <v>6.617158017829318E-2</v>
      </c>
      <c r="BS110" s="2">
        <f t="shared" si="20"/>
        <v>6.5793449260877351E-2</v>
      </c>
      <c r="BT110" s="2">
        <f t="shared" si="20"/>
        <v>6.5561924415762821E-2</v>
      </c>
      <c r="BU110" s="2">
        <f t="shared" si="20"/>
        <v>6.5420687318402337E-2</v>
      </c>
    </row>
    <row r="111" spans="1:73" x14ac:dyDescent="0.25">
      <c r="A111" t="s">
        <v>33</v>
      </c>
      <c r="B111" s="1" t="s">
        <v>5</v>
      </c>
      <c r="C111" t="s">
        <v>16</v>
      </c>
      <c r="D111" t="s">
        <v>16</v>
      </c>
      <c r="E111" s="97">
        <v>5.9874599999999996</v>
      </c>
      <c r="F111" s="5">
        <f t="shared" si="29"/>
        <v>1.4669277E-2</v>
      </c>
      <c r="G111" s="1">
        <f>LOOKUP(RIGHT(D111,5),Ref!$C$4:$C$21,Ref!$E$4:$E$21)*$G$3</f>
        <v>3</v>
      </c>
      <c r="H111" s="36">
        <f t="shared" si="43"/>
        <v>5.9874599999999996</v>
      </c>
      <c r="I111" s="12">
        <f t="shared" si="43"/>
        <v>5.9874599999999996</v>
      </c>
      <c r="J111" s="12">
        <f t="shared" si="43"/>
        <v>5.9874599999999996</v>
      </c>
      <c r="K111" s="12">
        <f t="shared" si="43"/>
        <v>5.9874599999999996</v>
      </c>
      <c r="L111" s="12">
        <f t="shared" si="43"/>
        <v>5.9874599999999996</v>
      </c>
      <c r="M111" s="12">
        <f t="shared" si="42"/>
        <v>6.271420518615753</v>
      </c>
      <c r="N111" s="12">
        <f t="shared" si="42"/>
        <v>6.4416578185499942</v>
      </c>
      <c r="O111" s="12">
        <f t="shared" si="42"/>
        <v>6.701182727490548</v>
      </c>
      <c r="P111" s="12">
        <f t="shared" si="42"/>
        <v>7.0797255267696055</v>
      </c>
      <c r="Q111" s="12">
        <f t="shared" si="42"/>
        <v>7.5977360027959913</v>
      </c>
      <c r="R111" s="12">
        <f t="shared" si="42"/>
        <v>8.2479696528021442</v>
      </c>
      <c r="S111" s="12">
        <f t="shared" si="42"/>
        <v>8.9811899999999998</v>
      </c>
      <c r="T111" s="12">
        <f t="shared" si="42"/>
        <v>9.7144103471978553</v>
      </c>
      <c r="U111" s="12">
        <f t="shared" si="42"/>
        <v>10.364643997204007</v>
      </c>
      <c r="V111" s="12">
        <f t="shared" si="42"/>
        <v>10.882654473230392</v>
      </c>
      <c r="W111" s="12">
        <f t="shared" si="42"/>
        <v>11.261197272509449</v>
      </c>
      <c r="X111" s="12">
        <f t="shared" si="42"/>
        <v>11.520722181450004</v>
      </c>
      <c r="Y111" s="12">
        <f t="shared" si="42"/>
        <v>11.690959481384246</v>
      </c>
      <c r="Z111" s="12">
        <f t="shared" si="42"/>
        <v>11.799414190865484</v>
      </c>
      <c r="AA111" s="12">
        <f t="shared" si="42"/>
        <v>11.867228287300374</v>
      </c>
      <c r="AB111" s="12">
        <f t="shared" si="42"/>
        <v>11.909136120477028</v>
      </c>
      <c r="AC111" s="12">
        <f t="shared" si="41"/>
        <v>11.934846822804881</v>
      </c>
      <c r="AD111" s="300">
        <f t="shared" si="39"/>
        <v>2.2953968967691241E-3</v>
      </c>
      <c r="AE111" s="299">
        <f t="shared" si="39"/>
        <v>2.2953968967691241E-3</v>
      </c>
      <c r="AF111" s="299">
        <f t="shared" si="39"/>
        <v>2.2953968967691241E-3</v>
      </c>
      <c r="AG111" s="299">
        <f t="shared" si="39"/>
        <v>2.2953968967691241E-3</v>
      </c>
      <c r="AH111" s="299">
        <f t="shared" si="39"/>
        <v>2.2953968967691241E-3</v>
      </c>
      <c r="AI111" s="299">
        <f t="shared" si="39"/>
        <v>2.1914647666718399E-3</v>
      </c>
      <c r="AJ111" s="299">
        <f t="shared" si="39"/>
        <v>2.1335496995745296E-3</v>
      </c>
      <c r="AK111" s="299">
        <f t="shared" si="39"/>
        <v>2.0509211078737362E-3</v>
      </c>
      <c r="AL111" s="299">
        <f t="shared" si="39"/>
        <v>1.941261289235361E-3</v>
      </c>
      <c r="AM111" s="299">
        <f t="shared" si="39"/>
        <v>1.8089069031184516E-3</v>
      </c>
      <c r="AN111" s="299">
        <f t="shared" si="39"/>
        <v>1.6663006390742533E-3</v>
      </c>
      <c r="AO111" s="299">
        <f t="shared" si="37"/>
        <v>1.5302645978460827E-3</v>
      </c>
      <c r="AP111" s="299">
        <f t="shared" si="37"/>
        <v>1.414763903554232E-3</v>
      </c>
      <c r="AQ111" s="299">
        <f t="shared" si="37"/>
        <v>1.3260076378153237E-3</v>
      </c>
      <c r="AR111" s="299">
        <f t="shared" si="37"/>
        <v>1.2628901466398969E-3</v>
      </c>
      <c r="AS111" s="299">
        <f t="shared" si="37"/>
        <v>1.2204383575696504E-3</v>
      </c>
      <c r="AT111" s="299">
        <f t="shared" si="34"/>
        <v>1.1929457968926983E-3</v>
      </c>
      <c r="AU111" s="299">
        <f t="shared" si="34"/>
        <v>1.1755747785640238E-3</v>
      </c>
      <c r="AV111" s="299">
        <f t="shared" si="34"/>
        <v>1.1647694437380515E-3</v>
      </c>
      <c r="AW111" s="299">
        <f t="shared" si="19"/>
        <v>1.1581134845309133E-3</v>
      </c>
      <c r="AX111" s="299">
        <f t="shared" si="19"/>
        <v>1.1540381237139434E-3</v>
      </c>
      <c r="AY111" s="299">
        <f t="shared" si="19"/>
        <v>1.1515520314234996E-3</v>
      </c>
      <c r="AZ111" s="306">
        <f t="shared" si="40"/>
        <v>0.12707268512628356</v>
      </c>
      <c r="BA111" s="2">
        <f t="shared" si="40"/>
        <v>0.12707268512628356</v>
      </c>
      <c r="BB111" s="2">
        <f t="shared" si="40"/>
        <v>0.12707268512628356</v>
      </c>
      <c r="BC111" s="2">
        <f t="shared" si="40"/>
        <v>0.12707268512628356</v>
      </c>
      <c r="BD111" s="2">
        <f t="shared" si="40"/>
        <v>0.12707268512628356</v>
      </c>
      <c r="BE111" s="2">
        <f t="shared" si="40"/>
        <v>0.1213190244582982</v>
      </c>
      <c r="BF111" s="2">
        <f t="shared" si="40"/>
        <v>0.11811285863325818</v>
      </c>
      <c r="BG111" s="2">
        <f t="shared" si="40"/>
        <v>0.11353855733033225</v>
      </c>
      <c r="BH111" s="2">
        <f t="shared" si="40"/>
        <v>0.10746781304011671</v>
      </c>
      <c r="BI111" s="2">
        <f t="shared" si="40"/>
        <v>0.10014070231003357</v>
      </c>
      <c r="BJ111" s="2">
        <f t="shared" si="40"/>
        <v>9.2246049793324722E-2</v>
      </c>
      <c r="BK111" s="2">
        <f t="shared" si="38"/>
        <v>8.4715123417522381E-2</v>
      </c>
      <c r="BL111" s="2">
        <f t="shared" si="38"/>
        <v>7.832102949055314E-2</v>
      </c>
      <c r="BM111" s="2">
        <f t="shared" si="38"/>
        <v>7.3407501453157928E-2</v>
      </c>
      <c r="BN111" s="2">
        <f t="shared" si="38"/>
        <v>6.9913330535097865E-2</v>
      </c>
      <c r="BO111" s="2">
        <f t="shared" si="38"/>
        <v>6.7563208500357921E-2</v>
      </c>
      <c r="BP111" s="2">
        <f t="shared" si="35"/>
        <v>6.6041226175150916E-2</v>
      </c>
      <c r="BQ111" s="2">
        <f t="shared" si="35"/>
        <v>6.5079570286572547E-2</v>
      </c>
      <c r="BR111" s="2">
        <f t="shared" si="35"/>
        <v>6.448138924347821E-2</v>
      </c>
      <c r="BS111" s="2">
        <f t="shared" si="20"/>
        <v>6.4112916754152927E-2</v>
      </c>
      <c r="BT111" s="2">
        <f t="shared" si="20"/>
        <v>6.3887305644109285E-2</v>
      </c>
      <c r="BU111" s="2">
        <f t="shared" si="20"/>
        <v>6.374967610245437E-2</v>
      </c>
    </row>
    <row r="112" spans="1:73" x14ac:dyDescent="0.25">
      <c r="A112" t="s">
        <v>33</v>
      </c>
      <c r="B112" s="1" t="s">
        <v>5</v>
      </c>
      <c r="C112" t="s">
        <v>17</v>
      </c>
      <c r="D112" t="s">
        <v>17</v>
      </c>
      <c r="E112" s="97">
        <v>6.107545</v>
      </c>
      <c r="F112" s="5">
        <f t="shared" si="29"/>
        <v>1.496348525E-2</v>
      </c>
      <c r="G112" s="1">
        <f>LOOKUP(RIGHT(D112,5),Ref!$C$4:$C$21,Ref!$E$4:$E$21)*$G$3</f>
        <v>3</v>
      </c>
      <c r="H112" s="36">
        <f t="shared" si="43"/>
        <v>6.107545</v>
      </c>
      <c r="I112" s="12">
        <f t="shared" si="43"/>
        <v>6.107545</v>
      </c>
      <c r="J112" s="12">
        <f t="shared" si="43"/>
        <v>6.107545</v>
      </c>
      <c r="K112" s="12">
        <f t="shared" si="43"/>
        <v>6.107545</v>
      </c>
      <c r="L112" s="12">
        <f t="shared" si="43"/>
        <v>6.107545</v>
      </c>
      <c r="M112" s="12">
        <f t="shared" si="42"/>
        <v>6.3972006545962818</v>
      </c>
      <c r="N112" s="12">
        <f t="shared" si="42"/>
        <v>6.5708522480978457</v>
      </c>
      <c r="O112" s="12">
        <f t="shared" si="42"/>
        <v>6.835582210381574</v>
      </c>
      <c r="P112" s="12">
        <f t="shared" si="42"/>
        <v>7.2217170957958929</v>
      </c>
      <c r="Q112" s="12">
        <f t="shared" si="42"/>
        <v>7.7501168333812078</v>
      </c>
      <c r="R112" s="12">
        <f t="shared" si="42"/>
        <v>8.4133916240147695</v>
      </c>
      <c r="S112" s="12">
        <f t="shared" si="42"/>
        <v>9.1613174999999991</v>
      </c>
      <c r="T112" s="12">
        <f t="shared" si="42"/>
        <v>9.9092433759852305</v>
      </c>
      <c r="U112" s="12">
        <f t="shared" si="42"/>
        <v>10.572518166618792</v>
      </c>
      <c r="V112" s="12">
        <f t="shared" si="42"/>
        <v>11.100917904204108</v>
      </c>
      <c r="W112" s="12">
        <f t="shared" si="42"/>
        <v>11.487052789618424</v>
      </c>
      <c r="X112" s="12">
        <f t="shared" si="42"/>
        <v>11.751782751902155</v>
      </c>
      <c r="Y112" s="12">
        <f t="shared" si="42"/>
        <v>11.925434345403717</v>
      </c>
      <c r="Z112" s="12">
        <f t="shared" si="42"/>
        <v>12.036064231635708</v>
      </c>
      <c r="AA112" s="12">
        <f t="shared" si="42"/>
        <v>12.105238413277078</v>
      </c>
      <c r="AB112" s="12">
        <f t="shared" si="42"/>
        <v>12.147986753471235</v>
      </c>
      <c r="AC112" s="12">
        <f t="shared" si="41"/>
        <v>12.17421311180164</v>
      </c>
      <c r="AD112" s="300">
        <f t="shared" si="39"/>
        <v>2.2502653854419834E-3</v>
      </c>
      <c r="AE112" s="299">
        <f t="shared" si="39"/>
        <v>2.2502653854419834E-3</v>
      </c>
      <c r="AF112" s="299">
        <f t="shared" si="39"/>
        <v>2.2502653854419834E-3</v>
      </c>
      <c r="AG112" s="299">
        <f t="shared" si="39"/>
        <v>2.2502653854419834E-3</v>
      </c>
      <c r="AH112" s="299">
        <f t="shared" si="39"/>
        <v>2.2502653854419834E-3</v>
      </c>
      <c r="AI112" s="299">
        <f t="shared" si="39"/>
        <v>2.1483767425138859E-3</v>
      </c>
      <c r="AJ112" s="299">
        <f t="shared" si="39"/>
        <v>2.0916003867698907E-3</v>
      </c>
      <c r="AK112" s="299">
        <f t="shared" si="39"/>
        <v>2.0105964174721071E-3</v>
      </c>
      <c r="AL112" s="299">
        <f t="shared" si="39"/>
        <v>1.9030927023616121E-3</v>
      </c>
      <c r="AM112" s="299">
        <f t="shared" si="39"/>
        <v>1.7733406345995981E-3</v>
      </c>
      <c r="AN112" s="299">
        <f t="shared" si="39"/>
        <v>1.6335382587326869E-3</v>
      </c>
      <c r="AO112" s="299">
        <f t="shared" si="37"/>
        <v>1.5001769236279892E-3</v>
      </c>
      <c r="AP112" s="299">
        <f t="shared" si="37"/>
        <v>1.3869471746789947E-3</v>
      </c>
      <c r="AQ112" s="299">
        <f t="shared" si="37"/>
        <v>1.2999360121151357E-3</v>
      </c>
      <c r="AR112" s="299">
        <f t="shared" si="37"/>
        <v>1.238059521035132E-3</v>
      </c>
      <c r="AS112" s="299">
        <f t="shared" si="37"/>
        <v>1.1964424082694402E-3</v>
      </c>
      <c r="AT112" s="299">
        <f t="shared" si="34"/>
        <v>1.1694903993442788E-3</v>
      </c>
      <c r="AU112" s="299">
        <f t="shared" si="34"/>
        <v>1.152460925570086E-3</v>
      </c>
      <c r="AV112" s="299">
        <f t="shared" si="34"/>
        <v>1.1418680424956072E-3</v>
      </c>
      <c r="AW112" s="299">
        <f t="shared" si="34"/>
        <v>1.1353429510694497E-3</v>
      </c>
      <c r="AX112" s="299">
        <f t="shared" si="34"/>
        <v>1.1313477189627396E-3</v>
      </c>
      <c r="AY112" s="299">
        <f t="shared" si="34"/>
        <v>1.1289105075880646E-3</v>
      </c>
      <c r="AZ112" s="306">
        <f t="shared" si="40"/>
        <v>0.12457421423603392</v>
      </c>
      <c r="BA112" s="2">
        <f t="shared" si="40"/>
        <v>0.12457421423603392</v>
      </c>
      <c r="BB112" s="2">
        <f t="shared" si="40"/>
        <v>0.12457421423603392</v>
      </c>
      <c r="BC112" s="2">
        <f t="shared" si="40"/>
        <v>0.12457421423603392</v>
      </c>
      <c r="BD112" s="2">
        <f t="shared" si="40"/>
        <v>0.12457421423603392</v>
      </c>
      <c r="BE112" s="2">
        <f t="shared" si="40"/>
        <v>0.11893368058411065</v>
      </c>
      <c r="BF112" s="2">
        <f t="shared" si="40"/>
        <v>0.11579055357795776</v>
      </c>
      <c r="BG112" s="2">
        <f t="shared" si="40"/>
        <v>0.11130619102652066</v>
      </c>
      <c r="BH112" s="2">
        <f t="shared" si="40"/>
        <v>0.10535480817008751</v>
      </c>
      <c r="BI112" s="2">
        <f t="shared" si="40"/>
        <v>9.8171761231924379E-2</v>
      </c>
      <c r="BJ112" s="2">
        <f t="shared" si="40"/>
        <v>9.043233136973039E-2</v>
      </c>
      <c r="BK112" s="2">
        <f t="shared" si="38"/>
        <v>8.3049476157355959E-2</v>
      </c>
      <c r="BL112" s="2">
        <f t="shared" si="38"/>
        <v>7.6781101282676956E-2</v>
      </c>
      <c r="BM112" s="2">
        <f t="shared" si="38"/>
        <v>7.1964181786744907E-2</v>
      </c>
      <c r="BN112" s="2">
        <f t="shared" si="38"/>
        <v>6.8538712370629612E-2</v>
      </c>
      <c r="BO112" s="2">
        <f t="shared" si="38"/>
        <v>6.6234797838993067E-2</v>
      </c>
      <c r="BP112" s="2">
        <f t="shared" si="35"/>
        <v>6.4742740344061162E-2</v>
      </c>
      <c r="BQ112" s="2">
        <f t="shared" si="35"/>
        <v>6.3799992289543778E-2</v>
      </c>
      <c r="BR112" s="2">
        <f t="shared" si="35"/>
        <v>6.3213572530330275E-2</v>
      </c>
      <c r="BS112" s="2">
        <f t="shared" si="35"/>
        <v>6.2852344853590189E-2</v>
      </c>
      <c r="BT112" s="2">
        <f t="shared" si="35"/>
        <v>6.2631169651943375E-2</v>
      </c>
      <c r="BU112" s="2">
        <f t="shared" si="35"/>
        <v>6.2496246147412976E-2</v>
      </c>
    </row>
    <row r="113" spans="1:73" x14ac:dyDescent="0.25">
      <c r="A113" t="s">
        <v>33</v>
      </c>
      <c r="B113" s="1" t="s">
        <v>5</v>
      </c>
      <c r="C113" t="s">
        <v>18</v>
      </c>
      <c r="D113" t="s">
        <v>18</v>
      </c>
      <c r="E113" s="97">
        <v>6.1062310000000002</v>
      </c>
      <c r="F113" s="5">
        <f t="shared" si="29"/>
        <v>1.4960265950000001E-2</v>
      </c>
      <c r="G113" s="1">
        <f>LOOKUP(RIGHT(D113,5),Ref!$C$4:$C$21,Ref!$E$4:$E$21)*$G$3</f>
        <v>3</v>
      </c>
      <c r="H113" s="36">
        <f t="shared" si="43"/>
        <v>6.1062310000000002</v>
      </c>
      <c r="I113" s="12">
        <f t="shared" si="43"/>
        <v>6.1062310000000002</v>
      </c>
      <c r="J113" s="12">
        <f t="shared" si="43"/>
        <v>6.1062310000000002</v>
      </c>
      <c r="K113" s="12">
        <f t="shared" si="43"/>
        <v>6.1062310000000002</v>
      </c>
      <c r="L113" s="12">
        <f t="shared" si="43"/>
        <v>6.1062310000000002</v>
      </c>
      <c r="M113" s="12">
        <f t="shared" si="42"/>
        <v>6.3958243369989267</v>
      </c>
      <c r="N113" s="12">
        <f t="shared" si="42"/>
        <v>6.5694385704492975</v>
      </c>
      <c r="O113" s="12">
        <f t="shared" si="42"/>
        <v>6.8341115777420374</v>
      </c>
      <c r="P113" s="12">
        <f t="shared" si="42"/>
        <v>7.2201633886576113</v>
      </c>
      <c r="Q113" s="12">
        <f t="shared" si="42"/>
        <v>7.7484494443535272</v>
      </c>
      <c r="R113" s="12">
        <f t="shared" si="42"/>
        <v>8.4115815355759693</v>
      </c>
      <c r="S113" s="12">
        <f t="shared" si="42"/>
        <v>9.1593464999999998</v>
      </c>
      <c r="T113" s="12">
        <f t="shared" si="42"/>
        <v>9.9071114644240321</v>
      </c>
      <c r="U113" s="12">
        <f t="shared" si="42"/>
        <v>10.570243555646472</v>
      </c>
      <c r="V113" s="12">
        <f t="shared" si="42"/>
        <v>11.098529611342389</v>
      </c>
      <c r="W113" s="12">
        <f t="shared" si="42"/>
        <v>11.484581422257962</v>
      </c>
      <c r="X113" s="12">
        <f t="shared" si="42"/>
        <v>11.749254429550703</v>
      </c>
      <c r="Y113" s="12">
        <f t="shared" si="42"/>
        <v>11.922868663001074</v>
      </c>
      <c r="Z113" s="12">
        <f t="shared" si="42"/>
        <v>12.033474747906915</v>
      </c>
      <c r="AA113" s="12">
        <f t="shared" si="42"/>
        <v>12.102634047156968</v>
      </c>
      <c r="AB113" s="12">
        <f t="shared" si="42"/>
        <v>12.145373190313851</v>
      </c>
      <c r="AC113" s="12">
        <f t="shared" si="41"/>
        <v>12.171593906207754</v>
      </c>
      <c r="AD113" s="300">
        <f t="shared" si="39"/>
        <v>2.2507496201059638E-3</v>
      </c>
      <c r="AE113" s="299">
        <f t="shared" si="39"/>
        <v>2.2507496201059638E-3</v>
      </c>
      <c r="AF113" s="299">
        <f t="shared" ref="AF113:AQ140" si="44">Algae_electricity_factor/J113</f>
        <v>2.2507496201059638E-3</v>
      </c>
      <c r="AG113" s="299">
        <f t="shared" si="44"/>
        <v>2.2507496201059638E-3</v>
      </c>
      <c r="AH113" s="299">
        <f t="shared" si="44"/>
        <v>2.2507496201059638E-3</v>
      </c>
      <c r="AI113" s="299">
        <f t="shared" si="44"/>
        <v>2.1488390517582731E-3</v>
      </c>
      <c r="AJ113" s="299">
        <f t="shared" si="44"/>
        <v>2.0920504783088802E-3</v>
      </c>
      <c r="AK113" s="299">
        <f t="shared" si="44"/>
        <v>2.0110290777649387E-3</v>
      </c>
      <c r="AL113" s="299">
        <f t="shared" si="44"/>
        <v>1.903502228927329E-3</v>
      </c>
      <c r="AM113" s="299">
        <f t="shared" si="44"/>
        <v>1.7737222398146425E-3</v>
      </c>
      <c r="AN113" s="299">
        <f t="shared" si="44"/>
        <v>1.6338897798710084E-3</v>
      </c>
      <c r="AO113" s="299">
        <f t="shared" si="37"/>
        <v>1.5004997467373093E-3</v>
      </c>
      <c r="AP113" s="299">
        <f t="shared" si="37"/>
        <v>1.3872456318758364E-3</v>
      </c>
      <c r="AQ113" s="299">
        <f t="shared" si="37"/>
        <v>1.3002157453777521E-3</v>
      </c>
      <c r="AR113" s="299">
        <f t="shared" si="37"/>
        <v>1.2383259390941017E-3</v>
      </c>
      <c r="AS113" s="299">
        <f t="shared" si="37"/>
        <v>1.1966998707408838E-3</v>
      </c>
      <c r="AT113" s="299">
        <f t="shared" si="34"/>
        <v>1.169742062012255E-3</v>
      </c>
      <c r="AU113" s="299">
        <f t="shared" si="34"/>
        <v>1.152708923665179E-3</v>
      </c>
      <c r="AV113" s="299">
        <f t="shared" si="34"/>
        <v>1.1421137611079294E-3</v>
      </c>
      <c r="AW113" s="299">
        <f t="shared" si="34"/>
        <v>1.1355872655471864E-3</v>
      </c>
      <c r="AX113" s="299">
        <f t="shared" si="34"/>
        <v>1.1315911737063806E-3</v>
      </c>
      <c r="AY113" s="299">
        <f t="shared" si="34"/>
        <v>1.1291534378681295E-3</v>
      </c>
      <c r="AZ113" s="306">
        <f t="shared" si="40"/>
        <v>0.12460102136427818</v>
      </c>
      <c r="BA113" s="2">
        <f t="shared" si="40"/>
        <v>0.12460102136427818</v>
      </c>
      <c r="BB113" s="2">
        <f t="shared" ref="BB113:BM140" si="45">Algae_yield_cost_factor/J113</f>
        <v>0.12460102136427818</v>
      </c>
      <c r="BC113" s="2">
        <f t="shared" si="45"/>
        <v>0.12460102136427818</v>
      </c>
      <c r="BD113" s="2">
        <f t="shared" si="45"/>
        <v>0.12460102136427818</v>
      </c>
      <c r="BE113" s="2">
        <f t="shared" si="45"/>
        <v>0.11895927392577878</v>
      </c>
      <c r="BF113" s="2">
        <f t="shared" si="45"/>
        <v>0.11581547055004765</v>
      </c>
      <c r="BG113" s="2">
        <f t="shared" si="45"/>
        <v>0.11133014300852212</v>
      </c>
      <c r="BH113" s="2">
        <f t="shared" si="45"/>
        <v>0.10537747947386483</v>
      </c>
      <c r="BI113" s="2">
        <f t="shared" si="45"/>
        <v>9.8192886815653316E-2</v>
      </c>
      <c r="BJ113" s="2">
        <f t="shared" si="45"/>
        <v>9.0451791505355747E-2</v>
      </c>
      <c r="BK113" s="2">
        <f t="shared" si="38"/>
        <v>8.306734757618546E-2</v>
      </c>
      <c r="BL113" s="2">
        <f t="shared" si="38"/>
        <v>7.6797623809762058E-2</v>
      </c>
      <c r="BM113" s="2">
        <f t="shared" si="38"/>
        <v>7.1979667760804486E-2</v>
      </c>
      <c r="BN113" s="2">
        <f t="shared" si="38"/>
        <v>6.8553461217840755E-2</v>
      </c>
      <c r="BO113" s="2">
        <f t="shared" si="38"/>
        <v>6.6249050906779142E-2</v>
      </c>
      <c r="BP113" s="2">
        <f t="shared" si="35"/>
        <v>6.4756672335957985E-2</v>
      </c>
      <c r="BQ113" s="2">
        <f t="shared" si="35"/>
        <v>6.3813721411463409E-2</v>
      </c>
      <c r="BR113" s="2">
        <f t="shared" si="35"/>
        <v>6.3227175460567414E-2</v>
      </c>
      <c r="BS113" s="2">
        <f t="shared" si="35"/>
        <v>6.2865870051234632E-2</v>
      </c>
      <c r="BT113" s="2">
        <f t="shared" si="35"/>
        <v>6.2644647254890704E-2</v>
      </c>
      <c r="BU113" s="2">
        <f t="shared" si="35"/>
        <v>6.2509694716168032E-2</v>
      </c>
    </row>
    <row r="114" spans="1:73" x14ac:dyDescent="0.25">
      <c r="A114" t="s">
        <v>33</v>
      </c>
      <c r="B114" s="1" t="s">
        <v>5</v>
      </c>
      <c r="C114" t="s">
        <v>6</v>
      </c>
      <c r="D114" t="s">
        <v>6</v>
      </c>
      <c r="E114" s="97">
        <v>5.5417949999999996</v>
      </c>
      <c r="F114" s="5">
        <f t="shared" si="29"/>
        <v>1.3577397749999998E-2</v>
      </c>
      <c r="G114" s="1">
        <f>LOOKUP(RIGHT(D114,5),Ref!$C$4:$C$21,Ref!$E$4:$E$21)*$G$3</f>
        <v>3</v>
      </c>
      <c r="H114" s="36">
        <f t="shared" si="43"/>
        <v>5.5417949999999996</v>
      </c>
      <c r="I114" s="12">
        <f t="shared" si="43"/>
        <v>5.5417949999999996</v>
      </c>
      <c r="J114" s="12">
        <f t="shared" si="43"/>
        <v>5.5417949999999996</v>
      </c>
      <c r="K114" s="12">
        <f t="shared" si="43"/>
        <v>5.5417949999999996</v>
      </c>
      <c r="L114" s="12">
        <f t="shared" si="43"/>
        <v>5.5417949999999996</v>
      </c>
      <c r="M114" s="12">
        <f t="shared" si="42"/>
        <v>5.8046194668460727</v>
      </c>
      <c r="N114" s="12">
        <f t="shared" si="42"/>
        <v>5.9621854827508267</v>
      </c>
      <c r="O114" s="12">
        <f t="shared" si="42"/>
        <v>6.2023931572475606</v>
      </c>
      <c r="P114" s="12">
        <f t="shared" si="42"/>
        <v>6.5527598557024458</v>
      </c>
      <c r="Q114" s="12">
        <f t="shared" si="42"/>
        <v>7.0322132242411319</v>
      </c>
      <c r="R114" s="12">
        <f t="shared" si="42"/>
        <v>7.6340479906422178</v>
      </c>
      <c r="S114" s="12">
        <f t="shared" si="42"/>
        <v>8.3126924999999989</v>
      </c>
      <c r="T114" s="12">
        <f t="shared" si="42"/>
        <v>8.99133700935778</v>
      </c>
      <c r="U114" s="12">
        <f t="shared" si="42"/>
        <v>9.5931717757588668</v>
      </c>
      <c r="V114" s="12">
        <f t="shared" si="42"/>
        <v>10.072625144297552</v>
      </c>
      <c r="W114" s="12">
        <f t="shared" si="42"/>
        <v>10.422991842752436</v>
      </c>
      <c r="X114" s="12">
        <f t="shared" si="42"/>
        <v>10.663199517249172</v>
      </c>
      <c r="Y114" s="12">
        <f t="shared" si="42"/>
        <v>10.820765533153926</v>
      </c>
      <c r="Z114" s="12">
        <f t="shared" si="42"/>
        <v>10.921147626183286</v>
      </c>
      <c r="AA114" s="12">
        <f t="shared" si="42"/>
        <v>10.983914111563131</v>
      </c>
      <c r="AB114" s="12">
        <f t="shared" si="42"/>
        <v>11.022702616264491</v>
      </c>
      <c r="AC114" s="12">
        <f t="shared" si="41"/>
        <v>11.046499592212053</v>
      </c>
      <c r="AD114" s="300">
        <f t="shared" ref="AD114:AQ155" si="46">Algae_electricity_factor/H114</f>
        <v>2.4799901662781211E-3</v>
      </c>
      <c r="AE114" s="299">
        <f t="shared" si="46"/>
        <v>2.4799901662781211E-3</v>
      </c>
      <c r="AF114" s="299">
        <f t="shared" si="44"/>
        <v>2.4799901662781211E-3</v>
      </c>
      <c r="AG114" s="299">
        <f t="shared" si="44"/>
        <v>2.4799901662781211E-3</v>
      </c>
      <c r="AH114" s="299">
        <f t="shared" si="44"/>
        <v>2.4799901662781211E-3</v>
      </c>
      <c r="AI114" s="299">
        <f t="shared" si="44"/>
        <v>2.3676999296901049E-3</v>
      </c>
      <c r="AJ114" s="299">
        <f t="shared" si="44"/>
        <v>2.3051273972087586E-3</v>
      </c>
      <c r="AK114" s="299">
        <f t="shared" si="44"/>
        <v>2.2158539059185123E-3</v>
      </c>
      <c r="AL114" s="299">
        <f t="shared" si="44"/>
        <v>2.0973753664372563E-3</v>
      </c>
      <c r="AM114" s="299">
        <f t="shared" si="44"/>
        <v>1.9543771875620815E-3</v>
      </c>
      <c r="AN114" s="299">
        <f t="shared" si="44"/>
        <v>1.8003026861209282E-3</v>
      </c>
      <c r="AO114" s="299">
        <f t="shared" si="37"/>
        <v>1.6533267775187476E-3</v>
      </c>
      <c r="AP114" s="299">
        <f t="shared" si="37"/>
        <v>1.5285376456499785E-3</v>
      </c>
      <c r="AQ114" s="299">
        <f t="shared" si="37"/>
        <v>1.4326436995799623E-3</v>
      </c>
      <c r="AR114" s="299">
        <f t="shared" si="37"/>
        <v>1.3644503698531825E-3</v>
      </c>
      <c r="AS114" s="299">
        <f t="shared" si="37"/>
        <v>1.3185846550466012E-3</v>
      </c>
      <c r="AT114" s="299">
        <f t="shared" si="34"/>
        <v>1.2888811731691905E-3</v>
      </c>
      <c r="AU114" s="299">
        <f t="shared" si="34"/>
        <v>1.2701131968362147E-3</v>
      </c>
      <c r="AV114" s="299">
        <f t="shared" si="34"/>
        <v>1.2584389089823486E-3</v>
      </c>
      <c r="AW114" s="299">
        <f t="shared" si="34"/>
        <v>1.2512476849268987E-3</v>
      </c>
      <c r="AX114" s="299">
        <f t="shared" si="34"/>
        <v>1.2468445881185226E-3</v>
      </c>
      <c r="AY114" s="299">
        <f t="shared" si="34"/>
        <v>1.2441585670467685E-3</v>
      </c>
      <c r="AZ114" s="306">
        <f t="shared" ref="AZ114:BM155" si="47">Algae_yield_cost_factor/H114</f>
        <v>0.13729172935596098</v>
      </c>
      <c r="BA114" s="2">
        <f t="shared" si="47"/>
        <v>0.13729172935596098</v>
      </c>
      <c r="BB114" s="2">
        <f t="shared" si="45"/>
        <v>0.13729172935596098</v>
      </c>
      <c r="BC114" s="2">
        <f t="shared" si="45"/>
        <v>0.13729172935596098</v>
      </c>
      <c r="BD114" s="2">
        <f t="shared" si="45"/>
        <v>0.13729172935596098</v>
      </c>
      <c r="BE114" s="2">
        <f t="shared" si="45"/>
        <v>0.13107536568622299</v>
      </c>
      <c r="BF114" s="2">
        <f t="shared" si="45"/>
        <v>0.12761136356582806</v>
      </c>
      <c r="BG114" s="2">
        <f t="shared" si="45"/>
        <v>0.12266920203166504</v>
      </c>
      <c r="BH114" s="2">
        <f t="shared" si="45"/>
        <v>0.11611025522690341</v>
      </c>
      <c r="BI114" s="2">
        <f t="shared" si="45"/>
        <v>0.10819390638831528</v>
      </c>
      <c r="BJ114" s="2">
        <f t="shared" si="45"/>
        <v>9.9664374682849166E-2</v>
      </c>
      <c r="BK114" s="2">
        <f t="shared" si="38"/>
        <v>9.152781957064067E-2</v>
      </c>
      <c r="BL114" s="2">
        <f t="shared" si="38"/>
        <v>8.4619519710402019E-2</v>
      </c>
      <c r="BM114" s="2">
        <f t="shared" si="38"/>
        <v>7.9310851204478866E-2</v>
      </c>
      <c r="BN114" s="2">
        <f t="shared" si="38"/>
        <v>7.5535682941299184E-2</v>
      </c>
      <c r="BO114" s="2">
        <f t="shared" si="38"/>
        <v>7.2996566702224278E-2</v>
      </c>
      <c r="BP114" s="2">
        <f t="shared" si="35"/>
        <v>7.1352188248513179E-2</v>
      </c>
      <c r="BQ114" s="2">
        <f t="shared" si="35"/>
        <v>7.03131970612485E-2</v>
      </c>
      <c r="BR114" s="2">
        <f t="shared" si="35"/>
        <v>6.9666910962920159E-2</v>
      </c>
      <c r="BS114" s="2">
        <f t="shared" si="35"/>
        <v>6.9268806325174515E-2</v>
      </c>
      <c r="BT114" s="2">
        <f t="shared" si="35"/>
        <v>6.9025051820191585E-2</v>
      </c>
      <c r="BU114" s="2">
        <f t="shared" si="35"/>
        <v>6.8876354263627843E-2</v>
      </c>
    </row>
    <row r="115" spans="1:73" x14ac:dyDescent="0.25">
      <c r="A115" t="s">
        <v>33</v>
      </c>
      <c r="B115" s="1" t="s">
        <v>5</v>
      </c>
      <c r="C115" t="s">
        <v>7</v>
      </c>
      <c r="D115" t="s">
        <v>7</v>
      </c>
      <c r="E115" s="97">
        <v>5.9726774999999996</v>
      </c>
      <c r="F115" s="5">
        <f t="shared" si="29"/>
        <v>1.4633059874999998E-2</v>
      </c>
      <c r="G115" s="1">
        <f>LOOKUP(RIGHT(D115,5),Ref!$C$4:$C$21,Ref!$E$4:$E$21)*$G$3</f>
        <v>3.5</v>
      </c>
      <c r="H115" s="36">
        <f t="shared" si="43"/>
        <v>5.9726774999999996</v>
      </c>
      <c r="I115" s="12">
        <f t="shared" si="43"/>
        <v>5.9726774999999996</v>
      </c>
      <c r="J115" s="12">
        <f t="shared" si="43"/>
        <v>5.9726774999999996</v>
      </c>
      <c r="K115" s="12">
        <f t="shared" si="43"/>
        <v>5.9726774999999996</v>
      </c>
      <c r="L115" s="12">
        <f t="shared" si="43"/>
        <v>5.9726774999999996</v>
      </c>
      <c r="M115" s="12">
        <f t="shared" si="42"/>
        <v>6.2559369456455061</v>
      </c>
      <c r="N115" s="12">
        <f t="shared" si="42"/>
        <v>6.4257539450038301</v>
      </c>
      <c r="O115" s="12">
        <f t="shared" si="42"/>
        <v>6.6846381102957562</v>
      </c>
      <c r="P115" s="12">
        <f t="shared" si="42"/>
        <v>7.0622463214639382</v>
      </c>
      <c r="Q115" s="12">
        <f t="shared" si="42"/>
        <v>7.578977876234589</v>
      </c>
      <c r="R115" s="12">
        <f t="shared" si="42"/>
        <v>8.227606157865635</v>
      </c>
      <c r="S115" s="12">
        <f t="shared" si="42"/>
        <v>8.9590162499999995</v>
      </c>
      <c r="T115" s="12">
        <f t="shared" si="42"/>
        <v>9.6904263421343639</v>
      </c>
      <c r="U115" s="12">
        <f t="shared" si="42"/>
        <v>10.33905462376541</v>
      </c>
      <c r="V115" s="12">
        <f t="shared" si="42"/>
        <v>10.855786178536061</v>
      </c>
      <c r="W115" s="12">
        <f t="shared" si="42"/>
        <v>11.233394389704241</v>
      </c>
      <c r="X115" s="12">
        <f t="shared" si="42"/>
        <v>11.492278554996169</v>
      </c>
      <c r="Y115" s="12">
        <f t="shared" si="42"/>
        <v>11.662095554354494</v>
      </c>
      <c r="Z115" s="12">
        <f t="shared" si="42"/>
        <v>11.770282498916565</v>
      </c>
      <c r="AA115" s="12">
        <f t="shared" si="42"/>
        <v>11.83792916844914</v>
      </c>
      <c r="AB115" s="12">
        <f t="shared" si="42"/>
        <v>11.879733534956465</v>
      </c>
      <c r="AC115" s="12">
        <f t="shared" si="41"/>
        <v>11.905380759873669</v>
      </c>
      <c r="AD115" s="300">
        <f t="shared" si="46"/>
        <v>2.3010780514315832E-3</v>
      </c>
      <c r="AE115" s="299">
        <f t="shared" si="46"/>
        <v>2.3010780514315832E-3</v>
      </c>
      <c r="AF115" s="299">
        <f t="shared" si="44"/>
        <v>2.3010780514315832E-3</v>
      </c>
      <c r="AG115" s="299">
        <f t="shared" si="44"/>
        <v>2.3010780514315832E-3</v>
      </c>
      <c r="AH115" s="299">
        <f t="shared" si="44"/>
        <v>2.3010780514315832E-3</v>
      </c>
      <c r="AI115" s="299">
        <f t="shared" si="44"/>
        <v>2.1968886871686897E-3</v>
      </c>
      <c r="AJ115" s="299">
        <f t="shared" si="44"/>
        <v>2.1388302790858057E-3</v>
      </c>
      <c r="AK115" s="299">
        <f t="shared" si="44"/>
        <v>2.055997179916324E-3</v>
      </c>
      <c r="AL115" s="299">
        <f t="shared" si="44"/>
        <v>1.9460659509650663E-3</v>
      </c>
      <c r="AM115" s="299">
        <f t="shared" si="44"/>
        <v>1.8133839850126856E-3</v>
      </c>
      <c r="AN115" s="299">
        <f t="shared" si="44"/>
        <v>1.6704247675236993E-3</v>
      </c>
      <c r="AO115" s="299">
        <f t="shared" si="37"/>
        <v>1.5340520342877221E-3</v>
      </c>
      <c r="AP115" s="299">
        <f t="shared" si="37"/>
        <v>1.4182654733952773E-3</v>
      </c>
      <c r="AQ115" s="299">
        <f t="shared" si="37"/>
        <v>1.3292895340680519E-3</v>
      </c>
      <c r="AR115" s="299">
        <f t="shared" si="37"/>
        <v>1.2660158258001569E-3</v>
      </c>
      <c r="AS115" s="299">
        <f t="shared" si="37"/>
        <v>1.2234589676763863E-3</v>
      </c>
      <c r="AT115" s="299">
        <f t="shared" si="34"/>
        <v>1.1958983623447197E-3</v>
      </c>
      <c r="AU115" s="299">
        <f t="shared" si="34"/>
        <v>1.1784843503874016E-3</v>
      </c>
      <c r="AV115" s="299">
        <f t="shared" si="34"/>
        <v>1.1676522721348732E-3</v>
      </c>
      <c r="AW115" s="299">
        <f t="shared" si="34"/>
        <v>1.1609798392914169E-3</v>
      </c>
      <c r="AX115" s="299">
        <f t="shared" si="34"/>
        <v>1.1568943918723699E-3</v>
      </c>
      <c r="AY115" s="299">
        <f t="shared" si="34"/>
        <v>1.1544021464522313E-3</v>
      </c>
      <c r="AZ115" s="306">
        <f t="shared" si="47"/>
        <v>0.1273871926428671</v>
      </c>
      <c r="BA115" s="2">
        <f t="shared" si="47"/>
        <v>0.1273871926428671</v>
      </c>
      <c r="BB115" s="2">
        <f t="shared" si="45"/>
        <v>0.1273871926428671</v>
      </c>
      <c r="BC115" s="2">
        <f t="shared" si="45"/>
        <v>0.1273871926428671</v>
      </c>
      <c r="BD115" s="2">
        <f t="shared" si="45"/>
        <v>0.1273871926428671</v>
      </c>
      <c r="BE115" s="2">
        <f t="shared" si="45"/>
        <v>0.12161929154605822</v>
      </c>
      <c r="BF115" s="2">
        <f t="shared" si="45"/>
        <v>0.11840519039447352</v>
      </c>
      <c r="BG115" s="2">
        <f t="shared" si="45"/>
        <v>0.11381956760147707</v>
      </c>
      <c r="BH115" s="2">
        <f t="shared" si="45"/>
        <v>0.10773379809393312</v>
      </c>
      <c r="BI115" s="2">
        <f t="shared" si="45"/>
        <v>0.10038855261367011</v>
      </c>
      <c r="BJ115" s="2">
        <f t="shared" si="45"/>
        <v>9.2474360669153835E-2</v>
      </c>
      <c r="BK115" s="2">
        <f t="shared" si="38"/>
        <v>8.4924795095244726E-2</v>
      </c>
      <c r="BL115" s="2">
        <f t="shared" si="38"/>
        <v>7.8514875653926952E-2</v>
      </c>
      <c r="BM115" s="2">
        <f t="shared" si="38"/>
        <v>7.3589186533296824E-2</v>
      </c>
      <c r="BN115" s="2">
        <f t="shared" si="38"/>
        <v>7.0086367470146682E-2</v>
      </c>
      <c r="BO115" s="2">
        <f t="shared" si="38"/>
        <v>6.773042883489909E-2</v>
      </c>
      <c r="BP115" s="2">
        <f t="shared" si="35"/>
        <v>6.6204679572046052E-2</v>
      </c>
      <c r="BQ115" s="2">
        <f t="shared" si="35"/>
        <v>6.5240643565309134E-2</v>
      </c>
      <c r="BR115" s="2">
        <f t="shared" si="35"/>
        <v>6.4640982011795564E-2</v>
      </c>
      <c r="BS115" s="2">
        <f t="shared" si="35"/>
        <v>6.4271597545459386E-2</v>
      </c>
      <c r="BT115" s="2">
        <f t="shared" si="35"/>
        <v>6.4045428043265115E-2</v>
      </c>
      <c r="BU115" s="2">
        <f t="shared" si="35"/>
        <v>6.3907457865655964E-2</v>
      </c>
    </row>
    <row r="116" spans="1:73" x14ac:dyDescent="0.25">
      <c r="A116" t="s">
        <v>33</v>
      </c>
      <c r="B116" s="1" t="s">
        <v>5</v>
      </c>
      <c r="C116" t="s">
        <v>8</v>
      </c>
      <c r="D116" t="s">
        <v>8</v>
      </c>
      <c r="E116" s="97">
        <v>5.9071600000000002</v>
      </c>
      <c r="F116" s="5">
        <f t="shared" si="29"/>
        <v>1.4472542000000001E-2</v>
      </c>
      <c r="G116" s="1">
        <f>LOOKUP(RIGHT(D116,5),Ref!$C$4:$C$21,Ref!$E$4:$E$21)*$G$3</f>
        <v>4</v>
      </c>
      <c r="H116" s="36">
        <f t="shared" si="43"/>
        <v>5.9071600000000002</v>
      </c>
      <c r="I116" s="12">
        <f t="shared" si="43"/>
        <v>5.9071600000000002</v>
      </c>
      <c r="J116" s="12">
        <f t="shared" si="43"/>
        <v>5.9071600000000002</v>
      </c>
      <c r="K116" s="12">
        <f t="shared" si="43"/>
        <v>5.9071600000000002</v>
      </c>
      <c r="L116" s="12">
        <f t="shared" si="43"/>
        <v>5.9071600000000002</v>
      </c>
      <c r="M116" s="12">
        <f t="shared" si="42"/>
        <v>6.187312220999595</v>
      </c>
      <c r="N116" s="12">
        <f t="shared" si="42"/>
        <v>6.3552664066942883</v>
      </c>
      <c r="O116" s="12">
        <f t="shared" si="42"/>
        <v>6.6113107328521723</v>
      </c>
      <c r="P116" s="12">
        <f t="shared" si="42"/>
        <v>6.984776757207956</v>
      </c>
      <c r="Q116" s="12">
        <f t="shared" si="42"/>
        <v>7.4958400066599813</v>
      </c>
      <c r="R116" s="12">
        <f t="shared" si="42"/>
        <v>8.1373531370976533</v>
      </c>
      <c r="S116" s="12">
        <f t="shared" si="42"/>
        <v>8.8607399999999998</v>
      </c>
      <c r="T116" s="12">
        <f t="shared" si="42"/>
        <v>9.5841268629023464</v>
      </c>
      <c r="U116" s="12">
        <f t="shared" si="42"/>
        <v>10.225639993340019</v>
      </c>
      <c r="V116" s="12">
        <f t="shared" si="42"/>
        <v>10.736703242792045</v>
      </c>
      <c r="W116" s="12">
        <f t="shared" si="42"/>
        <v>11.110169267147826</v>
      </c>
      <c r="X116" s="12">
        <f t="shared" si="42"/>
        <v>11.366213593305712</v>
      </c>
      <c r="Y116" s="12">
        <f t="shared" si="42"/>
        <v>11.534167779000406</v>
      </c>
      <c r="Z116" s="12">
        <f t="shared" si="42"/>
        <v>11.641167962994819</v>
      </c>
      <c r="AA116" s="12">
        <f t="shared" si="42"/>
        <v>11.708072579960332</v>
      </c>
      <c r="AB116" s="12">
        <f t="shared" ref="AB116:AC131" si="48">AB$3*$E116</f>
        <v>11.749418371970267</v>
      </c>
      <c r="AC116" s="12">
        <f t="shared" si="48"/>
        <v>11.774784258734103</v>
      </c>
      <c r="AD116" s="300">
        <f t="shared" si="46"/>
        <v>2.3265997710455208E-3</v>
      </c>
      <c r="AE116" s="299">
        <f t="shared" si="46"/>
        <v>2.3265997710455208E-3</v>
      </c>
      <c r="AF116" s="299">
        <f t="shared" si="44"/>
        <v>2.3265997710455208E-3</v>
      </c>
      <c r="AG116" s="299">
        <f t="shared" si="44"/>
        <v>2.3265997710455208E-3</v>
      </c>
      <c r="AH116" s="299">
        <f t="shared" si="44"/>
        <v>2.3265997710455208E-3</v>
      </c>
      <c r="AI116" s="299">
        <f t="shared" si="44"/>
        <v>2.2212548215821094E-3</v>
      </c>
      <c r="AJ116" s="299">
        <f t="shared" si="44"/>
        <v>2.1625524760146182E-3</v>
      </c>
      <c r="AK116" s="299">
        <f t="shared" si="44"/>
        <v>2.0788006582773584E-3</v>
      </c>
      <c r="AL116" s="299">
        <f t="shared" si="44"/>
        <v>1.9676501599491386E-3</v>
      </c>
      <c r="AM116" s="299">
        <f t="shared" si="44"/>
        <v>1.8334965916185786E-3</v>
      </c>
      <c r="AN116" s="299">
        <f t="shared" si="44"/>
        <v>1.6889517846869779E-3</v>
      </c>
      <c r="AO116" s="299">
        <f t="shared" si="37"/>
        <v>1.5510665140303474E-3</v>
      </c>
      <c r="AP116" s="299">
        <f t="shared" si="37"/>
        <v>1.4339957410963681E-3</v>
      </c>
      <c r="AQ116" s="299">
        <f t="shared" si="37"/>
        <v>1.3440329517253192E-3</v>
      </c>
      <c r="AR116" s="299">
        <f t="shared" si="37"/>
        <v>1.2800574620292181E-3</v>
      </c>
      <c r="AS116" s="299">
        <f t="shared" si="37"/>
        <v>1.2370285972301373E-3</v>
      </c>
      <c r="AT116" s="299">
        <f t="shared" si="34"/>
        <v>1.2091623116799195E-3</v>
      </c>
      <c r="AU116" s="299">
        <f t="shared" si="34"/>
        <v>1.1915551574125213E-3</v>
      </c>
      <c r="AV116" s="299">
        <f t="shared" si="34"/>
        <v>1.1806029384008275E-3</v>
      </c>
      <c r="AW116" s="299">
        <f t="shared" si="34"/>
        <v>1.1738565002623023E-3</v>
      </c>
      <c r="AX116" s="299">
        <f t="shared" si="34"/>
        <v>1.1697257403239943E-3</v>
      </c>
      <c r="AY116" s="299">
        <f t="shared" si="34"/>
        <v>1.1672058529084951E-3</v>
      </c>
      <c r="AZ116" s="306">
        <f t="shared" si="47"/>
        <v>0.12880006962503432</v>
      </c>
      <c r="BA116" s="2">
        <f t="shared" si="47"/>
        <v>0.12880006962503432</v>
      </c>
      <c r="BB116" s="2">
        <f t="shared" si="45"/>
        <v>0.12880006962503432</v>
      </c>
      <c r="BC116" s="2">
        <f t="shared" si="45"/>
        <v>0.12880006962503432</v>
      </c>
      <c r="BD116" s="2">
        <f t="shared" si="45"/>
        <v>0.12880006962503432</v>
      </c>
      <c r="BE116" s="2">
        <f t="shared" si="45"/>
        <v>0.12296819557673774</v>
      </c>
      <c r="BF116" s="2">
        <f t="shared" si="45"/>
        <v>0.11971844618264751</v>
      </c>
      <c r="BG116" s="2">
        <f t="shared" si="45"/>
        <v>0.1150819633246892</v>
      </c>
      <c r="BH116" s="2">
        <f t="shared" si="45"/>
        <v>0.10892869532316327</v>
      </c>
      <c r="BI116" s="2">
        <f t="shared" si="45"/>
        <v>0.10150198224751548</v>
      </c>
      <c r="BJ116" s="2">
        <f t="shared" si="45"/>
        <v>9.350001240791514E-2</v>
      </c>
      <c r="BK116" s="2">
        <f t="shared" si="38"/>
        <v>8.5866713083356222E-2</v>
      </c>
      <c r="BL116" s="2">
        <f t="shared" si="38"/>
        <v>7.9385699935926451E-2</v>
      </c>
      <c r="BM116" s="2">
        <f t="shared" si="38"/>
        <v>7.4405379006277958E-2</v>
      </c>
      <c r="BN116" s="2">
        <f t="shared" si="38"/>
        <v>7.0863709472179015E-2</v>
      </c>
      <c r="BO116" s="2">
        <f t="shared" si="38"/>
        <v>6.8481640647545181E-2</v>
      </c>
      <c r="BP116" s="2">
        <f t="shared" si="35"/>
        <v>6.6938968992657902E-2</v>
      </c>
      <c r="BQ116" s="2">
        <f t="shared" si="35"/>
        <v>6.5964240668619376E-2</v>
      </c>
      <c r="BR116" s="2">
        <f t="shared" si="35"/>
        <v>6.5357928148172054E-2</v>
      </c>
      <c r="BS116" s="2">
        <f t="shared" si="35"/>
        <v>6.4984446764404638E-2</v>
      </c>
      <c r="BT116" s="2">
        <f t="shared" si="35"/>
        <v>6.4755768770759295E-2</v>
      </c>
      <c r="BU116" s="2">
        <f t="shared" si="35"/>
        <v>6.461626833815258E-2</v>
      </c>
    </row>
    <row r="117" spans="1:73" x14ac:dyDescent="0.25">
      <c r="A117" t="s">
        <v>33</v>
      </c>
      <c r="B117" s="1" t="s">
        <v>5</v>
      </c>
      <c r="C117" t="s">
        <v>9</v>
      </c>
      <c r="D117" t="s">
        <v>9</v>
      </c>
      <c r="E117" s="97">
        <v>6.133095</v>
      </c>
      <c r="F117" s="5">
        <f t="shared" si="29"/>
        <v>1.5026082749999999E-2</v>
      </c>
      <c r="G117" s="1">
        <f>LOOKUP(RIGHT(D117,5),Ref!$C$4:$C$21,Ref!$E$4:$E$21)*$G$3</f>
        <v>4.5</v>
      </c>
      <c r="H117" s="36">
        <f t="shared" si="43"/>
        <v>6.133095</v>
      </c>
      <c r="I117" s="12">
        <f t="shared" si="43"/>
        <v>6.133095</v>
      </c>
      <c r="J117" s="12">
        <f t="shared" si="43"/>
        <v>6.133095</v>
      </c>
      <c r="K117" s="12">
        <f t="shared" si="43"/>
        <v>6.133095</v>
      </c>
      <c r="L117" s="12">
        <f t="shared" si="43"/>
        <v>6.133095</v>
      </c>
      <c r="M117" s="12">
        <f t="shared" ref="M117:AB132" si="49">M$3*$E117</f>
        <v>6.4239623856559689</v>
      </c>
      <c r="N117" s="12">
        <f t="shared" si="49"/>
        <v>6.5983404245973878</v>
      </c>
      <c r="O117" s="12">
        <f t="shared" si="49"/>
        <v>6.8641778450392392</v>
      </c>
      <c r="P117" s="12">
        <f t="shared" si="49"/>
        <v>7.2519280679291453</v>
      </c>
      <c r="Q117" s="12">
        <f t="shared" si="49"/>
        <v>7.7825382866972106</v>
      </c>
      <c r="R117" s="12">
        <f t="shared" si="49"/>
        <v>8.4485877881025626</v>
      </c>
      <c r="S117" s="12">
        <f t="shared" si="49"/>
        <v>9.1996424999999995</v>
      </c>
      <c r="T117" s="12">
        <f t="shared" si="49"/>
        <v>9.9506972118974382</v>
      </c>
      <c r="U117" s="12">
        <f t="shared" si="49"/>
        <v>10.616746713302788</v>
      </c>
      <c r="V117" s="12">
        <f t="shared" si="49"/>
        <v>11.147356932070855</v>
      </c>
      <c r="W117" s="12">
        <f t="shared" si="49"/>
        <v>11.535107154960759</v>
      </c>
      <c r="X117" s="12">
        <f t="shared" si="49"/>
        <v>11.800944575402612</v>
      </c>
      <c r="Y117" s="12">
        <f t="shared" si="49"/>
        <v>11.975322614344032</v>
      </c>
      <c r="Z117" s="12">
        <f t="shared" si="49"/>
        <v>12.086415304140012</v>
      </c>
      <c r="AA117" s="12">
        <f t="shared" si="49"/>
        <v>12.155878865612546</v>
      </c>
      <c r="AB117" s="12">
        <f t="shared" si="49"/>
        <v>12.198806037087023</v>
      </c>
      <c r="AC117" s="12">
        <f t="shared" si="48"/>
        <v>12.225142109460524</v>
      </c>
      <c r="AD117" s="300">
        <f t="shared" si="46"/>
        <v>2.2408909536749812E-3</v>
      </c>
      <c r="AE117" s="299">
        <f t="shared" si="46"/>
        <v>2.2408909536749812E-3</v>
      </c>
      <c r="AF117" s="299">
        <f t="shared" si="44"/>
        <v>2.2408909536749812E-3</v>
      </c>
      <c r="AG117" s="299">
        <f t="shared" si="44"/>
        <v>2.2408909536749812E-3</v>
      </c>
      <c r="AH117" s="299">
        <f t="shared" si="44"/>
        <v>2.2408909536749812E-3</v>
      </c>
      <c r="AI117" s="299">
        <f t="shared" si="44"/>
        <v>2.1394267709626169E-3</v>
      </c>
      <c r="AJ117" s="299">
        <f t="shared" si="44"/>
        <v>2.0828869411307852E-3</v>
      </c>
      <c r="AK117" s="299">
        <f t="shared" si="44"/>
        <v>2.0022204281116922E-3</v>
      </c>
      <c r="AL117" s="299">
        <f t="shared" si="44"/>
        <v>1.895164565173889E-3</v>
      </c>
      <c r="AM117" s="299">
        <f t="shared" si="44"/>
        <v>1.7659530345030697E-3</v>
      </c>
      <c r="AN117" s="299">
        <f t="shared" si="44"/>
        <v>1.6267330645345502E-3</v>
      </c>
      <c r="AO117" s="299">
        <f t="shared" si="37"/>
        <v>1.4939273024499877E-3</v>
      </c>
      <c r="AP117" s="299">
        <f t="shared" si="37"/>
        <v>1.3811692598883307E-3</v>
      </c>
      <c r="AQ117" s="299">
        <f t="shared" si="37"/>
        <v>1.2945205791062649E-3</v>
      </c>
      <c r="AR117" s="299">
        <f t="shared" si="37"/>
        <v>1.2329018607082584E-3</v>
      </c>
      <c r="AS117" s="299">
        <f t="shared" si="37"/>
        <v>1.1914581216195051E-3</v>
      </c>
      <c r="AT117" s="299">
        <f t="shared" si="34"/>
        <v>1.1646183926815341E-3</v>
      </c>
      <c r="AU117" s="299">
        <f t="shared" si="34"/>
        <v>1.1476598623795897E-3</v>
      </c>
      <c r="AV117" s="299">
        <f t="shared" si="34"/>
        <v>1.137111108437719E-3</v>
      </c>
      <c r="AW117" s="299">
        <f t="shared" si="34"/>
        <v>1.130613200038392E-3</v>
      </c>
      <c r="AX117" s="299">
        <f t="shared" si="34"/>
        <v>1.1266346117600147E-3</v>
      </c>
      <c r="AY117" s="299">
        <f t="shared" si="34"/>
        <v>1.1242075536196563E-3</v>
      </c>
      <c r="AZ117" s="306">
        <f t="shared" si="47"/>
        <v>0.12405524768264926</v>
      </c>
      <c r="BA117" s="2">
        <f t="shared" si="47"/>
        <v>0.12405524768264926</v>
      </c>
      <c r="BB117" s="2">
        <f t="shared" si="45"/>
        <v>0.12405524768264926</v>
      </c>
      <c r="BC117" s="2">
        <f t="shared" si="45"/>
        <v>0.12405524768264926</v>
      </c>
      <c r="BD117" s="2">
        <f t="shared" si="45"/>
        <v>0.12405524768264926</v>
      </c>
      <c r="BE117" s="2">
        <f t="shared" si="45"/>
        <v>0.11843821205819934</v>
      </c>
      <c r="BF117" s="2">
        <f t="shared" si="45"/>
        <v>0.11530817907635346</v>
      </c>
      <c r="BG117" s="2">
        <f t="shared" si="45"/>
        <v>0.1108424980328971</v>
      </c>
      <c r="BH117" s="2">
        <f t="shared" si="45"/>
        <v>0.10491590817771078</v>
      </c>
      <c r="BI117" s="2">
        <f t="shared" si="45"/>
        <v>9.7762785258215246E-2</v>
      </c>
      <c r="BJ117" s="2">
        <f t="shared" si="45"/>
        <v>9.0055597262970813E-2</v>
      </c>
      <c r="BK117" s="2">
        <f t="shared" si="38"/>
        <v>8.2703498455099514E-2</v>
      </c>
      <c r="BL117" s="2">
        <f t="shared" si="38"/>
        <v>7.6461237145928326E-2</v>
      </c>
      <c r="BM117" s="2">
        <f t="shared" si="38"/>
        <v>7.1664384564518402E-2</v>
      </c>
      <c r="BN117" s="2">
        <f t="shared" si="38"/>
        <v>6.8253185389379592E-2</v>
      </c>
      <c r="BO117" s="2">
        <f t="shared" si="38"/>
        <v>6.5958868787708805E-2</v>
      </c>
      <c r="BP117" s="2">
        <f t="shared" si="35"/>
        <v>6.4473027089042165E-2</v>
      </c>
      <c r="BQ117" s="2">
        <f t="shared" si="35"/>
        <v>6.3534206450094388E-2</v>
      </c>
      <c r="BR117" s="2">
        <f t="shared" si="35"/>
        <v>6.2950229670297952E-2</v>
      </c>
      <c r="BS117" s="2">
        <f t="shared" si="35"/>
        <v>6.2590506840155005E-2</v>
      </c>
      <c r="BT117" s="2">
        <f t="shared" si="35"/>
        <v>6.2370253037312896E-2</v>
      </c>
      <c r="BU117" s="2">
        <f t="shared" si="35"/>
        <v>6.2235891613679782E-2</v>
      </c>
    </row>
    <row r="118" spans="1:73" x14ac:dyDescent="0.25">
      <c r="A118" t="s">
        <v>33</v>
      </c>
      <c r="B118" s="1" t="s">
        <v>5</v>
      </c>
      <c r="C118" t="s">
        <v>10</v>
      </c>
      <c r="D118" t="s">
        <v>10</v>
      </c>
      <c r="E118" s="97">
        <v>6.2615385000000003</v>
      </c>
      <c r="F118" s="5">
        <f t="shared" si="29"/>
        <v>1.5340769325E-2</v>
      </c>
      <c r="G118" s="1">
        <f>LOOKUP(RIGHT(D118,5),Ref!$C$4:$C$21,Ref!$E$4:$E$21)*$G$3</f>
        <v>4.5</v>
      </c>
      <c r="H118" s="36">
        <f t="shared" ref="H118:L133" si="50">$E118</f>
        <v>6.2615385000000003</v>
      </c>
      <c r="I118" s="12">
        <f t="shared" si="50"/>
        <v>6.2615385000000003</v>
      </c>
      <c r="J118" s="12">
        <f t="shared" si="50"/>
        <v>6.2615385000000003</v>
      </c>
      <c r="K118" s="12">
        <f t="shared" si="50"/>
        <v>6.2615385000000003</v>
      </c>
      <c r="L118" s="12">
        <f t="shared" si="50"/>
        <v>6.2615385000000003</v>
      </c>
      <c r="M118" s="12">
        <f t="shared" si="49"/>
        <v>6.558497430797452</v>
      </c>
      <c r="N118" s="12">
        <f t="shared" si="49"/>
        <v>6.7365274147429473</v>
      </c>
      <c r="O118" s="12">
        <f t="shared" si="49"/>
        <v>7.0079321855539876</v>
      </c>
      <c r="P118" s="12">
        <f t="shared" si="49"/>
        <v>7.403802940696167</v>
      </c>
      <c r="Q118" s="12">
        <f t="shared" si="49"/>
        <v>7.9455255641529483</v>
      </c>
      <c r="R118" s="12">
        <f t="shared" si="49"/>
        <v>8.6255239329953373</v>
      </c>
      <c r="S118" s="12">
        <f t="shared" si="49"/>
        <v>9.3923077500000005</v>
      </c>
      <c r="T118" s="12">
        <f t="shared" si="49"/>
        <v>10.159091567004664</v>
      </c>
      <c r="U118" s="12">
        <f t="shared" si="49"/>
        <v>10.839089935847053</v>
      </c>
      <c r="V118" s="12">
        <f t="shared" si="49"/>
        <v>11.380812559303834</v>
      </c>
      <c r="W118" s="12">
        <f t="shared" si="49"/>
        <v>11.776683314446013</v>
      </c>
      <c r="X118" s="12">
        <f t="shared" si="49"/>
        <v>12.048088085257055</v>
      </c>
      <c r="Y118" s="12">
        <f t="shared" si="49"/>
        <v>12.226118069202549</v>
      </c>
      <c r="Z118" s="12">
        <f t="shared" si="49"/>
        <v>12.3395373386295</v>
      </c>
      <c r="AA118" s="12">
        <f t="shared" si="49"/>
        <v>12.410455653853282</v>
      </c>
      <c r="AB118" s="12">
        <f t="shared" si="49"/>
        <v>12.45428183572125</v>
      </c>
      <c r="AC118" s="12">
        <f t="shared" si="48"/>
        <v>12.481169456262831</v>
      </c>
      <c r="AD118" s="300">
        <f t="shared" si="46"/>
        <v>2.1949233568601804E-3</v>
      </c>
      <c r="AE118" s="299">
        <f t="shared" si="46"/>
        <v>2.1949233568601804E-3</v>
      </c>
      <c r="AF118" s="299">
        <f t="shared" si="44"/>
        <v>2.1949233568601804E-3</v>
      </c>
      <c r="AG118" s="299">
        <f t="shared" si="44"/>
        <v>2.1949233568601804E-3</v>
      </c>
      <c r="AH118" s="299">
        <f t="shared" si="44"/>
        <v>2.1949233568601804E-3</v>
      </c>
      <c r="AI118" s="299">
        <f t="shared" si="44"/>
        <v>2.0955405180143778E-3</v>
      </c>
      <c r="AJ118" s="299">
        <f t="shared" si="44"/>
        <v>2.0401604947752876E-3</v>
      </c>
      <c r="AK118" s="299">
        <f t="shared" si="44"/>
        <v>1.9611487011618116E-3</v>
      </c>
      <c r="AL118" s="299">
        <f t="shared" si="44"/>
        <v>1.8562888847277954E-3</v>
      </c>
      <c r="AM118" s="299">
        <f t="shared" si="44"/>
        <v>1.7297278817571117E-3</v>
      </c>
      <c r="AN118" s="299">
        <f t="shared" si="44"/>
        <v>1.5933637435003437E-3</v>
      </c>
      <c r="AO118" s="299">
        <f t="shared" si="37"/>
        <v>1.4632822379067869E-3</v>
      </c>
      <c r="AP118" s="299">
        <f t="shared" si="37"/>
        <v>1.3528372111701974E-3</v>
      </c>
      <c r="AQ118" s="299">
        <f t="shared" si="37"/>
        <v>1.2679659625368009E-3</v>
      </c>
      <c r="AR118" s="299">
        <f t="shared" si="37"/>
        <v>1.2076112344275318E-3</v>
      </c>
      <c r="AS118" s="299">
        <f t="shared" si="37"/>
        <v>1.167017634470183E-3</v>
      </c>
      <c r="AT118" s="299">
        <f t="shared" si="34"/>
        <v>1.1407284712955375E-3</v>
      </c>
      <c r="AU118" s="299">
        <f t="shared" si="34"/>
        <v>1.1241178128443912E-3</v>
      </c>
      <c r="AV118" s="299">
        <f t="shared" si="34"/>
        <v>1.1137854464368193E-3</v>
      </c>
      <c r="AW118" s="299">
        <f t="shared" si="34"/>
        <v>1.1074208302144053E-3</v>
      </c>
      <c r="AX118" s="299">
        <f t="shared" si="34"/>
        <v>1.103523855073683E-3</v>
      </c>
      <c r="AY118" s="299">
        <f t="shared" si="34"/>
        <v>1.1011465833943119E-3</v>
      </c>
      <c r="AZ118" s="306">
        <f t="shared" si="47"/>
        <v>0.12151049127721848</v>
      </c>
      <c r="BA118" s="2">
        <f t="shared" si="47"/>
        <v>0.12151049127721848</v>
      </c>
      <c r="BB118" s="2">
        <f t="shared" si="45"/>
        <v>0.12151049127721848</v>
      </c>
      <c r="BC118" s="2">
        <f t="shared" si="45"/>
        <v>0.12151049127721848</v>
      </c>
      <c r="BD118" s="2">
        <f t="shared" si="45"/>
        <v>0.12151049127721848</v>
      </c>
      <c r="BE118" s="2">
        <f t="shared" si="45"/>
        <v>0.11600867840756422</v>
      </c>
      <c r="BF118" s="2">
        <f t="shared" si="45"/>
        <v>0.11294285207258375</v>
      </c>
      <c r="BG118" s="2">
        <f t="shared" si="45"/>
        <v>0.10856877594429405</v>
      </c>
      <c r="BH118" s="2">
        <f t="shared" si="45"/>
        <v>0.10276375875756048</v>
      </c>
      <c r="BI118" s="2">
        <f t="shared" si="45"/>
        <v>9.5757368489107514E-2</v>
      </c>
      <c r="BJ118" s="2">
        <f t="shared" si="45"/>
        <v>8.8208278731423589E-2</v>
      </c>
      <c r="BK118" s="2">
        <f t="shared" si="38"/>
        <v>8.1006994184812331E-2</v>
      </c>
      <c r="BL118" s="2">
        <f t="shared" si="38"/>
        <v>7.4892780940899309E-2</v>
      </c>
      <c r="BM118" s="2">
        <f t="shared" si="38"/>
        <v>7.0194326626072001E-2</v>
      </c>
      <c r="BN118" s="2">
        <f t="shared" si="38"/>
        <v>6.6853101685101349E-2</v>
      </c>
      <c r="BO118" s="2">
        <f t="shared" si="38"/>
        <v>6.4605848605347224E-2</v>
      </c>
      <c r="BP118" s="2">
        <f t="shared" si="35"/>
        <v>6.315048611050926E-2</v>
      </c>
      <c r="BQ118" s="2">
        <f t="shared" si="35"/>
        <v>6.2230923583403923E-2</v>
      </c>
      <c r="BR118" s="2">
        <f t="shared" si="35"/>
        <v>6.165892597158925E-2</v>
      </c>
      <c r="BS118" s="2">
        <f t="shared" si="35"/>
        <v>6.1306582168075857E-2</v>
      </c>
      <c r="BT118" s="2">
        <f t="shared" si="35"/>
        <v>6.1090846451216187E-2</v>
      </c>
      <c r="BU118" s="2">
        <f t="shared" si="35"/>
        <v>6.095924119549874E-2</v>
      </c>
    </row>
    <row r="119" spans="1:73" x14ac:dyDescent="0.25">
      <c r="A119" t="s">
        <v>33</v>
      </c>
      <c r="B119" s="1" t="s">
        <v>5</v>
      </c>
      <c r="C119" t="s">
        <v>11</v>
      </c>
      <c r="D119" t="s">
        <v>11</v>
      </c>
      <c r="E119" s="97">
        <v>6.4857579999999997</v>
      </c>
      <c r="F119" s="5">
        <f t="shared" si="29"/>
        <v>1.5890107099999998E-2</v>
      </c>
      <c r="G119" s="1">
        <f>LOOKUP(RIGHT(D119,5),Ref!$C$4:$C$21,Ref!$E$4:$E$21)*$G$3</f>
        <v>4.5</v>
      </c>
      <c r="H119" s="36">
        <f t="shared" si="50"/>
        <v>6.4857579999999997</v>
      </c>
      <c r="I119" s="12">
        <f t="shared" si="50"/>
        <v>6.4857579999999997</v>
      </c>
      <c r="J119" s="12">
        <f t="shared" si="50"/>
        <v>6.4857579999999997</v>
      </c>
      <c r="K119" s="12">
        <f t="shared" si="50"/>
        <v>6.4857579999999997</v>
      </c>
      <c r="L119" s="12">
        <f t="shared" si="50"/>
        <v>6.4857579999999997</v>
      </c>
      <c r="M119" s="12">
        <f t="shared" si="49"/>
        <v>6.7933507363683887</v>
      </c>
      <c r="N119" s="12">
        <f t="shared" si="49"/>
        <v>6.9777557979382197</v>
      </c>
      <c r="O119" s="12">
        <f t="shared" si="49"/>
        <v>7.2588793051283247</v>
      </c>
      <c r="P119" s="12">
        <f t="shared" si="49"/>
        <v>7.6689258004312659</v>
      </c>
      <c r="Q119" s="12">
        <f t="shared" si="49"/>
        <v>8.2300469751818177</v>
      </c>
      <c r="R119" s="12">
        <f t="shared" si="49"/>
        <v>8.9343954129829228</v>
      </c>
      <c r="S119" s="12">
        <f t="shared" si="49"/>
        <v>9.7286369999999991</v>
      </c>
      <c r="T119" s="12">
        <f t="shared" si="49"/>
        <v>10.522878587017077</v>
      </c>
      <c r="U119" s="12">
        <f t="shared" si="49"/>
        <v>11.227227024818182</v>
      </c>
      <c r="V119" s="12">
        <f t="shared" si="49"/>
        <v>11.788348199568734</v>
      </c>
      <c r="W119" s="12">
        <f t="shared" si="49"/>
        <v>12.198394694871673</v>
      </c>
      <c r="X119" s="12">
        <f t="shared" si="49"/>
        <v>12.479518202061779</v>
      </c>
      <c r="Y119" s="12">
        <f t="shared" si="49"/>
        <v>12.663923263631611</v>
      </c>
      <c r="Z119" s="12">
        <f t="shared" si="49"/>
        <v>12.781403964906545</v>
      </c>
      <c r="AA119" s="12">
        <f t="shared" si="49"/>
        <v>12.854861794848684</v>
      </c>
      <c r="AB119" s="12">
        <f t="shared" si="49"/>
        <v>12.900257348938089</v>
      </c>
      <c r="AC119" s="12">
        <f t="shared" si="48"/>
        <v>12.928107788575012</v>
      </c>
      <c r="AD119" s="300">
        <f t="shared" si="46"/>
        <v>2.1190425395966454E-3</v>
      </c>
      <c r="AE119" s="299">
        <f t="shared" si="46"/>
        <v>2.1190425395966454E-3</v>
      </c>
      <c r="AF119" s="299">
        <f t="shared" si="44"/>
        <v>2.1190425395966454E-3</v>
      </c>
      <c r="AG119" s="299">
        <f t="shared" si="44"/>
        <v>2.1190425395966454E-3</v>
      </c>
      <c r="AH119" s="299">
        <f t="shared" si="44"/>
        <v>2.1190425395966454E-3</v>
      </c>
      <c r="AI119" s="299">
        <f t="shared" si="44"/>
        <v>2.0230954703917372E-3</v>
      </c>
      <c r="AJ119" s="299">
        <f t="shared" si="44"/>
        <v>1.9696299930115359E-3</v>
      </c>
      <c r="AK119" s="299">
        <f t="shared" si="44"/>
        <v>1.8933497205029359E-3</v>
      </c>
      <c r="AL119" s="299">
        <f t="shared" si="44"/>
        <v>1.7921150186061758E-3</v>
      </c>
      <c r="AM119" s="299">
        <f t="shared" si="44"/>
        <v>1.6699293630976677E-3</v>
      </c>
      <c r="AN119" s="299">
        <f t="shared" si="44"/>
        <v>1.5382794770374608E-3</v>
      </c>
      <c r="AO119" s="299">
        <f t="shared" si="37"/>
        <v>1.4126950263977638E-3</v>
      </c>
      <c r="AP119" s="299">
        <f t="shared" si="37"/>
        <v>1.3060682008139714E-3</v>
      </c>
      <c r="AQ119" s="299">
        <f t="shared" si="37"/>
        <v>1.224131040830345E-3</v>
      </c>
      <c r="AR119" s="299">
        <f t="shared" si="37"/>
        <v>1.1658628393782988E-3</v>
      </c>
      <c r="AS119" s="299">
        <f t="shared" si="37"/>
        <v>1.1266726030194124E-3</v>
      </c>
      <c r="AT119" s="299">
        <f t="shared" si="34"/>
        <v>1.1012922839648278E-3</v>
      </c>
      <c r="AU119" s="299">
        <f t="shared" si="34"/>
        <v>1.0852558735094571E-3</v>
      </c>
      <c r="AV119" s="299">
        <f t="shared" si="34"/>
        <v>1.0752807079147623E-3</v>
      </c>
      <c r="AW119" s="299">
        <f t="shared" si="34"/>
        <v>1.0691361231932278E-3</v>
      </c>
      <c r="AX119" s="299">
        <f t="shared" si="34"/>
        <v>1.0653738705965112E-3</v>
      </c>
      <c r="AY119" s="299">
        <f t="shared" si="34"/>
        <v>1.0630787837083878E-3</v>
      </c>
      <c r="AZ119" s="306">
        <f t="shared" si="47"/>
        <v>0.11730974533527427</v>
      </c>
      <c r="BA119" s="2">
        <f t="shared" si="47"/>
        <v>0.11730974533527427</v>
      </c>
      <c r="BB119" s="2">
        <f t="shared" si="45"/>
        <v>0.11730974533527427</v>
      </c>
      <c r="BC119" s="2">
        <f t="shared" si="45"/>
        <v>0.11730974533527427</v>
      </c>
      <c r="BD119" s="2">
        <f t="shared" si="45"/>
        <v>0.11730974533527427</v>
      </c>
      <c r="BE119" s="2">
        <f t="shared" si="45"/>
        <v>0.11199813594387613</v>
      </c>
      <c r="BF119" s="2">
        <f t="shared" si="45"/>
        <v>0.10903829846138077</v>
      </c>
      <c r="BG119" s="2">
        <f t="shared" si="45"/>
        <v>0.10481543876183341</v>
      </c>
      <c r="BH119" s="2">
        <f t="shared" si="45"/>
        <v>9.9211107146639943E-2</v>
      </c>
      <c r="BI119" s="2">
        <f t="shared" si="45"/>
        <v>9.2446935185252613E-2</v>
      </c>
      <c r="BJ119" s="2">
        <f t="shared" si="45"/>
        <v>8.5158825428814949E-2</v>
      </c>
      <c r="BK119" s="2">
        <f t="shared" si="38"/>
        <v>7.8206496890182858E-2</v>
      </c>
      <c r="BL119" s="2">
        <f t="shared" si="38"/>
        <v>7.230365845187367E-2</v>
      </c>
      <c r="BM119" s="2">
        <f t="shared" si="38"/>
        <v>6.7767634662089599E-2</v>
      </c>
      <c r="BN119" s="2">
        <f t="shared" si="38"/>
        <v>6.4541919394105821E-2</v>
      </c>
      <c r="BO119" s="2">
        <f t="shared" si="38"/>
        <v>6.2372356225371489E-2</v>
      </c>
      <c r="BP119" s="2">
        <f t="shared" si="35"/>
        <v>6.096730714816511E-2</v>
      </c>
      <c r="BQ119" s="2">
        <f t="shared" si="35"/>
        <v>6.0079534868251586E-2</v>
      </c>
      <c r="BR119" s="2">
        <f t="shared" si="35"/>
        <v>5.9527311817640441E-2</v>
      </c>
      <c r="BS119" s="2">
        <f t="shared" si="35"/>
        <v>5.9187148911325475E-2</v>
      </c>
      <c r="BT119" s="2">
        <f t="shared" si="35"/>
        <v>5.8978871405914089E-2</v>
      </c>
      <c r="BU119" s="2">
        <f t="shared" si="35"/>
        <v>5.8851815882800654E-2</v>
      </c>
    </row>
    <row r="120" spans="1:73" x14ac:dyDescent="0.25">
      <c r="A120" t="s">
        <v>34</v>
      </c>
      <c r="B120" s="1" t="s">
        <v>5</v>
      </c>
      <c r="C120" t="s">
        <v>16</v>
      </c>
      <c r="D120" t="s">
        <v>16</v>
      </c>
      <c r="E120" s="97">
        <v>4.7121500000000003</v>
      </c>
      <c r="F120" s="5">
        <f t="shared" si="29"/>
        <v>1.1544767500000001E-2</v>
      </c>
      <c r="G120" s="1">
        <f>LOOKUP(RIGHT(D120,5),Ref!$C$4:$C$21,Ref!$E$4:$E$21)*$G$3</f>
        <v>3</v>
      </c>
      <c r="H120" s="36">
        <f t="shared" si="50"/>
        <v>4.7121500000000003</v>
      </c>
      <c r="I120" s="12">
        <f t="shared" si="50"/>
        <v>4.7121500000000003</v>
      </c>
      <c r="J120" s="12">
        <f t="shared" si="50"/>
        <v>4.7121500000000003</v>
      </c>
      <c r="K120" s="12">
        <f t="shared" si="50"/>
        <v>4.7121500000000003</v>
      </c>
      <c r="L120" s="12">
        <f t="shared" si="50"/>
        <v>4.7121500000000003</v>
      </c>
      <c r="M120" s="12">
        <f t="shared" si="49"/>
        <v>4.9356278282936712</v>
      </c>
      <c r="N120" s="12">
        <f t="shared" si="49"/>
        <v>5.0696051229871024</v>
      </c>
      <c r="O120" s="12">
        <f t="shared" si="49"/>
        <v>5.2738520490065213</v>
      </c>
      <c r="P120" s="12">
        <f t="shared" si="49"/>
        <v>5.5717664320041225</v>
      </c>
      <c r="Q120" s="12">
        <f t="shared" si="49"/>
        <v>5.9794423187086236</v>
      </c>
      <c r="R120" s="12">
        <f t="shared" si="49"/>
        <v>6.4911782624771819</v>
      </c>
      <c r="S120" s="12">
        <f t="shared" si="49"/>
        <v>7.068225</v>
      </c>
      <c r="T120" s="12">
        <f t="shared" si="49"/>
        <v>7.645271737522819</v>
      </c>
      <c r="U120" s="12">
        <f t="shared" si="49"/>
        <v>8.1570076812913772</v>
      </c>
      <c r="V120" s="12">
        <f t="shared" si="49"/>
        <v>8.5646835679958784</v>
      </c>
      <c r="W120" s="12">
        <f t="shared" si="49"/>
        <v>8.8625979509934787</v>
      </c>
      <c r="X120" s="12">
        <f t="shared" si="49"/>
        <v>9.0668448770128975</v>
      </c>
      <c r="Y120" s="12">
        <f t="shared" si="49"/>
        <v>9.2008221717063297</v>
      </c>
      <c r="Z120" s="12">
        <f t="shared" si="49"/>
        <v>9.2861763718649968</v>
      </c>
      <c r="AA120" s="12">
        <f t="shared" si="49"/>
        <v>9.3395462807271308</v>
      </c>
      <c r="AB120" s="12">
        <f t="shared" si="49"/>
        <v>9.3725278782832522</v>
      </c>
      <c r="AC120" s="12">
        <f t="shared" si="48"/>
        <v>9.3927622825171326</v>
      </c>
      <c r="AD120" s="300">
        <f t="shared" si="46"/>
        <v>2.9166297981875066E-3</v>
      </c>
      <c r="AE120" s="299">
        <f t="shared" si="46"/>
        <v>2.9166297981875066E-3</v>
      </c>
      <c r="AF120" s="299">
        <f t="shared" si="44"/>
        <v>2.9166297981875066E-3</v>
      </c>
      <c r="AG120" s="299">
        <f t="shared" si="44"/>
        <v>2.9166297981875066E-3</v>
      </c>
      <c r="AH120" s="299">
        <f t="shared" si="44"/>
        <v>2.9166297981875066E-3</v>
      </c>
      <c r="AI120" s="299">
        <f t="shared" si="44"/>
        <v>2.7845691737013829E-3</v>
      </c>
      <c r="AJ120" s="299">
        <f t="shared" si="44"/>
        <v>2.7109798041689065E-3</v>
      </c>
      <c r="AK120" s="299">
        <f t="shared" si="44"/>
        <v>2.6059883697568372E-3</v>
      </c>
      <c r="AL120" s="299">
        <f t="shared" si="44"/>
        <v>2.4666498984211352E-3</v>
      </c>
      <c r="AM120" s="299">
        <f t="shared" si="44"/>
        <v>2.2984747357672405E-3</v>
      </c>
      <c r="AN120" s="299">
        <f t="shared" si="44"/>
        <v>2.1172730970855187E-3</v>
      </c>
      <c r="AO120" s="299">
        <f t="shared" si="37"/>
        <v>1.9444198654583378E-3</v>
      </c>
      <c r="AP120" s="299">
        <f t="shared" si="37"/>
        <v>1.7976597268709233E-3</v>
      </c>
      <c r="AQ120" s="299">
        <f t="shared" si="37"/>
        <v>1.6848822068723909E-3</v>
      </c>
      <c r="AR120" s="299">
        <f t="shared" si="37"/>
        <v>1.6046824140573868E-3</v>
      </c>
      <c r="AS120" s="299">
        <f t="shared" si="37"/>
        <v>1.5507413491535663E-3</v>
      </c>
      <c r="AT120" s="299">
        <f t="shared" si="34"/>
        <v>1.5158081217837196E-3</v>
      </c>
      <c r="AU120" s="299">
        <f t="shared" si="34"/>
        <v>1.4937357604619865E-3</v>
      </c>
      <c r="AV120" s="299">
        <f t="shared" si="34"/>
        <v>1.4800060383484892E-3</v>
      </c>
      <c r="AW120" s="299">
        <f t="shared" si="34"/>
        <v>1.4715486909562432E-3</v>
      </c>
      <c r="AX120" s="299">
        <f t="shared" si="34"/>
        <v>1.4663703626183982E-3</v>
      </c>
      <c r="AY120" s="299">
        <f t="shared" si="34"/>
        <v>1.4632114270697971E-3</v>
      </c>
      <c r="AZ120" s="306">
        <f t="shared" si="47"/>
        <v>0.16146400672436526</v>
      </c>
      <c r="BA120" s="2">
        <f t="shared" si="47"/>
        <v>0.16146400672436526</v>
      </c>
      <c r="BB120" s="2">
        <f t="shared" si="45"/>
        <v>0.16146400672436526</v>
      </c>
      <c r="BC120" s="2">
        <f t="shared" si="45"/>
        <v>0.16146400672436526</v>
      </c>
      <c r="BD120" s="2">
        <f t="shared" si="45"/>
        <v>0.16146400672436526</v>
      </c>
      <c r="BE120" s="2">
        <f t="shared" si="45"/>
        <v>0.15415315857582676</v>
      </c>
      <c r="BF120" s="2">
        <f t="shared" si="45"/>
        <v>0.1500792666940331</v>
      </c>
      <c r="BG120" s="2">
        <f t="shared" si="45"/>
        <v>0.14426696316396359</v>
      </c>
      <c r="BH120" s="2">
        <f t="shared" si="45"/>
        <v>0.13655321495817771</v>
      </c>
      <c r="BI120" s="2">
        <f t="shared" si="45"/>
        <v>0.1272430736401077</v>
      </c>
      <c r="BJ120" s="2">
        <f t="shared" si="45"/>
        <v>0.11721178937333064</v>
      </c>
      <c r="BK120" s="2">
        <f t="shared" si="38"/>
        <v>0.10764267114957685</v>
      </c>
      <c r="BL120" s="2">
        <f t="shared" si="38"/>
        <v>9.9518061019599813E-2</v>
      </c>
      <c r="BM120" s="2">
        <f t="shared" si="38"/>
        <v>9.3274721443656269E-2</v>
      </c>
      <c r="BN120" s="2">
        <f t="shared" si="38"/>
        <v>8.883487793166113E-2</v>
      </c>
      <c r="BO120" s="2">
        <f t="shared" si="38"/>
        <v>8.5848712024776994E-2</v>
      </c>
      <c r="BP120" s="2">
        <f t="shared" si="35"/>
        <v>8.3914815970346668E-2</v>
      </c>
      <c r="BQ120" s="2">
        <f t="shared" si="35"/>
        <v>8.2692894731288616E-2</v>
      </c>
      <c r="BR120" s="2">
        <f t="shared" si="35"/>
        <v>8.1932820228506315E-2</v>
      </c>
      <c r="BS120" s="2">
        <f t="shared" si="35"/>
        <v>8.146462327150461E-2</v>
      </c>
      <c r="BT120" s="2">
        <f t="shared" si="35"/>
        <v>8.1177952113552942E-2</v>
      </c>
      <c r="BU120" s="2">
        <f t="shared" si="35"/>
        <v>8.1003074111902496E-2</v>
      </c>
    </row>
    <row r="121" spans="1:73" x14ac:dyDescent="0.25">
      <c r="A121" t="s">
        <v>34</v>
      </c>
      <c r="B121" s="1" t="s">
        <v>5</v>
      </c>
      <c r="C121" t="s">
        <v>17</v>
      </c>
      <c r="D121" t="s">
        <v>17</v>
      </c>
      <c r="E121" s="97">
        <v>4.8052250000000001</v>
      </c>
      <c r="F121" s="5">
        <f t="shared" si="29"/>
        <v>1.1772801250000001E-2</v>
      </c>
      <c r="G121" s="1">
        <f>LOOKUP(RIGHT(D121,5),Ref!$C$4:$C$21,Ref!$E$4:$E$21)*$G$3</f>
        <v>3</v>
      </c>
      <c r="H121" s="36">
        <f t="shared" si="50"/>
        <v>4.8052250000000001</v>
      </c>
      <c r="I121" s="12">
        <f t="shared" si="50"/>
        <v>4.8052250000000001</v>
      </c>
      <c r="J121" s="12">
        <f t="shared" si="50"/>
        <v>4.8052250000000001</v>
      </c>
      <c r="K121" s="12">
        <f t="shared" si="50"/>
        <v>4.8052250000000001</v>
      </c>
      <c r="L121" s="12">
        <f t="shared" si="50"/>
        <v>4.8052250000000001</v>
      </c>
      <c r="M121" s="12">
        <f t="shared" si="49"/>
        <v>5.0331169914396732</v>
      </c>
      <c r="N121" s="12">
        <f t="shared" si="49"/>
        <v>5.1697406230925793</v>
      </c>
      <c r="O121" s="12">
        <f t="shared" si="49"/>
        <v>5.37802186097373</v>
      </c>
      <c r="P121" s="12">
        <f t="shared" si="49"/>
        <v>5.6818206876323991</v>
      </c>
      <c r="Q121" s="12">
        <f t="shared" si="49"/>
        <v>6.097549041502635</v>
      </c>
      <c r="R121" s="12">
        <f t="shared" si="49"/>
        <v>6.6193928602255685</v>
      </c>
      <c r="S121" s="12">
        <f t="shared" si="49"/>
        <v>7.2078375000000001</v>
      </c>
      <c r="T121" s="12">
        <f t="shared" si="49"/>
        <v>7.7962821397744317</v>
      </c>
      <c r="U121" s="12">
        <f t="shared" si="49"/>
        <v>8.3181259584973652</v>
      </c>
      <c r="V121" s="12">
        <f t="shared" si="49"/>
        <v>8.7338543123676011</v>
      </c>
      <c r="W121" s="12">
        <f t="shared" si="49"/>
        <v>9.0376531390262684</v>
      </c>
      <c r="X121" s="12">
        <f t="shared" si="49"/>
        <v>9.2459343769074209</v>
      </c>
      <c r="Y121" s="12">
        <f t="shared" si="49"/>
        <v>9.3825580085603271</v>
      </c>
      <c r="Z121" s="12">
        <f t="shared" si="49"/>
        <v>9.4695981359878143</v>
      </c>
      <c r="AA121" s="12">
        <f t="shared" si="49"/>
        <v>9.5240222142349094</v>
      </c>
      <c r="AB121" s="12">
        <f t="shared" si="49"/>
        <v>9.5576552685979088</v>
      </c>
      <c r="AC121" s="12">
        <f t="shared" si="48"/>
        <v>9.5782893454173532</v>
      </c>
      <c r="AD121" s="300">
        <f t="shared" si="46"/>
        <v>2.8601360193392109E-3</v>
      </c>
      <c r="AE121" s="299">
        <f t="shared" si="46"/>
        <v>2.8601360193392109E-3</v>
      </c>
      <c r="AF121" s="299">
        <f t="shared" si="44"/>
        <v>2.8601360193392109E-3</v>
      </c>
      <c r="AG121" s="299">
        <f t="shared" si="44"/>
        <v>2.8601360193392109E-3</v>
      </c>
      <c r="AH121" s="299">
        <f t="shared" si="44"/>
        <v>2.8601360193392109E-3</v>
      </c>
      <c r="AI121" s="299">
        <f t="shared" si="44"/>
        <v>2.7306333484606801E-3</v>
      </c>
      <c r="AJ121" s="299">
        <f t="shared" si="44"/>
        <v>2.6584693711979176E-3</v>
      </c>
      <c r="AK121" s="299">
        <f t="shared" si="44"/>
        <v>2.5555115726214029E-3</v>
      </c>
      <c r="AL121" s="299">
        <f t="shared" si="44"/>
        <v>2.418872023442222E-3</v>
      </c>
      <c r="AM121" s="299">
        <f t="shared" si="44"/>
        <v>2.2539543364037281E-3</v>
      </c>
      <c r="AN121" s="299">
        <f t="shared" si="44"/>
        <v>2.0762624901917242E-3</v>
      </c>
      <c r="AO121" s="299">
        <f t="shared" si="37"/>
        <v>1.9067573462261404E-3</v>
      </c>
      <c r="AP121" s="299">
        <f t="shared" si="37"/>
        <v>1.7628398840792722E-3</v>
      </c>
      <c r="AQ121" s="299">
        <f t="shared" si="37"/>
        <v>1.6522468128159944E-3</v>
      </c>
      <c r="AR121" s="299">
        <f t="shared" si="37"/>
        <v>1.5736004531318546E-3</v>
      </c>
      <c r="AS121" s="299">
        <f t="shared" si="37"/>
        <v>1.5207042018665054E-3</v>
      </c>
      <c r="AT121" s="299">
        <f t="shared" si="34"/>
        <v>1.4864476150571833E-3</v>
      </c>
      <c r="AU121" s="299">
        <f t="shared" si="34"/>
        <v>1.4648027852308581E-3</v>
      </c>
      <c r="AV121" s="299">
        <f t="shared" si="34"/>
        <v>1.45133900152518E-3</v>
      </c>
      <c r="AW121" s="299">
        <f t="shared" si="34"/>
        <v>1.4430454690653324E-3</v>
      </c>
      <c r="AX121" s="299">
        <f t="shared" si="34"/>
        <v>1.4379674425676814E-3</v>
      </c>
      <c r="AY121" s="299">
        <f t="shared" si="34"/>
        <v>1.4348696941489621E-3</v>
      </c>
      <c r="AZ121" s="306">
        <f t="shared" si="47"/>
        <v>0.158336523115196</v>
      </c>
      <c r="BA121" s="2">
        <f t="shared" si="47"/>
        <v>0.158336523115196</v>
      </c>
      <c r="BB121" s="2">
        <f t="shared" si="45"/>
        <v>0.158336523115196</v>
      </c>
      <c r="BC121" s="2">
        <f t="shared" si="45"/>
        <v>0.158336523115196</v>
      </c>
      <c r="BD121" s="2">
        <f t="shared" si="45"/>
        <v>0.158336523115196</v>
      </c>
      <c r="BE121" s="2">
        <f t="shared" si="45"/>
        <v>0.15116728273558097</v>
      </c>
      <c r="BF121" s="2">
        <f t="shared" si="45"/>
        <v>0.14717230026737313</v>
      </c>
      <c r="BG121" s="2">
        <f t="shared" si="45"/>
        <v>0.1414725783856263</v>
      </c>
      <c r="BH121" s="2">
        <f t="shared" si="45"/>
        <v>0.13390824193771927</v>
      </c>
      <c r="BI121" s="2">
        <f t="shared" si="45"/>
        <v>0.12477843377848771</v>
      </c>
      <c r="BJ121" s="2">
        <f t="shared" si="45"/>
        <v>0.11494145087806294</v>
      </c>
      <c r="BK121" s="2">
        <f t="shared" si="38"/>
        <v>0.10555768207679735</v>
      </c>
      <c r="BL121" s="2">
        <f t="shared" si="38"/>
        <v>9.7590441911358419E-2</v>
      </c>
      <c r="BM121" s="2">
        <f t="shared" si="38"/>
        <v>9.1468032953862702E-2</v>
      </c>
      <c r="BN121" s="2">
        <f t="shared" si="38"/>
        <v>8.7114187170356655E-2</v>
      </c>
      <c r="BO121" s="2">
        <f t="shared" si="38"/>
        <v>8.4185861924790814E-2</v>
      </c>
      <c r="BP121" s="2">
        <f t="shared" si="35"/>
        <v>8.2289424548209297E-2</v>
      </c>
      <c r="BQ121" s="2">
        <f t="shared" si="35"/>
        <v>8.1091171362015643E-2</v>
      </c>
      <c r="BR121" s="2">
        <f t="shared" si="35"/>
        <v>8.0345819153058606E-2</v>
      </c>
      <c r="BS121" s="2">
        <f t="shared" si="35"/>
        <v>7.9886690955953243E-2</v>
      </c>
      <c r="BT121" s="2">
        <f t="shared" si="35"/>
        <v>7.960557248659085E-2</v>
      </c>
      <c r="BU121" s="2">
        <f t="shared" si="35"/>
        <v>7.9434081791466882E-2</v>
      </c>
    </row>
    <row r="122" spans="1:73" x14ac:dyDescent="0.25">
      <c r="A122" t="s">
        <v>34</v>
      </c>
      <c r="B122" s="1" t="s">
        <v>5</v>
      </c>
      <c r="C122" t="s">
        <v>18</v>
      </c>
      <c r="D122" t="s">
        <v>18</v>
      </c>
      <c r="E122" s="97">
        <v>5.5235450000000004</v>
      </c>
      <c r="F122" s="5">
        <f t="shared" si="29"/>
        <v>1.3532685250000002E-2</v>
      </c>
      <c r="G122" s="1">
        <f>LOOKUP(RIGHT(D122,5),Ref!$C$4:$C$21,Ref!$E$4:$E$21)*$G$3</f>
        <v>3</v>
      </c>
      <c r="H122" s="36">
        <f t="shared" si="50"/>
        <v>5.5235450000000004</v>
      </c>
      <c r="I122" s="12">
        <f t="shared" si="50"/>
        <v>5.5235450000000004</v>
      </c>
      <c r="J122" s="12">
        <f t="shared" si="50"/>
        <v>5.5235450000000004</v>
      </c>
      <c r="K122" s="12">
        <f t="shared" si="50"/>
        <v>5.5235450000000004</v>
      </c>
      <c r="L122" s="12">
        <f t="shared" si="50"/>
        <v>5.5235450000000004</v>
      </c>
      <c r="M122" s="12">
        <f t="shared" si="49"/>
        <v>5.7855039446605829</v>
      </c>
      <c r="N122" s="12">
        <f t="shared" si="49"/>
        <v>5.9425510709654397</v>
      </c>
      <c r="O122" s="12">
        <f t="shared" si="49"/>
        <v>6.181967703920658</v>
      </c>
      <c r="P122" s="12">
        <f t="shared" si="49"/>
        <v>6.5311805898929807</v>
      </c>
      <c r="Q122" s="12">
        <f t="shared" si="49"/>
        <v>7.0090550433011307</v>
      </c>
      <c r="R122" s="12">
        <f t="shared" si="49"/>
        <v>7.6089078734366531</v>
      </c>
      <c r="S122" s="12">
        <f t="shared" si="49"/>
        <v>8.2853175000000014</v>
      </c>
      <c r="T122" s="12">
        <f t="shared" si="49"/>
        <v>8.961727126563348</v>
      </c>
      <c r="U122" s="12">
        <f t="shared" si="49"/>
        <v>9.5615799566988713</v>
      </c>
      <c r="V122" s="12">
        <f t="shared" si="49"/>
        <v>10.03945441010702</v>
      </c>
      <c r="W122" s="12">
        <f t="shared" si="49"/>
        <v>10.388667296079342</v>
      </c>
      <c r="X122" s="12">
        <f t="shared" si="49"/>
        <v>10.628083929034561</v>
      </c>
      <c r="Y122" s="12">
        <f t="shared" si="49"/>
        <v>10.785131055339418</v>
      </c>
      <c r="Z122" s="12">
        <f t="shared" si="49"/>
        <v>10.8851825743945</v>
      </c>
      <c r="AA122" s="12">
        <f t="shared" si="49"/>
        <v>10.94774235989494</v>
      </c>
      <c r="AB122" s="12">
        <f t="shared" si="49"/>
        <v>10.986403127967501</v>
      </c>
      <c r="AC122" s="12">
        <f t="shared" si="48"/>
        <v>11.010121736741423</v>
      </c>
      <c r="AD122" s="300">
        <f t="shared" si="46"/>
        <v>2.4881841468711234E-3</v>
      </c>
      <c r="AE122" s="299">
        <f t="shared" si="46"/>
        <v>2.4881841468711234E-3</v>
      </c>
      <c r="AF122" s="299">
        <f t="shared" si="44"/>
        <v>2.4881841468711234E-3</v>
      </c>
      <c r="AG122" s="299">
        <f t="shared" si="44"/>
        <v>2.4881841468711234E-3</v>
      </c>
      <c r="AH122" s="299">
        <f t="shared" si="44"/>
        <v>2.4881841468711234E-3</v>
      </c>
      <c r="AI122" s="299">
        <f t="shared" si="44"/>
        <v>2.3755228991267333E-3</v>
      </c>
      <c r="AJ122" s="299">
        <f t="shared" si="44"/>
        <v>2.3127436246494801E-3</v>
      </c>
      <c r="AK122" s="299">
        <f t="shared" si="44"/>
        <v>2.2231751703932308E-3</v>
      </c>
      <c r="AL122" s="299">
        <f t="shared" si="44"/>
        <v>2.1043051733705713E-3</v>
      </c>
      <c r="AM122" s="299">
        <f t="shared" si="44"/>
        <v>1.9608345231451182E-3</v>
      </c>
      <c r="AN122" s="299">
        <f t="shared" si="44"/>
        <v>1.8062509537681919E-3</v>
      </c>
      <c r="AO122" s="299">
        <f t="shared" si="37"/>
        <v>1.6587894312474153E-3</v>
      </c>
      <c r="AP122" s="299">
        <f t="shared" si="37"/>
        <v>1.5335879914031335E-3</v>
      </c>
      <c r="AQ122" s="299">
        <f t="shared" si="37"/>
        <v>1.4373772081360313E-3</v>
      </c>
      <c r="AR122" s="299">
        <f t="shared" si="37"/>
        <v>1.368958565088275E-3</v>
      </c>
      <c r="AS122" s="299">
        <f t="shared" si="37"/>
        <v>1.3229413082384552E-3</v>
      </c>
      <c r="AT122" s="299">
        <f t="shared" si="34"/>
        <v>1.2931396849420352E-3</v>
      </c>
      <c r="AU122" s="299">
        <f t="shared" si="34"/>
        <v>1.2743096985108203E-3</v>
      </c>
      <c r="AV122" s="299">
        <f t="shared" si="34"/>
        <v>1.2625968383717038E-3</v>
      </c>
      <c r="AW122" s="299">
        <f t="shared" si="34"/>
        <v>1.2553818542420604E-3</v>
      </c>
      <c r="AX122" s="299">
        <f t="shared" si="34"/>
        <v>1.250964209436564E-3</v>
      </c>
      <c r="AY122" s="299">
        <f t="shared" si="34"/>
        <v>1.2482693136503722E-3</v>
      </c>
      <c r="AZ122" s="306">
        <f t="shared" si="47"/>
        <v>0.1377453463828425</v>
      </c>
      <c r="BA122" s="2">
        <f t="shared" si="47"/>
        <v>0.1377453463828425</v>
      </c>
      <c r="BB122" s="2">
        <f t="shared" si="45"/>
        <v>0.1377453463828425</v>
      </c>
      <c r="BC122" s="2">
        <f t="shared" si="45"/>
        <v>0.1377453463828425</v>
      </c>
      <c r="BD122" s="2">
        <f t="shared" si="45"/>
        <v>0.1377453463828425</v>
      </c>
      <c r="BE122" s="2">
        <f t="shared" si="45"/>
        <v>0.13150844361421551</v>
      </c>
      <c r="BF122" s="2">
        <f t="shared" si="45"/>
        <v>0.1280329963007974</v>
      </c>
      <c r="BG122" s="2">
        <f t="shared" si="45"/>
        <v>0.12307450567942707</v>
      </c>
      <c r="BH122" s="2">
        <f t="shared" si="45"/>
        <v>0.11649388786823989</v>
      </c>
      <c r="BI122" s="2">
        <f t="shared" si="45"/>
        <v>0.10855138311595788</v>
      </c>
      <c r="BJ122" s="2">
        <f t="shared" si="45"/>
        <v>9.9993669517590603E-2</v>
      </c>
      <c r="BK122" s="2">
        <f t="shared" si="38"/>
        <v>9.183023092189499E-2</v>
      </c>
      <c r="BL122" s="2">
        <f t="shared" si="38"/>
        <v>8.489910577962291E-2</v>
      </c>
      <c r="BM122" s="2">
        <f t="shared" si="38"/>
        <v>7.957289723370134E-2</v>
      </c>
      <c r="BN122" s="2">
        <f t="shared" si="38"/>
        <v>7.5785255672883453E-2</v>
      </c>
      <c r="BO122" s="2">
        <f t="shared" si="38"/>
        <v>7.3237750098451793E-2</v>
      </c>
      <c r="BP122" s="2">
        <f t="shared" si="35"/>
        <v>7.1587938556609748E-2</v>
      </c>
      <c r="BQ122" s="2">
        <f t="shared" si="35"/>
        <v>7.0545514503465009E-2</v>
      </c>
      <c r="BR122" s="2">
        <f t="shared" si="35"/>
        <v>6.9897093051610154E-2</v>
      </c>
      <c r="BS122" s="2">
        <f t="shared" si="35"/>
        <v>6.9497673061199E-2</v>
      </c>
      <c r="BT122" s="2">
        <f t="shared" si="35"/>
        <v>6.9253113182182552E-2</v>
      </c>
      <c r="BU122" s="2">
        <f t="shared" si="35"/>
        <v>6.9103924323310723E-2</v>
      </c>
    </row>
    <row r="123" spans="1:73" x14ac:dyDescent="0.25">
      <c r="A123" t="s">
        <v>35</v>
      </c>
      <c r="B123" s="1" t="s">
        <v>5</v>
      </c>
      <c r="C123" t="s">
        <v>9</v>
      </c>
      <c r="D123" t="s">
        <v>9</v>
      </c>
      <c r="E123" s="97">
        <v>4.5924300000000002</v>
      </c>
      <c r="F123" s="5">
        <f t="shared" si="29"/>
        <v>1.12514535E-2</v>
      </c>
      <c r="G123" s="1">
        <f>LOOKUP(RIGHT(D123,5),Ref!$C$4:$C$21,Ref!$E$4:$E$21)*$G$3</f>
        <v>4.5</v>
      </c>
      <c r="H123" s="36">
        <f t="shared" si="50"/>
        <v>4.5924300000000002</v>
      </c>
      <c r="I123" s="12">
        <f t="shared" si="50"/>
        <v>4.5924300000000002</v>
      </c>
      <c r="J123" s="12">
        <f t="shared" si="50"/>
        <v>4.5924300000000002</v>
      </c>
      <c r="K123" s="12">
        <f t="shared" si="50"/>
        <v>4.5924300000000002</v>
      </c>
      <c r="L123" s="12">
        <f t="shared" si="50"/>
        <v>4.5924300000000002</v>
      </c>
      <c r="M123" s="12">
        <f t="shared" si="49"/>
        <v>4.8102300027568532</v>
      </c>
      <c r="N123" s="12">
        <f t="shared" si="49"/>
        <v>4.940803381674959</v>
      </c>
      <c r="O123" s="12">
        <f t="shared" si="49"/>
        <v>5.1398610751820337</v>
      </c>
      <c r="P123" s="12">
        <f t="shared" si="49"/>
        <v>5.4302064482940251</v>
      </c>
      <c r="Q123" s="12">
        <f t="shared" si="49"/>
        <v>5.8275246517422072</v>
      </c>
      <c r="R123" s="12">
        <f t="shared" si="49"/>
        <v>6.3262590936086678</v>
      </c>
      <c r="S123" s="12">
        <f t="shared" si="49"/>
        <v>6.8886450000000004</v>
      </c>
      <c r="T123" s="12">
        <f t="shared" si="49"/>
        <v>7.4510309063913329</v>
      </c>
      <c r="U123" s="12">
        <f t="shared" si="49"/>
        <v>7.9497653482577935</v>
      </c>
      <c r="V123" s="12">
        <f t="shared" si="49"/>
        <v>8.3470835517059747</v>
      </c>
      <c r="W123" s="12">
        <f t="shared" si="49"/>
        <v>8.6374289248179661</v>
      </c>
      <c r="X123" s="12">
        <f t="shared" si="49"/>
        <v>8.8364866183250417</v>
      </c>
      <c r="Y123" s="12">
        <f t="shared" si="49"/>
        <v>8.9670599972431475</v>
      </c>
      <c r="Z123" s="12">
        <f t="shared" si="49"/>
        <v>9.0502456321305491</v>
      </c>
      <c r="AA123" s="12">
        <f t="shared" si="49"/>
        <v>9.1022595897837917</v>
      </c>
      <c r="AB123" s="12">
        <f t="shared" si="49"/>
        <v>9.134403235054986</v>
      </c>
      <c r="AC123" s="12">
        <f t="shared" si="48"/>
        <v>9.1541235506297873</v>
      </c>
      <c r="AD123" s="300">
        <f t="shared" si="46"/>
        <v>2.9926633837705223E-3</v>
      </c>
      <c r="AE123" s="299">
        <f t="shared" si="46"/>
        <v>2.9926633837705223E-3</v>
      </c>
      <c r="AF123" s="299">
        <f t="shared" si="44"/>
        <v>2.9926633837705223E-3</v>
      </c>
      <c r="AG123" s="299">
        <f t="shared" si="44"/>
        <v>2.9926633837705223E-3</v>
      </c>
      <c r="AH123" s="299">
        <f t="shared" si="44"/>
        <v>2.9926633837705223E-3</v>
      </c>
      <c r="AI123" s="299">
        <f t="shared" si="44"/>
        <v>2.8571600725230371E-3</v>
      </c>
      <c r="AJ123" s="299">
        <f t="shared" si="44"/>
        <v>2.7816523026403259E-3</v>
      </c>
      <c r="AK123" s="299">
        <f t="shared" si="44"/>
        <v>2.673923847843011E-3</v>
      </c>
      <c r="AL123" s="299">
        <f t="shared" si="44"/>
        <v>2.530952963647819E-3</v>
      </c>
      <c r="AM123" s="299">
        <f t="shared" si="44"/>
        <v>2.3583936447905802E-3</v>
      </c>
      <c r="AN123" s="299">
        <f t="shared" si="44"/>
        <v>2.1724682628655261E-3</v>
      </c>
      <c r="AO123" s="299">
        <f t="shared" si="37"/>
        <v>1.9951089225136815E-3</v>
      </c>
      <c r="AP123" s="299">
        <f t="shared" si="37"/>
        <v>1.8445228957163901E-3</v>
      </c>
      <c r="AQ123" s="299">
        <f t="shared" si="37"/>
        <v>1.7288053799652332E-3</v>
      </c>
      <c r="AR123" s="299">
        <f t="shared" si="37"/>
        <v>1.6465148597584538E-3</v>
      </c>
      <c r="AS123" s="299">
        <f t="shared" si="37"/>
        <v>1.591167605911027E-3</v>
      </c>
      <c r="AT123" s="299">
        <f t="shared" si="34"/>
        <v>1.5553237046755538E-3</v>
      </c>
      <c r="AU123" s="299">
        <f t="shared" si="34"/>
        <v>1.5326759392437009E-3</v>
      </c>
      <c r="AV123" s="299">
        <f t="shared" si="34"/>
        <v>1.5185882971768395E-3</v>
      </c>
      <c r="AW123" s="299">
        <f t="shared" si="34"/>
        <v>1.5099104753016294E-3</v>
      </c>
      <c r="AX123" s="299">
        <f t="shared" si="34"/>
        <v>1.5045971531873726E-3</v>
      </c>
      <c r="AY123" s="299">
        <f t="shared" si="34"/>
        <v>1.501355867387624E-3</v>
      </c>
      <c r="AZ123" s="306">
        <f t="shared" si="47"/>
        <v>0.16567320988805878</v>
      </c>
      <c r="BA123" s="2">
        <f t="shared" si="47"/>
        <v>0.16567320988805878</v>
      </c>
      <c r="BB123" s="2">
        <f t="shared" si="45"/>
        <v>0.16567320988805878</v>
      </c>
      <c r="BC123" s="2">
        <f t="shared" si="45"/>
        <v>0.16567320988805878</v>
      </c>
      <c r="BD123" s="2">
        <f t="shared" si="45"/>
        <v>0.16567320988805878</v>
      </c>
      <c r="BE123" s="2">
        <f t="shared" si="45"/>
        <v>0.1581717753309429</v>
      </c>
      <c r="BF123" s="2">
        <f t="shared" si="45"/>
        <v>0.15399168121284115</v>
      </c>
      <c r="BG123" s="2">
        <f t="shared" si="45"/>
        <v>0.14802785681503497</v>
      </c>
      <c r="BH123" s="2">
        <f t="shared" si="45"/>
        <v>0.14011301900413881</v>
      </c>
      <c r="BI123" s="2">
        <f t="shared" si="45"/>
        <v>0.13056017172896126</v>
      </c>
      <c r="BJ123" s="2">
        <f t="shared" si="45"/>
        <v>0.12026738203860265</v>
      </c>
      <c r="BK123" s="2">
        <f t="shared" si="38"/>
        <v>0.11044880659203918</v>
      </c>
      <c r="BL123" s="2">
        <f t="shared" si="38"/>
        <v>0.10211239610260957</v>
      </c>
      <c r="BM123" s="2">
        <f t="shared" si="38"/>
        <v>9.5706298985662255E-2</v>
      </c>
      <c r="BN123" s="2">
        <f t="shared" si="38"/>
        <v>9.1150713248906792E-2</v>
      </c>
      <c r="BO123" s="2">
        <f t="shared" si="38"/>
        <v>8.8086701020495234E-2</v>
      </c>
      <c r="BP123" s="2">
        <f t="shared" si="35"/>
        <v>8.6102390254107083E-2</v>
      </c>
      <c r="BQ123" s="2">
        <f t="shared" si="35"/>
        <v>8.4848614765612465E-2</v>
      </c>
      <c r="BR123" s="2">
        <f t="shared" si="35"/>
        <v>8.4068725890161858E-2</v>
      </c>
      <c r="BS123" s="2">
        <f t="shared" si="35"/>
        <v>8.3588323512567522E-2</v>
      </c>
      <c r="BT123" s="2">
        <f t="shared" si="35"/>
        <v>8.3294179127799114E-2</v>
      </c>
      <c r="BU123" s="2">
        <f t="shared" si="35"/>
        <v>8.3114742233719702E-2</v>
      </c>
    </row>
    <row r="124" spans="1:73" x14ac:dyDescent="0.25">
      <c r="A124" t="s">
        <v>35</v>
      </c>
      <c r="B124" s="1" t="s">
        <v>5</v>
      </c>
      <c r="C124" t="s">
        <v>10</v>
      </c>
      <c r="D124" t="s">
        <v>10</v>
      </c>
      <c r="E124" s="97">
        <v>4.2832020000000002</v>
      </c>
      <c r="F124" s="5">
        <f t="shared" si="29"/>
        <v>1.04938449E-2</v>
      </c>
      <c r="G124" s="1">
        <f>LOOKUP(RIGHT(D124,5),Ref!$C$4:$C$21,Ref!$E$4:$E$21)*$G$3</f>
        <v>4.5</v>
      </c>
      <c r="H124" s="36">
        <f t="shared" si="50"/>
        <v>4.2832020000000002</v>
      </c>
      <c r="I124" s="12">
        <f t="shared" si="50"/>
        <v>4.2832020000000002</v>
      </c>
      <c r="J124" s="12">
        <f t="shared" si="50"/>
        <v>4.2832020000000002</v>
      </c>
      <c r="K124" s="12">
        <f t="shared" si="50"/>
        <v>4.2832020000000002</v>
      </c>
      <c r="L124" s="12">
        <f t="shared" si="50"/>
        <v>4.2832020000000002</v>
      </c>
      <c r="M124" s="12">
        <f t="shared" si="49"/>
        <v>4.4863365948459002</v>
      </c>
      <c r="N124" s="12">
        <f t="shared" si="49"/>
        <v>4.6081179083833499</v>
      </c>
      <c r="O124" s="12">
        <f t="shared" si="49"/>
        <v>4.7937721940109785</v>
      </c>
      <c r="P124" s="12">
        <f t="shared" si="49"/>
        <v>5.0645673684184329</v>
      </c>
      <c r="Q124" s="12">
        <f t="shared" si="49"/>
        <v>5.4351324338948066</v>
      </c>
      <c r="R124" s="12">
        <f t="shared" si="49"/>
        <v>5.9002849476775543</v>
      </c>
      <c r="S124" s="12">
        <f t="shared" si="49"/>
        <v>6.4248030000000007</v>
      </c>
      <c r="T124" s="12">
        <f t="shared" si="49"/>
        <v>6.9493210523224462</v>
      </c>
      <c r="U124" s="12">
        <f t="shared" si="49"/>
        <v>7.4144735661051939</v>
      </c>
      <c r="V124" s="12">
        <f t="shared" si="49"/>
        <v>7.7850386315815676</v>
      </c>
      <c r="W124" s="12">
        <f t="shared" si="49"/>
        <v>8.0558338059890211</v>
      </c>
      <c r="X124" s="12">
        <f t="shared" si="49"/>
        <v>8.2414880916166506</v>
      </c>
      <c r="Y124" s="12">
        <f t="shared" si="49"/>
        <v>8.3632694051540994</v>
      </c>
      <c r="Z124" s="12">
        <f t="shared" si="49"/>
        <v>8.4408537946213293</v>
      </c>
      <c r="AA124" s="12">
        <f t="shared" si="49"/>
        <v>8.4893654295179495</v>
      </c>
      <c r="AB124" s="12">
        <f t="shared" si="49"/>
        <v>8.5193447053507594</v>
      </c>
      <c r="AC124" s="12">
        <f t="shared" si="48"/>
        <v>8.5377371675354023</v>
      </c>
      <c r="AD124" s="300">
        <f t="shared" si="46"/>
        <v>3.2087202759826083E-3</v>
      </c>
      <c r="AE124" s="299">
        <f t="shared" si="46"/>
        <v>3.2087202759826083E-3</v>
      </c>
      <c r="AF124" s="299">
        <f t="shared" si="44"/>
        <v>3.2087202759826083E-3</v>
      </c>
      <c r="AG124" s="299">
        <f t="shared" si="44"/>
        <v>3.2087202759826083E-3</v>
      </c>
      <c r="AH124" s="299">
        <f t="shared" si="44"/>
        <v>3.2087202759826083E-3</v>
      </c>
      <c r="AI124" s="299">
        <f t="shared" si="44"/>
        <v>3.0634342325804322E-3</v>
      </c>
      <c r="AJ124" s="299">
        <f t="shared" si="44"/>
        <v>2.9824751399104019E-3</v>
      </c>
      <c r="AK124" s="299">
        <f t="shared" si="44"/>
        <v>2.8669691731909161E-3</v>
      </c>
      <c r="AL124" s="299">
        <f t="shared" si="44"/>
        <v>2.7136764315213602E-3</v>
      </c>
      <c r="AM124" s="299">
        <f t="shared" si="44"/>
        <v>2.5286591027333296E-3</v>
      </c>
      <c r="AN124" s="299">
        <f t="shared" si="44"/>
        <v>2.3293107409903917E-3</v>
      </c>
      <c r="AO124" s="299">
        <f t="shared" si="37"/>
        <v>2.1391468506550717E-3</v>
      </c>
      <c r="AP124" s="299">
        <f t="shared" si="37"/>
        <v>1.9776891871956591E-3</v>
      </c>
      <c r="AQ124" s="299">
        <f t="shared" si="37"/>
        <v>1.8536173851043535E-3</v>
      </c>
      <c r="AR124" s="299">
        <f t="shared" si="37"/>
        <v>1.7653858579166977E-3</v>
      </c>
      <c r="AS124" s="299">
        <f t="shared" si="37"/>
        <v>1.7060427802410389E-3</v>
      </c>
      <c r="AT124" s="299">
        <f t="shared" si="34"/>
        <v>1.6676111098806812E-3</v>
      </c>
      <c r="AU124" s="299">
        <f t="shared" si="34"/>
        <v>1.6433282772236636E-3</v>
      </c>
      <c r="AV124" s="299">
        <f t="shared" si="34"/>
        <v>1.6282235704979202E-3</v>
      </c>
      <c r="AW124" s="299">
        <f t="shared" si="34"/>
        <v>1.6189192487511591E-3</v>
      </c>
      <c r="AX124" s="299">
        <f t="shared" si="34"/>
        <v>1.613222328578546E-3</v>
      </c>
      <c r="AY124" s="299">
        <f t="shared" si="34"/>
        <v>1.6097470364617276E-3</v>
      </c>
      <c r="AZ124" s="306">
        <f t="shared" si="47"/>
        <v>0.17763407359405831</v>
      </c>
      <c r="BA124" s="2">
        <f t="shared" si="47"/>
        <v>0.17763407359405831</v>
      </c>
      <c r="BB124" s="2">
        <f t="shared" si="45"/>
        <v>0.17763407359405831</v>
      </c>
      <c r="BC124" s="2">
        <f t="shared" si="45"/>
        <v>0.17763407359405831</v>
      </c>
      <c r="BD124" s="2">
        <f t="shared" si="45"/>
        <v>0.17763407359405831</v>
      </c>
      <c r="BE124" s="2">
        <f t="shared" si="45"/>
        <v>0.1695910690607359</v>
      </c>
      <c r="BF124" s="2">
        <f t="shared" si="45"/>
        <v>0.16510919086988848</v>
      </c>
      <c r="BG124" s="2">
        <f t="shared" si="45"/>
        <v>0.15871480506244418</v>
      </c>
      <c r="BH124" s="2">
        <f t="shared" si="45"/>
        <v>0.15022855141204575</v>
      </c>
      <c r="BI124" s="2">
        <f t="shared" si="45"/>
        <v>0.13998603135066559</v>
      </c>
      <c r="BJ124" s="2">
        <f t="shared" si="45"/>
        <v>0.12895014834591972</v>
      </c>
      <c r="BK124" s="2">
        <f t="shared" si="38"/>
        <v>0.1184227157293722</v>
      </c>
      <c r="BL124" s="2">
        <f t="shared" si="38"/>
        <v>0.10948445374126815</v>
      </c>
      <c r="BM124" s="2">
        <f t="shared" si="38"/>
        <v>0.10261586510529387</v>
      </c>
      <c r="BN124" s="2">
        <f t="shared" si="38"/>
        <v>9.7731386482747484E-2</v>
      </c>
      <c r="BO124" s="2">
        <f t="shared" si="38"/>
        <v>9.4446166295111211E-2</v>
      </c>
      <c r="BP124" s="2">
        <f t="shared" si="35"/>
        <v>9.2318597179089149E-2</v>
      </c>
      <c r="BQ124" s="2">
        <f t="shared" si="35"/>
        <v>9.0974304715967555E-2</v>
      </c>
      <c r="BR124" s="2">
        <f t="shared" si="35"/>
        <v>9.0138111356820441E-2</v>
      </c>
      <c r="BS124" s="2">
        <f t="shared" si="35"/>
        <v>8.9623026079279119E-2</v>
      </c>
      <c r="BT124" s="2">
        <f t="shared" si="35"/>
        <v>8.9307645787398887E-2</v>
      </c>
      <c r="BU124" s="2">
        <f t="shared" si="35"/>
        <v>8.9115254353262202E-2</v>
      </c>
    </row>
    <row r="125" spans="1:73" x14ac:dyDescent="0.25">
      <c r="A125" t="s">
        <v>35</v>
      </c>
      <c r="B125" s="1" t="s">
        <v>5</v>
      </c>
      <c r="C125" t="s">
        <v>11</v>
      </c>
      <c r="D125" t="s">
        <v>11</v>
      </c>
      <c r="E125" s="97">
        <v>5.2398122499999999</v>
      </c>
      <c r="F125" s="5">
        <f t="shared" si="29"/>
        <v>1.2837540012499999E-2</v>
      </c>
      <c r="G125" s="1">
        <f>LOOKUP(RIGHT(D125,5),Ref!$C$4:$C$21,Ref!$E$4:$E$21)*$G$3</f>
        <v>4.5</v>
      </c>
      <c r="H125" s="36">
        <f t="shared" si="50"/>
        <v>5.2398122499999999</v>
      </c>
      <c r="I125" s="12">
        <f t="shared" si="50"/>
        <v>5.2398122499999999</v>
      </c>
      <c r="J125" s="12">
        <f t="shared" si="50"/>
        <v>5.2398122499999999</v>
      </c>
      <c r="K125" s="12">
        <f t="shared" si="50"/>
        <v>5.2398122499999999</v>
      </c>
      <c r="L125" s="12">
        <f t="shared" si="50"/>
        <v>5.2398122499999999</v>
      </c>
      <c r="M125" s="12">
        <f t="shared" si="49"/>
        <v>5.4883149212427602</v>
      </c>
      <c r="N125" s="12">
        <f t="shared" si="49"/>
        <v>5.6372948709380166</v>
      </c>
      <c r="O125" s="12">
        <f t="shared" si="49"/>
        <v>5.8644131810472864</v>
      </c>
      <c r="P125" s="12">
        <f t="shared" si="49"/>
        <v>6.1956877443532123</v>
      </c>
      <c r="Q125" s="12">
        <f t="shared" si="49"/>
        <v>6.6490148042269128</v>
      </c>
      <c r="R125" s="12">
        <f t="shared" si="49"/>
        <v>7.2180544712417154</v>
      </c>
      <c r="S125" s="12">
        <f t="shared" si="49"/>
        <v>7.8597183749999999</v>
      </c>
      <c r="T125" s="12">
        <f t="shared" si="49"/>
        <v>8.5013822787582836</v>
      </c>
      <c r="U125" s="12">
        <f t="shared" si="49"/>
        <v>9.0704219457730879</v>
      </c>
      <c r="V125" s="12">
        <f t="shared" si="49"/>
        <v>9.5237490056467866</v>
      </c>
      <c r="W125" s="12">
        <f t="shared" si="49"/>
        <v>9.8550235689527117</v>
      </c>
      <c r="X125" s="12">
        <f t="shared" si="49"/>
        <v>10.082141879061982</v>
      </c>
      <c r="Y125" s="12">
        <f t="shared" si="49"/>
        <v>10.231121828757239</v>
      </c>
      <c r="Z125" s="12">
        <f t="shared" si="49"/>
        <v>10.326033914234216</v>
      </c>
      <c r="AA125" s="12">
        <f t="shared" si="49"/>
        <v>10.385380136709561</v>
      </c>
      <c r="AB125" s="12">
        <f t="shared" si="49"/>
        <v>10.422054983414171</v>
      </c>
      <c r="AC125" s="12">
        <f t="shared" si="48"/>
        <v>10.444555217739509</v>
      </c>
      <c r="AD125" s="300">
        <f t="shared" si="46"/>
        <v>2.6229178542664881E-3</v>
      </c>
      <c r="AE125" s="299">
        <f t="shared" si="46"/>
        <v>2.6229178542664881E-3</v>
      </c>
      <c r="AF125" s="299">
        <f t="shared" si="44"/>
        <v>2.6229178542664881E-3</v>
      </c>
      <c r="AG125" s="299">
        <f t="shared" si="44"/>
        <v>2.6229178542664881E-3</v>
      </c>
      <c r="AH125" s="299">
        <f t="shared" si="44"/>
        <v>2.6229178542664881E-3</v>
      </c>
      <c r="AI125" s="299">
        <f t="shared" si="44"/>
        <v>2.5041560662516053E-3</v>
      </c>
      <c r="AJ125" s="299">
        <f t="shared" si="44"/>
        <v>2.4379773310035133E-3</v>
      </c>
      <c r="AK125" s="299">
        <f t="shared" si="44"/>
        <v>2.3435587976553319E-3</v>
      </c>
      <c r="AL125" s="299">
        <f t="shared" si="44"/>
        <v>2.2182520602422643E-3</v>
      </c>
      <c r="AM125" s="299">
        <f t="shared" si="44"/>
        <v>2.0670125587315849E-3</v>
      </c>
      <c r="AN125" s="299">
        <f t="shared" si="44"/>
        <v>1.9040583800367138E-3</v>
      </c>
      <c r="AO125" s="299">
        <f t="shared" si="37"/>
        <v>1.7486119028443255E-3</v>
      </c>
      <c r="AP125" s="299">
        <f t="shared" si="37"/>
        <v>1.6166308787065457E-3</v>
      </c>
      <c r="AQ125" s="299">
        <f t="shared" si="37"/>
        <v>1.5152103381402141E-3</v>
      </c>
      <c r="AR125" s="299">
        <f t="shared" si="37"/>
        <v>1.4430868658319802E-3</v>
      </c>
      <c r="AS125" s="299">
        <f t="shared" si="37"/>
        <v>1.3945778016023339E-3</v>
      </c>
      <c r="AT125" s="299">
        <f t="shared" si="34"/>
        <v>1.3631624379410073E-3</v>
      </c>
      <c r="AU125" s="299">
        <f t="shared" si="34"/>
        <v>1.3433128188249399E-3</v>
      </c>
      <c r="AV125" s="299">
        <f t="shared" si="34"/>
        <v>1.3309657142016554E-3</v>
      </c>
      <c r="AW125" s="299">
        <f t="shared" si="34"/>
        <v>1.3233600429270079E-3</v>
      </c>
      <c r="AX125" s="299">
        <f t="shared" si="34"/>
        <v>1.3187031852548317E-3</v>
      </c>
      <c r="AY125" s="299">
        <f t="shared" si="34"/>
        <v>1.3158623624476135E-3</v>
      </c>
      <c r="AZ125" s="306">
        <f t="shared" si="47"/>
        <v>0.14520417583401349</v>
      </c>
      <c r="BA125" s="2">
        <f t="shared" si="47"/>
        <v>0.14520417583401349</v>
      </c>
      <c r="BB125" s="2">
        <f t="shared" si="45"/>
        <v>0.14520417583401349</v>
      </c>
      <c r="BC125" s="2">
        <f t="shared" si="45"/>
        <v>0.14520417583401349</v>
      </c>
      <c r="BD125" s="2">
        <f t="shared" si="45"/>
        <v>0.14520417583401349</v>
      </c>
      <c r="BE125" s="2">
        <f t="shared" si="45"/>
        <v>0.13862954845053507</v>
      </c>
      <c r="BF125" s="2">
        <f t="shared" si="45"/>
        <v>0.13496590771020242</v>
      </c>
      <c r="BG125" s="2">
        <f t="shared" si="45"/>
        <v>0.12973891773948029</v>
      </c>
      <c r="BH125" s="2">
        <f t="shared" si="45"/>
        <v>0.12280196334614416</v>
      </c>
      <c r="BI125" s="2">
        <f t="shared" si="45"/>
        <v>0.11442937663524749</v>
      </c>
      <c r="BJ125" s="2">
        <f t="shared" si="45"/>
        <v>0.10540826788126617</v>
      </c>
      <c r="BK125" s="2">
        <f t="shared" si="38"/>
        <v>9.6802783889342311E-2</v>
      </c>
      <c r="BL125" s="2">
        <f t="shared" si="38"/>
        <v>8.9496342399197099E-2</v>
      </c>
      <c r="BM125" s="2">
        <f t="shared" si="38"/>
        <v>8.3881722794690763E-2</v>
      </c>
      <c r="BN125" s="2">
        <f t="shared" si="38"/>
        <v>7.9888982672170566E-2</v>
      </c>
      <c r="BO125" s="2">
        <f t="shared" si="38"/>
        <v>7.7203531169948492E-2</v>
      </c>
      <c r="BP125" s="2">
        <f t="shared" si="35"/>
        <v>7.5464383303937857E-2</v>
      </c>
      <c r="BQ125" s="2">
        <f t="shared" si="35"/>
        <v>7.4365512601723791E-2</v>
      </c>
      <c r="BR125" s="2">
        <f t="shared" si="35"/>
        <v>7.3681979509810883E-2</v>
      </c>
      <c r="BS125" s="2">
        <f t="shared" si="35"/>
        <v>7.3260931161955367E-2</v>
      </c>
      <c r="BT125" s="2">
        <f t="shared" si="35"/>
        <v>7.3003128509400037E-2</v>
      </c>
      <c r="BU125" s="2">
        <f t="shared" si="35"/>
        <v>7.2845861161609626E-2</v>
      </c>
    </row>
    <row r="126" spans="1:73" x14ac:dyDescent="0.25">
      <c r="A126" t="s">
        <v>36</v>
      </c>
      <c r="B126" s="1" t="s">
        <v>5</v>
      </c>
      <c r="C126" t="s">
        <v>13</v>
      </c>
      <c r="D126" t="s">
        <v>13</v>
      </c>
      <c r="E126" s="97">
        <v>7.7960897500000002</v>
      </c>
      <c r="F126" s="5">
        <f t="shared" si="29"/>
        <v>1.9100419887500001E-2</v>
      </c>
      <c r="G126" s="1">
        <f>LOOKUP(RIGHT(D126,5),Ref!$C$4:$C$21,Ref!$E$4:$E$21)*$G$3</f>
        <v>1.5</v>
      </c>
      <c r="H126" s="36">
        <f t="shared" si="50"/>
        <v>7.7960897500000002</v>
      </c>
      <c r="I126" s="12">
        <f t="shared" si="50"/>
        <v>7.7960897500000002</v>
      </c>
      <c r="J126" s="12">
        <f t="shared" si="50"/>
        <v>7.7960897500000002</v>
      </c>
      <c r="K126" s="12">
        <f t="shared" si="50"/>
        <v>7.7960897500000002</v>
      </c>
      <c r="L126" s="12">
        <f t="shared" si="50"/>
        <v>7.7960897500000002</v>
      </c>
      <c r="M126" s="12">
        <f t="shared" si="49"/>
        <v>8.1658261137644281</v>
      </c>
      <c r="N126" s="12">
        <f t="shared" si="49"/>
        <v>8.3874869297172712</v>
      </c>
      <c r="O126" s="12">
        <f t="shared" si="49"/>
        <v>8.7254064285466804</v>
      </c>
      <c r="P126" s="12">
        <f t="shared" si="49"/>
        <v>9.2182955062851164</v>
      </c>
      <c r="Q126" s="12">
        <f t="shared" si="49"/>
        <v>9.8927812084930515</v>
      </c>
      <c r="R126" s="12">
        <f t="shared" si="49"/>
        <v>10.739430688225367</v>
      </c>
      <c r="S126" s="12">
        <f t="shared" si="49"/>
        <v>11.694134625</v>
      </c>
      <c r="T126" s="12">
        <f t="shared" si="49"/>
        <v>12.648838561774634</v>
      </c>
      <c r="U126" s="12">
        <f t="shared" si="49"/>
        <v>13.495488041506949</v>
      </c>
      <c r="V126" s="12">
        <f t="shared" si="49"/>
        <v>14.169973743714884</v>
      </c>
      <c r="W126" s="12">
        <f t="shared" si="49"/>
        <v>14.662862821453318</v>
      </c>
      <c r="X126" s="12">
        <f t="shared" si="49"/>
        <v>15.000782320282729</v>
      </c>
      <c r="Y126" s="12">
        <f t="shared" si="49"/>
        <v>15.222443136235572</v>
      </c>
      <c r="Z126" s="12">
        <f t="shared" si="49"/>
        <v>15.363658718289717</v>
      </c>
      <c r="AA126" s="12">
        <f t="shared" si="49"/>
        <v>15.45195739287319</v>
      </c>
      <c r="AB126" s="12">
        <f t="shared" si="49"/>
        <v>15.506524309173795</v>
      </c>
      <c r="AC126" s="12">
        <f t="shared" si="48"/>
        <v>15.540001433510906</v>
      </c>
      <c r="AD126" s="300">
        <f t="shared" si="46"/>
        <v>1.7628833869606567E-3</v>
      </c>
      <c r="AE126" s="299">
        <f t="shared" si="46"/>
        <v>1.7628833869606567E-3</v>
      </c>
      <c r="AF126" s="299">
        <f t="shared" si="44"/>
        <v>1.7628833869606567E-3</v>
      </c>
      <c r="AG126" s="299">
        <f t="shared" si="44"/>
        <v>1.7628833869606567E-3</v>
      </c>
      <c r="AH126" s="299">
        <f t="shared" si="44"/>
        <v>1.7628833869606567E-3</v>
      </c>
      <c r="AI126" s="299">
        <f t="shared" si="44"/>
        <v>1.6830626702132273E-3</v>
      </c>
      <c r="AJ126" s="299">
        <f t="shared" si="44"/>
        <v>1.6385834301374624E-3</v>
      </c>
      <c r="AK126" s="299">
        <f t="shared" si="44"/>
        <v>1.5751240032286287E-3</v>
      </c>
      <c r="AL126" s="299">
        <f t="shared" si="44"/>
        <v>1.4909043753434409E-3</v>
      </c>
      <c r="AM126" s="299">
        <f t="shared" si="44"/>
        <v>1.3892551360309318E-3</v>
      </c>
      <c r="AN126" s="299">
        <f t="shared" si="44"/>
        <v>1.2797323715304238E-3</v>
      </c>
      <c r="AO126" s="299">
        <f t="shared" si="37"/>
        <v>1.1752555913071045E-3</v>
      </c>
      <c r="AP126" s="299">
        <f t="shared" si="37"/>
        <v>1.0865501236661393E-3</v>
      </c>
      <c r="AQ126" s="299">
        <f t="shared" si="37"/>
        <v>1.0183845935218662E-3</v>
      </c>
      <c r="AR126" s="299">
        <f t="shared" si="37"/>
        <v>9.6990984966540642E-4</v>
      </c>
      <c r="AS126" s="299">
        <f t="shared" si="37"/>
        <v>9.3730653221558644E-4</v>
      </c>
      <c r="AT126" s="299">
        <f t="shared" si="34"/>
        <v>9.1619202319510927E-4</v>
      </c>
      <c r="AU126" s="299">
        <f t="shared" si="34"/>
        <v>9.028509405835085E-4</v>
      </c>
      <c r="AV126" s="299">
        <f t="shared" si="34"/>
        <v>8.9455235601973839E-4</v>
      </c>
      <c r="AW126" s="299">
        <f t="shared" si="34"/>
        <v>8.894405255005513E-4</v>
      </c>
      <c r="AX126" s="299">
        <f t="shared" si="34"/>
        <v>8.8631061542259523E-4</v>
      </c>
      <c r="AY126" s="299">
        <f t="shared" si="34"/>
        <v>8.8440127643052673E-4</v>
      </c>
      <c r="AZ126" s="306">
        <f t="shared" si="47"/>
        <v>9.7592850221640631E-2</v>
      </c>
      <c r="BA126" s="2">
        <f t="shared" si="47"/>
        <v>9.7592850221640631E-2</v>
      </c>
      <c r="BB126" s="2">
        <f t="shared" si="45"/>
        <v>9.7592850221640631E-2</v>
      </c>
      <c r="BC126" s="2">
        <f t="shared" si="45"/>
        <v>9.7592850221640631E-2</v>
      </c>
      <c r="BD126" s="2">
        <f t="shared" si="45"/>
        <v>9.7592850221640631E-2</v>
      </c>
      <c r="BE126" s="2">
        <f t="shared" si="45"/>
        <v>9.3173992280307205E-2</v>
      </c>
      <c r="BF126" s="2">
        <f t="shared" si="45"/>
        <v>9.0711630988122988E-2</v>
      </c>
      <c r="BG126" s="2">
        <f t="shared" si="45"/>
        <v>8.7198530580419639E-2</v>
      </c>
      <c r="BH126" s="2">
        <f t="shared" si="45"/>
        <v>8.2536149851940466E-2</v>
      </c>
      <c r="BI126" s="2">
        <f t="shared" si="45"/>
        <v>7.6908869533375182E-2</v>
      </c>
      <c r="BJ126" s="2">
        <f t="shared" si="45"/>
        <v>7.0845712531149352E-2</v>
      </c>
      <c r="BK126" s="2">
        <f t="shared" si="38"/>
        <v>6.5061900147760421E-2</v>
      </c>
      <c r="BL126" s="2">
        <f t="shared" si="38"/>
        <v>6.0151184282288085E-2</v>
      </c>
      <c r="BM126" s="2">
        <f t="shared" si="38"/>
        <v>5.6377554998096956E-2</v>
      </c>
      <c r="BN126" s="2">
        <f t="shared" si="38"/>
        <v>5.369400346445178E-2</v>
      </c>
      <c r="BO126" s="2">
        <f t="shared" si="38"/>
        <v>5.1889090728791692E-2</v>
      </c>
      <c r="BP126" s="2">
        <f t="shared" si="35"/>
        <v>5.0720195989876725E-2</v>
      </c>
      <c r="BQ126" s="2">
        <f t="shared" si="35"/>
        <v>4.998163648745086E-2</v>
      </c>
      <c r="BR126" s="2">
        <f t="shared" si="35"/>
        <v>4.9522228606944399E-2</v>
      </c>
      <c r="BS126" s="2">
        <f t="shared" si="35"/>
        <v>4.9239238754122922E-2</v>
      </c>
      <c r="BT126" s="2">
        <f t="shared" si="35"/>
        <v>4.9065967596368235E-2</v>
      </c>
      <c r="BU126" s="2">
        <f t="shared" si="35"/>
        <v>4.8960266994925422E-2</v>
      </c>
    </row>
    <row r="127" spans="1:73" x14ac:dyDescent="0.25">
      <c r="A127" t="s">
        <v>36</v>
      </c>
      <c r="B127" s="1" t="s">
        <v>5</v>
      </c>
      <c r="C127" t="s">
        <v>14</v>
      </c>
      <c r="D127" t="s">
        <v>14</v>
      </c>
      <c r="E127" s="97">
        <v>7.1039037499999997</v>
      </c>
      <c r="F127" s="5">
        <f t="shared" si="29"/>
        <v>1.7404564187499999E-2</v>
      </c>
      <c r="G127" s="1">
        <f>LOOKUP(RIGHT(D127,5),Ref!$C$4:$C$21,Ref!$E$4:$E$21)*$G$3</f>
        <v>2</v>
      </c>
      <c r="H127" s="36">
        <f t="shared" si="50"/>
        <v>7.1039037499999997</v>
      </c>
      <c r="I127" s="12">
        <f t="shared" si="50"/>
        <v>7.1039037499999997</v>
      </c>
      <c r="J127" s="12">
        <f t="shared" si="50"/>
        <v>7.1039037499999997</v>
      </c>
      <c r="K127" s="12">
        <f t="shared" si="50"/>
        <v>7.1039037499999997</v>
      </c>
      <c r="L127" s="12">
        <f t="shared" si="50"/>
        <v>7.1039037499999997</v>
      </c>
      <c r="M127" s="12">
        <f t="shared" si="49"/>
        <v>7.4408125883131406</v>
      </c>
      <c r="N127" s="12">
        <f t="shared" si="49"/>
        <v>7.6427929595210857</v>
      </c>
      <c r="O127" s="12">
        <f t="shared" si="49"/>
        <v>7.9507098347638783</v>
      </c>
      <c r="P127" s="12">
        <f t="shared" si="49"/>
        <v>8.3998371126636897</v>
      </c>
      <c r="Q127" s="12">
        <f t="shared" si="49"/>
        <v>9.014437721800638</v>
      </c>
      <c r="R127" s="12">
        <f t="shared" si="49"/>
        <v>9.7859163228526533</v>
      </c>
      <c r="S127" s="12">
        <f t="shared" si="49"/>
        <v>10.655855624999999</v>
      </c>
      <c r="T127" s="12">
        <f t="shared" si="49"/>
        <v>11.525794927147345</v>
      </c>
      <c r="U127" s="12">
        <f t="shared" si="49"/>
        <v>12.29727352819936</v>
      </c>
      <c r="V127" s="12">
        <f t="shared" si="49"/>
        <v>12.91187413733631</v>
      </c>
      <c r="W127" s="12">
        <f t="shared" si="49"/>
        <v>13.361001415236119</v>
      </c>
      <c r="X127" s="12">
        <f t="shared" si="49"/>
        <v>13.668918290478913</v>
      </c>
      <c r="Y127" s="12">
        <f t="shared" si="49"/>
        <v>13.870898661686859</v>
      </c>
      <c r="Z127" s="12">
        <f t="shared" si="49"/>
        <v>13.999576234044575</v>
      </c>
      <c r="AA127" s="12">
        <f t="shared" si="49"/>
        <v>14.08003519560201</v>
      </c>
      <c r="AB127" s="12">
        <f t="shared" si="49"/>
        <v>14.129757317045495</v>
      </c>
      <c r="AC127" s="12">
        <f t="shared" si="48"/>
        <v>14.160262131220783</v>
      </c>
      <c r="AD127" s="300">
        <f t="shared" si="46"/>
        <v>1.934654182713168E-3</v>
      </c>
      <c r="AE127" s="299">
        <f t="shared" si="46"/>
        <v>1.934654182713168E-3</v>
      </c>
      <c r="AF127" s="299">
        <f t="shared" si="44"/>
        <v>1.934654182713168E-3</v>
      </c>
      <c r="AG127" s="299">
        <f t="shared" si="44"/>
        <v>1.934654182713168E-3</v>
      </c>
      <c r="AH127" s="299">
        <f t="shared" si="44"/>
        <v>1.934654182713168E-3</v>
      </c>
      <c r="AI127" s="299">
        <f t="shared" si="44"/>
        <v>1.8470559418625248E-3</v>
      </c>
      <c r="AJ127" s="299">
        <f t="shared" si="44"/>
        <v>1.7982427597241185E-3</v>
      </c>
      <c r="AK127" s="299">
        <f t="shared" si="44"/>
        <v>1.7286000104589931E-3</v>
      </c>
      <c r="AL127" s="299">
        <f t="shared" si="44"/>
        <v>1.6361742399515411E-3</v>
      </c>
      <c r="AM127" s="299">
        <f t="shared" si="44"/>
        <v>1.5246205617785299E-3</v>
      </c>
      <c r="AN127" s="299">
        <f t="shared" si="44"/>
        <v>1.4044261824960015E-3</v>
      </c>
      <c r="AO127" s="299">
        <f t="shared" si="37"/>
        <v>1.2897694551421122E-3</v>
      </c>
      <c r="AP127" s="299">
        <f t="shared" si="37"/>
        <v>1.1924207562602214E-3</v>
      </c>
      <c r="AQ127" s="299">
        <f t="shared" si="37"/>
        <v>1.1176133532374698E-3</v>
      </c>
      <c r="AR127" s="299">
        <f t="shared" si="37"/>
        <v>1.0644153557683711E-3</v>
      </c>
      <c r="AS127" s="299">
        <f t="shared" si="37"/>
        <v>1.0286352554275497E-3</v>
      </c>
      <c r="AT127" s="299">
        <f t="shared" si="34"/>
        <v>1.0054634032820552E-3</v>
      </c>
      <c r="AU127" s="299">
        <f t="shared" si="34"/>
        <v>9.9082240010092346E-4</v>
      </c>
      <c r="AV127" s="299">
        <f t="shared" si="34"/>
        <v>9.8171522292990433E-4</v>
      </c>
      <c r="AW127" s="299">
        <f t="shared" si="34"/>
        <v>9.761053088718245E-4</v>
      </c>
      <c r="AX127" s="299">
        <f t="shared" si="34"/>
        <v>9.726704284545362E-4</v>
      </c>
      <c r="AY127" s="299">
        <f t="shared" si="34"/>
        <v>9.7057504841150831E-4</v>
      </c>
      <c r="AZ127" s="306">
        <f t="shared" si="47"/>
        <v>0.10710204502506356</v>
      </c>
      <c r="BA127" s="2">
        <f t="shared" si="47"/>
        <v>0.10710204502506356</v>
      </c>
      <c r="BB127" s="2">
        <f t="shared" si="45"/>
        <v>0.10710204502506356</v>
      </c>
      <c r="BC127" s="2">
        <f t="shared" si="45"/>
        <v>0.10710204502506356</v>
      </c>
      <c r="BD127" s="2">
        <f t="shared" si="45"/>
        <v>0.10710204502506356</v>
      </c>
      <c r="BE127" s="2">
        <f t="shared" si="45"/>
        <v>0.10225262499975202</v>
      </c>
      <c r="BF127" s="2">
        <f t="shared" si="45"/>
        <v>9.9550337594634233E-2</v>
      </c>
      <c r="BG127" s="2">
        <f t="shared" si="45"/>
        <v>9.569492977337582E-2</v>
      </c>
      <c r="BH127" s="2">
        <f t="shared" si="45"/>
        <v>9.0578258730655961E-2</v>
      </c>
      <c r="BI127" s="2">
        <f t="shared" si="45"/>
        <v>8.4402670778476366E-2</v>
      </c>
      <c r="BJ127" s="2">
        <f t="shared" si="45"/>
        <v>7.7748735446414238E-2</v>
      </c>
      <c r="BK127" s="2">
        <f t="shared" si="38"/>
        <v>7.1401363350042366E-2</v>
      </c>
      <c r="BL127" s="2">
        <f t="shared" si="38"/>
        <v>6.6012160037149617E-2</v>
      </c>
      <c r="BM127" s="2">
        <f t="shared" si="38"/>
        <v>6.1870838079798721E-2</v>
      </c>
      <c r="BN127" s="2">
        <f t="shared" si="38"/>
        <v>5.8925808228423283E-2</v>
      </c>
      <c r="BO127" s="2">
        <f t="shared" si="38"/>
        <v>5.6945029466024644E-2</v>
      </c>
      <c r="BP127" s="2">
        <f t="shared" si="35"/>
        <v>5.5662240648273006E-2</v>
      </c>
      <c r="BQ127" s="2">
        <f t="shared" si="35"/>
        <v>5.4851717818958576E-2</v>
      </c>
      <c r="BR127" s="2">
        <f t="shared" si="35"/>
        <v>5.434754642329663E-2</v>
      </c>
      <c r="BS127" s="2">
        <f t="shared" si="35"/>
        <v>5.4036982771454425E-2</v>
      </c>
      <c r="BT127" s="2">
        <f t="shared" si="35"/>
        <v>5.3846828520428436E-2</v>
      </c>
      <c r="BU127" s="2">
        <f t="shared" si="35"/>
        <v>5.3730828725882071E-2</v>
      </c>
    </row>
    <row r="128" spans="1:73" x14ac:dyDescent="0.25">
      <c r="A128" t="s">
        <v>36</v>
      </c>
      <c r="B128" s="1" t="s">
        <v>5</v>
      </c>
      <c r="C128" t="s">
        <v>15</v>
      </c>
      <c r="D128" t="s">
        <v>15</v>
      </c>
      <c r="E128" s="97">
        <v>7.4616949999999997</v>
      </c>
      <c r="F128" s="5">
        <f t="shared" si="29"/>
        <v>1.8281152749999998E-2</v>
      </c>
      <c r="G128" s="1">
        <f>LOOKUP(RIGHT(D128,5),Ref!$C$4:$C$21,Ref!$E$4:$E$21)*$G$3</f>
        <v>2.5</v>
      </c>
      <c r="H128" s="36">
        <f t="shared" si="50"/>
        <v>7.4616949999999997</v>
      </c>
      <c r="I128" s="12">
        <f t="shared" si="50"/>
        <v>7.4616949999999997</v>
      </c>
      <c r="J128" s="12">
        <f t="shared" si="50"/>
        <v>7.4616949999999997</v>
      </c>
      <c r="K128" s="12">
        <f t="shared" si="50"/>
        <v>7.4616949999999997</v>
      </c>
      <c r="L128" s="12">
        <f t="shared" si="50"/>
        <v>7.4616949999999997</v>
      </c>
      <c r="M128" s="12">
        <f t="shared" si="49"/>
        <v>7.8155724007596836</v>
      </c>
      <c r="N128" s="12">
        <f t="shared" si="49"/>
        <v>8.0277256025736126</v>
      </c>
      <c r="O128" s="12">
        <f t="shared" si="49"/>
        <v>8.3511508472378235</v>
      </c>
      <c r="P128" s="12">
        <f t="shared" si="49"/>
        <v>8.8228986188582699</v>
      </c>
      <c r="Q128" s="12">
        <f t="shared" si="49"/>
        <v>9.4684538591293865</v>
      </c>
      <c r="R128" s="12">
        <f t="shared" si="49"/>
        <v>10.278788320667777</v>
      </c>
      <c r="S128" s="12">
        <f t="shared" si="49"/>
        <v>11.1925425</v>
      </c>
      <c r="T128" s="12">
        <f t="shared" si="49"/>
        <v>12.106296679332221</v>
      </c>
      <c r="U128" s="12">
        <f t="shared" si="49"/>
        <v>12.916631140870614</v>
      </c>
      <c r="V128" s="12">
        <f t="shared" si="49"/>
        <v>13.56218638114173</v>
      </c>
      <c r="W128" s="12">
        <f t="shared" si="49"/>
        <v>14.033934152762173</v>
      </c>
      <c r="X128" s="12">
        <f t="shared" si="49"/>
        <v>14.357359397426388</v>
      </c>
      <c r="Y128" s="12">
        <f t="shared" si="49"/>
        <v>14.569512599240316</v>
      </c>
      <c r="Z128" s="12">
        <f t="shared" si="49"/>
        <v>14.704671074363759</v>
      </c>
      <c r="AA128" s="12">
        <f t="shared" si="49"/>
        <v>14.789182387056911</v>
      </c>
      <c r="AB128" s="12">
        <f t="shared" si="49"/>
        <v>14.841408785108015</v>
      </c>
      <c r="AC128" s="12">
        <f t="shared" si="48"/>
        <v>14.873449987722518</v>
      </c>
      <c r="AD128" s="300">
        <f t="shared" si="46"/>
        <v>1.8418867433645117E-3</v>
      </c>
      <c r="AE128" s="299">
        <f t="shared" si="46"/>
        <v>1.8418867433645117E-3</v>
      </c>
      <c r="AF128" s="299">
        <f t="shared" si="44"/>
        <v>1.8418867433645117E-3</v>
      </c>
      <c r="AG128" s="299">
        <f t="shared" si="44"/>
        <v>1.8418867433645117E-3</v>
      </c>
      <c r="AH128" s="299">
        <f t="shared" si="44"/>
        <v>1.8418867433645117E-3</v>
      </c>
      <c r="AI128" s="299">
        <f t="shared" si="44"/>
        <v>1.7584888730854012E-3</v>
      </c>
      <c r="AJ128" s="299">
        <f t="shared" si="44"/>
        <v>1.7120163024908566E-3</v>
      </c>
      <c r="AK128" s="299">
        <f t="shared" si="44"/>
        <v>1.6457129508174325E-3</v>
      </c>
      <c r="AL128" s="299">
        <f t="shared" si="44"/>
        <v>1.5577190328531457E-3</v>
      </c>
      <c r="AM128" s="299">
        <f t="shared" si="44"/>
        <v>1.4515143980215761E-3</v>
      </c>
      <c r="AN128" s="299">
        <f t="shared" si="44"/>
        <v>1.3370833871434746E-3</v>
      </c>
      <c r="AO128" s="299">
        <f t="shared" si="37"/>
        <v>1.2279244955763411E-3</v>
      </c>
      <c r="AP128" s="299">
        <f t="shared" si="37"/>
        <v>1.1352437056157912E-3</v>
      </c>
      <c r="AQ128" s="299">
        <f t="shared" si="37"/>
        <v>1.0640233473914087E-3</v>
      </c>
      <c r="AR128" s="299">
        <f t="shared" si="37"/>
        <v>1.0133762151093707E-3</v>
      </c>
      <c r="AS128" s="299">
        <f t="shared" si="37"/>
        <v>9.7931178484432545E-4</v>
      </c>
      <c r="AT128" s="299">
        <f t="shared" si="34"/>
        <v>9.572510322471173E-4</v>
      </c>
      <c r="AU128" s="299">
        <f t="shared" si="34"/>
        <v>9.4331207100544184E-4</v>
      </c>
      <c r="AV128" s="299">
        <f t="shared" si="34"/>
        <v>9.3464158661052659E-4</v>
      </c>
      <c r="AW128" s="299">
        <f t="shared" si="34"/>
        <v>9.2930067016803314E-4</v>
      </c>
      <c r="AX128" s="299">
        <f t="shared" si="34"/>
        <v>9.2603049363613587E-4</v>
      </c>
      <c r="AY128" s="299">
        <f t="shared" si="34"/>
        <v>9.2403558790153531E-4</v>
      </c>
      <c r="AZ128" s="306">
        <f t="shared" si="47"/>
        <v>0.1019664592677961</v>
      </c>
      <c r="BA128" s="2">
        <f t="shared" si="47"/>
        <v>0.1019664592677961</v>
      </c>
      <c r="BB128" s="2">
        <f t="shared" si="45"/>
        <v>0.1019664592677961</v>
      </c>
      <c r="BC128" s="2">
        <f t="shared" si="45"/>
        <v>0.1019664592677961</v>
      </c>
      <c r="BD128" s="2">
        <f t="shared" si="45"/>
        <v>0.1019664592677961</v>
      </c>
      <c r="BE128" s="2">
        <f t="shared" si="45"/>
        <v>9.7349570866013965E-2</v>
      </c>
      <c r="BF128" s="2">
        <f t="shared" si="45"/>
        <v>9.4776859219291062E-2</v>
      </c>
      <c r="BG128" s="2">
        <f t="shared" si="45"/>
        <v>9.1106319740095407E-2</v>
      </c>
      <c r="BH128" s="2">
        <f t="shared" si="45"/>
        <v>8.6234995113734503E-2</v>
      </c>
      <c r="BI128" s="2">
        <f t="shared" si="45"/>
        <v>8.0355529065880282E-2</v>
      </c>
      <c r="BJ128" s="2">
        <f t="shared" si="45"/>
        <v>7.402065258571143E-2</v>
      </c>
      <c r="BK128" s="2">
        <f t="shared" si="38"/>
        <v>6.7977639511864058E-2</v>
      </c>
      <c r="BL128" s="2">
        <f t="shared" si="38"/>
        <v>6.2846850646335356E-2</v>
      </c>
      <c r="BM128" s="2">
        <f t="shared" si="38"/>
        <v>5.890410672785807E-2</v>
      </c>
      <c r="BN128" s="2">
        <f t="shared" si="38"/>
        <v>5.6100292231949581E-2</v>
      </c>
      <c r="BO128" s="2">
        <f t="shared" si="38"/>
        <v>5.4214492600883978E-2</v>
      </c>
      <c r="BP128" s="2">
        <f t="shared" si="35"/>
        <v>5.2993214018352275E-2</v>
      </c>
      <c r="BQ128" s="2">
        <f t="shared" si="35"/>
        <v>5.2221556081834174E-2</v>
      </c>
      <c r="BR128" s="2">
        <f t="shared" si="35"/>
        <v>5.1741559905591962E-2</v>
      </c>
      <c r="BS128" s="2">
        <f t="shared" si="35"/>
        <v>5.1445887904667836E-2</v>
      </c>
      <c r="BT128" s="2">
        <f t="shared" si="35"/>
        <v>5.1264851625787249E-2</v>
      </c>
      <c r="BU128" s="2">
        <f t="shared" si="35"/>
        <v>5.1154414067634955E-2</v>
      </c>
    </row>
    <row r="129" spans="1:73" x14ac:dyDescent="0.25">
      <c r="A129" t="s">
        <v>36</v>
      </c>
      <c r="B129" s="1" t="s">
        <v>5</v>
      </c>
      <c r="C129" t="s">
        <v>16</v>
      </c>
      <c r="D129" t="s">
        <v>16</v>
      </c>
      <c r="E129" s="97">
        <v>7.6746724999999998</v>
      </c>
      <c r="F129" s="5">
        <f t="shared" si="29"/>
        <v>1.8802947624999997E-2</v>
      </c>
      <c r="G129" s="1">
        <f>LOOKUP(RIGHT(D129,5),Ref!$C$4:$C$21,Ref!$E$4:$E$21)*$G$3</f>
        <v>3</v>
      </c>
      <c r="H129" s="36">
        <f t="shared" si="50"/>
        <v>7.6746724999999998</v>
      </c>
      <c r="I129" s="12">
        <f t="shared" si="50"/>
        <v>7.6746724999999998</v>
      </c>
      <c r="J129" s="12">
        <f t="shared" si="50"/>
        <v>7.6746724999999998</v>
      </c>
      <c r="K129" s="12">
        <f t="shared" si="50"/>
        <v>7.6746724999999998</v>
      </c>
      <c r="L129" s="12">
        <f t="shared" si="50"/>
        <v>7.6746724999999998</v>
      </c>
      <c r="M129" s="12">
        <f t="shared" si="49"/>
        <v>8.0386505446643586</v>
      </c>
      <c r="N129" s="12">
        <f t="shared" si="49"/>
        <v>8.256859188109086</v>
      </c>
      <c r="O129" s="12">
        <f t="shared" si="49"/>
        <v>8.5895158875627899</v>
      </c>
      <c r="P129" s="12">
        <f t="shared" si="49"/>
        <v>9.0747286508547376</v>
      </c>
      <c r="Q129" s="12">
        <f t="shared" si="49"/>
        <v>9.7387098306992144</v>
      </c>
      <c r="R129" s="12">
        <f t="shared" si="49"/>
        <v>10.572173488456736</v>
      </c>
      <c r="S129" s="12">
        <f t="shared" si="49"/>
        <v>11.51200875</v>
      </c>
      <c r="T129" s="12">
        <f t="shared" si="49"/>
        <v>12.451844011543264</v>
      </c>
      <c r="U129" s="12">
        <f t="shared" si="49"/>
        <v>13.285307669300785</v>
      </c>
      <c r="V129" s="12">
        <f t="shared" si="49"/>
        <v>13.949288849145262</v>
      </c>
      <c r="W129" s="12">
        <f t="shared" si="49"/>
        <v>14.434501612437208</v>
      </c>
      <c r="X129" s="12">
        <f t="shared" si="49"/>
        <v>14.767158311890913</v>
      </c>
      <c r="Y129" s="12">
        <f t="shared" si="49"/>
        <v>14.985366955335641</v>
      </c>
      <c r="Z129" s="12">
        <f t="shared" si="49"/>
        <v>15.124383228738912</v>
      </c>
      <c r="AA129" s="12">
        <f t="shared" si="49"/>
        <v>15.211306729024709</v>
      </c>
      <c r="AB129" s="12">
        <f t="shared" si="49"/>
        <v>15.26502381353391</v>
      </c>
      <c r="AC129" s="12">
        <f t="shared" si="48"/>
        <v>15.297979561064793</v>
      </c>
      <c r="AD129" s="300">
        <f t="shared" si="46"/>
        <v>1.7907731051102519E-3</v>
      </c>
      <c r="AE129" s="299">
        <f t="shared" si="46"/>
        <v>1.7907731051102519E-3</v>
      </c>
      <c r="AF129" s="299">
        <f t="shared" si="44"/>
        <v>1.7907731051102519E-3</v>
      </c>
      <c r="AG129" s="299">
        <f t="shared" si="44"/>
        <v>1.7907731051102519E-3</v>
      </c>
      <c r="AH129" s="299">
        <f t="shared" si="44"/>
        <v>1.7907731051102519E-3</v>
      </c>
      <c r="AI129" s="299">
        <f t="shared" si="44"/>
        <v>1.7096895837388467E-3</v>
      </c>
      <c r="AJ129" s="299">
        <f t="shared" si="44"/>
        <v>1.6645066593023367E-3</v>
      </c>
      <c r="AK129" s="299">
        <f t="shared" si="44"/>
        <v>1.6000432717552025E-3</v>
      </c>
      <c r="AL129" s="299">
        <f t="shared" si="44"/>
        <v>1.5144912462186698E-3</v>
      </c>
      <c r="AM129" s="299">
        <f t="shared" si="44"/>
        <v>1.4112338638744004E-3</v>
      </c>
      <c r="AN129" s="299">
        <f t="shared" si="44"/>
        <v>1.2999783931407533E-3</v>
      </c>
      <c r="AO129" s="299">
        <f t="shared" si="37"/>
        <v>1.193848736740168E-3</v>
      </c>
      <c r="AP129" s="299">
        <f t="shared" si="37"/>
        <v>1.1037399031652258E-3</v>
      </c>
      <c r="AQ129" s="299">
        <f t="shared" si="37"/>
        <v>1.0344959594189506E-3</v>
      </c>
      <c r="AR129" s="299">
        <f t="shared" si="37"/>
        <v>9.8525432028539529E-4</v>
      </c>
      <c r="AS129" s="299">
        <f t="shared" si="37"/>
        <v>9.5213520165374861E-4</v>
      </c>
      <c r="AT129" s="299">
        <f t="shared" si="34"/>
        <v>9.3068665028548823E-4</v>
      </c>
      <c r="AU129" s="299">
        <f t="shared" si="34"/>
        <v>9.171345049135256E-4</v>
      </c>
      <c r="AV129" s="299">
        <f t="shared" si="34"/>
        <v>9.0870463249133207E-4</v>
      </c>
      <c r="AW129" s="299">
        <f t="shared" si="34"/>
        <v>9.0351193019499684E-4</v>
      </c>
      <c r="AX129" s="299">
        <f t="shared" si="34"/>
        <v>9.0033250333643373E-4</v>
      </c>
      <c r="AY129" s="299">
        <f t="shared" si="34"/>
        <v>8.9839295762352673E-4</v>
      </c>
      <c r="AZ129" s="306">
        <f t="shared" si="47"/>
        <v>9.9136819100257081E-2</v>
      </c>
      <c r="BA129" s="2">
        <f t="shared" si="47"/>
        <v>9.9136819100257081E-2</v>
      </c>
      <c r="BB129" s="2">
        <f t="shared" si="45"/>
        <v>9.9136819100257081E-2</v>
      </c>
      <c r="BC129" s="2">
        <f t="shared" si="45"/>
        <v>9.9136819100257081E-2</v>
      </c>
      <c r="BD129" s="2">
        <f t="shared" si="45"/>
        <v>9.9136819100257081E-2</v>
      </c>
      <c r="BE129" s="2">
        <f t="shared" si="45"/>
        <v>9.464805256290508E-2</v>
      </c>
      <c r="BF129" s="2">
        <f t="shared" si="45"/>
        <v>9.2146735453830522E-2</v>
      </c>
      <c r="BG129" s="2">
        <f t="shared" si="45"/>
        <v>8.8578055998229377E-2</v>
      </c>
      <c r="BH129" s="2">
        <f t="shared" si="45"/>
        <v>8.3841914018504007E-2</v>
      </c>
      <c r="BI129" s="2">
        <f t="shared" si="45"/>
        <v>7.8125607242945358E-2</v>
      </c>
      <c r="BJ129" s="2">
        <f t="shared" si="45"/>
        <v>7.1966527991329923E-2</v>
      </c>
      <c r="BK129" s="2">
        <f t="shared" si="38"/>
        <v>6.6091212733504726E-2</v>
      </c>
      <c r="BL129" s="2">
        <f t="shared" si="38"/>
        <v>6.1102806827719007E-2</v>
      </c>
      <c r="BM129" s="2">
        <f t="shared" si="38"/>
        <v>5.7269476795358362E-2</v>
      </c>
      <c r="BN129" s="2">
        <f t="shared" si="38"/>
        <v>5.4543470101906889E-2</v>
      </c>
      <c r="BO129" s="2">
        <f t="shared" si="38"/>
        <v>5.27100027222729E-2</v>
      </c>
      <c r="BP129" s="2">
        <f t="shared" si="35"/>
        <v>5.1522615469867812E-2</v>
      </c>
      <c r="BQ129" s="2">
        <f t="shared" si="35"/>
        <v>5.0772371577815424E-2</v>
      </c>
      <c r="BR129" s="2">
        <f t="shared" si="35"/>
        <v>5.0305695629325686E-2</v>
      </c>
      <c r="BS129" s="2">
        <f t="shared" si="35"/>
        <v>5.0018228732082115E-2</v>
      </c>
      <c r="BT129" s="2">
        <f t="shared" si="35"/>
        <v>4.9842216335860397E-2</v>
      </c>
      <c r="BU129" s="2">
        <f t="shared" si="35"/>
        <v>4.9734843496761771E-2</v>
      </c>
    </row>
    <row r="130" spans="1:73" x14ac:dyDescent="0.25">
      <c r="A130" t="s">
        <v>36</v>
      </c>
      <c r="B130" s="1" t="s">
        <v>5</v>
      </c>
      <c r="C130" t="s">
        <v>17</v>
      </c>
      <c r="D130" t="s">
        <v>17</v>
      </c>
      <c r="E130" s="97">
        <v>7.0724772500000004</v>
      </c>
      <c r="F130" s="5">
        <f t="shared" si="29"/>
        <v>1.7327569262499998E-2</v>
      </c>
      <c r="G130" s="1">
        <f>LOOKUP(RIGHT(D130,5),Ref!$C$4:$C$21,Ref!$E$4:$E$21)*$G$3</f>
        <v>3</v>
      </c>
      <c r="H130" s="36">
        <f t="shared" si="50"/>
        <v>7.0724772500000004</v>
      </c>
      <c r="I130" s="12">
        <f t="shared" si="50"/>
        <v>7.0724772500000004</v>
      </c>
      <c r="J130" s="12">
        <f t="shared" si="50"/>
        <v>7.0724772500000004</v>
      </c>
      <c r="K130" s="12">
        <f t="shared" si="50"/>
        <v>7.0724772500000004</v>
      </c>
      <c r="L130" s="12">
        <f t="shared" si="50"/>
        <v>7.0724772500000004</v>
      </c>
      <c r="M130" s="12">
        <f t="shared" si="49"/>
        <v>7.4078956591097267</v>
      </c>
      <c r="N130" s="12">
        <f t="shared" si="49"/>
        <v>7.6089825024266489</v>
      </c>
      <c r="O130" s="12">
        <f t="shared" si="49"/>
        <v>7.9155372041349512</v>
      </c>
      <c r="P130" s="12">
        <f t="shared" si="49"/>
        <v>8.3626776169397896</v>
      </c>
      <c r="Q130" s="12">
        <f t="shared" si="49"/>
        <v>8.9745593342219561</v>
      </c>
      <c r="R130" s="12">
        <f t="shared" si="49"/>
        <v>9.7426250410246702</v>
      </c>
      <c r="S130" s="12">
        <f t="shared" si="49"/>
        <v>10.608715875000001</v>
      </c>
      <c r="T130" s="12">
        <f t="shared" si="49"/>
        <v>11.474806708975331</v>
      </c>
      <c r="U130" s="12">
        <f t="shared" si="49"/>
        <v>12.242872415778045</v>
      </c>
      <c r="V130" s="12">
        <f t="shared" si="49"/>
        <v>12.854754133060212</v>
      </c>
      <c r="W130" s="12">
        <f t="shared" si="49"/>
        <v>13.301894545865048</v>
      </c>
      <c r="X130" s="12">
        <f t="shared" si="49"/>
        <v>13.608449247573352</v>
      </c>
      <c r="Y130" s="12">
        <f t="shared" si="49"/>
        <v>13.809536090890274</v>
      </c>
      <c r="Z130" s="12">
        <f t="shared" si="49"/>
        <v>13.937644414864284</v>
      </c>
      <c r="AA130" s="12">
        <f t="shared" si="49"/>
        <v>14.017747439229385</v>
      </c>
      <c r="AB130" s="12">
        <f t="shared" si="49"/>
        <v>14.067249598198076</v>
      </c>
      <c r="AC130" s="12">
        <f t="shared" si="48"/>
        <v>14.097619464100356</v>
      </c>
      <c r="AD130" s="300">
        <f t="shared" si="46"/>
        <v>1.943250804168972E-3</v>
      </c>
      <c r="AE130" s="299">
        <f t="shared" si="46"/>
        <v>1.943250804168972E-3</v>
      </c>
      <c r="AF130" s="299">
        <f t="shared" si="44"/>
        <v>1.943250804168972E-3</v>
      </c>
      <c r="AG130" s="299">
        <f t="shared" si="44"/>
        <v>1.943250804168972E-3</v>
      </c>
      <c r="AH130" s="299">
        <f t="shared" si="44"/>
        <v>1.943250804168972E-3</v>
      </c>
      <c r="AI130" s="299">
        <f t="shared" si="44"/>
        <v>1.8552633211873493E-3</v>
      </c>
      <c r="AJ130" s="299">
        <f t="shared" si="44"/>
        <v>1.8062332380375649E-3</v>
      </c>
      <c r="AK130" s="299">
        <f t="shared" si="44"/>
        <v>1.7362810317346272E-3</v>
      </c>
      <c r="AL130" s="299">
        <f t="shared" si="44"/>
        <v>1.6434445680041107E-3</v>
      </c>
      <c r="AM130" s="299">
        <f t="shared" si="44"/>
        <v>1.5313952018927459E-3</v>
      </c>
      <c r="AN130" s="299">
        <f t="shared" si="44"/>
        <v>1.4106667397808211E-3</v>
      </c>
      <c r="AO130" s="299">
        <f t="shared" si="37"/>
        <v>1.2955005361126478E-3</v>
      </c>
      <c r="AP130" s="299">
        <f t="shared" si="37"/>
        <v>1.1977192690121161E-3</v>
      </c>
      <c r="AQ130" s="299">
        <f t="shared" si="37"/>
        <v>1.1225794598510356E-3</v>
      </c>
      <c r="AR130" s="299">
        <f t="shared" si="37"/>
        <v>1.0691450774762854E-3</v>
      </c>
      <c r="AS130" s="299">
        <f t="shared" si="37"/>
        <v>1.0332059885260116E-3</v>
      </c>
      <c r="AT130" s="299">
        <f t="shared" si="34"/>
        <v>1.0099311724280418E-3</v>
      </c>
      <c r="AU130" s="299">
        <f t="shared" si="34"/>
        <v>9.9522511205828905E-4</v>
      </c>
      <c r="AV130" s="299">
        <f t="shared" si="34"/>
        <v>9.8607746721332068E-4</v>
      </c>
      <c r="AW130" s="299">
        <f t="shared" si="34"/>
        <v>9.8044262554389423E-4</v>
      </c>
      <c r="AX130" s="299">
        <f t="shared" si="34"/>
        <v>9.7699248226104738E-4</v>
      </c>
      <c r="AY130" s="299">
        <f t="shared" si="34"/>
        <v>9.7488779141240004E-4</v>
      </c>
      <c r="AZ130" s="306">
        <f t="shared" si="47"/>
        <v>0.10757795216467013</v>
      </c>
      <c r="BA130" s="2">
        <f t="shared" si="47"/>
        <v>0.10757795216467013</v>
      </c>
      <c r="BB130" s="2">
        <f t="shared" si="45"/>
        <v>0.10757795216467013</v>
      </c>
      <c r="BC130" s="2">
        <f t="shared" si="45"/>
        <v>0.10757795216467013</v>
      </c>
      <c r="BD130" s="2">
        <f t="shared" si="45"/>
        <v>0.10757795216467013</v>
      </c>
      <c r="BE130" s="2">
        <f t="shared" si="45"/>
        <v>0.10270698377758401</v>
      </c>
      <c r="BF130" s="2">
        <f t="shared" si="45"/>
        <v>9.9992688778502328E-2</v>
      </c>
      <c r="BG130" s="2">
        <f t="shared" si="45"/>
        <v>9.612014948129681E-2</v>
      </c>
      <c r="BH130" s="2">
        <f t="shared" si="45"/>
        <v>9.0980742548896432E-2</v>
      </c>
      <c r="BI130" s="2">
        <f t="shared" si="45"/>
        <v>8.4777713417633613E-2</v>
      </c>
      <c r="BJ130" s="2">
        <f t="shared" si="45"/>
        <v>7.8094211373467476E-2</v>
      </c>
      <c r="BK130" s="2">
        <f t="shared" si="38"/>
        <v>7.1718634776446744E-2</v>
      </c>
      <c r="BL130" s="2">
        <f t="shared" si="38"/>
        <v>6.630548457876019E-2</v>
      </c>
      <c r="BM130" s="2">
        <f t="shared" si="38"/>
        <v>6.2145760688127334E-2</v>
      </c>
      <c r="BN130" s="2">
        <f t="shared" si="38"/>
        <v>5.9187644618535463E-2</v>
      </c>
      <c r="BO130" s="2">
        <f t="shared" si="38"/>
        <v>5.7198064280454625E-2</v>
      </c>
      <c r="BP130" s="2">
        <f t="shared" si="35"/>
        <v>5.5909575400142721E-2</v>
      </c>
      <c r="BQ130" s="2">
        <f t="shared" si="35"/>
        <v>5.5095451018671235E-2</v>
      </c>
      <c r="BR130" s="2">
        <f t="shared" si="35"/>
        <v>5.4589039341166629E-2</v>
      </c>
      <c r="BS130" s="2">
        <f t="shared" si="35"/>
        <v>5.4277095702049867E-2</v>
      </c>
      <c r="BT130" s="2">
        <f t="shared" si="35"/>
        <v>5.4086096502025297E-2</v>
      </c>
      <c r="BU130" s="2">
        <f t="shared" si="35"/>
        <v>5.396958126325558E-2</v>
      </c>
    </row>
    <row r="131" spans="1:73" x14ac:dyDescent="0.25">
      <c r="A131" t="s">
        <v>36</v>
      </c>
      <c r="B131" s="1" t="s">
        <v>5</v>
      </c>
      <c r="C131" t="s">
        <v>18</v>
      </c>
      <c r="D131" t="s">
        <v>18</v>
      </c>
      <c r="E131" s="97">
        <v>6.1279849999999998</v>
      </c>
      <c r="F131" s="5">
        <f t="shared" si="29"/>
        <v>1.501356325E-2</v>
      </c>
      <c r="G131" s="1">
        <f>LOOKUP(RIGHT(D131,5),Ref!$C$4:$C$21,Ref!$E$4:$E$21)*$G$3</f>
        <v>3</v>
      </c>
      <c r="H131" s="36">
        <f t="shared" si="50"/>
        <v>6.1279849999999998</v>
      </c>
      <c r="I131" s="12">
        <f t="shared" si="50"/>
        <v>6.1279849999999998</v>
      </c>
      <c r="J131" s="12">
        <f t="shared" si="50"/>
        <v>6.1279849999999998</v>
      </c>
      <c r="K131" s="12">
        <f t="shared" si="50"/>
        <v>6.1279849999999998</v>
      </c>
      <c r="L131" s="12">
        <f t="shared" si="50"/>
        <v>6.1279849999999998</v>
      </c>
      <c r="M131" s="12">
        <f t="shared" si="49"/>
        <v>6.4186100394440313</v>
      </c>
      <c r="N131" s="12">
        <f t="shared" si="49"/>
        <v>6.592842789297479</v>
      </c>
      <c r="O131" s="12">
        <f t="shared" si="49"/>
        <v>6.8584587181077064</v>
      </c>
      <c r="P131" s="12">
        <f t="shared" si="49"/>
        <v>7.2458858735024947</v>
      </c>
      <c r="Q131" s="12">
        <f t="shared" si="49"/>
        <v>7.77605399603401</v>
      </c>
      <c r="R131" s="12">
        <f t="shared" si="49"/>
        <v>8.4415485552850029</v>
      </c>
      <c r="S131" s="12">
        <f t="shared" si="49"/>
        <v>9.1919775000000001</v>
      </c>
      <c r="T131" s="12">
        <f t="shared" si="49"/>
        <v>9.9424064447149956</v>
      </c>
      <c r="U131" s="12">
        <f t="shared" si="49"/>
        <v>10.60790100396599</v>
      </c>
      <c r="V131" s="12">
        <f t="shared" si="49"/>
        <v>11.138069126497506</v>
      </c>
      <c r="W131" s="12">
        <f t="shared" si="49"/>
        <v>11.525496281892291</v>
      </c>
      <c r="X131" s="12">
        <f t="shared" si="49"/>
        <v>11.79111221070252</v>
      </c>
      <c r="Y131" s="12">
        <f t="shared" si="49"/>
        <v>11.965344960555969</v>
      </c>
      <c r="Z131" s="12">
        <f t="shared" si="49"/>
        <v>12.076345089639149</v>
      </c>
      <c r="AA131" s="12">
        <f t="shared" si="49"/>
        <v>12.145750775145451</v>
      </c>
      <c r="AB131" s="12">
        <f t="shared" si="49"/>
        <v>12.188642180363864</v>
      </c>
      <c r="AC131" s="12">
        <f t="shared" si="48"/>
        <v>12.214956309928747</v>
      </c>
      <c r="AD131" s="300">
        <f t="shared" si="46"/>
        <v>2.2427595863125089E-3</v>
      </c>
      <c r="AE131" s="299">
        <f t="shared" si="46"/>
        <v>2.2427595863125089E-3</v>
      </c>
      <c r="AF131" s="299">
        <f t="shared" si="44"/>
        <v>2.2427595863125089E-3</v>
      </c>
      <c r="AG131" s="299">
        <f t="shared" si="44"/>
        <v>2.2427595863125089E-3</v>
      </c>
      <c r="AH131" s="299">
        <f t="shared" si="44"/>
        <v>2.2427595863125089E-3</v>
      </c>
      <c r="AI131" s="299">
        <f t="shared" si="44"/>
        <v>2.1412107947158766E-3</v>
      </c>
      <c r="AJ131" s="299">
        <f t="shared" si="44"/>
        <v>2.0846238174888668E-3</v>
      </c>
      <c r="AK131" s="299">
        <f t="shared" si="44"/>
        <v>2.0038900383322869E-3</v>
      </c>
      <c r="AL131" s="299">
        <f t="shared" si="44"/>
        <v>1.8967449037236796E-3</v>
      </c>
      <c r="AM131" s="299">
        <f t="shared" si="44"/>
        <v>1.7674256262287854E-3</v>
      </c>
      <c r="AN131" s="299">
        <f t="shared" si="44"/>
        <v>1.6280895636055781E-3</v>
      </c>
      <c r="AO131" s="299">
        <f t="shared" si="37"/>
        <v>1.4951730575416726E-3</v>
      </c>
      <c r="AP131" s="299">
        <f t="shared" si="37"/>
        <v>1.3823209883795117E-3</v>
      </c>
      <c r="AQ131" s="299">
        <f t="shared" si="37"/>
        <v>1.295600053053938E-3</v>
      </c>
      <c r="AR131" s="299">
        <f t="shared" si="37"/>
        <v>1.2339299520805805E-3</v>
      </c>
      <c r="AS131" s="299">
        <f t="shared" si="37"/>
        <v>1.1924516539146195E-3</v>
      </c>
      <c r="AT131" s="299">
        <f t="shared" si="34"/>
        <v>1.1655895438815783E-3</v>
      </c>
      <c r="AU131" s="299">
        <f t="shared" si="34"/>
        <v>1.14861687221182E-3</v>
      </c>
      <c r="AV131" s="299">
        <f t="shared" si="34"/>
        <v>1.138059321882125E-3</v>
      </c>
      <c r="AW131" s="299">
        <f t="shared" si="34"/>
        <v>1.1315559950113231E-3</v>
      </c>
      <c r="AX131" s="299">
        <f t="shared" si="34"/>
        <v>1.1275740890704345E-3</v>
      </c>
      <c r="AY131" s="299">
        <f t="shared" si="34"/>
        <v>1.1251450070564706E-3</v>
      </c>
      <c r="AZ131" s="306">
        <f t="shared" si="47"/>
        <v>0.12415869478894249</v>
      </c>
      <c r="BA131" s="2">
        <f t="shared" si="47"/>
        <v>0.12415869478894249</v>
      </c>
      <c r="BB131" s="2">
        <f t="shared" si="45"/>
        <v>0.12415869478894249</v>
      </c>
      <c r="BC131" s="2">
        <f t="shared" si="45"/>
        <v>0.12415869478894249</v>
      </c>
      <c r="BD131" s="2">
        <f t="shared" si="45"/>
        <v>0.12415869478894249</v>
      </c>
      <c r="BE131" s="2">
        <f t="shared" si="45"/>
        <v>0.11853697523461335</v>
      </c>
      <c r="BF131" s="2">
        <f t="shared" si="45"/>
        <v>0.11540433218297501</v>
      </c>
      <c r="BG131" s="2">
        <f t="shared" si="45"/>
        <v>0.11093492730042111</v>
      </c>
      <c r="BH131" s="2">
        <f t="shared" si="45"/>
        <v>0.10500339538448236</v>
      </c>
      <c r="BI131" s="2">
        <f t="shared" si="45"/>
        <v>9.7844307623669705E-2</v>
      </c>
      <c r="BJ131" s="2">
        <f t="shared" si="45"/>
        <v>9.0130692763696396E-2</v>
      </c>
      <c r="BK131" s="2">
        <f t="shared" si="38"/>
        <v>8.2772463192628334E-2</v>
      </c>
      <c r="BL131" s="2">
        <f t="shared" si="38"/>
        <v>7.6524996590805514E-2</v>
      </c>
      <c r="BM131" s="2">
        <f t="shared" si="38"/>
        <v>7.1724144013199265E-2</v>
      </c>
      <c r="BN131" s="2">
        <f t="shared" si="38"/>
        <v>6.8310100309592309E-2</v>
      </c>
      <c r="BO131" s="2">
        <f t="shared" si="38"/>
        <v>6.601387052474067E-2</v>
      </c>
      <c r="BP131" s="2">
        <f t="shared" si="35"/>
        <v>6.4526789813400168E-2</v>
      </c>
      <c r="BQ131" s="2">
        <f t="shared" si="35"/>
        <v>6.3587186311330993E-2</v>
      </c>
      <c r="BR131" s="2">
        <f t="shared" si="35"/>
        <v>6.3002722565371178E-2</v>
      </c>
      <c r="BS131" s="2">
        <f t="shared" si="35"/>
        <v>6.2642699769797167E-2</v>
      </c>
      <c r="BT131" s="2">
        <f t="shared" si="35"/>
        <v>6.2422262301862451E-2</v>
      </c>
      <c r="BU131" s="2">
        <f t="shared" si="35"/>
        <v>6.2287788837015988E-2</v>
      </c>
    </row>
    <row r="132" spans="1:73" x14ac:dyDescent="0.25">
      <c r="A132" t="s">
        <v>36</v>
      </c>
      <c r="B132" s="1" t="s">
        <v>5</v>
      </c>
      <c r="C132" t="s">
        <v>6</v>
      </c>
      <c r="D132" t="s">
        <v>6</v>
      </c>
      <c r="E132" s="97">
        <v>7.3835850000000001</v>
      </c>
      <c r="F132" s="5">
        <f t="shared" si="29"/>
        <v>1.8089783250000002E-2</v>
      </c>
      <c r="G132" s="1">
        <f>LOOKUP(RIGHT(D132,5),Ref!$C$4:$C$21,Ref!$E$4:$E$21)*$G$3</f>
        <v>3</v>
      </c>
      <c r="H132" s="36">
        <f t="shared" si="50"/>
        <v>7.3835850000000001</v>
      </c>
      <c r="I132" s="12">
        <f t="shared" si="50"/>
        <v>7.3835850000000001</v>
      </c>
      <c r="J132" s="12">
        <f t="shared" si="50"/>
        <v>7.3835850000000001</v>
      </c>
      <c r="K132" s="12">
        <f t="shared" si="50"/>
        <v>7.3835850000000001</v>
      </c>
      <c r="L132" s="12">
        <f t="shared" si="50"/>
        <v>7.3835850000000001</v>
      </c>
      <c r="M132" s="12">
        <f t="shared" si="49"/>
        <v>7.7337579658057845</v>
      </c>
      <c r="N132" s="12">
        <f t="shared" si="49"/>
        <v>7.9436903201321529</v>
      </c>
      <c r="O132" s="12">
        <f t="shared" si="49"/>
        <v>8.2637299069986767</v>
      </c>
      <c r="P132" s="12">
        <f t="shared" si="49"/>
        <v>8.7305393611937561</v>
      </c>
      <c r="Q132" s="12">
        <f t="shared" si="49"/>
        <v>9.3693368447061758</v>
      </c>
      <c r="R132" s="12">
        <f t="shared" si="49"/>
        <v>10.171188619027955</v>
      </c>
      <c r="S132" s="12">
        <f t="shared" si="49"/>
        <v>11.0753775</v>
      </c>
      <c r="T132" s="12">
        <f t="shared" si="49"/>
        <v>11.979566380972045</v>
      </c>
      <c r="U132" s="12">
        <f t="shared" si="49"/>
        <v>12.781418155293824</v>
      </c>
      <c r="V132" s="12">
        <f t="shared" si="49"/>
        <v>13.420215638806244</v>
      </c>
      <c r="W132" s="12">
        <f t="shared" si="49"/>
        <v>13.887025093001322</v>
      </c>
      <c r="X132" s="12">
        <f t="shared" si="49"/>
        <v>14.207064679867848</v>
      </c>
      <c r="Y132" s="12">
        <f t="shared" si="49"/>
        <v>14.416997034194216</v>
      </c>
      <c r="Z132" s="12">
        <f t="shared" si="49"/>
        <v>14.550740652707747</v>
      </c>
      <c r="AA132" s="12">
        <f t="shared" si="49"/>
        <v>14.63436728991705</v>
      </c>
      <c r="AB132" s="12">
        <f t="shared" ref="AB132:AC147" si="51">AB$3*$E132</f>
        <v>14.686046975196893</v>
      </c>
      <c r="AC132" s="12">
        <f t="shared" si="51"/>
        <v>14.717752766308216</v>
      </c>
      <c r="AD132" s="300">
        <f t="shared" si="46"/>
        <v>1.8613718273073662E-3</v>
      </c>
      <c r="AE132" s="299">
        <f t="shared" si="46"/>
        <v>1.8613718273073662E-3</v>
      </c>
      <c r="AF132" s="299">
        <f t="shared" si="44"/>
        <v>1.8613718273073662E-3</v>
      </c>
      <c r="AG132" s="299">
        <f t="shared" si="44"/>
        <v>1.8613718273073662E-3</v>
      </c>
      <c r="AH132" s="299">
        <f t="shared" si="44"/>
        <v>1.8613718273073662E-3</v>
      </c>
      <c r="AI132" s="299">
        <f t="shared" si="44"/>
        <v>1.7770917016404594E-3</v>
      </c>
      <c r="AJ132" s="299">
        <f t="shared" si="44"/>
        <v>1.7301275036739623E-3</v>
      </c>
      <c r="AK132" s="299">
        <f t="shared" si="44"/>
        <v>1.6631227373355463E-3</v>
      </c>
      <c r="AL132" s="299">
        <f t="shared" si="44"/>
        <v>1.5741979429836797E-3</v>
      </c>
      <c r="AM132" s="299">
        <f t="shared" si="44"/>
        <v>1.4668697829232824E-3</v>
      </c>
      <c r="AN132" s="299">
        <f t="shared" si="44"/>
        <v>1.3512282210378194E-3</v>
      </c>
      <c r="AO132" s="299">
        <f t="shared" si="37"/>
        <v>1.2409145515382442E-3</v>
      </c>
      <c r="AP132" s="299">
        <f t="shared" si="37"/>
        <v>1.1472533033715763E-3</v>
      </c>
      <c r="AQ132" s="299">
        <f t="shared" si="37"/>
        <v>1.0752795140996868E-3</v>
      </c>
      <c r="AR132" s="299">
        <f t="shared" si="37"/>
        <v>1.0240965922922965E-3</v>
      </c>
      <c r="AS132" s="299">
        <f t="shared" si="37"/>
        <v>9.8967179878256669E-4</v>
      </c>
      <c r="AT132" s="299">
        <f t="shared" si="34"/>
        <v>9.673776683092499E-4</v>
      </c>
      <c r="AU132" s="299">
        <f t="shared" si="34"/>
        <v>9.5329124858194896E-4</v>
      </c>
      <c r="AV132" s="299">
        <f t="shared" si="34"/>
        <v>9.4452904024316551E-4</v>
      </c>
      <c r="AW132" s="299">
        <f t="shared" si="34"/>
        <v>9.3913162292970994E-4</v>
      </c>
      <c r="AX132" s="299">
        <f t="shared" si="34"/>
        <v>9.3582685161913703E-4</v>
      </c>
      <c r="AY132" s="299">
        <f t="shared" si="34"/>
        <v>9.3381084203228448E-4</v>
      </c>
      <c r="AZ132" s="306">
        <f t="shared" si="47"/>
        <v>0.10304514938017477</v>
      </c>
      <c r="BA132" s="2">
        <f t="shared" si="47"/>
        <v>0.10304514938017477</v>
      </c>
      <c r="BB132" s="2">
        <f t="shared" si="45"/>
        <v>0.10304514938017477</v>
      </c>
      <c r="BC132" s="2">
        <f t="shared" si="45"/>
        <v>0.10304514938017477</v>
      </c>
      <c r="BD132" s="2">
        <f t="shared" si="45"/>
        <v>0.10304514938017477</v>
      </c>
      <c r="BE132" s="2">
        <f t="shared" si="45"/>
        <v>9.8379419507337168E-2</v>
      </c>
      <c r="BF132" s="2">
        <f t="shared" si="45"/>
        <v>9.5779491473625356E-2</v>
      </c>
      <c r="BG132" s="2">
        <f t="shared" si="45"/>
        <v>9.2070121827414614E-2</v>
      </c>
      <c r="BH132" s="2">
        <f t="shared" si="45"/>
        <v>8.714726408176747E-2</v>
      </c>
      <c r="BI132" s="2">
        <f t="shared" si="45"/>
        <v>8.1205599915655277E-2</v>
      </c>
      <c r="BJ132" s="2">
        <f t="shared" si="45"/>
        <v>7.4803707588595517E-2</v>
      </c>
      <c r="BK132" s="2">
        <f t="shared" si="38"/>
        <v>6.8696766253449851E-2</v>
      </c>
      <c r="BL132" s="2">
        <f t="shared" si="38"/>
        <v>6.3511699429681823E-2</v>
      </c>
      <c r="BM132" s="2">
        <f t="shared" si="38"/>
        <v>5.9527245728291191E-2</v>
      </c>
      <c r="BN132" s="2">
        <f t="shared" si="38"/>
        <v>5.6693770037952708E-2</v>
      </c>
      <c r="BO132" s="2">
        <f t="shared" si="38"/>
        <v>5.4788020774129767E-2</v>
      </c>
      <c r="BP132" s="2">
        <f t="shared" si="35"/>
        <v>5.3553822441899025E-2</v>
      </c>
      <c r="BQ132" s="2">
        <f t="shared" si="35"/>
        <v>5.2774001234907116E-2</v>
      </c>
      <c r="BR132" s="2">
        <f t="shared" si="35"/>
        <v>5.2288927240596E-2</v>
      </c>
      <c r="BS132" s="2">
        <f t="shared" si="35"/>
        <v>5.1990127363444792E-2</v>
      </c>
      <c r="BT132" s="2">
        <f t="shared" si="35"/>
        <v>5.1807175924957663E-2</v>
      </c>
      <c r="BU132" s="2">
        <f t="shared" si="35"/>
        <v>5.1695570062022904E-2</v>
      </c>
    </row>
    <row r="133" spans="1:73" x14ac:dyDescent="0.25">
      <c r="A133" t="s">
        <v>36</v>
      </c>
      <c r="B133" s="1" t="s">
        <v>5</v>
      </c>
      <c r="C133" t="s">
        <v>7</v>
      </c>
      <c r="D133" t="s">
        <v>7</v>
      </c>
      <c r="E133" s="97">
        <v>7.4376049999999996</v>
      </c>
      <c r="F133" s="5">
        <f t="shared" si="29"/>
        <v>1.8222132249999998E-2</v>
      </c>
      <c r="G133" s="1">
        <f>LOOKUP(RIGHT(D133,5),Ref!$C$4:$C$21,Ref!$E$4:$E$21)*$G$3</f>
        <v>3.5</v>
      </c>
      <c r="H133" s="36">
        <f t="shared" si="50"/>
        <v>7.4376049999999996</v>
      </c>
      <c r="I133" s="12">
        <f t="shared" si="50"/>
        <v>7.4376049999999996</v>
      </c>
      <c r="J133" s="12">
        <f t="shared" si="50"/>
        <v>7.4376049999999996</v>
      </c>
      <c r="K133" s="12">
        <f t="shared" si="50"/>
        <v>7.4376049999999996</v>
      </c>
      <c r="L133" s="12">
        <f t="shared" si="50"/>
        <v>7.4376049999999996</v>
      </c>
      <c r="M133" s="12">
        <f t="shared" ref="M133:AB148" si="52">M$3*$E133</f>
        <v>7.7903399114748355</v>
      </c>
      <c r="N133" s="12">
        <f t="shared" si="52"/>
        <v>8.0018081790168996</v>
      </c>
      <c r="O133" s="12">
        <f t="shared" si="52"/>
        <v>8.3241892488463112</v>
      </c>
      <c r="P133" s="12">
        <f t="shared" si="52"/>
        <v>8.794413987989774</v>
      </c>
      <c r="Q133" s="12">
        <f t="shared" si="52"/>
        <v>9.4378850602885827</v>
      </c>
      <c r="R133" s="12">
        <f t="shared" si="52"/>
        <v>10.245603365956431</v>
      </c>
      <c r="S133" s="12">
        <f t="shared" si="52"/>
        <v>11.1564075</v>
      </c>
      <c r="T133" s="12">
        <f t="shared" si="52"/>
        <v>12.067211634043568</v>
      </c>
      <c r="U133" s="12">
        <f t="shared" si="52"/>
        <v>12.874929939711416</v>
      </c>
      <c r="V133" s="12">
        <f t="shared" si="52"/>
        <v>13.518401012010225</v>
      </c>
      <c r="W133" s="12">
        <f t="shared" si="52"/>
        <v>13.988625751153686</v>
      </c>
      <c r="X133" s="12">
        <f t="shared" si="52"/>
        <v>14.311006820983099</v>
      </c>
      <c r="Y133" s="12">
        <f t="shared" si="52"/>
        <v>14.522475088525162</v>
      </c>
      <c r="Z133" s="12">
        <f t="shared" si="52"/>
        <v>14.657197206002559</v>
      </c>
      <c r="AA133" s="12">
        <f t="shared" si="52"/>
        <v>14.741435674854896</v>
      </c>
      <c r="AB133" s="12">
        <f t="shared" si="52"/>
        <v>14.793493460555988</v>
      </c>
      <c r="AC133" s="12">
        <f t="shared" si="51"/>
        <v>14.825431218501285</v>
      </c>
      <c r="AD133" s="300">
        <f t="shared" si="46"/>
        <v>1.8478525148255735E-3</v>
      </c>
      <c r="AE133" s="299">
        <f t="shared" si="46"/>
        <v>1.8478525148255735E-3</v>
      </c>
      <c r="AF133" s="299">
        <f t="shared" si="44"/>
        <v>1.8478525148255735E-3</v>
      </c>
      <c r="AG133" s="299">
        <f t="shared" si="44"/>
        <v>1.8478525148255735E-3</v>
      </c>
      <c r="AH133" s="299">
        <f t="shared" si="44"/>
        <v>1.8478525148255735E-3</v>
      </c>
      <c r="AI133" s="299">
        <f t="shared" si="44"/>
        <v>1.7641845233589272E-3</v>
      </c>
      <c r="AJ133" s="299">
        <f t="shared" si="44"/>
        <v>1.7175614306237713E-3</v>
      </c>
      <c r="AK133" s="299">
        <f t="shared" si="44"/>
        <v>1.6510433259832541E-3</v>
      </c>
      <c r="AL133" s="299">
        <f t="shared" si="44"/>
        <v>1.5627644004817618E-3</v>
      </c>
      <c r="AM133" s="299">
        <f t="shared" si="44"/>
        <v>1.456215774586793E-3</v>
      </c>
      <c r="AN133" s="299">
        <f t="shared" si="44"/>
        <v>1.3414141278585685E-3</v>
      </c>
      <c r="AO133" s="299">
        <f t="shared" si="37"/>
        <v>1.2319016765503822E-3</v>
      </c>
      <c r="AP133" s="299">
        <f t="shared" si="37"/>
        <v>1.1389206985279296E-3</v>
      </c>
      <c r="AQ133" s="299">
        <f t="shared" si="37"/>
        <v>1.0674696614183918E-3</v>
      </c>
      <c r="AR133" s="299">
        <f t="shared" si="37"/>
        <v>1.0166584858164042E-3</v>
      </c>
      <c r="AS133" s="299">
        <f t="shared" si="37"/>
        <v>9.8248372270562617E-4</v>
      </c>
      <c r="AT133" s="299">
        <f t="shared" si="34"/>
        <v>9.6035151652489666E-4</v>
      </c>
      <c r="AU133" s="299">
        <f t="shared" si="34"/>
        <v>9.4636740774227054E-4</v>
      </c>
      <c r="AV133" s="299">
        <f t="shared" si="34"/>
        <v>9.3766884011773049E-4</v>
      </c>
      <c r="AW133" s="299">
        <f t="shared" si="34"/>
        <v>9.3231062473598191E-4</v>
      </c>
      <c r="AX133" s="299">
        <f t="shared" si="34"/>
        <v>9.2902985627931118E-4</v>
      </c>
      <c r="AY133" s="299">
        <f t="shared" si="34"/>
        <v>9.2702848915301984E-4</v>
      </c>
      <c r="AZ133" s="306">
        <f t="shared" si="47"/>
        <v>0.10229672310995513</v>
      </c>
      <c r="BA133" s="2">
        <f t="shared" si="47"/>
        <v>0.10229672310995513</v>
      </c>
      <c r="BB133" s="2">
        <f t="shared" si="45"/>
        <v>0.10229672310995513</v>
      </c>
      <c r="BC133" s="2">
        <f t="shared" si="45"/>
        <v>0.10229672310995513</v>
      </c>
      <c r="BD133" s="2">
        <f t="shared" si="45"/>
        <v>0.10229672310995513</v>
      </c>
      <c r="BE133" s="2">
        <f t="shared" si="45"/>
        <v>9.7664880856550215E-2</v>
      </c>
      <c r="BF133" s="2">
        <f t="shared" si="45"/>
        <v>9.5083836336063571E-2</v>
      </c>
      <c r="BG133" s="2">
        <f t="shared" si="45"/>
        <v>9.1401408178179822E-2</v>
      </c>
      <c r="BH133" s="2">
        <f t="shared" si="45"/>
        <v>8.6514305595037269E-2</v>
      </c>
      <c r="BI133" s="2">
        <f t="shared" si="45"/>
        <v>8.0615796274907531E-2</v>
      </c>
      <c r="BJ133" s="2">
        <f t="shared" si="45"/>
        <v>7.4260401472724086E-2</v>
      </c>
      <c r="BK133" s="2">
        <f t="shared" si="38"/>
        <v>6.8197815406636747E-2</v>
      </c>
      <c r="BL133" s="2">
        <f t="shared" si="38"/>
        <v>6.3050408193700433E-2</v>
      </c>
      <c r="BM133" s="2">
        <f t="shared" si="38"/>
        <v>5.9094893941090569E-2</v>
      </c>
      <c r="BN133" s="2">
        <f t="shared" si="38"/>
        <v>5.6281998041799348E-2</v>
      </c>
      <c r="BO133" s="2">
        <f t="shared" si="38"/>
        <v>5.4390090407806409E-2</v>
      </c>
      <c r="BP133" s="2">
        <f t="shared" si="35"/>
        <v>5.3164856170053273E-2</v>
      </c>
      <c r="BQ133" s="2">
        <f t="shared" si="35"/>
        <v>5.2390698875248373E-2</v>
      </c>
      <c r="BR133" s="2">
        <f t="shared" si="35"/>
        <v>5.1909148017373341E-2</v>
      </c>
      <c r="BS133" s="2">
        <f t="shared" si="35"/>
        <v>5.1612518350842851E-2</v>
      </c>
      <c r="BT133" s="2">
        <f t="shared" si="35"/>
        <v>5.1430895705254387E-2</v>
      </c>
      <c r="BU133" s="2">
        <f t="shared" si="35"/>
        <v>5.1320100445829193E-2</v>
      </c>
    </row>
    <row r="134" spans="1:73" x14ac:dyDescent="0.25">
      <c r="A134" t="s">
        <v>36</v>
      </c>
      <c r="B134" s="1" t="s">
        <v>5</v>
      </c>
      <c r="C134" t="s">
        <v>8</v>
      </c>
      <c r="D134" t="s">
        <v>8</v>
      </c>
      <c r="E134" s="97">
        <v>7.6496700000000004</v>
      </c>
      <c r="F134" s="5">
        <f t="shared" si="29"/>
        <v>1.8741691500000001E-2</v>
      </c>
      <c r="G134" s="1">
        <f>LOOKUP(RIGHT(D134,5),Ref!$C$4:$C$21,Ref!$E$4:$E$21)*$G$3</f>
        <v>4</v>
      </c>
      <c r="H134" s="36">
        <f t="shared" ref="H134:L149" si="53">$E134</f>
        <v>7.6496700000000004</v>
      </c>
      <c r="I134" s="12">
        <f t="shared" si="53"/>
        <v>7.6496700000000004</v>
      </c>
      <c r="J134" s="12">
        <f t="shared" si="53"/>
        <v>7.6496700000000004</v>
      </c>
      <c r="K134" s="12">
        <f t="shared" si="53"/>
        <v>7.6496700000000004</v>
      </c>
      <c r="L134" s="12">
        <f t="shared" si="53"/>
        <v>7.6496700000000004</v>
      </c>
      <c r="M134" s="12">
        <f t="shared" si="52"/>
        <v>8.0124622792702382</v>
      </c>
      <c r="N134" s="12">
        <f t="shared" si="52"/>
        <v>8.2299600439631053</v>
      </c>
      <c r="O134" s="12">
        <f t="shared" si="52"/>
        <v>8.5615330165049333</v>
      </c>
      <c r="P134" s="12">
        <f t="shared" si="52"/>
        <v>9.0451650566957706</v>
      </c>
      <c r="Q134" s="12">
        <f t="shared" si="52"/>
        <v>9.7069831228114118</v>
      </c>
      <c r="R134" s="12">
        <f t="shared" si="52"/>
        <v>10.537731527885111</v>
      </c>
      <c r="S134" s="12">
        <f t="shared" si="52"/>
        <v>11.474505000000001</v>
      </c>
      <c r="T134" s="12">
        <f t="shared" si="52"/>
        <v>12.411278472114891</v>
      </c>
      <c r="U134" s="12">
        <f t="shared" si="52"/>
        <v>13.242026877188589</v>
      </c>
      <c r="V134" s="12">
        <f t="shared" si="52"/>
        <v>13.903844943304231</v>
      </c>
      <c r="W134" s="12">
        <f t="shared" si="52"/>
        <v>14.387476983495066</v>
      </c>
      <c r="X134" s="12">
        <f t="shared" si="52"/>
        <v>14.719049956036896</v>
      </c>
      <c r="Y134" s="12">
        <f t="shared" si="52"/>
        <v>14.936547720729763</v>
      </c>
      <c r="Z134" s="12">
        <f t="shared" si="52"/>
        <v>15.075111107788274</v>
      </c>
      <c r="AA134" s="12">
        <f t="shared" si="52"/>
        <v>15.161751429239288</v>
      </c>
      <c r="AB134" s="12">
        <f t="shared" si="52"/>
        <v>15.215293514567032</v>
      </c>
      <c r="AC134" s="12">
        <f t="shared" si="51"/>
        <v>15.248141899070028</v>
      </c>
      <c r="AD134" s="300">
        <f t="shared" si="46"/>
        <v>1.7966261425040896E-3</v>
      </c>
      <c r="AE134" s="299">
        <f t="shared" si="46"/>
        <v>1.7966261425040896E-3</v>
      </c>
      <c r="AF134" s="299">
        <f t="shared" si="44"/>
        <v>1.7966261425040896E-3</v>
      </c>
      <c r="AG134" s="299">
        <f t="shared" si="44"/>
        <v>1.7966261425040896E-3</v>
      </c>
      <c r="AH134" s="299">
        <f t="shared" si="44"/>
        <v>1.7966261425040896E-3</v>
      </c>
      <c r="AI134" s="299">
        <f t="shared" si="44"/>
        <v>1.7152776043746947E-3</v>
      </c>
      <c r="AJ134" s="299">
        <f t="shared" si="44"/>
        <v>1.6699470021863051E-3</v>
      </c>
      <c r="AK134" s="299">
        <f t="shared" si="44"/>
        <v>1.6052729198187214E-3</v>
      </c>
      <c r="AL134" s="299">
        <f t="shared" si="44"/>
        <v>1.5194412724790943E-3</v>
      </c>
      <c r="AM134" s="299">
        <f t="shared" si="44"/>
        <v>1.415846399406197E-3</v>
      </c>
      <c r="AN134" s="299">
        <f t="shared" si="44"/>
        <v>1.3042272966587484E-3</v>
      </c>
      <c r="AO134" s="299">
        <f t="shared" si="37"/>
        <v>1.197750761669393E-3</v>
      </c>
      <c r="AP134" s="299">
        <f t="shared" si="37"/>
        <v>1.1073474126301946E-3</v>
      </c>
      <c r="AQ134" s="299">
        <f t="shared" si="37"/>
        <v>1.0378771490945017E-3</v>
      </c>
      <c r="AR134" s="299">
        <f t="shared" si="37"/>
        <v>9.8847456653692461E-4</v>
      </c>
      <c r="AS134" s="299">
        <f t="shared" si="37"/>
        <v>9.5524719999868992E-4</v>
      </c>
      <c r="AT134" s="299">
        <f t="shared" si="34"/>
        <v>9.337285452919084E-4</v>
      </c>
      <c r="AU134" s="299">
        <f t="shared" si="34"/>
        <v>9.2013210552363046E-4</v>
      </c>
      <c r="AV134" s="299">
        <f t="shared" si="34"/>
        <v>9.1167468055534842E-4</v>
      </c>
      <c r="AW134" s="299">
        <f t="shared" si="34"/>
        <v>9.0646500621457677E-4</v>
      </c>
      <c r="AX134" s="299">
        <f t="shared" si="34"/>
        <v>9.0327518758486131E-4</v>
      </c>
      <c r="AY134" s="299">
        <f t="shared" si="34"/>
        <v>9.0132930257997342E-4</v>
      </c>
      <c r="AZ134" s="306">
        <f t="shared" si="47"/>
        <v>9.9460842008376529E-2</v>
      </c>
      <c r="BA134" s="2">
        <f t="shared" si="47"/>
        <v>9.9460842008376529E-2</v>
      </c>
      <c r="BB134" s="2">
        <f t="shared" si="45"/>
        <v>9.9460842008376529E-2</v>
      </c>
      <c r="BC134" s="2">
        <f t="shared" si="45"/>
        <v>9.9460842008376529E-2</v>
      </c>
      <c r="BD134" s="2">
        <f t="shared" si="45"/>
        <v>9.9460842008376529E-2</v>
      </c>
      <c r="BE134" s="2">
        <f t="shared" si="45"/>
        <v>9.4957404199538284E-2</v>
      </c>
      <c r="BF134" s="2">
        <f t="shared" si="45"/>
        <v>9.2447911681456593E-2</v>
      </c>
      <c r="BG134" s="2">
        <f t="shared" si="45"/>
        <v>8.8867568205304406E-2</v>
      </c>
      <c r="BH134" s="2">
        <f t="shared" si="45"/>
        <v>8.4115946421894947E-2</v>
      </c>
      <c r="BI134" s="2">
        <f t="shared" si="45"/>
        <v>7.8380956231214355E-2</v>
      </c>
      <c r="BJ134" s="2">
        <f t="shared" si="45"/>
        <v>7.2201746388476887E-2</v>
      </c>
      <c r="BK134" s="2">
        <f t="shared" si="38"/>
        <v>6.6307228005584362E-2</v>
      </c>
      <c r="BL134" s="2">
        <f t="shared" si="38"/>
        <v>6.1302517786193035E-2</v>
      </c>
      <c r="BM134" s="2">
        <f t="shared" si="38"/>
        <v>5.7456658738314841E-2</v>
      </c>
      <c r="BN134" s="2">
        <f t="shared" si="38"/>
        <v>5.4721742251061418E-2</v>
      </c>
      <c r="BO134" s="2">
        <f t="shared" si="38"/>
        <v>5.2882282290288726E-2</v>
      </c>
      <c r="BP134" s="2">
        <f t="shared" si="35"/>
        <v>5.1691014131938898E-2</v>
      </c>
      <c r="BQ134" s="2">
        <f t="shared" si="35"/>
        <v>5.0938318111505683E-2</v>
      </c>
      <c r="BR134" s="2">
        <f t="shared" si="35"/>
        <v>5.0470116859911082E-2</v>
      </c>
      <c r="BS134" s="2">
        <f t="shared" si="35"/>
        <v>5.0181710393888947E-2</v>
      </c>
      <c r="BT134" s="2">
        <f t="shared" si="35"/>
        <v>5.0005122711421345E-2</v>
      </c>
      <c r="BU134" s="2">
        <f t="shared" si="35"/>
        <v>4.9897398930463847E-2</v>
      </c>
    </row>
    <row r="135" spans="1:73" x14ac:dyDescent="0.25">
      <c r="A135" t="s">
        <v>36</v>
      </c>
      <c r="B135" s="1" t="s">
        <v>5</v>
      </c>
      <c r="C135" t="s">
        <v>9</v>
      </c>
      <c r="D135" t="s">
        <v>9</v>
      </c>
      <c r="E135" s="97">
        <v>7.6821549999999998</v>
      </c>
      <c r="F135" s="5">
        <f t="shared" ref="F135:F195" si="54">E135/$B$2*$F$3/1000</f>
        <v>1.8821279749999999E-2</v>
      </c>
      <c r="G135" s="1">
        <f>LOOKUP(RIGHT(D135,5),Ref!$C$4:$C$21,Ref!$E$4:$E$21)*$G$3</f>
        <v>4.5</v>
      </c>
      <c r="H135" s="36">
        <f t="shared" si="53"/>
        <v>7.6821549999999998</v>
      </c>
      <c r="I135" s="12">
        <f t="shared" si="53"/>
        <v>7.6821549999999998</v>
      </c>
      <c r="J135" s="12">
        <f t="shared" si="53"/>
        <v>7.6821549999999998</v>
      </c>
      <c r="K135" s="12">
        <f t="shared" si="53"/>
        <v>7.6821549999999998</v>
      </c>
      <c r="L135" s="12">
        <f t="shared" si="53"/>
        <v>7.6821549999999998</v>
      </c>
      <c r="M135" s="12">
        <f t="shared" si="52"/>
        <v>8.04648790876041</v>
      </c>
      <c r="N135" s="12">
        <f t="shared" si="52"/>
        <v>8.2649092969410951</v>
      </c>
      <c r="O135" s="12">
        <f t="shared" si="52"/>
        <v>8.5978903234268209</v>
      </c>
      <c r="P135" s="12">
        <f t="shared" si="52"/>
        <v>9.0835761498366185</v>
      </c>
      <c r="Q135" s="12">
        <f t="shared" si="52"/>
        <v>9.748204684884616</v>
      </c>
      <c r="R135" s="12">
        <f t="shared" si="52"/>
        <v>10.582480936511017</v>
      </c>
      <c r="S135" s="12">
        <f t="shared" si="52"/>
        <v>11.523232499999999</v>
      </c>
      <c r="T135" s="12">
        <f t="shared" si="52"/>
        <v>12.463984063488983</v>
      </c>
      <c r="U135" s="12">
        <f t="shared" si="52"/>
        <v>13.298260315115384</v>
      </c>
      <c r="V135" s="12">
        <f t="shared" si="52"/>
        <v>13.962888850163381</v>
      </c>
      <c r="W135" s="12">
        <f t="shared" si="52"/>
        <v>14.448574676573177</v>
      </c>
      <c r="X135" s="12">
        <f t="shared" si="52"/>
        <v>14.781555703058904</v>
      </c>
      <c r="Y135" s="12">
        <f t="shared" si="52"/>
        <v>14.99997709123959</v>
      </c>
      <c r="Z135" s="12">
        <f t="shared" si="52"/>
        <v>15.139128899972315</v>
      </c>
      <c r="AA135" s="12">
        <f t="shared" si="52"/>
        <v>15.226137147208668</v>
      </c>
      <c r="AB135" s="12">
        <f t="shared" si="52"/>
        <v>15.279906603735675</v>
      </c>
      <c r="AC135" s="12">
        <f t="shared" si="51"/>
        <v>15.312894481807751</v>
      </c>
      <c r="AD135" s="300">
        <f t="shared" si="46"/>
        <v>1.7890288732171193E-3</v>
      </c>
      <c r="AE135" s="299">
        <f t="shared" si="46"/>
        <v>1.7890288732171193E-3</v>
      </c>
      <c r="AF135" s="299">
        <f t="shared" si="44"/>
        <v>1.7890288732171193E-3</v>
      </c>
      <c r="AG135" s="299">
        <f t="shared" si="44"/>
        <v>1.7890288732171193E-3</v>
      </c>
      <c r="AH135" s="299">
        <f t="shared" si="44"/>
        <v>1.7890288732171193E-3</v>
      </c>
      <c r="AI135" s="299">
        <f t="shared" si="44"/>
        <v>1.7080243280507843E-3</v>
      </c>
      <c r="AJ135" s="299">
        <f t="shared" si="44"/>
        <v>1.6628854122592571E-3</v>
      </c>
      <c r="AK135" s="299">
        <f t="shared" si="44"/>
        <v>1.5984848127315421E-3</v>
      </c>
      <c r="AL135" s="299">
        <f t="shared" si="44"/>
        <v>1.5130161157702695E-3</v>
      </c>
      <c r="AM135" s="299">
        <f t="shared" si="44"/>
        <v>1.4098593072055436E-3</v>
      </c>
      <c r="AN135" s="299">
        <f t="shared" si="44"/>
        <v>1.2987122004738943E-3</v>
      </c>
      <c r="AO135" s="299">
        <f t="shared" si="37"/>
        <v>1.1926859154780796E-3</v>
      </c>
      <c r="AP135" s="299">
        <f t="shared" si="37"/>
        <v>1.1026648488574914E-3</v>
      </c>
      <c r="AQ135" s="299">
        <f t="shared" si="37"/>
        <v>1.033488349442798E-3</v>
      </c>
      <c r="AR135" s="299">
        <f t="shared" si="37"/>
        <v>9.8429467218515056E-4</v>
      </c>
      <c r="AS135" s="299">
        <f t="shared" si="37"/>
        <v>9.5120781192438561E-4</v>
      </c>
      <c r="AT135" s="299">
        <f t="shared" si="34"/>
        <v>9.2978015167139349E-4</v>
      </c>
      <c r="AU135" s="299">
        <f t="shared" si="34"/>
        <v>9.1624120623196872E-4</v>
      </c>
      <c r="AV135" s="299">
        <f t="shared" si="34"/>
        <v>9.0781954459443121E-4</v>
      </c>
      <c r="AW135" s="299">
        <f t="shared" si="34"/>
        <v>9.0263190004490437E-4</v>
      </c>
      <c r="AX135" s="299">
        <f t="shared" si="34"/>
        <v>8.9945556998163759E-4</v>
      </c>
      <c r="AY135" s="299">
        <f t="shared" si="34"/>
        <v>8.9751791340671281E-4</v>
      </c>
      <c r="AZ135" s="306">
        <f t="shared" si="47"/>
        <v>9.9040258792775962E-2</v>
      </c>
      <c r="BA135" s="2">
        <f t="shared" si="47"/>
        <v>9.9040258792775962E-2</v>
      </c>
      <c r="BB135" s="2">
        <f t="shared" si="45"/>
        <v>9.9040258792775962E-2</v>
      </c>
      <c r="BC135" s="2">
        <f t="shared" si="45"/>
        <v>9.9040258792775962E-2</v>
      </c>
      <c r="BD135" s="2">
        <f t="shared" si="45"/>
        <v>9.9040258792775962E-2</v>
      </c>
      <c r="BE135" s="2">
        <f t="shared" si="45"/>
        <v>9.4555864361378042E-2</v>
      </c>
      <c r="BF135" s="2">
        <f t="shared" si="45"/>
        <v>9.2056983561551162E-2</v>
      </c>
      <c r="BG135" s="2">
        <f t="shared" si="45"/>
        <v>8.8491780037381576E-2</v>
      </c>
      <c r="BH135" s="2">
        <f t="shared" si="45"/>
        <v>8.3760251109900444E-2</v>
      </c>
      <c r="BI135" s="2">
        <f t="shared" si="45"/>
        <v>7.8049512077435768E-2</v>
      </c>
      <c r="BJ135" s="2">
        <f t="shared" si="45"/>
        <v>7.1896431833976274E-2</v>
      </c>
      <c r="BK135" s="2">
        <f t="shared" si="38"/>
        <v>6.602683919518397E-2</v>
      </c>
      <c r="BL135" s="2">
        <f t="shared" si="38"/>
        <v>6.1043292049367301E-2</v>
      </c>
      <c r="BM135" s="2">
        <f t="shared" si="38"/>
        <v>5.721369572089146E-2</v>
      </c>
      <c r="BN135" s="2">
        <f t="shared" si="38"/>
        <v>5.4490344186712843E-2</v>
      </c>
      <c r="BO135" s="2">
        <f t="shared" si="38"/>
        <v>5.2658662623645706E-2</v>
      </c>
      <c r="BP135" s="2">
        <f t="shared" si="35"/>
        <v>5.1472431898948803E-2</v>
      </c>
      <c r="BQ135" s="2">
        <f t="shared" si="35"/>
        <v>5.0722918752360721E-2</v>
      </c>
      <c r="BR135" s="2">
        <f t="shared" si="35"/>
        <v>5.0256697351167223E-2</v>
      </c>
      <c r="BS135" s="2">
        <f t="shared" si="35"/>
        <v>4.9969510449713719E-2</v>
      </c>
      <c r="BT135" s="2">
        <f t="shared" si="35"/>
        <v>4.9793669491422464E-2</v>
      </c>
      <c r="BU135" s="2">
        <f t="shared" si="35"/>
        <v>4.968640123460167E-2</v>
      </c>
    </row>
    <row r="136" spans="1:73" x14ac:dyDescent="0.25">
      <c r="A136" t="s">
        <v>36</v>
      </c>
      <c r="B136" s="1" t="s">
        <v>5</v>
      </c>
      <c r="C136" t="s">
        <v>10</v>
      </c>
      <c r="D136" t="s">
        <v>10</v>
      </c>
      <c r="E136" s="97">
        <v>7.2560174999999996</v>
      </c>
      <c r="F136" s="5">
        <f t="shared" si="54"/>
        <v>1.7777242874999998E-2</v>
      </c>
      <c r="G136" s="1">
        <f>LOOKUP(RIGHT(D136,5),Ref!$C$4:$C$21,Ref!$E$4:$E$21)*$G$3</f>
        <v>4.5</v>
      </c>
      <c r="H136" s="36">
        <f t="shared" si="53"/>
        <v>7.2560174999999996</v>
      </c>
      <c r="I136" s="12">
        <f t="shared" si="53"/>
        <v>7.2560174999999996</v>
      </c>
      <c r="J136" s="12">
        <f t="shared" si="53"/>
        <v>7.2560174999999996</v>
      </c>
      <c r="K136" s="12">
        <f t="shared" si="53"/>
        <v>7.2560174999999996</v>
      </c>
      <c r="L136" s="12">
        <f t="shared" si="53"/>
        <v>7.2560174999999996</v>
      </c>
      <c r="M136" s="12">
        <f t="shared" si="52"/>
        <v>7.6001404657292042</v>
      </c>
      <c r="N136" s="12">
        <f t="shared" si="52"/>
        <v>7.8064457817522923</v>
      </c>
      <c r="O136" s="12">
        <f t="shared" si="52"/>
        <v>8.1209559882436206</v>
      </c>
      <c r="P136" s="12">
        <f t="shared" si="52"/>
        <v>8.5797002931855886</v>
      </c>
      <c r="Q136" s="12">
        <f t="shared" si="52"/>
        <v>9.2074611599355585</v>
      </c>
      <c r="R136" s="12">
        <f t="shared" si="52"/>
        <v>9.9954591997610471</v>
      </c>
      <c r="S136" s="12">
        <f t="shared" si="52"/>
        <v>10.88402625</v>
      </c>
      <c r="T136" s="12">
        <f t="shared" si="52"/>
        <v>11.772593300238951</v>
      </c>
      <c r="U136" s="12">
        <f t="shared" si="52"/>
        <v>12.560591340064439</v>
      </c>
      <c r="V136" s="12">
        <f t="shared" si="52"/>
        <v>13.188352206814411</v>
      </c>
      <c r="W136" s="12">
        <f t="shared" si="52"/>
        <v>13.647096511756377</v>
      </c>
      <c r="X136" s="12">
        <f t="shared" si="52"/>
        <v>13.961606718247706</v>
      </c>
      <c r="Y136" s="12">
        <f t="shared" si="52"/>
        <v>14.167912034270794</v>
      </c>
      <c r="Z136" s="12">
        <f t="shared" si="52"/>
        <v>14.29934494070412</v>
      </c>
      <c r="AA136" s="12">
        <f t="shared" si="52"/>
        <v>14.381526745756389</v>
      </c>
      <c r="AB136" s="12">
        <f t="shared" si="52"/>
        <v>14.43231355200092</v>
      </c>
      <c r="AC136" s="12">
        <f t="shared" si="51"/>
        <v>14.463471556568498</v>
      </c>
      <c r="AD136" s="300">
        <f t="shared" si="46"/>
        <v>1.8940964659373079E-3</v>
      </c>
      <c r="AE136" s="299">
        <f t="shared" si="46"/>
        <v>1.8940964659373079E-3</v>
      </c>
      <c r="AF136" s="299">
        <f t="shared" si="44"/>
        <v>1.8940964659373079E-3</v>
      </c>
      <c r="AG136" s="299">
        <f t="shared" si="44"/>
        <v>1.8940964659373079E-3</v>
      </c>
      <c r="AH136" s="299">
        <f t="shared" si="44"/>
        <v>1.8940964659373079E-3</v>
      </c>
      <c r="AI136" s="299">
        <f t="shared" si="44"/>
        <v>1.8083346176958606E-3</v>
      </c>
      <c r="AJ136" s="299">
        <f t="shared" si="44"/>
        <v>1.760544745683774E-3</v>
      </c>
      <c r="AK136" s="299">
        <f t="shared" si="44"/>
        <v>1.6923619735687903E-3</v>
      </c>
      <c r="AL136" s="299">
        <f t="shared" si="44"/>
        <v>1.6018737990702409E-3</v>
      </c>
      <c r="AM136" s="299">
        <f t="shared" si="44"/>
        <v>1.492658710669538E-3</v>
      </c>
      <c r="AN136" s="299">
        <f t="shared" si="44"/>
        <v>1.3749840631491763E-3</v>
      </c>
      <c r="AO136" s="299">
        <f t="shared" si="37"/>
        <v>1.2627309772915386E-3</v>
      </c>
      <c r="AP136" s="299">
        <f t="shared" si="37"/>
        <v>1.1674230777385559E-3</v>
      </c>
      <c r="AQ136" s="299">
        <f t="shared" si="37"/>
        <v>1.0941839226702166E-3</v>
      </c>
      <c r="AR136" s="299">
        <f t="shared" si="37"/>
        <v>1.042101157749484E-3</v>
      </c>
      <c r="AS136" s="299">
        <f t="shared" si="37"/>
        <v>1.0070711445243866E-3</v>
      </c>
      <c r="AT136" s="299">
        <f t="shared" si="34"/>
        <v>9.8438506261363818E-4</v>
      </c>
      <c r="AU136" s="299">
        <f t="shared" si="34"/>
        <v>9.7005099059655668E-4</v>
      </c>
      <c r="AV136" s="299">
        <f t="shared" si="34"/>
        <v>9.6113473452948996E-4</v>
      </c>
      <c r="AW136" s="299">
        <f t="shared" si="34"/>
        <v>9.556424256266557E-4</v>
      </c>
      <c r="AX136" s="299">
        <f t="shared" si="34"/>
        <v>9.522795533792864E-4</v>
      </c>
      <c r="AY136" s="299">
        <f t="shared" si="34"/>
        <v>9.5022810047893985E-4</v>
      </c>
      <c r="AZ136" s="306">
        <f t="shared" si="47"/>
        <v>0.10485677843062229</v>
      </c>
      <c r="BA136" s="2">
        <f t="shared" si="47"/>
        <v>0.10485677843062229</v>
      </c>
      <c r="BB136" s="2">
        <f t="shared" si="45"/>
        <v>0.10485677843062229</v>
      </c>
      <c r="BC136" s="2">
        <f t="shared" si="45"/>
        <v>0.10485677843062229</v>
      </c>
      <c r="BD136" s="2">
        <f t="shared" si="45"/>
        <v>0.10485677843062229</v>
      </c>
      <c r="BE136" s="2">
        <f t="shared" si="45"/>
        <v>0.10010902071047681</v>
      </c>
      <c r="BF136" s="2">
        <f t="shared" si="45"/>
        <v>9.7463383536807641E-2</v>
      </c>
      <c r="BG136" s="2">
        <f t="shared" si="45"/>
        <v>9.3688799740776679E-2</v>
      </c>
      <c r="BH136" s="2">
        <f t="shared" si="45"/>
        <v>8.8679393601955495E-2</v>
      </c>
      <c r="BI136" s="2">
        <f t="shared" si="45"/>
        <v>8.2633269483326582E-2</v>
      </c>
      <c r="BJ136" s="2">
        <f t="shared" si="45"/>
        <v>7.6118825966935727E-2</v>
      </c>
      <c r="BK136" s="2">
        <f t="shared" si="38"/>
        <v>6.990451895374819E-2</v>
      </c>
      <c r="BL136" s="2">
        <f t="shared" si="38"/>
        <v>6.4628293858650057E-2</v>
      </c>
      <c r="BM136" s="2">
        <f t="shared" si="38"/>
        <v>6.0573789775276173E-2</v>
      </c>
      <c r="BN136" s="2">
        <f t="shared" si="38"/>
        <v>5.7690498961128066E-2</v>
      </c>
      <c r="BO136" s="2">
        <f t="shared" si="38"/>
        <v>5.575124486228885E-2</v>
      </c>
      <c r="BP136" s="2">
        <f t="shared" si="35"/>
        <v>5.449534818165324E-2</v>
      </c>
      <c r="BQ136" s="2">
        <f t="shared" si="35"/>
        <v>5.3701816996450422E-2</v>
      </c>
      <c r="BR136" s="2">
        <f t="shared" si="35"/>
        <v>5.3208214952590184E-2</v>
      </c>
      <c r="BS136" s="2">
        <f t="shared" si="35"/>
        <v>5.2904161897186781E-2</v>
      </c>
      <c r="BT136" s="2">
        <f t="shared" si="35"/>
        <v>5.2717994003167512E-2</v>
      </c>
      <c r="BU136" s="2">
        <f t="shared" si="35"/>
        <v>5.2604426005918734E-2</v>
      </c>
    </row>
    <row r="137" spans="1:73" x14ac:dyDescent="0.25">
      <c r="A137" t="s">
        <v>37</v>
      </c>
      <c r="B137" s="1" t="s">
        <v>5</v>
      </c>
      <c r="C137" t="s">
        <v>13</v>
      </c>
      <c r="D137" t="s">
        <v>13</v>
      </c>
      <c r="E137" s="97">
        <v>7.5773270000000004</v>
      </c>
      <c r="F137" s="5">
        <f t="shared" si="54"/>
        <v>1.8564451150000001E-2</v>
      </c>
      <c r="G137" s="1">
        <f>LOOKUP(RIGHT(D137,5),Ref!$C$4:$C$21,Ref!$E$4:$E$21)*$G$3</f>
        <v>1.5</v>
      </c>
      <c r="H137" s="36">
        <f t="shared" si="53"/>
        <v>7.5773270000000004</v>
      </c>
      <c r="I137" s="12">
        <f t="shared" si="53"/>
        <v>7.5773270000000004</v>
      </c>
      <c r="J137" s="12">
        <f t="shared" si="53"/>
        <v>7.5773270000000004</v>
      </c>
      <c r="K137" s="12">
        <f t="shared" si="53"/>
        <v>7.5773270000000004</v>
      </c>
      <c r="L137" s="12">
        <f t="shared" si="53"/>
        <v>7.5773270000000004</v>
      </c>
      <c r="M137" s="12">
        <f t="shared" si="52"/>
        <v>7.9366883493269524</v>
      </c>
      <c r="N137" s="12">
        <f t="shared" si="52"/>
        <v>8.1521292356458286</v>
      </c>
      <c r="O137" s="12">
        <f t="shared" si="52"/>
        <v>8.4805665195170867</v>
      </c>
      <c r="P137" s="12">
        <f t="shared" si="52"/>
        <v>8.9596248470270474</v>
      </c>
      <c r="Q137" s="12">
        <f t="shared" si="52"/>
        <v>9.615184093565242</v>
      </c>
      <c r="R137" s="12">
        <f t="shared" si="52"/>
        <v>10.438076103282246</v>
      </c>
      <c r="S137" s="12">
        <f t="shared" si="52"/>
        <v>11.365990500000001</v>
      </c>
      <c r="T137" s="12">
        <f t="shared" si="52"/>
        <v>12.293904896717756</v>
      </c>
      <c r="U137" s="12">
        <f t="shared" si="52"/>
        <v>13.116796906434759</v>
      </c>
      <c r="V137" s="12">
        <f t="shared" si="52"/>
        <v>13.772356152972954</v>
      </c>
      <c r="W137" s="12">
        <f t="shared" si="52"/>
        <v>14.251414480482913</v>
      </c>
      <c r="X137" s="12">
        <f t="shared" si="52"/>
        <v>14.579851764354173</v>
      </c>
      <c r="Y137" s="12">
        <f t="shared" si="52"/>
        <v>14.795292650673048</v>
      </c>
      <c r="Z137" s="12">
        <f t="shared" si="52"/>
        <v>14.932545642497519</v>
      </c>
      <c r="AA137" s="12">
        <f t="shared" si="52"/>
        <v>15.018366605626575</v>
      </c>
      <c r="AB137" s="12">
        <f t="shared" si="52"/>
        <v>15.071402342957757</v>
      </c>
      <c r="AC137" s="12">
        <f t="shared" si="51"/>
        <v>15.103940079984444</v>
      </c>
      <c r="AD137" s="300">
        <f t="shared" si="46"/>
        <v>1.8137790679390317E-3</v>
      </c>
      <c r="AE137" s="299">
        <f t="shared" si="46"/>
        <v>1.8137790679390317E-3</v>
      </c>
      <c r="AF137" s="299">
        <f t="shared" si="44"/>
        <v>1.8137790679390317E-3</v>
      </c>
      <c r="AG137" s="299">
        <f t="shared" si="44"/>
        <v>1.8137790679390317E-3</v>
      </c>
      <c r="AH137" s="299">
        <f t="shared" si="44"/>
        <v>1.8137790679390317E-3</v>
      </c>
      <c r="AI137" s="299">
        <f t="shared" si="44"/>
        <v>1.7316538710625755E-3</v>
      </c>
      <c r="AJ137" s="299">
        <f t="shared" si="44"/>
        <v>1.6858904841000675E-3</v>
      </c>
      <c r="AK137" s="299">
        <f t="shared" si="44"/>
        <v>1.6205989389859615E-3</v>
      </c>
      <c r="AL137" s="299">
        <f t="shared" si="44"/>
        <v>1.5339478313190326E-3</v>
      </c>
      <c r="AM137" s="299">
        <f t="shared" si="44"/>
        <v>1.4293639071067679E-3</v>
      </c>
      <c r="AN137" s="299">
        <f t="shared" si="44"/>
        <v>1.3166791435068762E-3</v>
      </c>
      <c r="AO137" s="299">
        <f t="shared" si="37"/>
        <v>1.2091860452926877E-3</v>
      </c>
      <c r="AP137" s="299">
        <f t="shared" si="37"/>
        <v>1.1179195885270387E-3</v>
      </c>
      <c r="AQ137" s="299">
        <f t="shared" si="37"/>
        <v>1.0477860716732611E-3</v>
      </c>
      <c r="AR137" s="299">
        <f t="shared" si="37"/>
        <v>9.9791182793094665E-4</v>
      </c>
      <c r="AS137" s="299">
        <f t="shared" si="37"/>
        <v>9.6436722981784709E-4</v>
      </c>
      <c r="AT137" s="299">
        <f t="shared" si="34"/>
        <v>9.4264313009893245E-4</v>
      </c>
      <c r="AU137" s="299">
        <f t="shared" si="34"/>
        <v>9.2891688106649614E-4</v>
      </c>
      <c r="AV137" s="299">
        <f t="shared" si="34"/>
        <v>9.2037871054051544E-4</v>
      </c>
      <c r="AW137" s="299">
        <f t="shared" si="34"/>
        <v>9.1511929788558181E-4</v>
      </c>
      <c r="AX137" s="299">
        <f t="shared" si="34"/>
        <v>9.1189902510638461E-4</v>
      </c>
      <c r="AY137" s="299">
        <f t="shared" si="34"/>
        <v>9.0993456215720202E-4</v>
      </c>
      <c r="AZ137" s="306">
        <f t="shared" si="47"/>
        <v>0.10041042432063678</v>
      </c>
      <c r="BA137" s="2">
        <f t="shared" si="47"/>
        <v>0.10041042432063678</v>
      </c>
      <c r="BB137" s="2">
        <f t="shared" si="45"/>
        <v>0.10041042432063678</v>
      </c>
      <c r="BC137" s="2">
        <f t="shared" si="45"/>
        <v>0.10041042432063678</v>
      </c>
      <c r="BD137" s="2">
        <f t="shared" si="45"/>
        <v>0.10041042432063678</v>
      </c>
      <c r="BE137" s="2">
        <f t="shared" si="45"/>
        <v>9.586399084836672E-2</v>
      </c>
      <c r="BF137" s="2">
        <f t="shared" si="45"/>
        <v>9.3330539457025949E-2</v>
      </c>
      <c r="BG137" s="2">
        <f t="shared" si="45"/>
        <v>8.9716013374250711E-2</v>
      </c>
      <c r="BH137" s="2">
        <f t="shared" si="45"/>
        <v>8.4919026441009751E-2</v>
      </c>
      <c r="BI137" s="2">
        <f t="shared" si="45"/>
        <v>7.9129282589128533E-2</v>
      </c>
      <c r="BJ137" s="2">
        <f t="shared" si="45"/>
        <v>7.2891077987731034E-2</v>
      </c>
      <c r="BK137" s="2">
        <f t="shared" si="38"/>
        <v>6.6940282880424515E-2</v>
      </c>
      <c r="BL137" s="2">
        <f t="shared" si="38"/>
        <v>6.1887791200446705E-2</v>
      </c>
      <c r="BM137" s="2">
        <f t="shared" si="38"/>
        <v>5.8005214589620442E-2</v>
      </c>
      <c r="BN137" s="2">
        <f t="shared" si="38"/>
        <v>5.5244187039265563E-2</v>
      </c>
      <c r="BO137" s="2">
        <f t="shared" si="38"/>
        <v>5.3387165205824288E-2</v>
      </c>
      <c r="BP137" s="2">
        <f t="shared" si="35"/>
        <v>5.2184523655197802E-2</v>
      </c>
      <c r="BQ137" s="2">
        <f t="shared" si="35"/>
        <v>5.1424641421446066E-2</v>
      </c>
      <c r="BR137" s="2">
        <f t="shared" si="35"/>
        <v>5.0951970112911318E-2</v>
      </c>
      <c r="BS137" s="2">
        <f t="shared" si="35"/>
        <v>5.0660810144371557E-2</v>
      </c>
      <c r="BT137" s="2">
        <f t="shared" si="35"/>
        <v>5.0482536526650953E-2</v>
      </c>
      <c r="BU137" s="2">
        <f t="shared" si="35"/>
        <v>5.037378427463951E-2</v>
      </c>
    </row>
    <row r="138" spans="1:73" x14ac:dyDescent="0.25">
      <c r="A138" t="s">
        <v>37</v>
      </c>
      <c r="B138" s="1" t="s">
        <v>5</v>
      </c>
      <c r="C138" t="s">
        <v>15</v>
      </c>
      <c r="D138" t="s">
        <v>15</v>
      </c>
      <c r="E138" s="97">
        <v>5.5848649999999997</v>
      </c>
      <c r="F138" s="5">
        <f t="shared" si="54"/>
        <v>1.368291925E-2</v>
      </c>
      <c r="G138" s="1">
        <f>LOOKUP(RIGHT(D138,5),Ref!$C$4:$C$21,Ref!$E$4:$E$21)*$G$3</f>
        <v>2.5</v>
      </c>
      <c r="H138" s="36">
        <f t="shared" si="53"/>
        <v>5.5848649999999997</v>
      </c>
      <c r="I138" s="12">
        <f t="shared" si="53"/>
        <v>5.5848649999999997</v>
      </c>
      <c r="J138" s="12">
        <f t="shared" si="53"/>
        <v>5.5848649999999997</v>
      </c>
      <c r="K138" s="12">
        <f t="shared" si="53"/>
        <v>5.5848649999999997</v>
      </c>
      <c r="L138" s="12">
        <f t="shared" si="53"/>
        <v>5.5848649999999997</v>
      </c>
      <c r="M138" s="12">
        <f t="shared" si="52"/>
        <v>5.8497320992038313</v>
      </c>
      <c r="N138" s="12">
        <f t="shared" si="52"/>
        <v>6.0085226945643413</v>
      </c>
      <c r="O138" s="12">
        <f t="shared" si="52"/>
        <v>6.2505972270990533</v>
      </c>
      <c r="P138" s="12">
        <f t="shared" si="52"/>
        <v>6.6036869230127859</v>
      </c>
      <c r="Q138" s="12">
        <f t="shared" si="52"/>
        <v>7.0868665312595382</v>
      </c>
      <c r="R138" s="12">
        <f t="shared" si="52"/>
        <v>7.6933786672473543</v>
      </c>
      <c r="S138" s="12">
        <f t="shared" si="52"/>
        <v>8.3772974999999992</v>
      </c>
      <c r="T138" s="12">
        <f t="shared" si="52"/>
        <v>9.0612163327526449</v>
      </c>
      <c r="U138" s="12">
        <f t="shared" si="52"/>
        <v>9.6677284687404619</v>
      </c>
      <c r="V138" s="12">
        <f t="shared" si="52"/>
        <v>10.150908076987212</v>
      </c>
      <c r="W138" s="12">
        <f t="shared" si="52"/>
        <v>10.503997772900945</v>
      </c>
      <c r="X138" s="12">
        <f t="shared" si="52"/>
        <v>10.746072305435657</v>
      </c>
      <c r="Y138" s="12">
        <f t="shared" si="52"/>
        <v>10.904862900796168</v>
      </c>
      <c r="Z138" s="12">
        <f t="shared" si="52"/>
        <v>11.006025148404825</v>
      </c>
      <c r="AA138" s="12">
        <f t="shared" si="52"/>
        <v>11.069279445500063</v>
      </c>
      <c r="AB138" s="12">
        <f t="shared" si="52"/>
        <v>11.108369408645393</v>
      </c>
      <c r="AC138" s="12">
        <f t="shared" si="51"/>
        <v>11.132351331122743</v>
      </c>
      <c r="AD138" s="300">
        <f t="shared" si="46"/>
        <v>2.4608646947650945E-3</v>
      </c>
      <c r="AE138" s="299">
        <f t="shared" si="46"/>
        <v>2.4608646947650945E-3</v>
      </c>
      <c r="AF138" s="299">
        <f t="shared" si="44"/>
        <v>2.4608646947650945E-3</v>
      </c>
      <c r="AG138" s="299">
        <f t="shared" si="44"/>
        <v>2.4608646947650945E-3</v>
      </c>
      <c r="AH138" s="299">
        <f t="shared" si="44"/>
        <v>2.4608646947650945E-3</v>
      </c>
      <c r="AI138" s="299">
        <f t="shared" si="44"/>
        <v>2.3494404308532029E-3</v>
      </c>
      <c r="AJ138" s="299">
        <f t="shared" si="44"/>
        <v>2.287350452377007E-3</v>
      </c>
      <c r="AK138" s="299">
        <f t="shared" si="44"/>
        <v>2.1987654305967433E-3</v>
      </c>
      <c r="AL138" s="299">
        <f t="shared" si="44"/>
        <v>2.0812005874529024E-3</v>
      </c>
      <c r="AM138" s="299">
        <f t="shared" si="44"/>
        <v>1.9393051982716867E-3</v>
      </c>
      <c r="AN138" s="299">
        <f t="shared" si="44"/>
        <v>1.7864189061743711E-3</v>
      </c>
      <c r="AO138" s="299">
        <f t="shared" si="37"/>
        <v>1.6405764631767298E-3</v>
      </c>
      <c r="AP138" s="299">
        <f t="shared" si="37"/>
        <v>1.5167496943927601E-3</v>
      </c>
      <c r="AQ138" s="299">
        <f t="shared" si="37"/>
        <v>1.4215952742123107E-3</v>
      </c>
      <c r="AR138" s="299">
        <f t="shared" si="37"/>
        <v>1.3539278455970765E-3</v>
      </c>
      <c r="AS138" s="299">
        <f t="shared" si="37"/>
        <v>1.3084158432502806E-3</v>
      </c>
      <c r="AT138" s="299">
        <f t="shared" si="34"/>
        <v>1.278941432078153E-3</v>
      </c>
      <c r="AU138" s="299">
        <f t="shared" si="34"/>
        <v>1.2603181927693776E-3</v>
      </c>
      <c r="AV138" s="299">
        <f t="shared" si="34"/>
        <v>1.2487339360224166E-3</v>
      </c>
      <c r="AW138" s="299">
        <f t="shared" si="34"/>
        <v>1.2415981700702634E-3</v>
      </c>
      <c r="AX138" s="299">
        <f t="shared" si="34"/>
        <v>1.2372290295669254E-3</v>
      </c>
      <c r="AY138" s="299">
        <f t="shared" si="34"/>
        <v>1.2345637228593613E-3</v>
      </c>
      <c r="AZ138" s="306">
        <f t="shared" si="47"/>
        <v>0.13623294731138852</v>
      </c>
      <c r="BA138" s="2">
        <f t="shared" si="47"/>
        <v>0.13623294731138852</v>
      </c>
      <c r="BB138" s="2">
        <f t="shared" si="45"/>
        <v>0.13623294731138852</v>
      </c>
      <c r="BC138" s="2">
        <f t="shared" si="45"/>
        <v>0.13623294731138852</v>
      </c>
      <c r="BD138" s="2">
        <f t="shared" si="45"/>
        <v>0.13623294731138852</v>
      </c>
      <c r="BE138" s="2">
        <f t="shared" si="45"/>
        <v>0.13006452370524302</v>
      </c>
      <c r="BF138" s="2">
        <f t="shared" si="45"/>
        <v>0.12662723567217615</v>
      </c>
      <c r="BG138" s="2">
        <f t="shared" si="45"/>
        <v>0.12172318766399387</v>
      </c>
      <c r="BH138" s="2">
        <f t="shared" si="45"/>
        <v>0.11521482289458691</v>
      </c>
      <c r="BI138" s="2">
        <f t="shared" si="45"/>
        <v>0.10735952425944649</v>
      </c>
      <c r="BJ138" s="2">
        <f t="shared" si="45"/>
        <v>9.8895771571119451E-2</v>
      </c>
      <c r="BK138" s="2">
        <f t="shared" si="38"/>
        <v>9.0821964874259017E-2</v>
      </c>
      <c r="BL138" s="2">
        <f t="shared" si="38"/>
        <v>8.3966941230183237E-2</v>
      </c>
      <c r="BM138" s="2">
        <f t="shared" si="38"/>
        <v>7.8699212720580516E-2</v>
      </c>
      <c r="BN138" s="2">
        <f t="shared" si="38"/>
        <v>7.4953158231340786E-2</v>
      </c>
      <c r="BO138" s="2">
        <f t="shared" si="38"/>
        <v>7.2433623438982492E-2</v>
      </c>
      <c r="BP138" s="2">
        <f t="shared" si="35"/>
        <v>7.0801926290907494E-2</v>
      </c>
      <c r="BQ138" s="2">
        <f t="shared" si="35"/>
        <v>6.9770947714589637E-2</v>
      </c>
      <c r="BR138" s="2">
        <f t="shared" si="35"/>
        <v>6.9129645719235119E-2</v>
      </c>
      <c r="BS138" s="2">
        <f t="shared" si="35"/>
        <v>6.8734611230319889E-2</v>
      </c>
      <c r="BT138" s="2">
        <f t="shared" si="35"/>
        <v>6.8492736539178395E-2</v>
      </c>
      <c r="BU138" s="2">
        <f t="shared" si="35"/>
        <v>6.8345185725420657E-2</v>
      </c>
    </row>
    <row r="139" spans="1:73" x14ac:dyDescent="0.25">
      <c r="A139" t="s">
        <v>37</v>
      </c>
      <c r="B139" s="1" t="s">
        <v>5</v>
      </c>
      <c r="C139" t="s">
        <v>6</v>
      </c>
      <c r="D139" t="s">
        <v>6</v>
      </c>
      <c r="E139" s="97">
        <v>6.9280650000000001</v>
      </c>
      <c r="F139" s="5">
        <f t="shared" si="54"/>
        <v>1.6973759250000001E-2</v>
      </c>
      <c r="G139" s="1">
        <f>LOOKUP(RIGHT(D139,5),Ref!$C$4:$C$21,Ref!$E$4:$E$21)*$G$3</f>
        <v>3</v>
      </c>
      <c r="H139" s="36">
        <f t="shared" si="53"/>
        <v>6.9280650000000001</v>
      </c>
      <c r="I139" s="12">
        <f t="shared" si="53"/>
        <v>6.9280650000000001</v>
      </c>
      <c r="J139" s="12">
        <f t="shared" si="53"/>
        <v>6.9280650000000001</v>
      </c>
      <c r="K139" s="12">
        <f t="shared" si="53"/>
        <v>6.9280650000000001</v>
      </c>
      <c r="L139" s="12">
        <f t="shared" si="53"/>
        <v>6.9280650000000001</v>
      </c>
      <c r="M139" s="12">
        <f t="shared" si="52"/>
        <v>7.2566345320559389</v>
      </c>
      <c r="N139" s="12">
        <f t="shared" si="52"/>
        <v>7.4536154019688761</v>
      </c>
      <c r="O139" s="12">
        <f t="shared" si="52"/>
        <v>7.753910591959162</v>
      </c>
      <c r="P139" s="12">
        <f t="shared" si="52"/>
        <v>8.1919208865894841</v>
      </c>
      <c r="Q139" s="12">
        <f t="shared" si="52"/>
        <v>8.7913086484437155</v>
      </c>
      <c r="R139" s="12">
        <f t="shared" si="52"/>
        <v>9.5436912935770248</v>
      </c>
      <c r="S139" s="12">
        <f t="shared" si="52"/>
        <v>10.3920975</v>
      </c>
      <c r="T139" s="12">
        <f t="shared" si="52"/>
        <v>11.240503706422976</v>
      </c>
      <c r="U139" s="12">
        <f t="shared" si="52"/>
        <v>11.992886351556285</v>
      </c>
      <c r="V139" s="12">
        <f t="shared" si="52"/>
        <v>12.592274113410516</v>
      </c>
      <c r="W139" s="12">
        <f t="shared" si="52"/>
        <v>13.030284408040837</v>
      </c>
      <c r="X139" s="12">
        <f t="shared" si="52"/>
        <v>13.330579598031123</v>
      </c>
      <c r="Y139" s="12">
        <f t="shared" si="52"/>
        <v>13.527560467944062</v>
      </c>
      <c r="Z139" s="12">
        <f t="shared" si="52"/>
        <v>13.653052960059606</v>
      </c>
      <c r="AA139" s="12">
        <f t="shared" si="52"/>
        <v>13.731520368278982</v>
      </c>
      <c r="AB139" s="12">
        <f t="shared" si="52"/>
        <v>13.78001174730398</v>
      </c>
      <c r="AC139" s="12">
        <f t="shared" si="51"/>
        <v>13.809761493761245</v>
      </c>
      <c r="AD139" s="300">
        <f t="shared" si="46"/>
        <v>1.9837569514040729E-3</v>
      </c>
      <c r="AE139" s="299">
        <f t="shared" si="46"/>
        <v>1.9837569514040729E-3</v>
      </c>
      <c r="AF139" s="299">
        <f t="shared" si="44"/>
        <v>1.9837569514040729E-3</v>
      </c>
      <c r="AG139" s="299">
        <f t="shared" si="44"/>
        <v>1.9837569514040729E-3</v>
      </c>
      <c r="AH139" s="299">
        <f t="shared" si="44"/>
        <v>1.9837569514040729E-3</v>
      </c>
      <c r="AI139" s="299">
        <f t="shared" si="44"/>
        <v>1.8939354108047444E-3</v>
      </c>
      <c r="AJ139" s="299">
        <f t="shared" si="44"/>
        <v>1.8438833186776556E-3</v>
      </c>
      <c r="AK139" s="299">
        <f t="shared" si="44"/>
        <v>1.7724729916000616E-3</v>
      </c>
      <c r="AL139" s="299">
        <f t="shared" si="44"/>
        <v>1.6777013955332626E-3</v>
      </c>
      <c r="AM139" s="299">
        <f t="shared" si="44"/>
        <v>1.5633164131897729E-3</v>
      </c>
      <c r="AN139" s="299">
        <f t="shared" si="44"/>
        <v>1.4400714231797085E-3</v>
      </c>
      <c r="AO139" s="299">
        <f t="shared" si="37"/>
        <v>1.322504634269382E-3</v>
      </c>
      <c r="AP139" s="299">
        <f t="shared" si="37"/>
        <v>1.2226851627366113E-3</v>
      </c>
      <c r="AQ139" s="299">
        <f t="shared" si="37"/>
        <v>1.1459790996640096E-3</v>
      </c>
      <c r="AR139" s="299">
        <f t="shared" si="37"/>
        <v>1.0914309027701841E-3</v>
      </c>
      <c r="AS139" s="299">
        <f t="shared" si="37"/>
        <v>1.0547426804474235E-3</v>
      </c>
      <c r="AT139" s="299">
        <f t="shared" si="34"/>
        <v>1.0309827117763984E-3</v>
      </c>
      <c r="AU139" s="299">
        <f t="shared" si="34"/>
        <v>1.0159701105086267E-3</v>
      </c>
      <c r="AV139" s="299">
        <f t="shared" si="34"/>
        <v>1.0066317873177911E-3</v>
      </c>
      <c r="AW139" s="299">
        <f t="shared" si="34"/>
        <v>1.0008794900292451E-3</v>
      </c>
      <c r="AX139" s="299">
        <f t="shared" si="34"/>
        <v>9.973574301355842E-4</v>
      </c>
      <c r="AY139" s="299">
        <f t="shared" si="34"/>
        <v>9.9520886799805519E-4</v>
      </c>
      <c r="AZ139" s="306">
        <f t="shared" si="47"/>
        <v>0.10982036388027794</v>
      </c>
      <c r="BA139" s="2">
        <f t="shared" si="47"/>
        <v>0.10982036388027794</v>
      </c>
      <c r="BB139" s="2">
        <f t="shared" si="45"/>
        <v>0.10982036388027794</v>
      </c>
      <c r="BC139" s="2">
        <f t="shared" si="45"/>
        <v>0.10982036388027794</v>
      </c>
      <c r="BD139" s="2">
        <f t="shared" si="45"/>
        <v>0.10982036388027794</v>
      </c>
      <c r="BE139" s="2">
        <f t="shared" si="45"/>
        <v>0.10484786245265916</v>
      </c>
      <c r="BF139" s="2">
        <f t="shared" si="45"/>
        <v>0.10207698925346226</v>
      </c>
      <c r="BG139" s="2">
        <f t="shared" si="45"/>
        <v>9.8123728699582219E-2</v>
      </c>
      <c r="BH139" s="2">
        <f t="shared" si="45"/>
        <v>9.2877193251676649E-2</v>
      </c>
      <c r="BI139" s="2">
        <f t="shared" si="45"/>
        <v>8.6544864901416718E-2</v>
      </c>
      <c r="BJ139" s="2">
        <f t="shared" si="45"/>
        <v>7.9722048406811991E-2</v>
      </c>
      <c r="BK139" s="2">
        <f t="shared" si="38"/>
        <v>7.3213575920185292E-2</v>
      </c>
      <c r="BL139" s="2">
        <f t="shared" si="38"/>
        <v>6.7687591157633092E-2</v>
      </c>
      <c r="BM139" s="2">
        <f t="shared" si="38"/>
        <v>6.3441159782814519E-2</v>
      </c>
      <c r="BN139" s="2">
        <f t="shared" si="38"/>
        <v>6.0421383177795968E-2</v>
      </c>
      <c r="BO139" s="2">
        <f t="shared" si="38"/>
        <v>5.8390330975178921E-2</v>
      </c>
      <c r="BP139" s="2">
        <f t="shared" si="35"/>
        <v>5.7074984151371133E-2</v>
      </c>
      <c r="BQ139" s="2">
        <f t="shared" si="35"/>
        <v>5.6243889730832726E-2</v>
      </c>
      <c r="BR139" s="2">
        <f t="shared" si="35"/>
        <v>5.5726922140562483E-2</v>
      </c>
      <c r="BS139" s="2">
        <f t="shared" si="35"/>
        <v>5.5408476183295113E-2</v>
      </c>
      <c r="BT139" s="2">
        <f t="shared" si="35"/>
        <v>5.5213495694956462E-2</v>
      </c>
      <c r="BU139" s="2">
        <f t="shared" si="35"/>
        <v>5.5094551750943646E-2</v>
      </c>
    </row>
    <row r="140" spans="1:73" x14ac:dyDescent="0.25">
      <c r="A140" t="s">
        <v>37</v>
      </c>
      <c r="B140" s="1" t="s">
        <v>5</v>
      </c>
      <c r="C140" t="s">
        <v>7</v>
      </c>
      <c r="D140" t="s">
        <v>7</v>
      </c>
      <c r="E140" s="97">
        <v>6.6111537499999997</v>
      </c>
      <c r="F140" s="5">
        <f t="shared" si="54"/>
        <v>1.6197326687499999E-2</v>
      </c>
      <c r="G140" s="1">
        <f>LOOKUP(RIGHT(D140,5),Ref!$C$4:$C$21,Ref!$E$4:$E$21)*$G$3</f>
        <v>3.5</v>
      </c>
      <c r="H140" s="36">
        <f t="shared" si="53"/>
        <v>6.6111537499999997</v>
      </c>
      <c r="I140" s="12">
        <f t="shared" si="53"/>
        <v>6.6111537499999997</v>
      </c>
      <c r="J140" s="12">
        <f t="shared" si="53"/>
        <v>6.6111537499999997</v>
      </c>
      <c r="K140" s="12">
        <f t="shared" si="53"/>
        <v>6.6111537499999997</v>
      </c>
      <c r="L140" s="12">
        <f t="shared" si="53"/>
        <v>6.6111537499999997</v>
      </c>
      <c r="M140" s="12">
        <f t="shared" si="52"/>
        <v>6.9246934893048948</v>
      </c>
      <c r="N140" s="12">
        <f t="shared" si="52"/>
        <v>7.1126638413156185</v>
      </c>
      <c r="O140" s="12">
        <f t="shared" si="52"/>
        <v>7.3992225949374797</v>
      </c>
      <c r="P140" s="12">
        <f t="shared" si="52"/>
        <v>7.8171969358081066</v>
      </c>
      <c r="Q140" s="12">
        <f t="shared" si="52"/>
        <v>8.3891668364205731</v>
      </c>
      <c r="R140" s="12">
        <f t="shared" si="52"/>
        <v>9.1071331583023678</v>
      </c>
      <c r="S140" s="12">
        <f t="shared" si="52"/>
        <v>9.9167306249999996</v>
      </c>
      <c r="T140" s="12">
        <f t="shared" si="52"/>
        <v>10.726328091697631</v>
      </c>
      <c r="U140" s="12">
        <f t="shared" si="52"/>
        <v>11.444294413579426</v>
      </c>
      <c r="V140" s="12">
        <f t="shared" si="52"/>
        <v>12.016264314191892</v>
      </c>
      <c r="W140" s="12">
        <f t="shared" si="52"/>
        <v>12.434238655062519</v>
      </c>
      <c r="X140" s="12">
        <f t="shared" si="52"/>
        <v>12.720797408684382</v>
      </c>
      <c r="Y140" s="12">
        <f t="shared" si="52"/>
        <v>12.908767760695104</v>
      </c>
      <c r="Z140" s="12">
        <f t="shared" si="52"/>
        <v>13.028519835747305</v>
      </c>
      <c r="AA140" s="12">
        <f t="shared" si="52"/>
        <v>13.103397900560831</v>
      </c>
      <c r="AB140" s="12">
        <f t="shared" si="52"/>
        <v>13.14967113302672</v>
      </c>
      <c r="AC140" s="12">
        <f t="shared" si="51"/>
        <v>13.178060033513724</v>
      </c>
      <c r="AD140" s="300">
        <f t="shared" si="46"/>
        <v>2.0788500197154334E-3</v>
      </c>
      <c r="AE140" s="299">
        <f t="shared" si="46"/>
        <v>2.0788500197154334E-3</v>
      </c>
      <c r="AF140" s="299">
        <f t="shared" si="44"/>
        <v>2.0788500197154334E-3</v>
      </c>
      <c r="AG140" s="299">
        <f t="shared" si="44"/>
        <v>2.0788500197154334E-3</v>
      </c>
      <c r="AH140" s="299">
        <f t="shared" si="44"/>
        <v>2.0788500197154334E-3</v>
      </c>
      <c r="AI140" s="299">
        <f t="shared" si="44"/>
        <v>1.9847228075518548E-3</v>
      </c>
      <c r="AJ140" s="299">
        <f t="shared" si="44"/>
        <v>1.9322714260297626E-3</v>
      </c>
      <c r="AK140" s="299">
        <f t="shared" si="44"/>
        <v>1.8574379844894216E-3</v>
      </c>
      <c r="AL140" s="299">
        <f t="shared" si="44"/>
        <v>1.7581234317603268E-3</v>
      </c>
      <c r="AM140" s="299">
        <f t="shared" si="44"/>
        <v>1.6382553084846355E-3</v>
      </c>
      <c r="AN140" s="299">
        <f t="shared" si="44"/>
        <v>1.5091024655766823E-3</v>
      </c>
      <c r="AO140" s="299">
        <f t="shared" si="44"/>
        <v>1.3859000131436221E-3</v>
      </c>
      <c r="AP140" s="299">
        <f t="shared" si="44"/>
        <v>1.281295610766097E-3</v>
      </c>
      <c r="AQ140" s="299">
        <f t="shared" si="44"/>
        <v>1.2009125776440666E-3</v>
      </c>
      <c r="AR140" s="299">
        <f t="shared" ref="AR140:AY172" si="55">Algae_electricity_factor/V140</f>
        <v>1.1437495667682084E-3</v>
      </c>
      <c r="AS140" s="299">
        <f t="shared" si="55"/>
        <v>1.105302663459306E-3</v>
      </c>
      <c r="AT140" s="299">
        <f t="shared" si="34"/>
        <v>1.0804037405820661E-3</v>
      </c>
      <c r="AU140" s="299">
        <f t="shared" si="34"/>
        <v>1.0646714975674179E-3</v>
      </c>
      <c r="AV140" s="299">
        <f t="shared" si="34"/>
        <v>1.0548855339514427E-3</v>
      </c>
      <c r="AW140" s="299">
        <f t="shared" si="34"/>
        <v>1.0488574954242234E-3</v>
      </c>
      <c r="AX140" s="299">
        <f t="shared" si="34"/>
        <v>1.0451666026088542E-3</v>
      </c>
      <c r="AY140" s="299">
        <f t="shared" si="34"/>
        <v>1.0429150473269429E-3</v>
      </c>
      <c r="AZ140" s="306">
        <f t="shared" si="47"/>
        <v>0.11508469596342663</v>
      </c>
      <c r="BA140" s="2">
        <f t="shared" si="47"/>
        <v>0.11508469596342663</v>
      </c>
      <c r="BB140" s="2">
        <f t="shared" si="45"/>
        <v>0.11508469596342663</v>
      </c>
      <c r="BC140" s="2">
        <f t="shared" si="45"/>
        <v>0.11508469596342663</v>
      </c>
      <c r="BD140" s="2">
        <f t="shared" si="45"/>
        <v>0.11508469596342663</v>
      </c>
      <c r="BE140" s="2">
        <f t="shared" si="45"/>
        <v>0.10987383347166629</v>
      </c>
      <c r="BF140" s="2">
        <f t="shared" si="45"/>
        <v>0.10697013612068666</v>
      </c>
      <c r="BG140" s="2">
        <f t="shared" si="45"/>
        <v>0.10282737267652732</v>
      </c>
      <c r="BH140" s="2">
        <f t="shared" si="45"/>
        <v>9.7329340111803803E-2</v>
      </c>
      <c r="BI140" s="2">
        <f t="shared" si="45"/>
        <v>9.0693466243049276E-2</v>
      </c>
      <c r="BJ140" s="2">
        <f t="shared" si="45"/>
        <v>8.3543592265652569E-2</v>
      </c>
      <c r="BK140" s="2">
        <f t="shared" si="45"/>
        <v>7.6723130642284421E-2</v>
      </c>
      <c r="BL140" s="2">
        <f t="shared" si="45"/>
        <v>7.093225312351982E-2</v>
      </c>
      <c r="BM140" s="2">
        <f t="shared" si="45"/>
        <v>6.6482265467010943E-2</v>
      </c>
      <c r="BN140" s="2">
        <f t="shared" ref="BN140:BU172" si="56">Algae_yield_cost_factor/V140</f>
        <v>6.3317733314805613E-2</v>
      </c>
      <c r="BO140" s="2">
        <f t="shared" si="56"/>
        <v>6.1189320905984515E-2</v>
      </c>
      <c r="BP140" s="2">
        <f t="shared" si="35"/>
        <v>5.9810921819004596E-2</v>
      </c>
      <c r="BQ140" s="2">
        <f t="shared" si="35"/>
        <v>5.8939988184065706E-2</v>
      </c>
      <c r="BR140" s="2">
        <f t="shared" si="35"/>
        <v>5.8398239314848187E-2</v>
      </c>
      <c r="BS140" s="2">
        <f t="shared" si="35"/>
        <v>5.8064528381119633E-2</v>
      </c>
      <c r="BT140" s="2">
        <f t="shared" si="35"/>
        <v>5.7860201338061232E-2</v>
      </c>
      <c r="BU140" s="2">
        <f t="shared" si="35"/>
        <v>5.7735555715430369E-2</v>
      </c>
    </row>
    <row r="141" spans="1:73" x14ac:dyDescent="0.25">
      <c r="A141" t="s">
        <v>37</v>
      </c>
      <c r="B141" s="1" t="s">
        <v>5</v>
      </c>
      <c r="C141" t="s">
        <v>8</v>
      </c>
      <c r="D141" t="s">
        <v>8</v>
      </c>
      <c r="E141" s="97">
        <v>6.2398575000000003</v>
      </c>
      <c r="F141" s="5">
        <f t="shared" si="54"/>
        <v>1.5287650875000001E-2</v>
      </c>
      <c r="G141" s="1">
        <f>LOOKUP(RIGHT(D141,5),Ref!$C$4:$C$21,Ref!$E$4:$E$21)*$G$3</f>
        <v>4</v>
      </c>
      <c r="H141" s="36">
        <f t="shared" si="53"/>
        <v>6.2398575000000003</v>
      </c>
      <c r="I141" s="12">
        <f t="shared" si="53"/>
        <v>6.2398575000000003</v>
      </c>
      <c r="J141" s="12">
        <f t="shared" si="53"/>
        <v>6.2398575000000003</v>
      </c>
      <c r="K141" s="12">
        <f t="shared" si="53"/>
        <v>6.2398575000000003</v>
      </c>
      <c r="L141" s="12">
        <f t="shared" si="53"/>
        <v>6.2398575000000003</v>
      </c>
      <c r="M141" s="12">
        <f t="shared" si="52"/>
        <v>6.5357881904410888</v>
      </c>
      <c r="N141" s="12">
        <f t="shared" si="52"/>
        <v>6.7132017335419061</v>
      </c>
      <c r="O141" s="12">
        <f t="shared" si="52"/>
        <v>6.9836667470016263</v>
      </c>
      <c r="P141" s="12">
        <f t="shared" si="52"/>
        <v>7.3781667729145219</v>
      </c>
      <c r="Q141" s="12">
        <f t="shared" si="52"/>
        <v>7.9180136451962255</v>
      </c>
      <c r="R141" s="12">
        <f t="shared" si="52"/>
        <v>8.595657473755125</v>
      </c>
      <c r="S141" s="12">
        <f t="shared" si="52"/>
        <v>9.3597862500000009</v>
      </c>
      <c r="T141" s="12">
        <f t="shared" si="52"/>
        <v>10.123915026244877</v>
      </c>
      <c r="U141" s="12">
        <f t="shared" si="52"/>
        <v>10.801558854803776</v>
      </c>
      <c r="V141" s="12">
        <f t="shared" si="52"/>
        <v>11.34140572708548</v>
      </c>
      <c r="W141" s="12">
        <f t="shared" si="52"/>
        <v>11.735905752998374</v>
      </c>
      <c r="X141" s="12">
        <f t="shared" si="52"/>
        <v>12.006370766458094</v>
      </c>
      <c r="Y141" s="12">
        <f t="shared" si="52"/>
        <v>12.183784309558911</v>
      </c>
      <c r="Z141" s="12">
        <f t="shared" si="52"/>
        <v>12.29681085710442</v>
      </c>
      <c r="AA141" s="12">
        <f t="shared" si="52"/>
        <v>12.367483612871469</v>
      </c>
      <c r="AB141" s="12">
        <f t="shared" si="52"/>
        <v>12.411158043624425</v>
      </c>
      <c r="AC141" s="12">
        <f t="shared" si="51"/>
        <v>12.437952563963721</v>
      </c>
      <c r="AD141" s="300">
        <f t="shared" si="46"/>
        <v>2.2025498344360041E-3</v>
      </c>
      <c r="AE141" s="299">
        <f t="shared" si="46"/>
        <v>2.2025498344360041E-3</v>
      </c>
      <c r="AF141" s="299">
        <f t="shared" si="46"/>
        <v>2.2025498344360041E-3</v>
      </c>
      <c r="AG141" s="299">
        <f t="shared" si="46"/>
        <v>2.2025498344360041E-3</v>
      </c>
      <c r="AH141" s="299">
        <f t="shared" si="46"/>
        <v>2.2025498344360041E-3</v>
      </c>
      <c r="AI141" s="299">
        <f t="shared" si="46"/>
        <v>2.1028216801196138E-3</v>
      </c>
      <c r="AJ141" s="299">
        <f t="shared" si="46"/>
        <v>2.0472492335304954E-3</v>
      </c>
      <c r="AK141" s="299">
        <f t="shared" si="46"/>
        <v>1.9679629056512395E-3</v>
      </c>
      <c r="AL141" s="299">
        <f t="shared" si="46"/>
        <v>1.8627387434480918E-3</v>
      </c>
      <c r="AM141" s="299">
        <f t="shared" si="46"/>
        <v>1.7357379917963835E-3</v>
      </c>
      <c r="AN141" s="299">
        <f t="shared" si="46"/>
        <v>1.5989000428986604E-3</v>
      </c>
      <c r="AO141" s="299">
        <f t="shared" si="46"/>
        <v>1.4683665562906694E-3</v>
      </c>
      <c r="AP141" s="299">
        <f t="shared" si="46"/>
        <v>1.3575377774211704E-3</v>
      </c>
      <c r="AQ141" s="299">
        <f t="shared" si="46"/>
        <v>1.2723716352679105E-3</v>
      </c>
      <c r="AR141" s="299">
        <f t="shared" si="55"/>
        <v>1.2118071987061428E-3</v>
      </c>
      <c r="AS141" s="299">
        <f t="shared" si="55"/>
        <v>1.171072552284083E-3</v>
      </c>
      <c r="AT141" s="299">
        <f t="shared" si="55"/>
        <v>1.1446920448204391E-3</v>
      </c>
      <c r="AU141" s="299">
        <f t="shared" si="55"/>
        <v>1.1280236709990492E-3</v>
      </c>
      <c r="AV141" s="299">
        <f t="shared" si="55"/>
        <v>1.1176554037658443E-3</v>
      </c>
      <c r="AW141" s="299">
        <f t="shared" si="55"/>
        <v>1.1112686730569506E-3</v>
      </c>
      <c r="AX141" s="299">
        <f t="shared" si="55"/>
        <v>1.1073581574919437E-3</v>
      </c>
      <c r="AY141" s="299">
        <f t="shared" si="55"/>
        <v>1.1049726257477746E-3</v>
      </c>
      <c r="AZ141" s="306">
        <f t="shared" si="47"/>
        <v>0.12193269145749205</v>
      </c>
      <c r="BA141" s="2">
        <f t="shared" si="47"/>
        <v>0.12193269145749205</v>
      </c>
      <c r="BB141" s="2">
        <f t="shared" si="47"/>
        <v>0.12193269145749205</v>
      </c>
      <c r="BC141" s="2">
        <f t="shared" si="47"/>
        <v>0.12193269145749205</v>
      </c>
      <c r="BD141" s="2">
        <f t="shared" si="47"/>
        <v>0.12193269145749205</v>
      </c>
      <c r="BE141" s="2">
        <f t="shared" si="47"/>
        <v>0.11641176199666131</v>
      </c>
      <c r="BF141" s="2">
        <f t="shared" si="47"/>
        <v>0.11333528314585518</v>
      </c>
      <c r="BG141" s="2">
        <f t="shared" si="47"/>
        <v>0.10894600885886753</v>
      </c>
      <c r="BH141" s="2">
        <f t="shared" si="47"/>
        <v>0.10312082156766834</v>
      </c>
      <c r="BI141" s="2">
        <f t="shared" si="47"/>
        <v>9.6090086905547697E-2</v>
      </c>
      <c r="BJ141" s="2">
        <f t="shared" si="47"/>
        <v>8.8514767091322194E-2</v>
      </c>
      <c r="BK141" s="2">
        <f t="shared" si="47"/>
        <v>8.1288460971661369E-2</v>
      </c>
      <c r="BL141" s="2">
        <f t="shared" si="47"/>
        <v>7.5153003291101958E-2</v>
      </c>
      <c r="BM141" s="2">
        <f t="shared" si="47"/>
        <v>7.0438223733590849E-2</v>
      </c>
      <c r="BN141" s="2">
        <f t="shared" si="56"/>
        <v>6.7085389377189622E-2</v>
      </c>
      <c r="BO141" s="2">
        <f t="shared" si="56"/>
        <v>6.4830327995078887E-2</v>
      </c>
      <c r="BP141" s="2">
        <f t="shared" si="56"/>
        <v>6.3369908699785066E-2</v>
      </c>
      <c r="BQ141" s="2">
        <f t="shared" si="56"/>
        <v>6.244715106203013E-2</v>
      </c>
      <c r="BR141" s="2">
        <f t="shared" si="56"/>
        <v>6.1873165988126491E-2</v>
      </c>
      <c r="BS141" s="2">
        <f t="shared" si="56"/>
        <v>6.1519597931334241E-2</v>
      </c>
      <c r="BT141" s="2">
        <f t="shared" si="56"/>
        <v>6.1303112619459421E-2</v>
      </c>
      <c r="BU141" s="2">
        <f t="shared" si="56"/>
        <v>6.1171050088307526E-2</v>
      </c>
    </row>
    <row r="142" spans="1:73" x14ac:dyDescent="0.25">
      <c r="A142" t="s">
        <v>37</v>
      </c>
      <c r="B142" s="1" t="s">
        <v>5</v>
      </c>
      <c r="C142" t="s">
        <v>9</v>
      </c>
      <c r="D142" t="s">
        <v>9</v>
      </c>
      <c r="E142" s="97">
        <v>5.330095</v>
      </c>
      <c r="F142" s="5">
        <f t="shared" si="54"/>
        <v>1.3058732750000001E-2</v>
      </c>
      <c r="G142" s="1">
        <f>LOOKUP(RIGHT(D142,5),Ref!$C$4:$C$21,Ref!$E$4:$E$21)*$G$3</f>
        <v>4.5</v>
      </c>
      <c r="H142" s="36">
        <f t="shared" si="53"/>
        <v>5.330095</v>
      </c>
      <c r="I142" s="12">
        <f t="shared" si="53"/>
        <v>5.330095</v>
      </c>
      <c r="J142" s="12">
        <f t="shared" si="53"/>
        <v>5.330095</v>
      </c>
      <c r="K142" s="12">
        <f t="shared" si="53"/>
        <v>5.330095</v>
      </c>
      <c r="L142" s="12">
        <f t="shared" si="53"/>
        <v>5.330095</v>
      </c>
      <c r="M142" s="12">
        <f t="shared" si="52"/>
        <v>5.5828794094943825</v>
      </c>
      <c r="N142" s="12">
        <f t="shared" si="52"/>
        <v>5.73442630604033</v>
      </c>
      <c r="O142" s="12">
        <f t="shared" si="52"/>
        <v>5.9654578986554787</v>
      </c>
      <c r="P142" s="12">
        <f t="shared" si="52"/>
        <v>6.302440372312641</v>
      </c>
      <c r="Q142" s="12">
        <f t="shared" si="52"/>
        <v>6.7635783253371047</v>
      </c>
      <c r="R142" s="12">
        <f t="shared" si="52"/>
        <v>7.3424226310576515</v>
      </c>
      <c r="S142" s="12">
        <f t="shared" si="52"/>
        <v>7.9951425</v>
      </c>
      <c r="T142" s="12">
        <f t="shared" si="52"/>
        <v>8.6478623689423486</v>
      </c>
      <c r="U142" s="12">
        <f t="shared" si="52"/>
        <v>9.2267066746628963</v>
      </c>
      <c r="V142" s="12">
        <f t="shared" si="52"/>
        <v>9.68784462768736</v>
      </c>
      <c r="W142" s="12">
        <f t="shared" si="52"/>
        <v>10.02482710134452</v>
      </c>
      <c r="X142" s="12">
        <f t="shared" si="52"/>
        <v>10.25585869395967</v>
      </c>
      <c r="Y142" s="12">
        <f t="shared" si="52"/>
        <v>10.407405590505617</v>
      </c>
      <c r="Z142" s="12">
        <f t="shared" si="52"/>
        <v>10.503953025433351</v>
      </c>
      <c r="AA142" s="12">
        <f t="shared" si="52"/>
        <v>10.564321792212105</v>
      </c>
      <c r="AB142" s="12">
        <f t="shared" si="52"/>
        <v>10.601628552019388</v>
      </c>
      <c r="AC142" s="12">
        <f t="shared" si="51"/>
        <v>10.624516468752725</v>
      </c>
      <c r="AD142" s="300">
        <f t="shared" si="46"/>
        <v>2.5784900838595297E-3</v>
      </c>
      <c r="AE142" s="299">
        <f t="shared" si="46"/>
        <v>2.5784900838595297E-3</v>
      </c>
      <c r="AF142" s="299">
        <f t="shared" si="46"/>
        <v>2.5784900838595297E-3</v>
      </c>
      <c r="AG142" s="299">
        <f t="shared" si="46"/>
        <v>2.5784900838595297E-3</v>
      </c>
      <c r="AH142" s="299">
        <f t="shared" si="46"/>
        <v>2.5784900838595297E-3</v>
      </c>
      <c r="AI142" s="299">
        <f t="shared" si="46"/>
        <v>2.4617399186800558E-3</v>
      </c>
      <c r="AJ142" s="299">
        <f t="shared" si="46"/>
        <v>2.3966821387263288E-3</v>
      </c>
      <c r="AK142" s="299">
        <f t="shared" si="46"/>
        <v>2.3038628948545345E-3</v>
      </c>
      <c r="AL142" s="299">
        <f t="shared" si="46"/>
        <v>2.1806786405955529E-3</v>
      </c>
      <c r="AM142" s="299">
        <f t="shared" si="46"/>
        <v>2.0320008791861314E-3</v>
      </c>
      <c r="AN142" s="299">
        <f t="shared" si="46"/>
        <v>1.8718068673131583E-3</v>
      </c>
      <c r="AO142" s="299">
        <f t="shared" si="46"/>
        <v>1.7189933892396863E-3</v>
      </c>
      <c r="AP142" s="299">
        <f t="shared" si="46"/>
        <v>1.5892478993291528E-3</v>
      </c>
      <c r="AQ142" s="299">
        <f t="shared" si="46"/>
        <v>1.4895452503405167E-3</v>
      </c>
      <c r="AR142" s="299">
        <f t="shared" si="55"/>
        <v>1.4186434270684698E-3</v>
      </c>
      <c r="AS142" s="299">
        <f t="shared" si="55"/>
        <v>1.3709560239384059E-3</v>
      </c>
      <c r="AT142" s="299">
        <f t="shared" si="55"/>
        <v>1.3400727831423555E-3</v>
      </c>
      <c r="AU142" s="299">
        <f t="shared" si="55"/>
        <v>1.3205593828366944E-3</v>
      </c>
      <c r="AV142" s="299">
        <f t="shared" si="55"/>
        <v>1.3084214171799626E-3</v>
      </c>
      <c r="AW142" s="299">
        <f t="shared" si="55"/>
        <v>1.3009445730497228E-3</v>
      </c>
      <c r="AX142" s="299">
        <f t="shared" si="55"/>
        <v>1.2963665946314816E-3</v>
      </c>
      <c r="AY142" s="299">
        <f t="shared" si="55"/>
        <v>1.2935738905342109E-3</v>
      </c>
      <c r="AZ142" s="306">
        <f t="shared" si="47"/>
        <v>0.14274466389177262</v>
      </c>
      <c r="BA142" s="2">
        <f t="shared" si="47"/>
        <v>0.14274466389177262</v>
      </c>
      <c r="BB142" s="2">
        <f t="shared" si="47"/>
        <v>0.14274466389177262</v>
      </c>
      <c r="BC142" s="2">
        <f t="shared" si="47"/>
        <v>0.14274466389177262</v>
      </c>
      <c r="BD142" s="2">
        <f t="shared" si="47"/>
        <v>0.14274466389177262</v>
      </c>
      <c r="BE142" s="2">
        <f t="shared" si="47"/>
        <v>0.13628139952159993</v>
      </c>
      <c r="BF142" s="2">
        <f t="shared" si="47"/>
        <v>0.13267981462849873</v>
      </c>
      <c r="BG142" s="2">
        <f t="shared" si="47"/>
        <v>0.12754136098382318</v>
      </c>
      <c r="BH142" s="2">
        <f t="shared" si="47"/>
        <v>0.1207219068075104</v>
      </c>
      <c r="BI142" s="2">
        <f t="shared" si="47"/>
        <v>0.11249113748502299</v>
      </c>
      <c r="BJ142" s="2">
        <f t="shared" si="47"/>
        <v>0.10362283098059978</v>
      </c>
      <c r="BK142" s="2">
        <f t="shared" si="47"/>
        <v>9.5163109261181739E-2</v>
      </c>
      <c r="BL142" s="2">
        <f t="shared" si="47"/>
        <v>8.7980426471480772E-2</v>
      </c>
      <c r="BM142" s="2">
        <f t="shared" si="47"/>
        <v>8.2460908980182324E-2</v>
      </c>
      <c r="BN142" s="2">
        <f t="shared" si="56"/>
        <v>7.8535799089073835E-2</v>
      </c>
      <c r="BO142" s="2">
        <f t="shared" si="56"/>
        <v>7.5895834570969739E-2</v>
      </c>
      <c r="BP142" s="2">
        <f t="shared" si="56"/>
        <v>7.418614491386534E-2</v>
      </c>
      <c r="BQ142" s="2">
        <f t="shared" si="56"/>
        <v>7.3105887213650356E-2</v>
      </c>
      <c r="BR142" s="2">
        <f t="shared" si="56"/>
        <v>7.2433932010546903E-2</v>
      </c>
      <c r="BS142" s="2">
        <f t="shared" si="56"/>
        <v>7.202001550606893E-2</v>
      </c>
      <c r="BT142" s="2">
        <f t="shared" si="56"/>
        <v>7.1766579592273408E-2</v>
      </c>
      <c r="BU142" s="2">
        <f t="shared" si="56"/>
        <v>7.1611976086055004E-2</v>
      </c>
    </row>
    <row r="143" spans="1:73" x14ac:dyDescent="0.25">
      <c r="A143" t="s">
        <v>38</v>
      </c>
      <c r="B143" s="1" t="s">
        <v>5</v>
      </c>
      <c r="C143" t="s">
        <v>13</v>
      </c>
      <c r="D143" t="s">
        <v>13</v>
      </c>
      <c r="E143" s="97">
        <v>6.9276999999999997</v>
      </c>
      <c r="F143" s="5">
        <f t="shared" si="54"/>
        <v>1.6972865E-2</v>
      </c>
      <c r="G143" s="1">
        <f>LOOKUP(RIGHT(D143,5),Ref!$C$4:$C$21,Ref!$E$4:$E$21)*$G$3</f>
        <v>1.5</v>
      </c>
      <c r="H143" s="36">
        <f t="shared" si="53"/>
        <v>6.9276999999999997</v>
      </c>
      <c r="I143" s="12">
        <f t="shared" si="53"/>
        <v>6.9276999999999997</v>
      </c>
      <c r="J143" s="12">
        <f t="shared" si="53"/>
        <v>6.9276999999999997</v>
      </c>
      <c r="K143" s="12">
        <f t="shared" si="53"/>
        <v>6.9276999999999997</v>
      </c>
      <c r="L143" s="12">
        <f t="shared" si="53"/>
        <v>6.9276999999999997</v>
      </c>
      <c r="M143" s="12">
        <f t="shared" si="52"/>
        <v>7.2562522216122289</v>
      </c>
      <c r="N143" s="12">
        <f t="shared" si="52"/>
        <v>7.4532227137331679</v>
      </c>
      <c r="O143" s="12">
        <f t="shared" si="52"/>
        <v>7.7535020828926235</v>
      </c>
      <c r="P143" s="12">
        <f t="shared" si="52"/>
        <v>8.191489301273295</v>
      </c>
      <c r="Q143" s="12">
        <f t="shared" si="52"/>
        <v>8.7908454848249153</v>
      </c>
      <c r="R143" s="12">
        <f t="shared" si="52"/>
        <v>9.5431884912329128</v>
      </c>
      <c r="S143" s="12">
        <f t="shared" si="52"/>
        <v>10.391549999999999</v>
      </c>
      <c r="T143" s="12">
        <f t="shared" si="52"/>
        <v>11.239911508767086</v>
      </c>
      <c r="U143" s="12">
        <f t="shared" si="52"/>
        <v>11.992254515175084</v>
      </c>
      <c r="V143" s="12">
        <f t="shared" si="52"/>
        <v>12.591610698726704</v>
      </c>
      <c r="W143" s="12">
        <f t="shared" si="52"/>
        <v>13.029597917107374</v>
      </c>
      <c r="X143" s="12">
        <f t="shared" si="52"/>
        <v>13.32987728626683</v>
      </c>
      <c r="Y143" s="12">
        <f t="shared" si="52"/>
        <v>13.52684777838777</v>
      </c>
      <c r="Z143" s="12">
        <f t="shared" si="52"/>
        <v>13.652333659023828</v>
      </c>
      <c r="AA143" s="12">
        <f t="shared" si="52"/>
        <v>13.730796933245617</v>
      </c>
      <c r="AB143" s="12">
        <f t="shared" si="52"/>
        <v>13.779285757538039</v>
      </c>
      <c r="AC143" s="12">
        <f t="shared" si="51"/>
        <v>13.809033936651833</v>
      </c>
      <c r="AD143" s="300">
        <f t="shared" si="46"/>
        <v>1.9838614696839154E-3</v>
      </c>
      <c r="AE143" s="299">
        <f t="shared" si="46"/>
        <v>1.9838614696839154E-3</v>
      </c>
      <c r="AF143" s="299">
        <f t="shared" si="46"/>
        <v>1.9838614696839154E-3</v>
      </c>
      <c r="AG143" s="299">
        <f t="shared" si="46"/>
        <v>1.9838614696839154E-3</v>
      </c>
      <c r="AH143" s="299">
        <f t="shared" si="46"/>
        <v>1.9838614696839154E-3</v>
      </c>
      <c r="AI143" s="299">
        <f t="shared" si="46"/>
        <v>1.8940351966535752E-3</v>
      </c>
      <c r="AJ143" s="299">
        <f t="shared" si="46"/>
        <v>1.843980467429957E-3</v>
      </c>
      <c r="AK143" s="299">
        <f t="shared" si="46"/>
        <v>1.7725663779536759E-3</v>
      </c>
      <c r="AL143" s="299">
        <f t="shared" si="46"/>
        <v>1.6777897886521001E-3</v>
      </c>
      <c r="AM143" s="299">
        <f t="shared" si="46"/>
        <v>1.5633987797025858E-3</v>
      </c>
      <c r="AN143" s="299">
        <f t="shared" si="46"/>
        <v>1.4401472962789277E-3</v>
      </c>
      <c r="AO143" s="299">
        <f t="shared" si="46"/>
        <v>1.3225743131226103E-3</v>
      </c>
      <c r="AP143" s="299">
        <f t="shared" si="46"/>
        <v>1.2227495823974512E-3</v>
      </c>
      <c r="AQ143" s="299">
        <f t="shared" si="46"/>
        <v>1.1460394779095136E-3</v>
      </c>
      <c r="AR143" s="299">
        <f t="shared" si="55"/>
        <v>1.0914884070327116E-3</v>
      </c>
      <c r="AS143" s="299">
        <f t="shared" si="55"/>
        <v>1.054798251716151E-3</v>
      </c>
      <c r="AT143" s="299">
        <f t="shared" si="55"/>
        <v>1.0310370312027303E-3</v>
      </c>
      <c r="AU143" s="299">
        <f t="shared" si="55"/>
        <v>1.0160236389654502E-3</v>
      </c>
      <c r="AV143" s="299">
        <f t="shared" si="55"/>
        <v>1.0066848237660166E-3</v>
      </c>
      <c r="AW143" s="299">
        <f t="shared" si="55"/>
        <v>1.000932223405959E-3</v>
      </c>
      <c r="AX143" s="299">
        <f t="shared" si="55"/>
        <v>9.9740997794539122E-4</v>
      </c>
      <c r="AY143" s="299">
        <f t="shared" si="55"/>
        <v>9.952613026064849E-4</v>
      </c>
      <c r="AZ143" s="306">
        <f t="shared" si="47"/>
        <v>0.10982614999007143</v>
      </c>
      <c r="BA143" s="2">
        <f t="shared" si="47"/>
        <v>0.10982614999007143</v>
      </c>
      <c r="BB143" s="2">
        <f t="shared" si="47"/>
        <v>0.10982614999007143</v>
      </c>
      <c r="BC143" s="2">
        <f t="shared" si="47"/>
        <v>0.10982614999007143</v>
      </c>
      <c r="BD143" s="2">
        <f t="shared" si="47"/>
        <v>0.10982614999007143</v>
      </c>
      <c r="BE143" s="2">
        <f t="shared" si="47"/>
        <v>0.10485338657607605</v>
      </c>
      <c r="BF143" s="2">
        <f t="shared" si="47"/>
        <v>0.10208236738777489</v>
      </c>
      <c r="BG143" s="2">
        <f t="shared" si="47"/>
        <v>9.812889854830191E-2</v>
      </c>
      <c r="BH143" s="2">
        <f t="shared" si="47"/>
        <v>9.2882086675978623E-2</v>
      </c>
      <c r="BI143" s="2">
        <f t="shared" si="47"/>
        <v>8.6549424694088023E-2</v>
      </c>
      <c r="BJ143" s="2">
        <f t="shared" si="47"/>
        <v>7.9726248725484644E-2</v>
      </c>
      <c r="BK143" s="2">
        <f t="shared" si="47"/>
        <v>7.3217433326714293E-2</v>
      </c>
      <c r="BL143" s="2">
        <f t="shared" si="47"/>
        <v>6.769115741638744E-2</v>
      </c>
      <c r="BM143" s="2">
        <f t="shared" si="47"/>
        <v>6.3444502309673481E-2</v>
      </c>
      <c r="BN143" s="2">
        <f t="shared" si="56"/>
        <v>6.0424566601567191E-2</v>
      </c>
      <c r="BO143" s="2">
        <f t="shared" si="56"/>
        <v>5.8393407388823558E-2</v>
      </c>
      <c r="BP143" s="2">
        <f t="shared" si="56"/>
        <v>5.7077991263286387E-2</v>
      </c>
      <c r="BQ143" s="2">
        <f t="shared" si="56"/>
        <v>5.6246853054843837E-2</v>
      </c>
      <c r="BR143" s="2">
        <f t="shared" si="56"/>
        <v>5.5729858227082013E-2</v>
      </c>
      <c r="BS143" s="2">
        <f t="shared" si="56"/>
        <v>5.5411395491840078E-2</v>
      </c>
      <c r="BT143" s="2">
        <f t="shared" si="56"/>
        <v>5.5216404730556834E-2</v>
      </c>
      <c r="BU143" s="2">
        <f t="shared" si="56"/>
        <v>5.5097454519739797E-2</v>
      </c>
    </row>
    <row r="144" spans="1:73" x14ac:dyDescent="0.25">
      <c r="A144" t="s">
        <v>38</v>
      </c>
      <c r="B144" s="1" t="s">
        <v>5</v>
      </c>
      <c r="C144" t="s">
        <v>6</v>
      </c>
      <c r="D144" t="s">
        <v>6</v>
      </c>
      <c r="E144" s="97">
        <v>6.7508575000000004</v>
      </c>
      <c r="F144" s="5">
        <f t="shared" si="54"/>
        <v>1.6539600875000001E-2</v>
      </c>
      <c r="G144" s="1">
        <f>LOOKUP(RIGHT(D144,5),Ref!$C$4:$C$21,Ref!$E$4:$E$21)*$G$3</f>
        <v>3</v>
      </c>
      <c r="H144" s="36">
        <f t="shared" si="53"/>
        <v>6.7508575000000004</v>
      </c>
      <c r="I144" s="12">
        <f t="shared" si="53"/>
        <v>6.7508575000000004</v>
      </c>
      <c r="J144" s="12">
        <f t="shared" si="53"/>
        <v>6.7508575000000004</v>
      </c>
      <c r="K144" s="12">
        <f t="shared" si="53"/>
        <v>6.7508575000000004</v>
      </c>
      <c r="L144" s="12">
        <f t="shared" si="53"/>
        <v>6.7508575000000004</v>
      </c>
      <c r="M144" s="12">
        <f t="shared" si="52"/>
        <v>7.0710228116348262</v>
      </c>
      <c r="N144" s="12">
        <f t="shared" si="52"/>
        <v>7.2629652635327622</v>
      </c>
      <c r="O144" s="12">
        <f t="shared" si="52"/>
        <v>7.5555794401549283</v>
      </c>
      <c r="P144" s="12">
        <f t="shared" si="52"/>
        <v>7.9823862155795702</v>
      </c>
      <c r="Q144" s="12">
        <f t="shared" si="52"/>
        <v>8.5664427115162933</v>
      </c>
      <c r="R144" s="12">
        <f t="shared" si="52"/>
        <v>9.2995807555109771</v>
      </c>
      <c r="S144" s="12">
        <f t="shared" si="52"/>
        <v>10.12628625</v>
      </c>
      <c r="T144" s="12">
        <f t="shared" si="52"/>
        <v>10.952991744489024</v>
      </c>
      <c r="U144" s="12">
        <f t="shared" si="52"/>
        <v>11.686129788483708</v>
      </c>
      <c r="V144" s="12">
        <f t="shared" si="52"/>
        <v>12.270186284420431</v>
      </c>
      <c r="W144" s="12">
        <f t="shared" si="52"/>
        <v>12.696993059845072</v>
      </c>
      <c r="X144" s="12">
        <f t="shared" si="52"/>
        <v>12.98960723646724</v>
      </c>
      <c r="Y144" s="12">
        <f t="shared" si="52"/>
        <v>13.181549688365175</v>
      </c>
      <c r="Z144" s="12">
        <f t="shared" si="52"/>
        <v>13.303832307190477</v>
      </c>
      <c r="AA144" s="12">
        <f t="shared" si="52"/>
        <v>13.38029265958084</v>
      </c>
      <c r="AB144" s="12">
        <f t="shared" si="52"/>
        <v>13.427543715940192</v>
      </c>
      <c r="AC144" s="12">
        <f t="shared" si="51"/>
        <v>13.456532517141412</v>
      </c>
      <c r="AD144" s="300">
        <f t="shared" si="46"/>
        <v>2.0358298339920905E-3</v>
      </c>
      <c r="AE144" s="299">
        <f t="shared" si="46"/>
        <v>2.0358298339920905E-3</v>
      </c>
      <c r="AF144" s="299">
        <f t="shared" si="46"/>
        <v>2.0358298339920905E-3</v>
      </c>
      <c r="AG144" s="299">
        <f t="shared" si="46"/>
        <v>2.0358298339920905E-3</v>
      </c>
      <c r="AH144" s="299">
        <f t="shared" si="46"/>
        <v>2.0358298339920905E-3</v>
      </c>
      <c r="AI144" s="299">
        <f t="shared" si="46"/>
        <v>1.9436505113397773E-3</v>
      </c>
      <c r="AJ144" s="299">
        <f t="shared" si="46"/>
        <v>1.8922845703993176E-3</v>
      </c>
      <c r="AK144" s="299">
        <f t="shared" si="46"/>
        <v>1.8189997487800147E-3</v>
      </c>
      <c r="AL144" s="299">
        <f t="shared" si="46"/>
        <v>1.7217404335442056E-3</v>
      </c>
      <c r="AM144" s="299">
        <f t="shared" si="46"/>
        <v>1.6043528879324742E-3</v>
      </c>
      <c r="AN144" s="299">
        <f t="shared" si="46"/>
        <v>1.4778727627462922E-3</v>
      </c>
      <c r="AO144" s="299">
        <f t="shared" si="46"/>
        <v>1.3572198893280604E-3</v>
      </c>
      <c r="AP144" s="299">
        <f t="shared" si="46"/>
        <v>1.2547801937716535E-3</v>
      </c>
      <c r="AQ144" s="299">
        <f t="shared" si="46"/>
        <v>1.1760606250559632E-3</v>
      </c>
      <c r="AR144" s="299">
        <f t="shared" si="55"/>
        <v>1.1200805582698961E-3</v>
      </c>
      <c r="AS144" s="299">
        <f t="shared" si="55"/>
        <v>1.0824292837486168E-3</v>
      </c>
      <c r="AT144" s="299">
        <f t="shared" si="55"/>
        <v>1.0580456247318438E-3</v>
      </c>
      <c r="AU144" s="299">
        <f t="shared" si="55"/>
        <v>1.042638948261158E-3</v>
      </c>
      <c r="AV144" s="299">
        <f t="shared" si="55"/>
        <v>1.0330554975577298E-3</v>
      </c>
      <c r="AW144" s="299">
        <f t="shared" si="55"/>
        <v>1.0271522046035575E-3</v>
      </c>
      <c r="AX144" s="299">
        <f t="shared" si="55"/>
        <v>1.0235376919468801E-3</v>
      </c>
      <c r="AY144" s="299">
        <f t="shared" si="55"/>
        <v>1.0213327308518873E-3</v>
      </c>
      <c r="AZ144" s="306">
        <f t="shared" si="47"/>
        <v>0.11270310761058394</v>
      </c>
      <c r="BA144" s="2">
        <f t="shared" si="47"/>
        <v>0.11270310761058394</v>
      </c>
      <c r="BB144" s="2">
        <f t="shared" si="47"/>
        <v>0.11270310761058394</v>
      </c>
      <c r="BC144" s="2">
        <f t="shared" si="47"/>
        <v>0.11270310761058394</v>
      </c>
      <c r="BD144" s="2">
        <f t="shared" si="47"/>
        <v>0.11270310761058394</v>
      </c>
      <c r="BE144" s="2">
        <f t="shared" si="47"/>
        <v>0.10760007986882882</v>
      </c>
      <c r="BF144" s="2">
        <f t="shared" si="47"/>
        <v>0.10475647227811992</v>
      </c>
      <c r="BG144" s="2">
        <f t="shared" si="47"/>
        <v>0.10069944010417506</v>
      </c>
      <c r="BH144" s="2">
        <f t="shared" si="47"/>
        <v>9.5315185050962356E-2</v>
      </c>
      <c r="BI144" s="2">
        <f t="shared" si="47"/>
        <v>8.8816635435310778E-2</v>
      </c>
      <c r="BJ144" s="2">
        <f t="shared" si="47"/>
        <v>8.1814722543845725E-2</v>
      </c>
      <c r="BK144" s="2">
        <f t="shared" si="47"/>
        <v>7.5135405073722641E-2</v>
      </c>
      <c r="BL144" s="2">
        <f t="shared" si="47"/>
        <v>6.9464365265228492E-2</v>
      </c>
      <c r="BM144" s="2">
        <f t="shared" si="47"/>
        <v>6.5106466645270603E-2</v>
      </c>
      <c r="BN144" s="2">
        <f t="shared" si="56"/>
        <v>6.2007422026857627E-2</v>
      </c>
      <c r="BO144" s="2">
        <f t="shared" si="56"/>
        <v>5.992305545888843E-2</v>
      </c>
      <c r="BP144" s="2">
        <f t="shared" si="56"/>
        <v>5.8573181269885935E-2</v>
      </c>
      <c r="BQ144" s="2">
        <f t="shared" si="56"/>
        <v>5.7720270929736209E-2</v>
      </c>
      <c r="BR144" s="2">
        <f t="shared" si="56"/>
        <v>5.7189733132384443E-2</v>
      </c>
      <c r="BS144" s="2">
        <f t="shared" si="56"/>
        <v>5.6862928087109001E-2</v>
      </c>
      <c r="BT144" s="2">
        <f t="shared" si="56"/>
        <v>5.6662829433428048E-2</v>
      </c>
      <c r="BU144" s="2">
        <f t="shared" si="56"/>
        <v>5.6540763255097798E-2</v>
      </c>
    </row>
    <row r="145" spans="1:73" x14ac:dyDescent="0.25">
      <c r="A145" t="s">
        <v>38</v>
      </c>
      <c r="B145" s="1" t="s">
        <v>5</v>
      </c>
      <c r="C145" t="s">
        <v>7</v>
      </c>
      <c r="D145" t="s">
        <v>7</v>
      </c>
      <c r="E145" s="97">
        <v>5.5797549999999996</v>
      </c>
      <c r="F145" s="5">
        <f t="shared" si="54"/>
        <v>1.3670399749999999E-2</v>
      </c>
      <c r="G145" s="1">
        <f>LOOKUP(RIGHT(D145,5),Ref!$C$4:$C$21,Ref!$E$4:$E$21)*$G$3</f>
        <v>3.5</v>
      </c>
      <c r="H145" s="36">
        <f t="shared" si="53"/>
        <v>5.5797549999999996</v>
      </c>
      <c r="I145" s="12">
        <f t="shared" si="53"/>
        <v>5.5797549999999996</v>
      </c>
      <c r="J145" s="12">
        <f t="shared" si="53"/>
        <v>5.5797549999999996</v>
      </c>
      <c r="K145" s="12">
        <f t="shared" si="53"/>
        <v>5.5797549999999996</v>
      </c>
      <c r="L145" s="12">
        <f t="shared" si="53"/>
        <v>5.5797549999999996</v>
      </c>
      <c r="M145" s="12">
        <f t="shared" si="52"/>
        <v>5.8443797529918937</v>
      </c>
      <c r="N145" s="12">
        <f t="shared" si="52"/>
        <v>6.0030250592644325</v>
      </c>
      <c r="O145" s="12">
        <f t="shared" si="52"/>
        <v>6.2448781001675204</v>
      </c>
      <c r="P145" s="12">
        <f t="shared" si="52"/>
        <v>6.5976447285861353</v>
      </c>
      <c r="Q145" s="12">
        <f t="shared" si="52"/>
        <v>7.0803822405963368</v>
      </c>
      <c r="R145" s="12">
        <f t="shared" si="52"/>
        <v>7.6863394344297955</v>
      </c>
      <c r="S145" s="12">
        <f t="shared" si="52"/>
        <v>8.3696324999999998</v>
      </c>
      <c r="T145" s="12">
        <f t="shared" si="52"/>
        <v>9.0529255655702023</v>
      </c>
      <c r="U145" s="12">
        <f t="shared" si="52"/>
        <v>9.6588827594036619</v>
      </c>
      <c r="V145" s="12">
        <f t="shared" si="52"/>
        <v>10.141620271413863</v>
      </c>
      <c r="W145" s="12">
        <f t="shared" si="52"/>
        <v>10.494386899832477</v>
      </c>
      <c r="X145" s="12">
        <f t="shared" si="52"/>
        <v>10.736239940735565</v>
      </c>
      <c r="Y145" s="12">
        <f t="shared" si="52"/>
        <v>10.894885247008105</v>
      </c>
      <c r="Z145" s="12">
        <f t="shared" si="52"/>
        <v>10.995954933903965</v>
      </c>
      <c r="AA145" s="12">
        <f t="shared" si="52"/>
        <v>11.059151355032968</v>
      </c>
      <c r="AB145" s="12">
        <f t="shared" si="52"/>
        <v>11.098205551922234</v>
      </c>
      <c r="AC145" s="12">
        <f t="shared" si="51"/>
        <v>11.122165531590968</v>
      </c>
      <c r="AD145" s="300">
        <f t="shared" si="46"/>
        <v>2.463118381278257E-3</v>
      </c>
      <c r="AE145" s="299">
        <f t="shared" si="46"/>
        <v>2.463118381278257E-3</v>
      </c>
      <c r="AF145" s="299">
        <f t="shared" si="46"/>
        <v>2.463118381278257E-3</v>
      </c>
      <c r="AG145" s="299">
        <f t="shared" si="46"/>
        <v>2.463118381278257E-3</v>
      </c>
      <c r="AH145" s="299">
        <f t="shared" si="46"/>
        <v>2.463118381278257E-3</v>
      </c>
      <c r="AI145" s="299">
        <f t="shared" si="46"/>
        <v>2.3515920738199029E-3</v>
      </c>
      <c r="AJ145" s="299">
        <f t="shared" si="46"/>
        <v>2.2894452326696268E-3</v>
      </c>
      <c r="AK145" s="299">
        <f t="shared" si="46"/>
        <v>2.2007790837679578E-3</v>
      </c>
      <c r="AL145" s="299">
        <f t="shared" si="46"/>
        <v>2.0831065734687551E-3</v>
      </c>
      <c r="AM145" s="299">
        <f t="shared" si="46"/>
        <v>1.941081234954869E-3</v>
      </c>
      <c r="AN145" s="299">
        <f t="shared" si="46"/>
        <v>1.7880549279370743E-3</v>
      </c>
      <c r="AO145" s="299">
        <f t="shared" si="46"/>
        <v>1.6420789208521711E-3</v>
      </c>
      <c r="AP145" s="299">
        <f t="shared" si="46"/>
        <v>1.5181387501735869E-3</v>
      </c>
      <c r="AQ145" s="299">
        <f t="shared" si="46"/>
        <v>1.4228971865455986E-3</v>
      </c>
      <c r="AR145" s="299">
        <f t="shared" si="55"/>
        <v>1.3551677873671006E-3</v>
      </c>
      <c r="AS145" s="299">
        <f t="shared" si="55"/>
        <v>1.3096141046361318E-3</v>
      </c>
      <c r="AT145" s="299">
        <f t="shared" si="55"/>
        <v>1.2801127004793498E-3</v>
      </c>
      <c r="AU145" s="299">
        <f t="shared" si="55"/>
        <v>1.2614724058065184E-3</v>
      </c>
      <c r="AV145" s="299">
        <f t="shared" si="55"/>
        <v>1.249877540071891E-3</v>
      </c>
      <c r="AW145" s="299">
        <f t="shared" si="55"/>
        <v>1.2427352391080726E-3</v>
      </c>
      <c r="AX145" s="299">
        <f t="shared" si="55"/>
        <v>1.2383620972985887E-3</v>
      </c>
      <c r="AY145" s="299">
        <f t="shared" si="55"/>
        <v>1.2356943496743039E-3</v>
      </c>
      <c r="AZ145" s="306">
        <f t="shared" si="47"/>
        <v>0.13635771091852919</v>
      </c>
      <c r="BA145" s="2">
        <f t="shared" si="47"/>
        <v>0.13635771091852919</v>
      </c>
      <c r="BB145" s="2">
        <f t="shared" si="47"/>
        <v>0.13635771091852919</v>
      </c>
      <c r="BC145" s="2">
        <f t="shared" si="47"/>
        <v>0.13635771091852919</v>
      </c>
      <c r="BD145" s="2">
        <f t="shared" si="47"/>
        <v>0.13635771091852919</v>
      </c>
      <c r="BE145" s="2">
        <f t="shared" si="47"/>
        <v>0.130183638203305</v>
      </c>
      <c r="BF145" s="2">
        <f t="shared" si="47"/>
        <v>0.1267432022646672</v>
      </c>
      <c r="BG145" s="2">
        <f t="shared" si="47"/>
        <v>0.12183466307625893</v>
      </c>
      <c r="BH145" s="2">
        <f t="shared" si="47"/>
        <v>0.11532033787597792</v>
      </c>
      <c r="BI145" s="2">
        <f t="shared" si="47"/>
        <v>0.10745784527335585</v>
      </c>
      <c r="BJ145" s="2">
        <f t="shared" si="47"/>
        <v>9.8986341388741989E-2</v>
      </c>
      <c r="BK145" s="2">
        <f t="shared" si="47"/>
        <v>9.0905140612352789E-2</v>
      </c>
      <c r="BL145" s="2">
        <f t="shared" si="47"/>
        <v>8.404383906345482E-2</v>
      </c>
      <c r="BM145" s="2">
        <f t="shared" si="47"/>
        <v>7.8771286311088026E-2</v>
      </c>
      <c r="BN145" s="2">
        <f t="shared" si="56"/>
        <v>7.502180114461604E-2</v>
      </c>
      <c r="BO145" s="2">
        <f t="shared" si="56"/>
        <v>7.2499958935034414E-2</v>
      </c>
      <c r="BP145" s="2">
        <f t="shared" si="56"/>
        <v>7.0866767461056815E-2</v>
      </c>
      <c r="BQ145" s="2">
        <f t="shared" si="56"/>
        <v>6.9834844703403953E-2</v>
      </c>
      <c r="BR145" s="2">
        <f t="shared" si="56"/>
        <v>6.9192955396743416E-2</v>
      </c>
      <c r="BS145" s="2">
        <f t="shared" si="56"/>
        <v>6.8797559130969105E-2</v>
      </c>
      <c r="BT145" s="2">
        <f t="shared" si="56"/>
        <v>6.8555462928368463E-2</v>
      </c>
      <c r="BU145" s="2">
        <f t="shared" si="56"/>
        <v>6.8407776985979024E-2</v>
      </c>
    </row>
    <row r="146" spans="1:73" x14ac:dyDescent="0.25">
      <c r="A146" t="s">
        <v>38</v>
      </c>
      <c r="B146" s="1" t="s">
        <v>5</v>
      </c>
      <c r="C146" t="s">
        <v>8</v>
      </c>
      <c r="D146" t="s">
        <v>8</v>
      </c>
      <c r="E146" s="97">
        <v>5.6366949999999996</v>
      </c>
      <c r="F146" s="5">
        <f t="shared" si="54"/>
        <v>1.3809902749999999E-2</v>
      </c>
      <c r="G146" s="1">
        <f>LOOKUP(RIGHT(D146,5),Ref!$C$4:$C$21,Ref!$E$4:$E$21)*$G$3</f>
        <v>4</v>
      </c>
      <c r="H146" s="36">
        <f t="shared" si="53"/>
        <v>5.6366949999999996</v>
      </c>
      <c r="I146" s="12">
        <f t="shared" si="53"/>
        <v>5.6366949999999996</v>
      </c>
      <c r="J146" s="12">
        <f t="shared" si="53"/>
        <v>5.6366949999999996</v>
      </c>
      <c r="K146" s="12">
        <f t="shared" si="53"/>
        <v>5.6366949999999996</v>
      </c>
      <c r="L146" s="12">
        <f t="shared" si="53"/>
        <v>5.6366949999999996</v>
      </c>
      <c r="M146" s="12">
        <f t="shared" si="52"/>
        <v>5.9040201822106244</v>
      </c>
      <c r="N146" s="12">
        <f t="shared" si="52"/>
        <v>6.0642844240348426</v>
      </c>
      <c r="O146" s="12">
        <f t="shared" si="52"/>
        <v>6.3086055145474598</v>
      </c>
      <c r="P146" s="12">
        <f t="shared" si="52"/>
        <v>6.664972037911669</v>
      </c>
      <c r="Q146" s="12">
        <f t="shared" si="52"/>
        <v>7.152635765129145</v>
      </c>
      <c r="R146" s="12">
        <f t="shared" si="52"/>
        <v>7.764776600111162</v>
      </c>
      <c r="S146" s="12">
        <f t="shared" si="52"/>
        <v>8.4550424999999994</v>
      </c>
      <c r="T146" s="12">
        <f t="shared" si="52"/>
        <v>9.1453083998888367</v>
      </c>
      <c r="U146" s="12">
        <f t="shared" si="52"/>
        <v>9.7574492348708546</v>
      </c>
      <c r="V146" s="12">
        <f t="shared" si="52"/>
        <v>10.24511296208833</v>
      </c>
      <c r="W146" s="12">
        <f t="shared" si="52"/>
        <v>10.601479485452538</v>
      </c>
      <c r="X146" s="12">
        <f t="shared" si="52"/>
        <v>10.845800575965157</v>
      </c>
      <c r="Y146" s="12">
        <f t="shared" si="52"/>
        <v>11.006064817789374</v>
      </c>
      <c r="Z146" s="12">
        <f t="shared" si="52"/>
        <v>11.108165895484984</v>
      </c>
      <c r="AA146" s="12">
        <f t="shared" si="52"/>
        <v>11.172007220237727</v>
      </c>
      <c r="AB146" s="12">
        <f t="shared" si="52"/>
        <v>11.211459955408849</v>
      </c>
      <c r="AC146" s="12">
        <f t="shared" si="51"/>
        <v>11.235664440659338</v>
      </c>
      <c r="AD146" s="300">
        <f t="shared" si="46"/>
        <v>2.4382367865441114E-3</v>
      </c>
      <c r="AE146" s="299">
        <f t="shared" si="46"/>
        <v>2.4382367865441114E-3</v>
      </c>
      <c r="AF146" s="299">
        <f t="shared" si="46"/>
        <v>2.4382367865441114E-3</v>
      </c>
      <c r="AG146" s="299">
        <f t="shared" si="46"/>
        <v>2.4382367865441114E-3</v>
      </c>
      <c r="AH146" s="299">
        <f t="shared" si="46"/>
        <v>2.4382367865441114E-3</v>
      </c>
      <c r="AI146" s="299">
        <f t="shared" si="46"/>
        <v>2.3278370803914302E-3</v>
      </c>
      <c r="AJ146" s="299">
        <f t="shared" si="46"/>
        <v>2.2663180257605766E-3</v>
      </c>
      <c r="AK146" s="299">
        <f t="shared" si="46"/>
        <v>2.178547552519638E-3</v>
      </c>
      <c r="AL146" s="299">
        <f t="shared" si="46"/>
        <v>2.0620637304032156E-3</v>
      </c>
      <c r="AM146" s="299">
        <f t="shared" si="46"/>
        <v>1.9214730841646752E-3</v>
      </c>
      <c r="AN146" s="299">
        <f t="shared" si="46"/>
        <v>1.7699925975117564E-3</v>
      </c>
      <c r="AO146" s="299">
        <f t="shared" si="46"/>
        <v>1.6254911910294077E-3</v>
      </c>
      <c r="AP146" s="299">
        <f t="shared" si="46"/>
        <v>1.502803022333978E-3</v>
      </c>
      <c r="AQ146" s="299">
        <f t="shared" si="46"/>
        <v>1.4085235569981588E-3</v>
      </c>
      <c r="AR146" s="299">
        <f t="shared" si="55"/>
        <v>1.3414783374655745E-3</v>
      </c>
      <c r="AS146" s="299">
        <f t="shared" si="55"/>
        <v>1.2963848227399175E-3</v>
      </c>
      <c r="AT146" s="299">
        <f t="shared" si="55"/>
        <v>1.267181431860896E-3</v>
      </c>
      <c r="AU146" s="299">
        <f t="shared" si="55"/>
        <v>1.2487294351851484E-3</v>
      </c>
      <c r="AV146" s="299">
        <f t="shared" si="55"/>
        <v>1.2372516968904355E-3</v>
      </c>
      <c r="AW146" s="299">
        <f t="shared" si="55"/>
        <v>1.2301815450524577E-3</v>
      </c>
      <c r="AX146" s="299">
        <f t="shared" si="55"/>
        <v>1.2258525792529641E-3</v>
      </c>
      <c r="AY146" s="299">
        <f t="shared" si="55"/>
        <v>1.2232117803193088E-3</v>
      </c>
      <c r="AZ146" s="306">
        <f t="shared" si="47"/>
        <v>0.13498027111387398</v>
      </c>
      <c r="BA146" s="2">
        <f t="shared" si="47"/>
        <v>0.13498027111387398</v>
      </c>
      <c r="BB146" s="2">
        <f t="shared" si="47"/>
        <v>0.13498027111387398</v>
      </c>
      <c r="BC146" s="2">
        <f t="shared" si="47"/>
        <v>0.13498027111387398</v>
      </c>
      <c r="BD146" s="2">
        <f t="shared" si="47"/>
        <v>0.13498027111387398</v>
      </c>
      <c r="BE146" s="2">
        <f t="shared" si="47"/>
        <v>0.12886856680786918</v>
      </c>
      <c r="BF146" s="2">
        <f t="shared" si="47"/>
        <v>0.12546288499773148</v>
      </c>
      <c r="BG146" s="2">
        <f t="shared" si="47"/>
        <v>0.12060393022384058</v>
      </c>
      <c r="BH146" s="2">
        <f t="shared" si="47"/>
        <v>0.11415541054912093</v>
      </c>
      <c r="BI146" s="2">
        <f t="shared" si="47"/>
        <v>0.10637234220642303</v>
      </c>
      <c r="BJ146" s="2">
        <f t="shared" si="47"/>
        <v>9.7986414609188555E-2</v>
      </c>
      <c r="BK146" s="2">
        <f t="shared" si="47"/>
        <v>8.998684740924931E-2</v>
      </c>
      <c r="BL146" s="2">
        <f t="shared" si="47"/>
        <v>8.3194856424466335E-2</v>
      </c>
      <c r="BM146" s="2">
        <f t="shared" si="47"/>
        <v>7.7975565229398594E-2</v>
      </c>
      <c r="BN146" s="2">
        <f t="shared" si="56"/>
        <v>7.4263956102942771E-2</v>
      </c>
      <c r="BO146" s="2">
        <f t="shared" si="56"/>
        <v>7.1767588696488457E-2</v>
      </c>
      <c r="BP146" s="2">
        <f t="shared" si="56"/>
        <v>7.0150895174329819E-2</v>
      </c>
      <c r="BQ146" s="2">
        <f t="shared" si="56"/>
        <v>6.9129396553839026E-2</v>
      </c>
      <c r="BR146" s="2">
        <f t="shared" si="56"/>
        <v>6.8493991397397952E-2</v>
      </c>
      <c r="BS146" s="2">
        <f t="shared" si="56"/>
        <v>6.8102589291920271E-2</v>
      </c>
      <c r="BT146" s="2">
        <f t="shared" si="56"/>
        <v>6.7862938663858619E-2</v>
      </c>
      <c r="BU146" s="2">
        <f t="shared" si="56"/>
        <v>6.7716744595263972E-2</v>
      </c>
    </row>
    <row r="147" spans="1:73" x14ac:dyDescent="0.25">
      <c r="A147" t="s">
        <v>38</v>
      </c>
      <c r="B147" s="1" t="s">
        <v>5</v>
      </c>
      <c r="C147" t="s">
        <v>9</v>
      </c>
      <c r="D147" t="s">
        <v>9</v>
      </c>
      <c r="E147" s="97">
        <v>5.0771499999999996</v>
      </c>
      <c r="F147" s="5">
        <f t="shared" si="54"/>
        <v>1.2439017499999998E-2</v>
      </c>
      <c r="G147" s="1">
        <f>LOOKUP(RIGHT(D147,5),Ref!$C$4:$C$21,Ref!$E$4:$E$21)*$G$3</f>
        <v>4.5</v>
      </c>
      <c r="H147" s="36">
        <f t="shared" si="53"/>
        <v>5.0771499999999996</v>
      </c>
      <c r="I147" s="12">
        <f t="shared" si="53"/>
        <v>5.0771499999999996</v>
      </c>
      <c r="J147" s="12">
        <f t="shared" si="53"/>
        <v>5.0771499999999996</v>
      </c>
      <c r="K147" s="12">
        <f t="shared" si="53"/>
        <v>5.0771499999999996</v>
      </c>
      <c r="L147" s="12">
        <f t="shared" si="53"/>
        <v>5.0771499999999996</v>
      </c>
      <c r="M147" s="12">
        <f t="shared" si="52"/>
        <v>5.3179382720034827</v>
      </c>
      <c r="N147" s="12">
        <f t="shared" si="52"/>
        <v>5.4622933586948559</v>
      </c>
      <c r="O147" s="12">
        <f t="shared" si="52"/>
        <v>5.6823611155445937</v>
      </c>
      <c r="P147" s="12">
        <f t="shared" si="52"/>
        <v>6.0033517481934418</v>
      </c>
      <c r="Q147" s="12">
        <f t="shared" si="52"/>
        <v>6.4426059375086711</v>
      </c>
      <c r="R147" s="12">
        <f t="shared" si="52"/>
        <v>6.9939806065885044</v>
      </c>
      <c r="S147" s="12">
        <f t="shared" si="52"/>
        <v>7.6157249999999994</v>
      </c>
      <c r="T147" s="12">
        <f t="shared" si="52"/>
        <v>8.2374693934114944</v>
      </c>
      <c r="U147" s="12">
        <f t="shared" si="52"/>
        <v>8.7888440624913287</v>
      </c>
      <c r="V147" s="12">
        <f t="shared" si="52"/>
        <v>9.2280982518065571</v>
      </c>
      <c r="W147" s="12">
        <f t="shared" si="52"/>
        <v>9.5490888844554043</v>
      </c>
      <c r="X147" s="12">
        <f t="shared" si="52"/>
        <v>9.7691566413051429</v>
      </c>
      <c r="Y147" s="12">
        <f t="shared" si="52"/>
        <v>9.9135117279965161</v>
      </c>
      <c r="Z147" s="12">
        <f t="shared" si="52"/>
        <v>10.00547740764075</v>
      </c>
      <c r="AA147" s="12">
        <f t="shared" si="52"/>
        <v>10.062981314090965</v>
      </c>
      <c r="AB147" s="12">
        <f t="shared" si="52"/>
        <v>10.098517644223083</v>
      </c>
      <c r="AC147" s="12">
        <f t="shared" si="51"/>
        <v>10.120319391929767</v>
      </c>
      <c r="AD147" s="300">
        <f t="shared" si="46"/>
        <v>2.7069511642416042E-3</v>
      </c>
      <c r="AE147" s="299">
        <f t="shared" si="46"/>
        <v>2.7069511642416042E-3</v>
      </c>
      <c r="AF147" s="299">
        <f t="shared" si="46"/>
        <v>2.7069511642416042E-3</v>
      </c>
      <c r="AG147" s="299">
        <f t="shared" si="46"/>
        <v>2.7069511642416042E-3</v>
      </c>
      <c r="AH147" s="299">
        <f t="shared" si="46"/>
        <v>2.7069511642416042E-3</v>
      </c>
      <c r="AI147" s="299">
        <f t="shared" si="46"/>
        <v>2.5843844739385233E-3</v>
      </c>
      <c r="AJ147" s="299">
        <f t="shared" si="46"/>
        <v>2.5160854976147076E-3</v>
      </c>
      <c r="AK147" s="299">
        <f t="shared" si="46"/>
        <v>2.4186419736564177E-3</v>
      </c>
      <c r="AL147" s="299">
        <f t="shared" si="46"/>
        <v>2.2893206461981927E-3</v>
      </c>
      <c r="AM147" s="299">
        <f t="shared" si="46"/>
        <v>2.1332357180988554E-3</v>
      </c>
      <c r="AN147" s="299">
        <f t="shared" si="46"/>
        <v>1.9650607967918081E-3</v>
      </c>
      <c r="AO147" s="299">
        <f t="shared" si="46"/>
        <v>1.8046341094944027E-3</v>
      </c>
      <c r="AP147" s="299">
        <f t="shared" si="46"/>
        <v>1.6684246638320362E-3</v>
      </c>
      <c r="AQ147" s="299">
        <f t="shared" si="46"/>
        <v>1.5637548016335418E-3</v>
      </c>
      <c r="AR147" s="299">
        <f t="shared" si="55"/>
        <v>1.4893206301567841E-3</v>
      </c>
      <c r="AS147" s="299">
        <f t="shared" si="55"/>
        <v>1.4392574275753087E-3</v>
      </c>
      <c r="AT147" s="299">
        <f t="shared" si="55"/>
        <v>1.4068355752859683E-3</v>
      </c>
      <c r="AU147" s="299">
        <f t="shared" si="55"/>
        <v>1.3863500120463155E-3</v>
      </c>
      <c r="AV147" s="299">
        <f t="shared" si="55"/>
        <v>1.3736073296246583E-3</v>
      </c>
      <c r="AW147" s="299">
        <f t="shared" si="55"/>
        <v>1.3657579870772899E-3</v>
      </c>
      <c r="AX147" s="299">
        <f t="shared" si="55"/>
        <v>1.360951932523618E-3</v>
      </c>
      <c r="AY147" s="299">
        <f t="shared" si="55"/>
        <v>1.3580200951452974E-3</v>
      </c>
      <c r="AZ147" s="306">
        <f t="shared" si="47"/>
        <v>0.14985624204252737</v>
      </c>
      <c r="BA147" s="2">
        <f t="shared" si="47"/>
        <v>0.14985624204252737</v>
      </c>
      <c r="BB147" s="2">
        <f t="shared" si="47"/>
        <v>0.14985624204252737</v>
      </c>
      <c r="BC147" s="2">
        <f t="shared" si="47"/>
        <v>0.14985624204252737</v>
      </c>
      <c r="BD147" s="2">
        <f t="shared" si="47"/>
        <v>0.14985624204252737</v>
      </c>
      <c r="BE147" s="2">
        <f t="shared" si="47"/>
        <v>0.14307097607576733</v>
      </c>
      <c r="BF147" s="2">
        <f t="shared" si="47"/>
        <v>0.13928995923939377</v>
      </c>
      <c r="BG147" s="2">
        <f t="shared" si="47"/>
        <v>0.13389550643039327</v>
      </c>
      <c r="BH147" s="2">
        <f t="shared" si="47"/>
        <v>0.12673630518404561</v>
      </c>
      <c r="BI147" s="2">
        <f t="shared" si="47"/>
        <v>0.11809547668539114</v>
      </c>
      <c r="BJ147" s="2">
        <f t="shared" si="47"/>
        <v>0.1087853487282314</v>
      </c>
      <c r="BK147" s="2">
        <f t="shared" si="47"/>
        <v>9.9904161361684909E-2</v>
      </c>
      <c r="BL147" s="2">
        <f t="shared" si="47"/>
        <v>9.2363635353201565E-2</v>
      </c>
      <c r="BM147" s="2">
        <f t="shared" si="47"/>
        <v>8.6569133992638575E-2</v>
      </c>
      <c r="BN147" s="2">
        <f t="shared" si="56"/>
        <v>8.2448474054474863E-2</v>
      </c>
      <c r="BO147" s="2">
        <f t="shared" si="56"/>
        <v>7.9676985782880738E-2</v>
      </c>
      <c r="BP147" s="2">
        <f t="shared" si="56"/>
        <v>7.7882118919998244E-2</v>
      </c>
      <c r="BQ147" s="2">
        <f t="shared" si="56"/>
        <v>7.6748042486048607E-2</v>
      </c>
      <c r="BR147" s="2">
        <f t="shared" si="56"/>
        <v>7.6042610291158635E-2</v>
      </c>
      <c r="BS147" s="2">
        <f t="shared" si="56"/>
        <v>7.5608072353351888E-2</v>
      </c>
      <c r="BT147" s="2">
        <f t="shared" si="56"/>
        <v>7.5342010193096248E-2</v>
      </c>
      <c r="BU147" s="2">
        <f t="shared" si="56"/>
        <v>7.5179704297962724E-2</v>
      </c>
    </row>
    <row r="148" spans="1:73" x14ac:dyDescent="0.25">
      <c r="A148" t="s">
        <v>38</v>
      </c>
      <c r="B148" s="1" t="s">
        <v>5</v>
      </c>
      <c r="C148" t="s">
        <v>10</v>
      </c>
      <c r="D148" t="s">
        <v>10</v>
      </c>
      <c r="E148" s="97">
        <v>5.248335</v>
      </c>
      <c r="F148" s="5">
        <f t="shared" si="54"/>
        <v>1.2858420749999998E-2</v>
      </c>
      <c r="G148" s="1">
        <f>LOOKUP(RIGHT(D148,5),Ref!$C$4:$C$21,Ref!$E$4:$E$21)*$G$3</f>
        <v>4.5</v>
      </c>
      <c r="H148" s="36">
        <f t="shared" si="53"/>
        <v>5.248335</v>
      </c>
      <c r="I148" s="12">
        <f t="shared" si="53"/>
        <v>5.248335</v>
      </c>
      <c r="J148" s="12">
        <f t="shared" si="53"/>
        <v>5.248335</v>
      </c>
      <c r="K148" s="12">
        <f t="shared" si="53"/>
        <v>5.248335</v>
      </c>
      <c r="L148" s="12">
        <f t="shared" si="53"/>
        <v>5.248335</v>
      </c>
      <c r="M148" s="12">
        <f t="shared" si="52"/>
        <v>5.4972418701033847</v>
      </c>
      <c r="N148" s="12">
        <f t="shared" si="52"/>
        <v>5.6464641412417924</v>
      </c>
      <c r="O148" s="12">
        <f t="shared" si="52"/>
        <v>5.8739518677509501</v>
      </c>
      <c r="P148" s="12">
        <f t="shared" si="52"/>
        <v>6.2057652614862331</v>
      </c>
      <c r="Q148" s="12">
        <f t="shared" si="52"/>
        <v>6.659829674725894</v>
      </c>
      <c r="R148" s="12">
        <f t="shared" si="52"/>
        <v>7.229794905976715</v>
      </c>
      <c r="S148" s="12">
        <f t="shared" si="52"/>
        <v>7.8725024999999995</v>
      </c>
      <c r="T148" s="12">
        <f t="shared" si="52"/>
        <v>8.5152100940232849</v>
      </c>
      <c r="U148" s="12">
        <f t="shared" si="52"/>
        <v>9.0851753252741059</v>
      </c>
      <c r="V148" s="12">
        <f t="shared" si="52"/>
        <v>9.5392397385137659</v>
      </c>
      <c r="W148" s="12">
        <f t="shared" si="52"/>
        <v>9.8710531322490489</v>
      </c>
      <c r="X148" s="12">
        <f t="shared" si="52"/>
        <v>10.098540858758208</v>
      </c>
      <c r="Y148" s="12">
        <f t="shared" si="52"/>
        <v>10.247763129896615</v>
      </c>
      <c r="Z148" s="12">
        <f t="shared" si="52"/>
        <v>10.34282959341958</v>
      </c>
      <c r="AA148" s="12">
        <f t="shared" si="52"/>
        <v>10.402272344738606</v>
      </c>
      <c r="AB148" s="12">
        <f t="shared" ref="AB148:AC163" si="57">AB$3*$E148</f>
        <v>10.439006844448866</v>
      </c>
      <c r="AC148" s="12">
        <f t="shared" si="57"/>
        <v>10.461543676244293</v>
      </c>
      <c r="AD148" s="300">
        <f t="shared" si="46"/>
        <v>2.6186585085611457E-3</v>
      </c>
      <c r="AE148" s="299">
        <f t="shared" si="46"/>
        <v>2.6186585085611457E-3</v>
      </c>
      <c r="AF148" s="299">
        <f t="shared" si="46"/>
        <v>2.6186585085611457E-3</v>
      </c>
      <c r="AG148" s="299">
        <f t="shared" si="46"/>
        <v>2.6186585085611457E-3</v>
      </c>
      <c r="AH148" s="299">
        <f t="shared" si="46"/>
        <v>2.6186585085611457E-3</v>
      </c>
      <c r="AI148" s="299">
        <f t="shared" si="46"/>
        <v>2.5000895773339494E-3</v>
      </c>
      <c r="AJ148" s="299">
        <f t="shared" si="46"/>
        <v>2.4340183094666238E-3</v>
      </c>
      <c r="AK148" s="299">
        <f t="shared" si="46"/>
        <v>2.339753101993238E-3</v>
      </c>
      <c r="AL148" s="299">
        <f t="shared" si="46"/>
        <v>2.2146498496847388E-3</v>
      </c>
      <c r="AM148" s="299">
        <f t="shared" si="46"/>
        <v>2.0636559453894622E-3</v>
      </c>
      <c r="AN148" s="299">
        <f t="shared" si="46"/>
        <v>1.9009663873269386E-3</v>
      </c>
      <c r="AO148" s="299">
        <f t="shared" si="46"/>
        <v>1.7457723390407638E-3</v>
      </c>
      <c r="AP148" s="299">
        <f t="shared" si="46"/>
        <v>1.6140056383547967E-3</v>
      </c>
      <c r="AQ148" s="299">
        <f t="shared" si="46"/>
        <v>1.5127497941944898E-3</v>
      </c>
      <c r="AR148" s="299">
        <f t="shared" si="55"/>
        <v>1.4407434429015138E-3</v>
      </c>
      <c r="AS148" s="299">
        <f t="shared" si="55"/>
        <v>1.3923131523452634E-3</v>
      </c>
      <c r="AT148" s="299">
        <f t="shared" si="55"/>
        <v>1.360948803966049E-3</v>
      </c>
      <c r="AU148" s="299">
        <f t="shared" si="55"/>
        <v>1.3411314185662595E-3</v>
      </c>
      <c r="AV148" s="299">
        <f t="shared" si="55"/>
        <v>1.328804364356283E-3</v>
      </c>
      <c r="AW148" s="299">
        <f t="shared" si="55"/>
        <v>1.3212110439004871E-3</v>
      </c>
      <c r="AX148" s="299">
        <f t="shared" si="55"/>
        <v>1.316561748480668E-3</v>
      </c>
      <c r="AY148" s="299">
        <f t="shared" si="55"/>
        <v>1.313725538874128E-3</v>
      </c>
      <c r="AZ148" s="306">
        <f t="shared" si="47"/>
        <v>0.14496837935959075</v>
      </c>
      <c r="BA148" s="2">
        <f t="shared" si="47"/>
        <v>0.14496837935959075</v>
      </c>
      <c r="BB148" s="2">
        <f t="shared" si="47"/>
        <v>0.14496837935959075</v>
      </c>
      <c r="BC148" s="2">
        <f t="shared" si="47"/>
        <v>0.14496837935959075</v>
      </c>
      <c r="BD148" s="2">
        <f t="shared" si="47"/>
        <v>0.14496837935959075</v>
      </c>
      <c r="BE148" s="2">
        <f t="shared" si="47"/>
        <v>0.13840442848695483</v>
      </c>
      <c r="BF148" s="2">
        <f t="shared" si="47"/>
        <v>0.13474673711801707</v>
      </c>
      <c r="BG148" s="2">
        <f t="shared" si="47"/>
        <v>0.12952823523518814</v>
      </c>
      <c r="BH148" s="2">
        <f t="shared" si="47"/>
        <v>0.12260254573406178</v>
      </c>
      <c r="BI148" s="2">
        <f t="shared" si="47"/>
        <v>0.11424355523289455</v>
      </c>
      <c r="BJ148" s="2">
        <f t="shared" si="47"/>
        <v>0.10523709582096798</v>
      </c>
      <c r="BK148" s="2">
        <f t="shared" si="47"/>
        <v>9.6645586239727174E-2</v>
      </c>
      <c r="BL148" s="2">
        <f t="shared" si="47"/>
        <v>8.9351009650395274E-2</v>
      </c>
      <c r="BM148" s="2">
        <f t="shared" si="47"/>
        <v>8.3745507603978198E-2</v>
      </c>
      <c r="BN148" s="2">
        <f t="shared" si="56"/>
        <v>7.9759251276009829E-2</v>
      </c>
      <c r="BO148" s="2">
        <f t="shared" si="56"/>
        <v>7.7078160667631346E-2</v>
      </c>
      <c r="BP148" s="2">
        <f t="shared" si="56"/>
        <v>7.5341836996813086E-2</v>
      </c>
      <c r="BQ148" s="2">
        <f t="shared" si="56"/>
        <v>7.4244750746292235E-2</v>
      </c>
      <c r="BR148" s="2">
        <f t="shared" si="56"/>
        <v>7.3562327641005398E-2</v>
      </c>
      <c r="BS148" s="2">
        <f t="shared" si="56"/>
        <v>7.3141963031860671E-2</v>
      </c>
      <c r="BT148" s="2">
        <f t="shared" si="56"/>
        <v>7.2884579023991147E-2</v>
      </c>
      <c r="BU148" s="2">
        <f t="shared" si="56"/>
        <v>7.2727567062011361E-2</v>
      </c>
    </row>
    <row r="149" spans="1:73" x14ac:dyDescent="0.25">
      <c r="A149" t="s">
        <v>38</v>
      </c>
      <c r="B149" s="1" t="s">
        <v>5</v>
      </c>
      <c r="C149" t="s">
        <v>11</v>
      </c>
      <c r="D149" t="s">
        <v>11</v>
      </c>
      <c r="E149" s="97">
        <v>5.1994249999999997</v>
      </c>
      <c r="F149" s="5">
        <f t="shared" si="54"/>
        <v>1.2738591249999999E-2</v>
      </c>
      <c r="G149" s="1">
        <f>LOOKUP(RIGHT(D149,5),Ref!$C$4:$C$21,Ref!$E$4:$E$21)*$G$3</f>
        <v>4.5</v>
      </c>
      <c r="H149" s="36">
        <f t="shared" si="53"/>
        <v>5.1994249999999997</v>
      </c>
      <c r="I149" s="12">
        <f t="shared" si="53"/>
        <v>5.1994249999999997</v>
      </c>
      <c r="J149" s="12">
        <f t="shared" si="53"/>
        <v>5.1994249999999997</v>
      </c>
      <c r="K149" s="12">
        <f t="shared" si="53"/>
        <v>5.1994249999999997</v>
      </c>
      <c r="L149" s="12">
        <f t="shared" si="53"/>
        <v>5.1994249999999997</v>
      </c>
      <c r="M149" s="12">
        <f t="shared" ref="M149:AB164" si="58">M$3*$E149</f>
        <v>5.4460122706462695</v>
      </c>
      <c r="N149" s="12">
        <f t="shared" si="58"/>
        <v>5.5938439176569537</v>
      </c>
      <c r="O149" s="12">
        <f t="shared" si="58"/>
        <v>5.8192116528348485</v>
      </c>
      <c r="P149" s="12">
        <f t="shared" si="58"/>
        <v>6.147932829116864</v>
      </c>
      <c r="Q149" s="12">
        <f t="shared" si="58"/>
        <v>6.5977657498066868</v>
      </c>
      <c r="R149" s="12">
        <f t="shared" si="58"/>
        <v>7.1624193918657975</v>
      </c>
      <c r="S149" s="12">
        <f t="shared" si="58"/>
        <v>7.7991374999999996</v>
      </c>
      <c r="T149" s="12">
        <f t="shared" si="58"/>
        <v>8.4358556081342027</v>
      </c>
      <c r="U149" s="12">
        <f t="shared" si="58"/>
        <v>9.0005092501933124</v>
      </c>
      <c r="V149" s="12">
        <f t="shared" si="58"/>
        <v>9.4503421708831343</v>
      </c>
      <c r="W149" s="12">
        <f t="shared" si="58"/>
        <v>9.7790633471651489</v>
      </c>
      <c r="X149" s="12">
        <f t="shared" si="58"/>
        <v>10.004431082343046</v>
      </c>
      <c r="Y149" s="12">
        <f t="shared" si="58"/>
        <v>10.15226272935373</v>
      </c>
      <c r="Z149" s="12">
        <f t="shared" si="58"/>
        <v>10.246443254625628</v>
      </c>
      <c r="AA149" s="12">
        <f t="shared" si="58"/>
        <v>10.305332050267852</v>
      </c>
      <c r="AB149" s="12">
        <f t="shared" si="58"/>
        <v>10.341724215812928</v>
      </c>
      <c r="AC149" s="12">
        <f t="shared" si="57"/>
        <v>10.364051023583</v>
      </c>
      <c r="AD149" s="300">
        <f t="shared" si="46"/>
        <v>2.6432917300527E-3</v>
      </c>
      <c r="AE149" s="299">
        <f t="shared" si="46"/>
        <v>2.6432917300527E-3</v>
      </c>
      <c r="AF149" s="299">
        <f t="shared" si="46"/>
        <v>2.6432917300527E-3</v>
      </c>
      <c r="AG149" s="299">
        <f t="shared" si="46"/>
        <v>2.6432917300527E-3</v>
      </c>
      <c r="AH149" s="299">
        <f t="shared" si="46"/>
        <v>2.6432917300527E-3</v>
      </c>
      <c r="AI149" s="299">
        <f t="shared" si="46"/>
        <v>2.5236074434878807E-3</v>
      </c>
      <c r="AJ149" s="299">
        <f t="shared" si="46"/>
        <v>2.4569146557964607E-3</v>
      </c>
      <c r="AK149" s="299">
        <f t="shared" si="46"/>
        <v>2.3617627134826795E-3</v>
      </c>
      <c r="AL149" s="299">
        <f t="shared" si="46"/>
        <v>2.2354826387235424E-3</v>
      </c>
      <c r="AM149" s="299">
        <f t="shared" si="46"/>
        <v>2.08306836354897E-3</v>
      </c>
      <c r="AN149" s="299">
        <f t="shared" si="46"/>
        <v>1.9188484158212742E-3</v>
      </c>
      <c r="AO149" s="299">
        <f t="shared" si="46"/>
        <v>1.7621944867018001E-3</v>
      </c>
      <c r="AP149" s="299">
        <f t="shared" si="46"/>
        <v>1.6291882817763158E-3</v>
      </c>
      <c r="AQ149" s="299">
        <f t="shared" si="46"/>
        <v>1.5269799431886675E-3</v>
      </c>
      <c r="AR149" s="299">
        <f t="shared" si="55"/>
        <v>1.4542962418729987E-3</v>
      </c>
      <c r="AS149" s="299">
        <f t="shared" si="55"/>
        <v>1.4054103768039695E-3</v>
      </c>
      <c r="AT149" s="299">
        <f t="shared" si="55"/>
        <v>1.3737509899773828E-3</v>
      </c>
      <c r="AU149" s="299">
        <f t="shared" si="55"/>
        <v>1.3537471862101963E-3</v>
      </c>
      <c r="AV149" s="299">
        <f t="shared" si="55"/>
        <v>1.3413041737507193E-3</v>
      </c>
      <c r="AW149" s="299">
        <f t="shared" si="55"/>
        <v>1.3336394243766306E-3</v>
      </c>
      <c r="AX149" s="299">
        <f t="shared" si="55"/>
        <v>1.3289463939209214E-3</v>
      </c>
      <c r="AY149" s="299">
        <f t="shared" si="55"/>
        <v>1.3260835046311748E-3</v>
      </c>
      <c r="AZ149" s="306">
        <f t="shared" si="47"/>
        <v>0.14633206927424047</v>
      </c>
      <c r="BA149" s="2">
        <f t="shared" si="47"/>
        <v>0.14633206927424047</v>
      </c>
      <c r="BB149" s="2">
        <f t="shared" si="47"/>
        <v>0.14633206927424047</v>
      </c>
      <c r="BC149" s="2">
        <f t="shared" si="47"/>
        <v>0.14633206927424047</v>
      </c>
      <c r="BD149" s="2">
        <f t="shared" si="47"/>
        <v>0.14633206927424047</v>
      </c>
      <c r="BE149" s="2">
        <f t="shared" si="47"/>
        <v>0.13970637256679003</v>
      </c>
      <c r="BF149" s="2">
        <f t="shared" si="47"/>
        <v>0.1360142739922757</v>
      </c>
      <c r="BG149" s="2">
        <f t="shared" si="47"/>
        <v>0.13074668265684591</v>
      </c>
      <c r="BH149" s="2">
        <f t="shared" si="47"/>
        <v>0.12375584451457174</v>
      </c>
      <c r="BI149" s="2">
        <f t="shared" si="47"/>
        <v>0.11531822258292669</v>
      </c>
      <c r="BJ149" s="2">
        <f t="shared" si="47"/>
        <v>0.10622704112388197</v>
      </c>
      <c r="BK149" s="2">
        <f t="shared" si="47"/>
        <v>9.7554712849493658E-2</v>
      </c>
      <c r="BL149" s="2">
        <f t="shared" si="47"/>
        <v>9.0191517568482524E-2</v>
      </c>
      <c r="BM149" s="2">
        <f t="shared" si="47"/>
        <v>8.4533285632685334E-2</v>
      </c>
      <c r="BN149" s="2">
        <f t="shared" si="56"/>
        <v>8.0509531351193084E-2</v>
      </c>
      <c r="BO149" s="2">
        <f t="shared" si="56"/>
        <v>7.7803220234459194E-2</v>
      </c>
      <c r="BP149" s="2">
        <f t="shared" si="56"/>
        <v>7.6050563297801022E-2</v>
      </c>
      <c r="BQ149" s="2">
        <f t="shared" si="56"/>
        <v>7.4943156966018679E-2</v>
      </c>
      <c r="BR149" s="2">
        <f t="shared" si="56"/>
        <v>7.425431443664561E-2</v>
      </c>
      <c r="BS149" s="2">
        <f t="shared" si="56"/>
        <v>7.3829995537741291E-2</v>
      </c>
      <c r="BT149" s="2">
        <f t="shared" si="56"/>
        <v>7.3570190367565375E-2</v>
      </c>
      <c r="BU149" s="2">
        <f t="shared" si="56"/>
        <v>7.3411701423984649E-2</v>
      </c>
    </row>
    <row r="150" spans="1:73" x14ac:dyDescent="0.25">
      <c r="A150" t="s">
        <v>40</v>
      </c>
      <c r="B150" s="1" t="s">
        <v>5</v>
      </c>
      <c r="C150" t="s">
        <v>13</v>
      </c>
      <c r="D150" t="s">
        <v>13</v>
      </c>
      <c r="E150" s="97">
        <v>6.8724755000000002</v>
      </c>
      <c r="F150" s="5">
        <f t="shared" si="54"/>
        <v>1.6837564975E-2</v>
      </c>
      <c r="G150" s="1">
        <f>LOOKUP(RIGHT(D150,5),Ref!$C$4:$C$21,Ref!$E$4:$E$21)*$G$3</f>
        <v>1.5</v>
      </c>
      <c r="H150" s="36">
        <f t="shared" ref="H150:L165" si="59">$E150</f>
        <v>6.8724755000000002</v>
      </c>
      <c r="I150" s="12">
        <f t="shared" si="59"/>
        <v>6.8724755000000002</v>
      </c>
      <c r="J150" s="12">
        <f t="shared" si="59"/>
        <v>6.8724755000000002</v>
      </c>
      <c r="K150" s="12">
        <f t="shared" si="59"/>
        <v>6.8724755000000002</v>
      </c>
      <c r="L150" s="12">
        <f t="shared" si="59"/>
        <v>6.8724755000000002</v>
      </c>
      <c r="M150" s="12">
        <f t="shared" si="58"/>
        <v>7.1984086514789345</v>
      </c>
      <c r="N150" s="12">
        <f t="shared" si="58"/>
        <v>7.3938089836705849</v>
      </c>
      <c r="O150" s="12">
        <f t="shared" si="58"/>
        <v>7.691694661125414</v>
      </c>
      <c r="P150" s="12">
        <f t="shared" si="58"/>
        <v>8.1261904429338507</v>
      </c>
      <c r="Q150" s="12">
        <f t="shared" si="58"/>
        <v>8.7207688293004679</v>
      </c>
      <c r="R150" s="12">
        <f t="shared" si="58"/>
        <v>9.4671144965688701</v>
      </c>
      <c r="S150" s="12">
        <f t="shared" si="58"/>
        <v>10.30871325</v>
      </c>
      <c r="T150" s="12">
        <f t="shared" si="58"/>
        <v>11.15031200343113</v>
      </c>
      <c r="U150" s="12">
        <f t="shared" si="58"/>
        <v>11.896657670699533</v>
      </c>
      <c r="V150" s="12">
        <f t="shared" si="58"/>
        <v>12.49123605706615</v>
      </c>
      <c r="W150" s="12">
        <f t="shared" si="58"/>
        <v>12.925731838874585</v>
      </c>
      <c r="X150" s="12">
        <f t="shared" si="58"/>
        <v>13.223617516329416</v>
      </c>
      <c r="Y150" s="12">
        <f t="shared" si="58"/>
        <v>13.419017848521065</v>
      </c>
      <c r="Z150" s="12">
        <f t="shared" si="58"/>
        <v>13.543503412310958</v>
      </c>
      <c r="AA150" s="12">
        <f t="shared" si="58"/>
        <v>13.62134121269767</v>
      </c>
      <c r="AB150" s="12">
        <f t="shared" si="58"/>
        <v>13.669443505951344</v>
      </c>
      <c r="AC150" s="12">
        <f t="shared" si="57"/>
        <v>13.698954545997701</v>
      </c>
      <c r="AD150" s="300">
        <f t="shared" si="46"/>
        <v>1.9998029972648516E-3</v>
      </c>
      <c r="AE150" s="299">
        <f t="shared" si="46"/>
        <v>1.9998029972648516E-3</v>
      </c>
      <c r="AF150" s="299">
        <f t="shared" si="46"/>
        <v>1.9998029972648516E-3</v>
      </c>
      <c r="AG150" s="299">
        <f t="shared" si="46"/>
        <v>1.9998029972648516E-3</v>
      </c>
      <c r="AH150" s="299">
        <f t="shared" si="46"/>
        <v>1.9998029972648516E-3</v>
      </c>
      <c r="AI150" s="299">
        <f t="shared" si="46"/>
        <v>1.9092549157660834E-3</v>
      </c>
      <c r="AJ150" s="299">
        <f t="shared" si="46"/>
        <v>1.8587979664990459E-3</v>
      </c>
      <c r="AK150" s="299">
        <f t="shared" si="46"/>
        <v>1.7868100215926094E-3</v>
      </c>
      <c r="AL150" s="299">
        <f t="shared" si="46"/>
        <v>1.6912718450353373E-3</v>
      </c>
      <c r="AM150" s="299">
        <f t="shared" si="46"/>
        <v>1.5759616350972229E-3</v>
      </c>
      <c r="AN150" s="299">
        <f t="shared" si="46"/>
        <v>1.451719751410031E-3</v>
      </c>
      <c r="AO150" s="299">
        <f t="shared" si="46"/>
        <v>1.3332019981765677E-3</v>
      </c>
      <c r="AP150" s="299">
        <f t="shared" si="46"/>
        <v>1.2325751153241392E-3</v>
      </c>
      <c r="AQ150" s="299">
        <f t="shared" si="46"/>
        <v>1.1552485987201752E-3</v>
      </c>
      <c r="AR150" s="299">
        <f t="shared" si="55"/>
        <v>1.1002591769734961E-3</v>
      </c>
      <c r="AS150" s="299">
        <f t="shared" si="55"/>
        <v>1.0632741940533623E-3</v>
      </c>
      <c r="AT150" s="299">
        <f t="shared" si="55"/>
        <v>1.0393220377523577E-3</v>
      </c>
      <c r="AU150" s="299">
        <f t="shared" si="55"/>
        <v>1.0241880038220506E-3</v>
      </c>
      <c r="AV150" s="299">
        <f t="shared" si="55"/>
        <v>1.0147741455904546E-3</v>
      </c>
      <c r="AW150" s="299">
        <f t="shared" si="55"/>
        <v>1.008975319604917E-3</v>
      </c>
      <c r="AX150" s="299">
        <f t="shared" si="55"/>
        <v>1.0054247707703412E-3</v>
      </c>
      <c r="AY150" s="299">
        <f t="shared" si="55"/>
        <v>1.0032588295246663E-3</v>
      </c>
      <c r="AZ150" s="306">
        <f t="shared" si="47"/>
        <v>0.11070866957419022</v>
      </c>
      <c r="BA150" s="2">
        <f t="shared" si="47"/>
        <v>0.11070866957419022</v>
      </c>
      <c r="BB150" s="2">
        <f t="shared" si="47"/>
        <v>0.11070866957419022</v>
      </c>
      <c r="BC150" s="2">
        <f t="shared" si="47"/>
        <v>0.11070866957419022</v>
      </c>
      <c r="BD150" s="2">
        <f t="shared" si="47"/>
        <v>0.11070866957419022</v>
      </c>
      <c r="BE150" s="2">
        <f t="shared" si="47"/>
        <v>0.10569594699654908</v>
      </c>
      <c r="BF150" s="2">
        <f t="shared" si="47"/>
        <v>0.10290266099199452</v>
      </c>
      <c r="BG150" s="2">
        <f t="shared" si="47"/>
        <v>9.8917423637679178E-2</v>
      </c>
      <c r="BH150" s="2">
        <f t="shared" si="47"/>
        <v>9.3628450456487933E-2</v>
      </c>
      <c r="BI150" s="2">
        <f t="shared" si="47"/>
        <v>8.724490170292111E-2</v>
      </c>
      <c r="BJ150" s="2">
        <f t="shared" si="47"/>
        <v>8.0366897385889549E-2</v>
      </c>
      <c r="BK150" s="2">
        <f t="shared" si="47"/>
        <v>7.3805779716126813E-2</v>
      </c>
      <c r="BL150" s="2">
        <f t="shared" si="47"/>
        <v>6.8235096834249498E-2</v>
      </c>
      <c r="BM150" s="2">
        <f t="shared" si="47"/>
        <v>6.3954317283593798E-2</v>
      </c>
      <c r="BN150" s="2">
        <f t="shared" si="56"/>
        <v>6.0910114564348319E-2</v>
      </c>
      <c r="BO150" s="2">
        <f t="shared" si="56"/>
        <v>5.8862633758032745E-2</v>
      </c>
      <c r="BP150" s="2">
        <f t="shared" si="56"/>
        <v>5.7536647467811126E-2</v>
      </c>
      <c r="BQ150" s="2">
        <f t="shared" si="56"/>
        <v>5.6698830560842545E-2</v>
      </c>
      <c r="BR150" s="2">
        <f t="shared" si="56"/>
        <v>5.6177681366744198E-2</v>
      </c>
      <c r="BS150" s="2">
        <f t="shared" si="56"/>
        <v>5.5856659590684678E-2</v>
      </c>
      <c r="BT150" s="2">
        <f t="shared" si="56"/>
        <v>5.5660101960622273E-2</v>
      </c>
      <c r="BU150" s="2">
        <f t="shared" si="56"/>
        <v>5.5540195912870315E-2</v>
      </c>
    </row>
    <row r="151" spans="1:73" x14ac:dyDescent="0.25">
      <c r="A151" t="s">
        <v>40</v>
      </c>
      <c r="B151" s="1" t="s">
        <v>5</v>
      </c>
      <c r="C151" t="s">
        <v>14</v>
      </c>
      <c r="D151" t="s">
        <v>14</v>
      </c>
      <c r="E151" s="97">
        <v>6.3918799999999996</v>
      </c>
      <c r="F151" s="5">
        <f t="shared" si="54"/>
        <v>1.5660106E-2</v>
      </c>
      <c r="G151" s="1">
        <f>LOOKUP(RIGHT(D151,5),Ref!$C$4:$C$21,Ref!$E$4:$E$21)*$G$3</f>
        <v>2</v>
      </c>
      <c r="H151" s="36">
        <f t="shared" si="59"/>
        <v>6.3918799999999996</v>
      </c>
      <c r="I151" s="12">
        <f t="shared" si="59"/>
        <v>6.3918799999999996</v>
      </c>
      <c r="J151" s="12">
        <f t="shared" si="59"/>
        <v>6.3918799999999996</v>
      </c>
      <c r="K151" s="12">
        <f t="shared" si="59"/>
        <v>6.3918799999999996</v>
      </c>
      <c r="L151" s="12">
        <f t="shared" si="59"/>
        <v>6.3918799999999996</v>
      </c>
      <c r="M151" s="12">
        <f t="shared" si="58"/>
        <v>6.6950204902462245</v>
      </c>
      <c r="N151" s="12">
        <f t="shared" si="58"/>
        <v>6.8767563837141852</v>
      </c>
      <c r="O151" s="12">
        <f t="shared" si="58"/>
        <v>7.1538107732147322</v>
      </c>
      <c r="P151" s="12">
        <f t="shared" si="58"/>
        <v>7.5579220571073726</v>
      </c>
      <c r="Q151" s="12">
        <f t="shared" si="58"/>
        <v>8.1109212924264451</v>
      </c>
      <c r="R151" s="12">
        <f t="shared" si="58"/>
        <v>8.8050746500774899</v>
      </c>
      <c r="S151" s="12">
        <f t="shared" si="58"/>
        <v>9.5878199999999989</v>
      </c>
      <c r="T151" s="12">
        <f t="shared" si="58"/>
        <v>10.37056534992251</v>
      </c>
      <c r="U151" s="12">
        <f t="shared" si="58"/>
        <v>11.064718707573554</v>
      </c>
      <c r="V151" s="12">
        <f t="shared" si="58"/>
        <v>11.617717942892627</v>
      </c>
      <c r="W151" s="12">
        <f t="shared" si="58"/>
        <v>12.021829226785265</v>
      </c>
      <c r="X151" s="12">
        <f t="shared" si="58"/>
        <v>12.298883616285814</v>
      </c>
      <c r="Y151" s="12">
        <f t="shared" si="58"/>
        <v>12.480619509753774</v>
      </c>
      <c r="Z151" s="12">
        <f t="shared" si="58"/>
        <v>12.596399738505021</v>
      </c>
      <c r="AA151" s="12">
        <f t="shared" si="58"/>
        <v>12.668794304267506</v>
      </c>
      <c r="AB151" s="12">
        <f t="shared" si="58"/>
        <v>12.713532781138364</v>
      </c>
      <c r="AC151" s="12">
        <f t="shared" si="57"/>
        <v>12.740980100034083</v>
      </c>
      <c r="AD151" s="300">
        <f t="shared" si="46"/>
        <v>2.1501650693581953E-3</v>
      </c>
      <c r="AE151" s="299">
        <f t="shared" si="46"/>
        <v>2.1501650693581953E-3</v>
      </c>
      <c r="AF151" s="299">
        <f t="shared" si="46"/>
        <v>2.1501650693581953E-3</v>
      </c>
      <c r="AG151" s="299">
        <f t="shared" si="46"/>
        <v>2.1501650693581953E-3</v>
      </c>
      <c r="AH151" s="299">
        <f t="shared" si="46"/>
        <v>2.1501650693581953E-3</v>
      </c>
      <c r="AI151" s="299">
        <f t="shared" si="46"/>
        <v>2.052808818666335E-3</v>
      </c>
      <c r="AJ151" s="299">
        <f t="shared" si="46"/>
        <v>1.9985580899851865E-3</v>
      </c>
      <c r="AK151" s="299">
        <f t="shared" si="46"/>
        <v>1.9211574836432601E-3</v>
      </c>
      <c r="AL151" s="299">
        <f t="shared" si="46"/>
        <v>1.8184359404189619E-3</v>
      </c>
      <c r="AM151" s="299">
        <f t="shared" si="46"/>
        <v>1.6944557354245705E-3</v>
      </c>
      <c r="AN151" s="299">
        <f t="shared" si="46"/>
        <v>1.5608722980455718E-3</v>
      </c>
      <c r="AO151" s="299">
        <f t="shared" si="46"/>
        <v>1.4334433795721302E-3</v>
      </c>
      <c r="AP151" s="299">
        <f t="shared" si="46"/>
        <v>1.3252505181534731E-3</v>
      </c>
      <c r="AQ151" s="299">
        <f t="shared" si="46"/>
        <v>1.2421099412244499E-3</v>
      </c>
      <c r="AR151" s="299">
        <f t="shared" si="55"/>
        <v>1.1829859505185509E-3</v>
      </c>
      <c r="AS151" s="299">
        <f t="shared" si="55"/>
        <v>1.14322012434745E-3</v>
      </c>
      <c r="AT151" s="299">
        <f t="shared" si="55"/>
        <v>1.1174670427265773E-3</v>
      </c>
      <c r="AU151" s="299">
        <f t="shared" si="55"/>
        <v>1.101195104360681E-3</v>
      </c>
      <c r="AV151" s="299">
        <f t="shared" si="55"/>
        <v>1.0910734327934557E-3</v>
      </c>
      <c r="AW151" s="299">
        <f t="shared" si="55"/>
        <v>1.0848386021154125E-3</v>
      </c>
      <c r="AX151" s="299">
        <f t="shared" si="55"/>
        <v>1.0810210930449708E-3</v>
      </c>
      <c r="AY151" s="299">
        <f t="shared" si="55"/>
        <v>1.0786922980511127E-3</v>
      </c>
      <c r="AZ151" s="306">
        <f t="shared" si="47"/>
        <v>0.11903268197873206</v>
      </c>
      <c r="BA151" s="2">
        <f t="shared" si="47"/>
        <v>0.11903268197873206</v>
      </c>
      <c r="BB151" s="2">
        <f t="shared" si="47"/>
        <v>0.11903268197873206</v>
      </c>
      <c r="BC151" s="2">
        <f t="shared" si="47"/>
        <v>0.11903268197873206</v>
      </c>
      <c r="BD151" s="2">
        <f t="shared" si="47"/>
        <v>0.11903268197873206</v>
      </c>
      <c r="BE151" s="2">
        <f t="shared" si="47"/>
        <v>0.11364306059924188</v>
      </c>
      <c r="BF151" s="2">
        <f t="shared" si="47"/>
        <v>0.11063975177135492</v>
      </c>
      <c r="BG151" s="2">
        <f t="shared" si="47"/>
        <v>0.1063548706285273</v>
      </c>
      <c r="BH151" s="2">
        <f t="shared" si="47"/>
        <v>0.10066822779294624</v>
      </c>
      <c r="BI151" s="2">
        <f t="shared" si="47"/>
        <v>9.3804709952820392E-2</v>
      </c>
      <c r="BJ151" s="2">
        <f t="shared" si="47"/>
        <v>8.6409559205670325E-2</v>
      </c>
      <c r="BK151" s="2">
        <f t="shared" si="47"/>
        <v>7.9355121319154703E-2</v>
      </c>
      <c r="BL151" s="2">
        <f t="shared" si="47"/>
        <v>7.3365587469337232E-2</v>
      </c>
      <c r="BM151" s="2">
        <f t="shared" si="47"/>
        <v>6.8762942772818789E-2</v>
      </c>
      <c r="BN151" s="2">
        <f t="shared" si="56"/>
        <v>6.5489851193338583E-2</v>
      </c>
      <c r="BO151" s="2">
        <f t="shared" si="56"/>
        <v>6.3288423494739107E-2</v>
      </c>
      <c r="BP151" s="2">
        <f t="shared" si="56"/>
        <v>6.1862738360962517E-2</v>
      </c>
      <c r="BQ151" s="2">
        <f t="shared" si="56"/>
        <v>6.0961927305900873E-2</v>
      </c>
      <c r="BR151" s="2">
        <f t="shared" si="56"/>
        <v>6.0401593715738722E-2</v>
      </c>
      <c r="BS151" s="2">
        <f t="shared" si="56"/>
        <v>6.0056434812421462E-2</v>
      </c>
      <c r="BT151" s="2">
        <f t="shared" si="56"/>
        <v>5.9845098320349968E-2</v>
      </c>
      <c r="BU151" s="2">
        <f t="shared" si="56"/>
        <v>5.971617672365586E-2</v>
      </c>
    </row>
    <row r="152" spans="1:73" x14ac:dyDescent="0.25">
      <c r="A152" t="s">
        <v>40</v>
      </c>
      <c r="B152" s="1" t="s">
        <v>5</v>
      </c>
      <c r="C152" t="s">
        <v>15</v>
      </c>
      <c r="D152" t="s">
        <v>15</v>
      </c>
      <c r="E152" s="97">
        <v>6.1986125000000003</v>
      </c>
      <c r="F152" s="5">
        <f t="shared" si="54"/>
        <v>1.5186600625000001E-2</v>
      </c>
      <c r="G152" s="1">
        <f>LOOKUP(RIGHT(D152,5),Ref!$C$4:$C$21,Ref!$E$4:$E$21)*$G$3</f>
        <v>2.5</v>
      </c>
      <c r="H152" s="36">
        <f t="shared" si="59"/>
        <v>6.1986125000000003</v>
      </c>
      <c r="I152" s="12">
        <f t="shared" si="59"/>
        <v>6.1986125000000003</v>
      </c>
      <c r="J152" s="12">
        <f t="shared" si="59"/>
        <v>6.1986125000000003</v>
      </c>
      <c r="K152" s="12">
        <f t="shared" si="59"/>
        <v>6.1986125000000003</v>
      </c>
      <c r="L152" s="12">
        <f t="shared" si="59"/>
        <v>6.1986125000000003</v>
      </c>
      <c r="M152" s="12">
        <f t="shared" si="58"/>
        <v>6.49258711030188</v>
      </c>
      <c r="N152" s="12">
        <f t="shared" si="58"/>
        <v>6.6688279629069305</v>
      </c>
      <c r="O152" s="12">
        <f t="shared" si="58"/>
        <v>6.937505222482824</v>
      </c>
      <c r="P152" s="12">
        <f t="shared" si="58"/>
        <v>7.3293976321851284</v>
      </c>
      <c r="Q152" s="12">
        <f t="shared" si="58"/>
        <v>7.86567615627182</v>
      </c>
      <c r="R152" s="12">
        <f t="shared" si="58"/>
        <v>8.5388408088705461</v>
      </c>
      <c r="S152" s="12">
        <f t="shared" si="58"/>
        <v>9.2979187500000009</v>
      </c>
      <c r="T152" s="12">
        <f t="shared" si="58"/>
        <v>10.056996691129456</v>
      </c>
      <c r="U152" s="12">
        <f t="shared" si="58"/>
        <v>10.730161343728181</v>
      </c>
      <c r="V152" s="12">
        <f t="shared" si="58"/>
        <v>11.266439867814872</v>
      </c>
      <c r="W152" s="12">
        <f t="shared" si="58"/>
        <v>11.658332277517175</v>
      </c>
      <c r="X152" s="12">
        <f t="shared" si="58"/>
        <v>11.92700953709307</v>
      </c>
      <c r="Y152" s="12">
        <f t="shared" si="58"/>
        <v>12.10325038969812</v>
      </c>
      <c r="Z152" s="12">
        <f t="shared" si="58"/>
        <v>12.215529840061759</v>
      </c>
      <c r="AA152" s="12">
        <f t="shared" si="58"/>
        <v>12.285735454101355</v>
      </c>
      <c r="AB152" s="12">
        <f t="shared" si="58"/>
        <v>12.329121200073223</v>
      </c>
      <c r="AC152" s="12">
        <f t="shared" si="57"/>
        <v>12.355738610600092</v>
      </c>
      <c r="AD152" s="300">
        <f t="shared" si="46"/>
        <v>2.2172053993582048E-3</v>
      </c>
      <c r="AE152" s="299">
        <f t="shared" si="46"/>
        <v>2.2172053993582048E-3</v>
      </c>
      <c r="AF152" s="299">
        <f t="shared" si="46"/>
        <v>2.2172053993582048E-3</v>
      </c>
      <c r="AG152" s="299">
        <f t="shared" si="46"/>
        <v>2.2172053993582048E-3</v>
      </c>
      <c r="AH152" s="299">
        <f t="shared" si="46"/>
        <v>2.2172053993582048E-3</v>
      </c>
      <c r="AI152" s="299">
        <f t="shared" si="46"/>
        <v>2.1168136630345859E-3</v>
      </c>
      <c r="AJ152" s="299">
        <f t="shared" si="46"/>
        <v>2.0608714424743459E-3</v>
      </c>
      <c r="AK152" s="299">
        <f t="shared" si="46"/>
        <v>1.9810575506292219E-3</v>
      </c>
      <c r="AL152" s="299">
        <f t="shared" si="46"/>
        <v>1.8751332364856091E-3</v>
      </c>
      <c r="AM152" s="299">
        <f t="shared" si="46"/>
        <v>1.7472874334612146E-3</v>
      </c>
      <c r="AN152" s="299">
        <f t="shared" si="46"/>
        <v>1.6095389773810715E-3</v>
      </c>
      <c r="AO152" s="299">
        <f t="shared" si="46"/>
        <v>1.4781369329054696E-3</v>
      </c>
      <c r="AP152" s="299">
        <f t="shared" si="46"/>
        <v>1.3665707094893931E-3</v>
      </c>
      <c r="AQ152" s="299">
        <f t="shared" si="46"/>
        <v>1.2808378796244702E-3</v>
      </c>
      <c r="AR152" s="299">
        <f t="shared" si="55"/>
        <v>1.2198704528473938E-3</v>
      </c>
      <c r="AS152" s="299">
        <f t="shared" si="55"/>
        <v>1.1788647618179034E-3</v>
      </c>
      <c r="AT152" s="299">
        <f t="shared" si="55"/>
        <v>1.1523087208731235E-3</v>
      </c>
      <c r="AU152" s="299">
        <f t="shared" si="55"/>
        <v>1.1355294372185629E-3</v>
      </c>
      <c r="AV152" s="299">
        <f t="shared" si="55"/>
        <v>1.1250921804845573E-3</v>
      </c>
      <c r="AW152" s="299">
        <f t="shared" si="55"/>
        <v>1.1186629530543265E-3</v>
      </c>
      <c r="AX152" s="299">
        <f t="shared" si="55"/>
        <v>1.1147264172768159E-3</v>
      </c>
      <c r="AY152" s="299">
        <f t="shared" si="55"/>
        <v>1.112325012422852E-3</v>
      </c>
      <c r="AZ152" s="306">
        <f t="shared" si="47"/>
        <v>0.12274402042170207</v>
      </c>
      <c r="BA152" s="2">
        <f t="shared" si="47"/>
        <v>0.12274402042170207</v>
      </c>
      <c r="BB152" s="2">
        <f t="shared" si="47"/>
        <v>0.12274402042170207</v>
      </c>
      <c r="BC152" s="2">
        <f t="shared" si="47"/>
        <v>0.12274402042170207</v>
      </c>
      <c r="BD152" s="2">
        <f t="shared" si="47"/>
        <v>0.12274402042170207</v>
      </c>
      <c r="BE152" s="2">
        <f t="shared" si="47"/>
        <v>0.11718635520176202</v>
      </c>
      <c r="BF152" s="2">
        <f t="shared" si="47"/>
        <v>0.11408940574237993</v>
      </c>
      <c r="BG152" s="2">
        <f t="shared" si="47"/>
        <v>0.10967092562618989</v>
      </c>
      <c r="BH152" s="2">
        <f t="shared" si="47"/>
        <v>0.10380697807213744</v>
      </c>
      <c r="BI152" s="2">
        <f t="shared" si="47"/>
        <v>9.6729461545343176E-2</v>
      </c>
      <c r="BJ152" s="2">
        <f t="shared" si="47"/>
        <v>8.9103736246706811E-2</v>
      </c>
      <c r="BK152" s="2">
        <f t="shared" si="47"/>
        <v>8.1829346947801376E-2</v>
      </c>
      <c r="BL152" s="2">
        <f t="shared" si="47"/>
        <v>7.565306449362777E-2</v>
      </c>
      <c r="BM152" s="2">
        <f t="shared" si="47"/>
        <v>7.0906913224649051E-2</v>
      </c>
      <c r="BN152" s="2">
        <f t="shared" si="56"/>
        <v>6.7531769415442089E-2</v>
      </c>
      <c r="BO152" s="2">
        <f t="shared" si="56"/>
        <v>6.5261703061379128E-2</v>
      </c>
      <c r="BP152" s="2">
        <f t="shared" si="56"/>
        <v>6.3791566269817482E-2</v>
      </c>
      <c r="BQ152" s="2">
        <f t="shared" si="56"/>
        <v>6.28626686872331E-2</v>
      </c>
      <c r="BR152" s="2">
        <f t="shared" si="56"/>
        <v>6.2284864369204565E-2</v>
      </c>
      <c r="BS152" s="2">
        <f t="shared" si="56"/>
        <v>6.1928943702936827E-2</v>
      </c>
      <c r="BT152" s="2">
        <f t="shared" si="56"/>
        <v>6.1711017917619231E-2</v>
      </c>
      <c r="BU152" s="2">
        <f t="shared" si="56"/>
        <v>6.1578076654477336E-2</v>
      </c>
    </row>
    <row r="153" spans="1:73" x14ac:dyDescent="0.25">
      <c r="A153" t="s">
        <v>40</v>
      </c>
      <c r="B153" s="1" t="s">
        <v>5</v>
      </c>
      <c r="C153" t="s">
        <v>16</v>
      </c>
      <c r="D153" t="s">
        <v>16</v>
      </c>
      <c r="E153" s="97">
        <v>6.085426</v>
      </c>
      <c r="F153" s="5">
        <f t="shared" si="54"/>
        <v>1.4909293700000001E-2</v>
      </c>
      <c r="G153" s="1">
        <f>LOOKUP(RIGHT(D153,5),Ref!$C$4:$C$21,Ref!$E$4:$E$21)*$G$3</f>
        <v>3</v>
      </c>
      <c r="H153" s="36">
        <f t="shared" si="59"/>
        <v>6.085426</v>
      </c>
      <c r="I153" s="12">
        <f t="shared" si="59"/>
        <v>6.085426</v>
      </c>
      <c r="J153" s="12">
        <f t="shared" si="59"/>
        <v>6.085426</v>
      </c>
      <c r="K153" s="12">
        <f t="shared" si="59"/>
        <v>6.085426</v>
      </c>
      <c r="L153" s="12">
        <f t="shared" si="59"/>
        <v>6.085426</v>
      </c>
      <c r="M153" s="12">
        <f t="shared" si="58"/>
        <v>6.3740326417074673</v>
      </c>
      <c r="N153" s="12">
        <f t="shared" si="58"/>
        <v>6.5470553410139551</v>
      </c>
      <c r="O153" s="12">
        <f t="shared" si="58"/>
        <v>6.8108265609493666</v>
      </c>
      <c r="P153" s="12">
        <f t="shared" si="58"/>
        <v>7.1955630256348195</v>
      </c>
      <c r="Q153" s="12">
        <f t="shared" si="58"/>
        <v>7.7220491180819248</v>
      </c>
      <c r="R153" s="12">
        <f t="shared" si="58"/>
        <v>8.3829218019616238</v>
      </c>
      <c r="S153" s="12">
        <f t="shared" si="58"/>
        <v>9.1281390000000009</v>
      </c>
      <c r="T153" s="12">
        <f t="shared" si="58"/>
        <v>9.8733561980383762</v>
      </c>
      <c r="U153" s="12">
        <f t="shared" si="58"/>
        <v>10.534228881918075</v>
      </c>
      <c r="V153" s="12">
        <f t="shared" si="58"/>
        <v>11.06071497436518</v>
      </c>
      <c r="W153" s="12">
        <f t="shared" si="58"/>
        <v>11.445451439050633</v>
      </c>
      <c r="X153" s="12">
        <f t="shared" si="58"/>
        <v>11.709222658986045</v>
      </c>
      <c r="Y153" s="12">
        <f t="shared" si="58"/>
        <v>11.882245358292533</v>
      </c>
      <c r="Z153" s="12">
        <f t="shared" si="58"/>
        <v>11.992474588867697</v>
      </c>
      <c r="AA153" s="12">
        <f t="shared" si="58"/>
        <v>12.061398250255229</v>
      </c>
      <c r="AB153" s="12">
        <f t="shared" si="58"/>
        <v>12.103991773655281</v>
      </c>
      <c r="AC153" s="12">
        <f t="shared" si="57"/>
        <v>12.130123150971233</v>
      </c>
      <c r="AD153" s="300">
        <f t="shared" si="46"/>
        <v>2.2584445367553989E-3</v>
      </c>
      <c r="AE153" s="299">
        <f t="shared" si="46"/>
        <v>2.2584445367553989E-3</v>
      </c>
      <c r="AF153" s="299">
        <f t="shared" si="46"/>
        <v>2.2584445367553989E-3</v>
      </c>
      <c r="AG153" s="299">
        <f t="shared" si="46"/>
        <v>2.2584445367553989E-3</v>
      </c>
      <c r="AH153" s="299">
        <f t="shared" si="46"/>
        <v>2.2584445367553989E-3</v>
      </c>
      <c r="AI153" s="299">
        <f t="shared" si="46"/>
        <v>2.1561855541184748E-3</v>
      </c>
      <c r="AJ153" s="299">
        <f t="shared" si="46"/>
        <v>2.0992028305355306E-3</v>
      </c>
      <c r="AK153" s="299">
        <f t="shared" si="46"/>
        <v>2.0179044320890074E-3</v>
      </c>
      <c r="AL153" s="299">
        <f t="shared" si="46"/>
        <v>1.9100099678880582E-3</v>
      </c>
      <c r="AM153" s="299">
        <f t="shared" si="46"/>
        <v>1.7797862838436623E-3</v>
      </c>
      <c r="AN153" s="299">
        <f t="shared" si="46"/>
        <v>1.6394757613405419E-3</v>
      </c>
      <c r="AO153" s="299">
        <f t="shared" si="46"/>
        <v>1.5056296911702656E-3</v>
      </c>
      <c r="AP153" s="299">
        <f t="shared" si="46"/>
        <v>1.3919883804313488E-3</v>
      </c>
      <c r="AQ153" s="299">
        <f t="shared" si="46"/>
        <v>1.3046609540751522E-3</v>
      </c>
      <c r="AR153" s="299">
        <f t="shared" si="55"/>
        <v>1.2425595574410923E-3</v>
      </c>
      <c r="AS153" s="299">
        <f t="shared" si="55"/>
        <v>1.2007911768895025E-3</v>
      </c>
      <c r="AT153" s="299">
        <f t="shared" si="55"/>
        <v>1.1737412041594383E-3</v>
      </c>
      <c r="AU153" s="299">
        <f t="shared" si="55"/>
        <v>1.1566498325114708E-3</v>
      </c>
      <c r="AV153" s="299">
        <f t="shared" si="55"/>
        <v>1.1460184469589858E-3</v>
      </c>
      <c r="AW153" s="299">
        <f t="shared" si="55"/>
        <v>1.1394696384590761E-3</v>
      </c>
      <c r="AX153" s="299">
        <f t="shared" si="55"/>
        <v>1.1354598846838801E-3</v>
      </c>
      <c r="AY153" s="299">
        <f t="shared" si="55"/>
        <v>1.1330138146560234E-3</v>
      </c>
      <c r="AZ153" s="306">
        <f t="shared" si="47"/>
        <v>0.12502701031714422</v>
      </c>
      <c r="BA153" s="2">
        <f t="shared" si="47"/>
        <v>0.12502701031714422</v>
      </c>
      <c r="BB153" s="2">
        <f t="shared" si="47"/>
        <v>0.12502701031714422</v>
      </c>
      <c r="BC153" s="2">
        <f t="shared" si="47"/>
        <v>0.12502701031714422</v>
      </c>
      <c r="BD153" s="2">
        <f t="shared" si="47"/>
        <v>0.12502701031714422</v>
      </c>
      <c r="BE153" s="2">
        <f t="shared" si="47"/>
        <v>0.11936597473752571</v>
      </c>
      <c r="BF153" s="2">
        <f t="shared" si="47"/>
        <v>0.11621142325159949</v>
      </c>
      <c r="BG153" s="2">
        <f t="shared" si="47"/>
        <v>0.11171076116496546</v>
      </c>
      <c r="BH153" s="2">
        <f t="shared" si="47"/>
        <v>0.10573774652180097</v>
      </c>
      <c r="BI153" s="2">
        <f t="shared" si="47"/>
        <v>9.8528591006321262E-2</v>
      </c>
      <c r="BJ153" s="2">
        <f t="shared" si="47"/>
        <v>9.076103025417448E-2</v>
      </c>
      <c r="BK153" s="2">
        <f t="shared" si="47"/>
        <v>8.3351340211429481E-2</v>
      </c>
      <c r="BL153" s="2">
        <f t="shared" si="47"/>
        <v>7.7060181363393015E-2</v>
      </c>
      <c r="BM153" s="2">
        <f t="shared" si="47"/>
        <v>7.2225753571027715E-2</v>
      </c>
      <c r="BN153" s="2">
        <f t="shared" si="56"/>
        <v>6.8787833431164402E-2</v>
      </c>
      <c r="BO153" s="2">
        <f t="shared" si="56"/>
        <v>6.6475544746999293E-2</v>
      </c>
      <c r="BP153" s="2">
        <f t="shared" si="56"/>
        <v>6.4978063996615695E-2</v>
      </c>
      <c r="BQ153" s="2">
        <f t="shared" si="56"/>
        <v>6.4031889288940769E-2</v>
      </c>
      <c r="BR153" s="2">
        <f t="shared" si="56"/>
        <v>6.3443338040714989E-2</v>
      </c>
      <c r="BS153" s="2">
        <f t="shared" si="56"/>
        <v>6.3080797391804694E-2</v>
      </c>
      <c r="BT153" s="2">
        <f t="shared" si="56"/>
        <v>6.2858818273671971E-2</v>
      </c>
      <c r="BU153" s="2">
        <f t="shared" si="56"/>
        <v>6.2723404355981227E-2</v>
      </c>
    </row>
    <row r="154" spans="1:73" x14ac:dyDescent="0.25">
      <c r="A154" t="s">
        <v>40</v>
      </c>
      <c r="B154" s="1" t="s">
        <v>5</v>
      </c>
      <c r="C154" t="s">
        <v>17</v>
      </c>
      <c r="D154" t="s">
        <v>17</v>
      </c>
      <c r="E154" s="97">
        <v>6.2761750000000003</v>
      </c>
      <c r="F154" s="5">
        <f t="shared" si="54"/>
        <v>1.5376628750000001E-2</v>
      </c>
      <c r="G154" s="1">
        <f>LOOKUP(RIGHT(D154,5),Ref!$C$4:$C$21,Ref!$E$4:$E$21)*$G$3</f>
        <v>3</v>
      </c>
      <c r="H154" s="36">
        <f t="shared" si="59"/>
        <v>6.2761750000000003</v>
      </c>
      <c r="I154" s="12">
        <f t="shared" si="59"/>
        <v>6.2761750000000003</v>
      </c>
      <c r="J154" s="12">
        <f t="shared" si="59"/>
        <v>6.2761750000000003</v>
      </c>
      <c r="K154" s="12">
        <f t="shared" si="59"/>
        <v>6.2761750000000003</v>
      </c>
      <c r="L154" s="12">
        <f t="shared" si="59"/>
        <v>6.2761750000000003</v>
      </c>
      <c r="M154" s="12">
        <f t="shared" si="58"/>
        <v>6.5738280795902151</v>
      </c>
      <c r="N154" s="12">
        <f t="shared" si="58"/>
        <v>6.7522742129948279</v>
      </c>
      <c r="O154" s="12">
        <f t="shared" si="58"/>
        <v>7.024313399122164</v>
      </c>
      <c r="P154" s="12">
        <f t="shared" si="58"/>
        <v>7.4211095118753585</v>
      </c>
      <c r="Q154" s="12">
        <f t="shared" si="58"/>
        <v>7.9640984252668297</v>
      </c>
      <c r="R154" s="12">
        <f t="shared" si="58"/>
        <v>8.645686306994202</v>
      </c>
      <c r="S154" s="12">
        <f t="shared" si="58"/>
        <v>9.4142624999999995</v>
      </c>
      <c r="T154" s="12">
        <f t="shared" si="58"/>
        <v>10.182838693005799</v>
      </c>
      <c r="U154" s="12">
        <f t="shared" si="58"/>
        <v>10.864426574733171</v>
      </c>
      <c r="V154" s="12">
        <f t="shared" si="58"/>
        <v>11.407415488124641</v>
      </c>
      <c r="W154" s="12">
        <f t="shared" si="58"/>
        <v>11.804211600877835</v>
      </c>
      <c r="X154" s="12">
        <f t="shared" si="58"/>
        <v>12.076250787005172</v>
      </c>
      <c r="Y154" s="12">
        <f t="shared" si="58"/>
        <v>12.254696920409785</v>
      </c>
      <c r="Z154" s="12">
        <f t="shared" si="58"/>
        <v>12.368381310164107</v>
      </c>
      <c r="AA154" s="12">
        <f t="shared" si="58"/>
        <v>12.439465398691171</v>
      </c>
      <c r="AB154" s="12">
        <f t="shared" si="58"/>
        <v>12.483394025335437</v>
      </c>
      <c r="AC154" s="12">
        <f t="shared" si="57"/>
        <v>12.510344496350278</v>
      </c>
      <c r="AD154" s="300">
        <f t="shared" si="46"/>
        <v>2.1898046347543303E-3</v>
      </c>
      <c r="AE154" s="299">
        <f t="shared" si="46"/>
        <v>2.1898046347543303E-3</v>
      </c>
      <c r="AF154" s="299">
        <f t="shared" si="46"/>
        <v>2.1898046347543303E-3</v>
      </c>
      <c r="AG154" s="299">
        <f t="shared" si="46"/>
        <v>2.1898046347543303E-3</v>
      </c>
      <c r="AH154" s="299">
        <f t="shared" si="46"/>
        <v>2.1898046347543303E-3</v>
      </c>
      <c r="AI154" s="299">
        <f t="shared" si="46"/>
        <v>2.090653563971204E-3</v>
      </c>
      <c r="AJ154" s="299">
        <f t="shared" si="46"/>
        <v>2.0354026910043956E-3</v>
      </c>
      <c r="AK154" s="299">
        <f t="shared" si="46"/>
        <v>1.9565751586833827E-3</v>
      </c>
      <c r="AL154" s="299">
        <f t="shared" si="46"/>
        <v>1.8519598830251153E-3</v>
      </c>
      <c r="AM154" s="299">
        <f t="shared" si="46"/>
        <v>1.7256940295873847E-3</v>
      </c>
      <c r="AN154" s="299">
        <f t="shared" si="46"/>
        <v>1.5896479024934019E-3</v>
      </c>
      <c r="AO154" s="299">
        <f t="shared" si="46"/>
        <v>1.459869756502887E-3</v>
      </c>
      <c r="AP154" s="299">
        <f t="shared" si="46"/>
        <v>1.3496822956617402E-3</v>
      </c>
      <c r="AQ154" s="299">
        <f t="shared" si="46"/>
        <v>1.2650089729992768E-3</v>
      </c>
      <c r="AR154" s="299">
        <f t="shared" si="55"/>
        <v>1.204794996538579E-3</v>
      </c>
      <c r="AS154" s="299">
        <f t="shared" si="55"/>
        <v>1.1642960638309126E-3</v>
      </c>
      <c r="AT154" s="299">
        <f t="shared" si="55"/>
        <v>1.1380682089111847E-3</v>
      </c>
      <c r="AU154" s="299">
        <f t="shared" si="55"/>
        <v>1.1214962877327272E-3</v>
      </c>
      <c r="AV154" s="299">
        <f t="shared" si="55"/>
        <v>1.1111880171607441E-3</v>
      </c>
      <c r="AW154" s="299">
        <f t="shared" si="55"/>
        <v>1.1048382436897413E-3</v>
      </c>
      <c r="AX154" s="299">
        <f t="shared" si="55"/>
        <v>1.1009503565806063E-3</v>
      </c>
      <c r="AY154" s="299">
        <f t="shared" si="55"/>
        <v>1.0985786288729912E-3</v>
      </c>
      <c r="AZ154" s="306">
        <f t="shared" si="47"/>
        <v>0.12122711990762172</v>
      </c>
      <c r="BA154" s="2">
        <f t="shared" si="47"/>
        <v>0.12122711990762172</v>
      </c>
      <c r="BB154" s="2">
        <f t="shared" si="47"/>
        <v>0.12122711990762172</v>
      </c>
      <c r="BC154" s="2">
        <f t="shared" si="47"/>
        <v>0.12122711990762172</v>
      </c>
      <c r="BD154" s="2">
        <f t="shared" si="47"/>
        <v>0.12122711990762172</v>
      </c>
      <c r="BE154" s="2">
        <f t="shared" si="47"/>
        <v>0.11573813766873646</v>
      </c>
      <c r="BF154" s="2">
        <f t="shared" si="47"/>
        <v>0.11267946106542409</v>
      </c>
      <c r="BG154" s="2">
        <f t="shared" si="47"/>
        <v>0.10831558560318523</v>
      </c>
      <c r="BH154" s="2">
        <f t="shared" si="47"/>
        <v>0.10252410614190603</v>
      </c>
      <c r="BI154" s="2">
        <f t="shared" si="47"/>
        <v>9.5534055288967176E-2</v>
      </c>
      <c r="BJ154" s="2">
        <f t="shared" si="47"/>
        <v>8.8002570561773685E-2</v>
      </c>
      <c r="BK154" s="2">
        <f t="shared" si="47"/>
        <v>8.0818079938414486E-2</v>
      </c>
      <c r="BL154" s="2">
        <f t="shared" si="47"/>
        <v>7.4718125487818185E-2</v>
      </c>
      <c r="BM154" s="2">
        <f t="shared" si="47"/>
        <v>7.0030628312742219E-2</v>
      </c>
      <c r="BN154" s="2">
        <f t="shared" si="56"/>
        <v>6.6697195353169245E-2</v>
      </c>
      <c r="BO154" s="2">
        <f t="shared" si="56"/>
        <v>6.4455183032269325E-2</v>
      </c>
      <c r="BP154" s="2">
        <f t="shared" si="56"/>
        <v>6.3003214549414099E-2</v>
      </c>
      <c r="BQ154" s="2">
        <f t="shared" si="56"/>
        <v>6.2085796509504861E-2</v>
      </c>
      <c r="BR154" s="2">
        <f t="shared" si="56"/>
        <v>6.1515132838035273E-2</v>
      </c>
      <c r="BS154" s="2">
        <f t="shared" si="56"/>
        <v>6.1163610726090403E-2</v>
      </c>
      <c r="BT154" s="2">
        <f t="shared" si="56"/>
        <v>6.0948378120730944E-2</v>
      </c>
      <c r="BU154" s="2">
        <f t="shared" si="56"/>
        <v>6.0817079778113479E-2</v>
      </c>
    </row>
    <row r="155" spans="1:73" x14ac:dyDescent="0.25">
      <c r="A155" t="s">
        <v>40</v>
      </c>
      <c r="B155" s="1" t="s">
        <v>5</v>
      </c>
      <c r="C155" t="s">
        <v>18</v>
      </c>
      <c r="D155" t="s">
        <v>18</v>
      </c>
      <c r="E155" s="97">
        <v>6.2915049999999999</v>
      </c>
      <c r="F155" s="5">
        <f t="shared" si="54"/>
        <v>1.5414187249999999E-2</v>
      </c>
      <c r="G155" s="1">
        <f>LOOKUP(RIGHT(D155,5),Ref!$C$4:$C$21,Ref!$E$4:$E$21)*$G$3</f>
        <v>3</v>
      </c>
      <c r="H155" s="36">
        <f t="shared" si="59"/>
        <v>6.2915049999999999</v>
      </c>
      <c r="I155" s="12">
        <f t="shared" si="59"/>
        <v>6.2915049999999999</v>
      </c>
      <c r="J155" s="12">
        <f t="shared" si="59"/>
        <v>6.2915049999999999</v>
      </c>
      <c r="K155" s="12">
        <f t="shared" si="59"/>
        <v>6.2915049999999999</v>
      </c>
      <c r="L155" s="12">
        <f t="shared" si="59"/>
        <v>6.2915049999999999</v>
      </c>
      <c r="M155" s="12">
        <f t="shared" si="58"/>
        <v>6.589885118226027</v>
      </c>
      <c r="N155" s="12">
        <f t="shared" si="58"/>
        <v>6.7687671188945533</v>
      </c>
      <c r="O155" s="12">
        <f t="shared" si="58"/>
        <v>7.0414707799167626</v>
      </c>
      <c r="P155" s="12">
        <f t="shared" si="58"/>
        <v>7.4392360951553096</v>
      </c>
      <c r="Q155" s="12">
        <f t="shared" si="58"/>
        <v>7.9835512972564313</v>
      </c>
      <c r="R155" s="12">
        <f t="shared" si="58"/>
        <v>8.6668040054468758</v>
      </c>
      <c r="S155" s="12">
        <f t="shared" si="58"/>
        <v>9.4372574999999994</v>
      </c>
      <c r="T155" s="12">
        <f t="shared" si="58"/>
        <v>10.207710994553123</v>
      </c>
      <c r="U155" s="12">
        <f t="shared" si="58"/>
        <v>10.890963702743568</v>
      </c>
      <c r="V155" s="12">
        <f t="shared" si="58"/>
        <v>11.43527890484469</v>
      </c>
      <c r="W155" s="12">
        <f t="shared" si="58"/>
        <v>11.833044220083236</v>
      </c>
      <c r="X155" s="12">
        <f t="shared" si="58"/>
        <v>12.105747881105447</v>
      </c>
      <c r="Y155" s="12">
        <f t="shared" si="58"/>
        <v>12.284629881773972</v>
      </c>
      <c r="Z155" s="12">
        <f t="shared" si="58"/>
        <v>12.398591953666688</v>
      </c>
      <c r="AA155" s="12">
        <f t="shared" si="58"/>
        <v>12.469849670092451</v>
      </c>
      <c r="AB155" s="12">
        <f t="shared" si="58"/>
        <v>12.51388559550491</v>
      </c>
      <c r="AC155" s="12">
        <f t="shared" si="57"/>
        <v>12.540901894945607</v>
      </c>
      <c r="AD155" s="300">
        <f t="shared" si="46"/>
        <v>2.1844689153913506E-3</v>
      </c>
      <c r="AE155" s="299">
        <f t="shared" si="46"/>
        <v>2.1844689153913506E-3</v>
      </c>
      <c r="AF155" s="299">
        <f>Algae_electricity_factor/J155</f>
        <v>2.1844689153913506E-3</v>
      </c>
      <c r="AG155" s="299">
        <f>Algae_electricity_factor/K155</f>
        <v>2.1844689153913506E-3</v>
      </c>
      <c r="AH155" s="299">
        <f>Algae_electricity_factor/L155</f>
        <v>2.1844689153913506E-3</v>
      </c>
      <c r="AI155" s="299">
        <f t="shared" si="46"/>
        <v>2.0855594379813689E-3</v>
      </c>
      <c r="AJ155" s="299">
        <f t="shared" si="46"/>
        <v>2.0304431903359391E-3</v>
      </c>
      <c r="AK155" s="299">
        <f t="shared" si="46"/>
        <v>1.9518077306701148E-3</v>
      </c>
      <c r="AL155" s="299">
        <f t="shared" ref="AI155:AV179" si="60">Algae_electricity_factor/P155</f>
        <v>1.8474473625698705E-3</v>
      </c>
      <c r="AM155" s="299">
        <f t="shared" si="60"/>
        <v>1.7214891708972025E-3</v>
      </c>
      <c r="AN155" s="299">
        <f t="shared" si="60"/>
        <v>1.5857745363679326E-3</v>
      </c>
      <c r="AO155" s="299">
        <f t="shared" si="60"/>
        <v>1.4563126102609006E-3</v>
      </c>
      <c r="AP155" s="299">
        <f t="shared" si="60"/>
        <v>1.3463936342695145E-3</v>
      </c>
      <c r="AQ155" s="299">
        <f t="shared" si="60"/>
        <v>1.2619266282254782E-3</v>
      </c>
      <c r="AR155" s="299">
        <f t="shared" si="55"/>
        <v>1.2018593702779407E-3</v>
      </c>
      <c r="AS155" s="299">
        <f t="shared" si="55"/>
        <v>1.1614591180351885E-3</v>
      </c>
      <c r="AT155" s="299">
        <f t="shared" si="55"/>
        <v>1.1352951704024956E-3</v>
      </c>
      <c r="AU155" s="299">
        <f t="shared" si="55"/>
        <v>1.1187636286804112E-3</v>
      </c>
      <c r="AV155" s="299">
        <f t="shared" si="55"/>
        <v>1.1084804754353421E-3</v>
      </c>
      <c r="AW155" s="299">
        <f t="shared" si="55"/>
        <v>1.1021461739423972E-3</v>
      </c>
      <c r="AX155" s="299">
        <f t="shared" si="55"/>
        <v>1.0982677601324782E-3</v>
      </c>
      <c r="AY155" s="299">
        <f t="shared" si="55"/>
        <v>1.095901811421424E-3</v>
      </c>
      <c r="AZ155" s="306">
        <f t="shared" si="47"/>
        <v>0.12093173561591666</v>
      </c>
      <c r="BA155" s="2">
        <f t="shared" si="47"/>
        <v>0.12093173561591666</v>
      </c>
      <c r="BB155" s="2">
        <f>Algae_yield_cost_factor/J155</f>
        <v>0.12093173561591666</v>
      </c>
      <c r="BC155" s="2">
        <f>Algae_yield_cost_factor/K155</f>
        <v>0.12093173561591666</v>
      </c>
      <c r="BD155" s="2">
        <f>Algae_yield_cost_factor/L155</f>
        <v>0.12093173561591666</v>
      </c>
      <c r="BE155" s="2">
        <f t="shared" si="47"/>
        <v>0.11545612793490304</v>
      </c>
      <c r="BF155" s="2">
        <f t="shared" si="47"/>
        <v>0.11240490416081494</v>
      </c>
      <c r="BG155" s="2">
        <f t="shared" si="47"/>
        <v>0.10805166180000987</v>
      </c>
      <c r="BH155" s="2">
        <f t="shared" ref="BE155:BR179" si="61">Algae_yield_cost_factor/P155</f>
        <v>0.10227429396705195</v>
      </c>
      <c r="BI155" s="2">
        <f t="shared" si="61"/>
        <v>9.5301275204141722E-2</v>
      </c>
      <c r="BJ155" s="2">
        <f t="shared" si="61"/>
        <v>8.778814183498862E-2</v>
      </c>
      <c r="BK155" s="2">
        <f t="shared" si="61"/>
        <v>8.062115707727778E-2</v>
      </c>
      <c r="BL155" s="2">
        <f t="shared" si="61"/>
        <v>7.4536065890992265E-2</v>
      </c>
      <c r="BM155" s="2">
        <f t="shared" si="61"/>
        <v>6.9859990360132421E-2</v>
      </c>
      <c r="BN155" s="2">
        <f t="shared" si="56"/>
        <v>6.6534679706314631E-2</v>
      </c>
      <c r="BO155" s="2">
        <f t="shared" si="56"/>
        <v>6.4298130315012539E-2</v>
      </c>
      <c r="BP155" s="2">
        <f t="shared" si="56"/>
        <v>6.2849699726006583E-2</v>
      </c>
      <c r="BQ155" s="2">
        <f t="shared" si="56"/>
        <v>6.1934517084233691E-2</v>
      </c>
      <c r="BR155" s="2">
        <f t="shared" si="56"/>
        <v>6.1365243902652231E-2</v>
      </c>
      <c r="BS155" s="2">
        <f t="shared" si="56"/>
        <v>6.1014578316129525E-2</v>
      </c>
      <c r="BT155" s="2">
        <f t="shared" si="56"/>
        <v>6.0799870150604438E-2</v>
      </c>
      <c r="BU155" s="2">
        <f t="shared" si="56"/>
        <v>6.0668891732010295E-2</v>
      </c>
    </row>
    <row r="156" spans="1:73" x14ac:dyDescent="0.25">
      <c r="A156" t="s">
        <v>40</v>
      </c>
      <c r="B156" s="1" t="s">
        <v>5</v>
      </c>
      <c r="C156" t="s">
        <v>6</v>
      </c>
      <c r="D156" t="s">
        <v>6</v>
      </c>
      <c r="E156" s="97">
        <v>6.5586849999999997</v>
      </c>
      <c r="F156" s="5">
        <f t="shared" si="54"/>
        <v>1.6068778249999999E-2</v>
      </c>
      <c r="G156" s="1">
        <f>LOOKUP(RIGHT(D156,5),Ref!$C$4:$C$21,Ref!$E$4:$E$21)*$G$3</f>
        <v>3</v>
      </c>
      <c r="H156" s="36">
        <f t="shared" si="59"/>
        <v>6.5586849999999997</v>
      </c>
      <c r="I156" s="12">
        <f t="shared" si="59"/>
        <v>6.5586849999999997</v>
      </c>
      <c r="J156" s="12">
        <f t="shared" si="59"/>
        <v>6.5586849999999997</v>
      </c>
      <c r="K156" s="12">
        <f t="shared" si="59"/>
        <v>6.5586849999999997</v>
      </c>
      <c r="L156" s="12">
        <f t="shared" si="59"/>
        <v>6.5586849999999997</v>
      </c>
      <c r="M156" s="12">
        <f t="shared" si="58"/>
        <v>6.8697363630216088</v>
      </c>
      <c r="N156" s="12">
        <f t="shared" si="58"/>
        <v>7.0562149074326284</v>
      </c>
      <c r="O156" s="12">
        <f t="shared" si="58"/>
        <v>7.3404994166226318</v>
      </c>
      <c r="P156" s="12">
        <f t="shared" si="58"/>
        <v>7.7551565466058916</v>
      </c>
      <c r="Q156" s="12">
        <f t="shared" si="58"/>
        <v>8.3225870662180661</v>
      </c>
      <c r="R156" s="12">
        <f t="shared" si="58"/>
        <v>9.034855321336364</v>
      </c>
      <c r="S156" s="12">
        <f t="shared" si="58"/>
        <v>9.838027499999999</v>
      </c>
      <c r="T156" s="12">
        <f t="shared" si="58"/>
        <v>10.641199678663634</v>
      </c>
      <c r="U156" s="12">
        <f t="shared" si="58"/>
        <v>11.353467933781932</v>
      </c>
      <c r="V156" s="12">
        <f t="shared" si="58"/>
        <v>11.920898453394107</v>
      </c>
      <c r="W156" s="12">
        <f t="shared" si="58"/>
        <v>12.335555583377365</v>
      </c>
      <c r="X156" s="12">
        <f t="shared" si="58"/>
        <v>12.619840092567371</v>
      </c>
      <c r="Y156" s="12">
        <f t="shared" si="58"/>
        <v>12.806318636978389</v>
      </c>
      <c r="Z156" s="12">
        <f t="shared" si="58"/>
        <v>12.92512031185454</v>
      </c>
      <c r="AA156" s="12">
        <f t="shared" si="58"/>
        <v>12.999404114514778</v>
      </c>
      <c r="AB156" s="12">
        <f t="shared" si="58"/>
        <v>13.045310104172868</v>
      </c>
      <c r="AC156" s="12">
        <f t="shared" si="57"/>
        <v>13.073473699035658</v>
      </c>
      <c r="AD156" s="300">
        <f t="shared" ref="AD156:AQ189" si="62">Algae_electricity_factor/H156</f>
        <v>2.0954805884913301E-3</v>
      </c>
      <c r="AE156" s="299">
        <f t="shared" si="62"/>
        <v>2.0954805884913301E-3</v>
      </c>
      <c r="AF156" s="299">
        <f t="shared" si="62"/>
        <v>2.0954805884913301E-3</v>
      </c>
      <c r="AG156" s="299">
        <f t="shared" si="62"/>
        <v>2.0954805884913301E-3</v>
      </c>
      <c r="AH156" s="299">
        <f t="shared" si="62"/>
        <v>2.0954805884913301E-3</v>
      </c>
      <c r="AI156" s="299">
        <f t="shared" si="60"/>
        <v>2.0006003691070652E-3</v>
      </c>
      <c r="AJ156" s="299">
        <f t="shared" si="60"/>
        <v>1.9477293823707822E-3</v>
      </c>
      <c r="AK156" s="299">
        <f t="shared" si="60"/>
        <v>1.8722972816272896E-3</v>
      </c>
      <c r="AL156" s="299">
        <f t="shared" si="60"/>
        <v>1.7721882235303501E-3</v>
      </c>
      <c r="AM156" s="299">
        <f t="shared" si="60"/>
        <v>1.6513611686101107E-3</v>
      </c>
      <c r="AN156" s="299">
        <f t="shared" si="60"/>
        <v>1.521175117333967E-3</v>
      </c>
      <c r="AO156" s="299">
        <f t="shared" si="60"/>
        <v>1.3969870589942202E-3</v>
      </c>
      <c r="AP156" s="299">
        <f t="shared" si="60"/>
        <v>1.2915458330404375E-3</v>
      </c>
      <c r="AQ156" s="299">
        <f t="shared" si="60"/>
        <v>1.2105197446002876E-3</v>
      </c>
      <c r="AR156" s="299">
        <f t="shared" si="55"/>
        <v>1.1528994359998256E-3</v>
      </c>
      <c r="AS156" s="299">
        <f t="shared" si="55"/>
        <v>1.1141449617436999E-3</v>
      </c>
      <c r="AT156" s="299">
        <f t="shared" si="55"/>
        <v>1.089046850254762E-3</v>
      </c>
      <c r="AU156" s="299">
        <f t="shared" si="55"/>
        <v>1.0731887510470393E-3</v>
      </c>
      <c r="AV156" s="299">
        <f t="shared" si="55"/>
        <v>1.0633245008113414E-3</v>
      </c>
      <c r="AW156" s="299">
        <f t="shared" si="55"/>
        <v>1.0572482386468419E-3</v>
      </c>
      <c r="AX156" s="299">
        <f t="shared" si="55"/>
        <v>1.0535278190997566E-3</v>
      </c>
      <c r="AY156" s="299">
        <f t="shared" si="55"/>
        <v>1.0512582516261943E-3</v>
      </c>
      <c r="AZ156" s="306">
        <f t="shared" ref="AZ156:BM189" si="63">Algae_yield_cost_factor/H156</f>
        <v>0.11600536072188522</v>
      </c>
      <c r="BA156" s="2">
        <f t="shared" si="63"/>
        <v>0.11600536072188522</v>
      </c>
      <c r="BB156" s="2">
        <f t="shared" si="63"/>
        <v>0.11600536072188522</v>
      </c>
      <c r="BC156" s="2">
        <f t="shared" si="63"/>
        <v>0.11600536072188522</v>
      </c>
      <c r="BD156" s="2">
        <f t="shared" si="63"/>
        <v>0.11600536072188522</v>
      </c>
      <c r="BE156" s="2">
        <f t="shared" si="61"/>
        <v>0.1107528119101744</v>
      </c>
      <c r="BF156" s="2">
        <f t="shared" si="61"/>
        <v>0.10782588530357658</v>
      </c>
      <c r="BG156" s="2">
        <f t="shared" si="61"/>
        <v>0.10364998021296512</v>
      </c>
      <c r="BH156" s="2">
        <f t="shared" si="61"/>
        <v>9.8107963999670242E-2</v>
      </c>
      <c r="BI156" s="2">
        <f t="shared" si="61"/>
        <v>9.1419003878557004E-2</v>
      </c>
      <c r="BJ156" s="2">
        <f t="shared" si="61"/>
        <v>8.4211931705142115E-2</v>
      </c>
      <c r="BK156" s="2">
        <f t="shared" si="61"/>
        <v>7.7336907147923489E-2</v>
      </c>
      <c r="BL156" s="2">
        <f t="shared" si="61"/>
        <v>7.1499703253549651E-2</v>
      </c>
      <c r="BM156" s="2">
        <f t="shared" si="61"/>
        <v>6.7014116191084785E-2</v>
      </c>
      <c r="BN156" s="2">
        <f t="shared" si="56"/>
        <v>6.3824268133883089E-2</v>
      </c>
      <c r="BO156" s="2">
        <f t="shared" si="56"/>
        <v>6.16788286626897E-2</v>
      </c>
      <c r="BP156" s="2">
        <f t="shared" si="56"/>
        <v>6.0289402536433605E-2</v>
      </c>
      <c r="BQ156" s="2">
        <f t="shared" si="56"/>
        <v>5.941150152935256E-2</v>
      </c>
      <c r="BR156" s="2">
        <f t="shared" si="56"/>
        <v>5.8865418729479473E-2</v>
      </c>
      <c r="BS156" s="2">
        <f t="shared" si="56"/>
        <v>5.8529038145424046E-2</v>
      </c>
      <c r="BT156" s="2">
        <f t="shared" si="56"/>
        <v>5.8323076508763345E-2</v>
      </c>
      <c r="BU156" s="2">
        <f t="shared" si="56"/>
        <v>5.8197433735024839E-2</v>
      </c>
    </row>
    <row r="157" spans="1:73" x14ac:dyDescent="0.25">
      <c r="A157" t="s">
        <v>40</v>
      </c>
      <c r="B157" s="1" t="s">
        <v>5</v>
      </c>
      <c r="C157" t="s">
        <v>7</v>
      </c>
      <c r="D157" t="s">
        <v>7</v>
      </c>
      <c r="E157" s="97">
        <v>6.4747349999999999</v>
      </c>
      <c r="F157" s="5">
        <f t="shared" si="54"/>
        <v>1.5863100750000001E-2</v>
      </c>
      <c r="G157" s="1">
        <f>LOOKUP(RIGHT(D157,5),Ref!$C$4:$C$21,Ref!$E$4:$E$21)*$G$3</f>
        <v>3.5</v>
      </c>
      <c r="H157" s="36">
        <f t="shared" si="59"/>
        <v>6.4747349999999999</v>
      </c>
      <c r="I157" s="12">
        <f t="shared" si="59"/>
        <v>6.4747349999999999</v>
      </c>
      <c r="J157" s="12">
        <f t="shared" si="59"/>
        <v>6.4747349999999999</v>
      </c>
      <c r="K157" s="12">
        <f t="shared" si="59"/>
        <v>6.4747349999999999</v>
      </c>
      <c r="L157" s="12">
        <f t="shared" si="59"/>
        <v>6.4747349999999999</v>
      </c>
      <c r="M157" s="12">
        <f t="shared" si="58"/>
        <v>6.7818049609683522</v>
      </c>
      <c r="N157" s="12">
        <f t="shared" si="58"/>
        <v>6.9658966132198454</v>
      </c>
      <c r="O157" s="12">
        <f t="shared" si="58"/>
        <v>7.2465423313188753</v>
      </c>
      <c r="P157" s="12">
        <f t="shared" si="58"/>
        <v>7.6558919238823488</v>
      </c>
      <c r="Q157" s="12">
        <f t="shared" si="58"/>
        <v>8.2160594338940562</v>
      </c>
      <c r="R157" s="12">
        <f t="shared" si="58"/>
        <v>8.9192107821907598</v>
      </c>
      <c r="S157" s="12">
        <f t="shared" si="58"/>
        <v>9.7121025000000003</v>
      </c>
      <c r="T157" s="12">
        <f t="shared" si="58"/>
        <v>10.504994217809239</v>
      </c>
      <c r="U157" s="12">
        <f t="shared" si="58"/>
        <v>11.208145566105944</v>
      </c>
      <c r="V157" s="12">
        <f t="shared" si="58"/>
        <v>11.768313076117652</v>
      </c>
      <c r="W157" s="12">
        <f t="shared" si="58"/>
        <v>12.177662668681123</v>
      </c>
      <c r="X157" s="12">
        <f t="shared" si="58"/>
        <v>12.458308386780153</v>
      </c>
      <c r="Y157" s="12">
        <f t="shared" si="58"/>
        <v>12.642400039031648</v>
      </c>
      <c r="Z157" s="12">
        <f t="shared" si="58"/>
        <v>12.759681073626117</v>
      </c>
      <c r="AA157" s="12">
        <f t="shared" si="58"/>
        <v>12.833014056841098</v>
      </c>
      <c r="AB157" s="12">
        <f t="shared" si="58"/>
        <v>12.878332458006707</v>
      </c>
      <c r="AC157" s="12">
        <f t="shared" si="57"/>
        <v>12.906135563870752</v>
      </c>
      <c r="AD157" s="300">
        <f t="shared" si="62"/>
        <v>2.1226501321720903E-3</v>
      </c>
      <c r="AE157" s="299">
        <f t="shared" si="62"/>
        <v>2.1226501321720903E-3</v>
      </c>
      <c r="AF157" s="299">
        <f t="shared" si="62"/>
        <v>2.1226501321720903E-3</v>
      </c>
      <c r="AG157" s="299">
        <f t="shared" si="62"/>
        <v>2.1226501321720903E-3</v>
      </c>
      <c r="AH157" s="299">
        <f t="shared" si="62"/>
        <v>2.1226501321720903E-3</v>
      </c>
      <c r="AI157" s="299">
        <f t="shared" si="60"/>
        <v>2.0265397165840724E-3</v>
      </c>
      <c r="AJ157" s="299">
        <f t="shared" si="60"/>
        <v>1.9729832161802011E-3</v>
      </c>
      <c r="AK157" s="299">
        <f t="shared" si="60"/>
        <v>1.8965730792919989E-3</v>
      </c>
      <c r="AL157" s="299">
        <f t="shared" si="60"/>
        <v>1.7951660290104773E-3</v>
      </c>
      <c r="AM157" s="299">
        <f t="shared" si="60"/>
        <v>1.672772356883425E-3</v>
      </c>
      <c r="AN157" s="299">
        <f t="shared" si="60"/>
        <v>1.5408983416976183E-3</v>
      </c>
      <c r="AO157" s="299">
        <f t="shared" si="60"/>
        <v>1.415100088114727E-3</v>
      </c>
      <c r="AP157" s="299">
        <f t="shared" si="60"/>
        <v>1.3082917342524167E-3</v>
      </c>
      <c r="AQ157" s="299">
        <f t="shared" si="60"/>
        <v>1.2262150792447469E-3</v>
      </c>
      <c r="AR157" s="299">
        <f t="shared" si="55"/>
        <v>1.167847678306605E-3</v>
      </c>
      <c r="AS157" s="299">
        <f t="shared" si="55"/>
        <v>1.1285907220008199E-3</v>
      </c>
      <c r="AT157" s="299">
        <f t="shared" si="55"/>
        <v>1.1031671938794645E-3</v>
      </c>
      <c r="AU157" s="299">
        <f t="shared" si="55"/>
        <v>1.0871034820206463E-3</v>
      </c>
      <c r="AV157" s="299">
        <f t="shared" si="55"/>
        <v>1.077111334070635E-3</v>
      </c>
      <c r="AW157" s="299">
        <f t="shared" si="55"/>
        <v>1.0709562884178984E-3</v>
      </c>
      <c r="AX157" s="299">
        <f t="shared" si="55"/>
        <v>1.0671876307234637E-3</v>
      </c>
      <c r="AY157" s="299">
        <f t="shared" si="55"/>
        <v>1.0648886365336875E-3</v>
      </c>
      <c r="AZ157" s="306">
        <f t="shared" si="63"/>
        <v>0.11750946089472662</v>
      </c>
      <c r="BA157" s="2">
        <f t="shared" si="63"/>
        <v>0.11750946089472662</v>
      </c>
      <c r="BB157" s="2">
        <f t="shared" si="63"/>
        <v>0.11750946089472662</v>
      </c>
      <c r="BC157" s="2">
        <f t="shared" si="63"/>
        <v>0.11750946089472662</v>
      </c>
      <c r="BD157" s="2">
        <f t="shared" si="63"/>
        <v>0.11750946089472662</v>
      </c>
      <c r="BE157" s="2">
        <f t="shared" si="61"/>
        <v>0.11218880868222131</v>
      </c>
      <c r="BF157" s="2">
        <f t="shared" si="61"/>
        <v>0.10922393218445049</v>
      </c>
      <c r="BG157" s="2">
        <f t="shared" si="61"/>
        <v>0.10499388322040533</v>
      </c>
      <c r="BH157" s="2">
        <f t="shared" si="61"/>
        <v>9.9380010435203461E-2</v>
      </c>
      <c r="BI157" s="2">
        <f t="shared" si="61"/>
        <v>9.2604322717954254E-2</v>
      </c>
      <c r="BJ157" s="2">
        <f t="shared" si="61"/>
        <v>8.5303805220683177E-2</v>
      </c>
      <c r="BK157" s="2">
        <f t="shared" si="61"/>
        <v>7.8339640596484406E-2</v>
      </c>
      <c r="BL157" s="2">
        <f t="shared" si="61"/>
        <v>7.2426752791196439E-2</v>
      </c>
      <c r="BM157" s="2">
        <f t="shared" si="61"/>
        <v>6.78830065864819E-2</v>
      </c>
      <c r="BN157" s="2">
        <f t="shared" si="56"/>
        <v>6.4651799655997808E-2</v>
      </c>
      <c r="BO157" s="2">
        <f t="shared" si="56"/>
        <v>6.2478542885161005E-2</v>
      </c>
      <c r="BP157" s="2">
        <f t="shared" si="56"/>
        <v>6.1071101763187079E-2</v>
      </c>
      <c r="BQ157" s="2">
        <f t="shared" si="56"/>
        <v>6.0181818083372009E-2</v>
      </c>
      <c r="BR157" s="2">
        <f t="shared" si="56"/>
        <v>5.9628654893174163E-2</v>
      </c>
      <c r="BS157" s="2">
        <f t="shared" si="56"/>
        <v>5.9287912871927646E-2</v>
      </c>
      <c r="BT157" s="2">
        <f t="shared" si="56"/>
        <v>5.9079280781665744E-2</v>
      </c>
      <c r="BU157" s="2">
        <f t="shared" si="56"/>
        <v>5.895200895116192E-2</v>
      </c>
    </row>
    <row r="158" spans="1:73" x14ac:dyDescent="0.25">
      <c r="A158" t="s">
        <v>40</v>
      </c>
      <c r="B158" s="1" t="s">
        <v>5</v>
      </c>
      <c r="C158" t="s">
        <v>8</v>
      </c>
      <c r="D158" t="s">
        <v>8</v>
      </c>
      <c r="E158" s="97">
        <v>6.2944250000000004</v>
      </c>
      <c r="F158" s="5">
        <f t="shared" si="54"/>
        <v>1.5421341250000001E-2</v>
      </c>
      <c r="G158" s="1">
        <f>LOOKUP(RIGHT(D158,5),Ref!$C$4:$C$21,Ref!$E$4:$E$21)*$G$3</f>
        <v>4</v>
      </c>
      <c r="H158" s="36">
        <f t="shared" si="59"/>
        <v>6.2944250000000004</v>
      </c>
      <c r="I158" s="12">
        <f t="shared" si="59"/>
        <v>6.2944250000000004</v>
      </c>
      <c r="J158" s="12">
        <f t="shared" si="59"/>
        <v>6.2944250000000004</v>
      </c>
      <c r="K158" s="12">
        <f t="shared" si="59"/>
        <v>6.2944250000000004</v>
      </c>
      <c r="L158" s="12">
        <f t="shared" si="59"/>
        <v>6.2944250000000004</v>
      </c>
      <c r="M158" s="12">
        <f t="shared" si="58"/>
        <v>6.5929436017757057</v>
      </c>
      <c r="N158" s="12">
        <f t="shared" si="58"/>
        <v>6.7719086247802158</v>
      </c>
      <c r="O158" s="12">
        <f t="shared" si="58"/>
        <v>7.0447388524490675</v>
      </c>
      <c r="P158" s="12">
        <f t="shared" si="58"/>
        <v>7.4426887776848254</v>
      </c>
      <c r="Q158" s="12">
        <f t="shared" si="58"/>
        <v>7.9872566062068326</v>
      </c>
      <c r="R158" s="12">
        <f t="shared" si="58"/>
        <v>8.6708264241997668</v>
      </c>
      <c r="S158" s="12">
        <f t="shared" si="58"/>
        <v>9.4416375000000006</v>
      </c>
      <c r="T158" s="12">
        <f t="shared" si="58"/>
        <v>10.212448575800234</v>
      </c>
      <c r="U158" s="12">
        <f t="shared" si="58"/>
        <v>10.896018393793168</v>
      </c>
      <c r="V158" s="12">
        <f t="shared" si="58"/>
        <v>11.440586222315176</v>
      </c>
      <c r="W158" s="12">
        <f t="shared" si="58"/>
        <v>11.838536147550933</v>
      </c>
      <c r="X158" s="12">
        <f t="shared" si="58"/>
        <v>12.111366375219786</v>
      </c>
      <c r="Y158" s="12">
        <f t="shared" si="58"/>
        <v>12.290331398224295</v>
      </c>
      <c r="Z158" s="12">
        <f t="shared" si="58"/>
        <v>12.404346361952895</v>
      </c>
      <c r="AA158" s="12">
        <f t="shared" si="58"/>
        <v>12.475637150359363</v>
      </c>
      <c r="AB158" s="12">
        <f t="shared" si="58"/>
        <v>12.519693513632429</v>
      </c>
      <c r="AC158" s="12">
        <f t="shared" si="57"/>
        <v>12.546722351820909</v>
      </c>
      <c r="AD158" s="300">
        <f t="shared" si="62"/>
        <v>2.1834555346245698E-3</v>
      </c>
      <c r="AE158" s="299">
        <f t="shared" si="62"/>
        <v>2.1834555346245698E-3</v>
      </c>
      <c r="AF158" s="299">
        <f t="shared" si="62"/>
        <v>2.1834555346245698E-3</v>
      </c>
      <c r="AG158" s="299">
        <f t="shared" si="62"/>
        <v>2.1834555346245698E-3</v>
      </c>
      <c r="AH158" s="299">
        <f t="shared" si="62"/>
        <v>2.1834555346245698E-3</v>
      </c>
      <c r="AI158" s="299">
        <f t="shared" si="60"/>
        <v>2.0845919415763904E-3</v>
      </c>
      <c r="AJ158" s="299">
        <f t="shared" si="60"/>
        <v>2.0295012625004684E-3</v>
      </c>
      <c r="AK158" s="299">
        <f t="shared" si="60"/>
        <v>1.9509022820272987E-3</v>
      </c>
      <c r="AL158" s="299">
        <f t="shared" si="60"/>
        <v>1.8465903269711135E-3</v>
      </c>
      <c r="AM158" s="299">
        <f t="shared" si="60"/>
        <v>1.7206905676285923E-3</v>
      </c>
      <c r="AN158" s="299">
        <f t="shared" si="60"/>
        <v>1.5850388914684865E-3</v>
      </c>
      <c r="AO158" s="299">
        <f t="shared" si="60"/>
        <v>1.4556370230830466E-3</v>
      </c>
      <c r="AP158" s="299">
        <f t="shared" si="60"/>
        <v>1.3457690387882642E-3</v>
      </c>
      <c r="AQ158" s="299">
        <f t="shared" si="60"/>
        <v>1.2613412172062955E-3</v>
      </c>
      <c r="AR158" s="299">
        <f t="shared" si="55"/>
        <v>1.201301824614721E-3</v>
      </c>
      <c r="AS158" s="299">
        <f t="shared" si="55"/>
        <v>1.1609203141532353E-3</v>
      </c>
      <c r="AT158" s="299">
        <f t="shared" si="55"/>
        <v>1.1347685040433643E-3</v>
      </c>
      <c r="AU158" s="299">
        <f t="shared" si="55"/>
        <v>1.1182446313461436E-3</v>
      </c>
      <c r="AV158" s="299">
        <f t="shared" si="55"/>
        <v>1.1079662484824004E-3</v>
      </c>
      <c r="AW158" s="299">
        <f t="shared" si="55"/>
        <v>1.1016348854882632E-3</v>
      </c>
      <c r="AX158" s="299">
        <f t="shared" si="55"/>
        <v>1.0977582708845187E-3</v>
      </c>
      <c r="AY158" s="299">
        <f t="shared" si="55"/>
        <v>1.0953934197431767E-3</v>
      </c>
      <c r="AZ158" s="306">
        <f t="shared" si="63"/>
        <v>0.12087563507170515</v>
      </c>
      <c r="BA158" s="2">
        <f t="shared" si="63"/>
        <v>0.12087563507170515</v>
      </c>
      <c r="BB158" s="2">
        <f t="shared" si="63"/>
        <v>0.12087563507170515</v>
      </c>
      <c r="BC158" s="2">
        <f t="shared" si="63"/>
        <v>0.12087563507170515</v>
      </c>
      <c r="BD158" s="2">
        <f t="shared" si="63"/>
        <v>0.12087563507170515</v>
      </c>
      <c r="BE158" s="2">
        <f t="shared" si="61"/>
        <v>0.11540256753922433</v>
      </c>
      <c r="BF158" s="2">
        <f t="shared" si="61"/>
        <v>0.11235275923571859</v>
      </c>
      <c r="BG158" s="2">
        <f t="shared" si="61"/>
        <v>0.10800153635527805</v>
      </c>
      <c r="BH158" s="2">
        <f t="shared" si="61"/>
        <v>0.10222684865816609</v>
      </c>
      <c r="BI158" s="2">
        <f t="shared" si="61"/>
        <v>9.5257064696653557E-2</v>
      </c>
      <c r="BJ158" s="2">
        <f t="shared" si="61"/>
        <v>8.7747416689457736E-2</v>
      </c>
      <c r="BK158" s="2">
        <f t="shared" si="61"/>
        <v>8.0583756714470101E-2</v>
      </c>
      <c r="BL158" s="2">
        <f t="shared" si="61"/>
        <v>7.4501488417688222E-2</v>
      </c>
      <c r="BM158" s="2">
        <f t="shared" si="61"/>
        <v>6.9827582130333576E-2</v>
      </c>
      <c r="BN158" s="2">
        <f t="shared" si="56"/>
        <v>6.6503814096708913E-2</v>
      </c>
      <c r="BO158" s="2">
        <f t="shared" si="56"/>
        <v>6.4268302246440756E-2</v>
      </c>
      <c r="BP158" s="2">
        <f t="shared" si="56"/>
        <v>6.2820543588122668E-2</v>
      </c>
      <c r="BQ158" s="2">
        <f t="shared" si="56"/>
        <v>6.1905785501938884E-2</v>
      </c>
      <c r="BR158" s="2">
        <f t="shared" si="56"/>
        <v>6.133677640765535E-2</v>
      </c>
      <c r="BS158" s="2">
        <f t="shared" si="56"/>
        <v>6.0986273495803101E-2</v>
      </c>
      <c r="BT158" s="2">
        <f t="shared" si="56"/>
        <v>6.0771664933950045E-2</v>
      </c>
      <c r="BU158" s="2">
        <f t="shared" si="56"/>
        <v>6.0640747276582273E-2</v>
      </c>
    </row>
    <row r="159" spans="1:73" x14ac:dyDescent="0.25">
      <c r="A159" t="s">
        <v>40</v>
      </c>
      <c r="B159" s="1" t="s">
        <v>5</v>
      </c>
      <c r="C159" t="s">
        <v>9</v>
      </c>
      <c r="D159" t="s">
        <v>9</v>
      </c>
      <c r="E159" s="97">
        <v>6.3969899999999997</v>
      </c>
      <c r="F159" s="5">
        <f t="shared" si="54"/>
        <v>1.5672625500000002E-2</v>
      </c>
      <c r="G159" s="1">
        <f>LOOKUP(RIGHT(D159,5),Ref!$C$4:$C$21,Ref!$E$4:$E$21)*$G$3</f>
        <v>4.5</v>
      </c>
      <c r="H159" s="36">
        <f t="shared" si="59"/>
        <v>6.3969899999999997</v>
      </c>
      <c r="I159" s="12">
        <f t="shared" si="59"/>
        <v>6.3969899999999997</v>
      </c>
      <c r="J159" s="12">
        <f t="shared" si="59"/>
        <v>6.3969899999999997</v>
      </c>
      <c r="K159" s="12">
        <f t="shared" si="59"/>
        <v>6.3969899999999997</v>
      </c>
      <c r="L159" s="12">
        <f t="shared" si="59"/>
        <v>6.3969899999999997</v>
      </c>
      <c r="M159" s="12">
        <f t="shared" si="58"/>
        <v>6.7003728364581621</v>
      </c>
      <c r="N159" s="12">
        <f t="shared" si="58"/>
        <v>6.8822540190140939</v>
      </c>
      <c r="O159" s="12">
        <f t="shared" si="58"/>
        <v>7.159529900146266</v>
      </c>
      <c r="P159" s="12">
        <f t="shared" si="58"/>
        <v>7.5639642515340233</v>
      </c>
      <c r="Q159" s="12">
        <f t="shared" si="58"/>
        <v>8.1174055830896457</v>
      </c>
      <c r="R159" s="12">
        <f t="shared" si="58"/>
        <v>8.8121138828950478</v>
      </c>
      <c r="S159" s="12">
        <f t="shared" si="58"/>
        <v>9.595485</v>
      </c>
      <c r="T159" s="12">
        <f t="shared" si="58"/>
        <v>10.37885611710495</v>
      </c>
      <c r="U159" s="12">
        <f t="shared" si="58"/>
        <v>11.073564416910354</v>
      </c>
      <c r="V159" s="12">
        <f t="shared" si="58"/>
        <v>11.627005748465976</v>
      </c>
      <c r="W159" s="12">
        <f t="shared" si="58"/>
        <v>12.031440099853732</v>
      </c>
      <c r="X159" s="12">
        <f t="shared" si="58"/>
        <v>12.308715980985905</v>
      </c>
      <c r="Y159" s="12">
        <f t="shared" si="58"/>
        <v>12.490597163541837</v>
      </c>
      <c r="Z159" s="12">
        <f t="shared" si="58"/>
        <v>12.606469953005881</v>
      </c>
      <c r="AA159" s="12">
        <f t="shared" si="58"/>
        <v>12.678922394734599</v>
      </c>
      <c r="AB159" s="12">
        <f t="shared" si="58"/>
        <v>12.723696637861522</v>
      </c>
      <c r="AC159" s="12">
        <f t="shared" si="57"/>
        <v>12.751165899565859</v>
      </c>
      <c r="AD159" s="300">
        <f t="shared" si="62"/>
        <v>2.1484474891361812E-3</v>
      </c>
      <c r="AE159" s="299">
        <f t="shared" si="62"/>
        <v>2.1484474891361812E-3</v>
      </c>
      <c r="AF159" s="299">
        <f t="shared" si="62"/>
        <v>2.1484474891361812E-3</v>
      </c>
      <c r="AG159" s="299">
        <f t="shared" si="62"/>
        <v>2.1484474891361812E-3</v>
      </c>
      <c r="AH159" s="299">
        <f t="shared" si="62"/>
        <v>2.1484474891361812E-3</v>
      </c>
      <c r="AI159" s="299">
        <f t="shared" si="60"/>
        <v>2.0511690079016809E-3</v>
      </c>
      <c r="AJ159" s="299">
        <f t="shared" si="60"/>
        <v>1.9969616154182691E-3</v>
      </c>
      <c r="AK159" s="299">
        <f t="shared" si="60"/>
        <v>1.9196228377017441E-3</v>
      </c>
      <c r="AL159" s="299">
        <f t="shared" si="60"/>
        <v>1.8169833498012586E-3</v>
      </c>
      <c r="AM159" s="299">
        <f t="shared" si="60"/>
        <v>1.6931021818301425E-3</v>
      </c>
      <c r="AN159" s="299">
        <f t="shared" si="60"/>
        <v>1.5596254526631321E-3</v>
      </c>
      <c r="AO159" s="299">
        <f t="shared" si="60"/>
        <v>1.4322983260907874E-3</v>
      </c>
      <c r="AP159" s="299">
        <f t="shared" si="60"/>
        <v>1.3241918905570935E-3</v>
      </c>
      <c r="AQ159" s="299">
        <f t="shared" si="60"/>
        <v>1.2411177274176974E-3</v>
      </c>
      <c r="AR159" s="299">
        <f t="shared" si="55"/>
        <v>1.1820409657355281E-3</v>
      </c>
      <c r="AS159" s="299">
        <f t="shared" si="55"/>
        <v>1.1423069050309565E-3</v>
      </c>
      <c r="AT159" s="299">
        <f t="shared" si="55"/>
        <v>1.1165743953114127E-3</v>
      </c>
      <c r="AU159" s="299">
        <f t="shared" si="55"/>
        <v>1.1003154551845399E-3</v>
      </c>
      <c r="AV159" s="299">
        <f t="shared" si="55"/>
        <v>1.0902018689420857E-3</v>
      </c>
      <c r="AW159" s="299">
        <f t="shared" si="55"/>
        <v>1.0839720187290371E-3</v>
      </c>
      <c r="AX159" s="299">
        <f t="shared" si="55"/>
        <v>1.0801575591352006E-3</v>
      </c>
      <c r="AY159" s="299">
        <f t="shared" si="55"/>
        <v>1.077830624413505E-3</v>
      </c>
      <c r="AZ159" s="306">
        <f t="shared" si="63"/>
        <v>0.11893759710210862</v>
      </c>
      <c r="BA159" s="2">
        <f t="shared" si="63"/>
        <v>0.11893759710210862</v>
      </c>
      <c r="BB159" s="2">
        <f t="shared" si="63"/>
        <v>0.11893759710210862</v>
      </c>
      <c r="BC159" s="2">
        <f t="shared" si="63"/>
        <v>0.11893759710210862</v>
      </c>
      <c r="BD159" s="2">
        <f t="shared" si="63"/>
        <v>0.11893759710210862</v>
      </c>
      <c r="BE159" s="2">
        <f t="shared" si="61"/>
        <v>0.11355228102327534</v>
      </c>
      <c r="BF159" s="2">
        <f t="shared" si="61"/>
        <v>0.11055137127809923</v>
      </c>
      <c r="BG159" s="2">
        <f t="shared" si="61"/>
        <v>0.10626991295485394</v>
      </c>
      <c r="BH159" s="2">
        <f t="shared" si="61"/>
        <v>0.10058781268458715</v>
      </c>
      <c r="BI159" s="2">
        <f t="shared" si="61"/>
        <v>9.3729777513054363E-2</v>
      </c>
      <c r="BJ159" s="2">
        <f t="shared" si="61"/>
        <v>8.6340534109876688E-2</v>
      </c>
      <c r="BK159" s="2">
        <f t="shared" si="61"/>
        <v>7.9291731401405746E-2</v>
      </c>
      <c r="BL159" s="2">
        <f t="shared" si="61"/>
        <v>7.3306982070240431E-2</v>
      </c>
      <c r="BM159" s="2">
        <f t="shared" si="61"/>
        <v>6.8708014027022854E-2</v>
      </c>
      <c r="BN159" s="2">
        <f t="shared" si="56"/>
        <v>6.5437537036274404E-2</v>
      </c>
      <c r="BO159" s="2">
        <f t="shared" si="56"/>
        <v>6.3237867867161429E-2</v>
      </c>
      <c r="BP159" s="2">
        <f t="shared" si="56"/>
        <v>6.181332158947709E-2</v>
      </c>
      <c r="BQ159" s="2">
        <f t="shared" si="56"/>
        <v>6.0913230114169582E-2</v>
      </c>
      <c r="BR159" s="2">
        <f t="shared" si="56"/>
        <v>6.0353344125871081E-2</v>
      </c>
      <c r="BS159" s="2">
        <f t="shared" si="56"/>
        <v>6.0008460940039067E-2</v>
      </c>
      <c r="BT159" s="2">
        <f t="shared" si="56"/>
        <v>5.979729326634535E-2</v>
      </c>
      <c r="BU159" s="2">
        <f t="shared" si="56"/>
        <v>5.9668474653923401E-2</v>
      </c>
    </row>
    <row r="160" spans="1:73" x14ac:dyDescent="0.25">
      <c r="A160" t="s">
        <v>40</v>
      </c>
      <c r="B160" s="1" t="s">
        <v>5</v>
      </c>
      <c r="C160" t="s">
        <v>10</v>
      </c>
      <c r="D160" t="s">
        <v>10</v>
      </c>
      <c r="E160" s="97">
        <v>6.2274475000000002</v>
      </c>
      <c r="F160" s="5">
        <f t="shared" si="54"/>
        <v>1.5257246375000002E-2</v>
      </c>
      <c r="G160" s="1">
        <f>LOOKUP(RIGHT(D160,5),Ref!$C$4:$C$21,Ref!$E$4:$E$21)*$G$3</f>
        <v>4.5</v>
      </c>
      <c r="H160" s="36">
        <f t="shared" si="59"/>
        <v>6.2274475000000002</v>
      </c>
      <c r="I160" s="12">
        <f t="shared" si="59"/>
        <v>6.2274475000000002</v>
      </c>
      <c r="J160" s="12">
        <f t="shared" si="59"/>
        <v>6.2274475000000002</v>
      </c>
      <c r="K160" s="12">
        <f t="shared" si="59"/>
        <v>6.2274475000000002</v>
      </c>
      <c r="L160" s="12">
        <f t="shared" si="59"/>
        <v>6.2274475000000002</v>
      </c>
      <c r="M160" s="12">
        <f t="shared" si="58"/>
        <v>6.5227896353549557</v>
      </c>
      <c r="N160" s="12">
        <f t="shared" si="58"/>
        <v>6.6998503335278423</v>
      </c>
      <c r="O160" s="12">
        <f t="shared" si="58"/>
        <v>6.9697774387393316</v>
      </c>
      <c r="P160" s="12">
        <f t="shared" si="58"/>
        <v>7.3634928721640849</v>
      </c>
      <c r="Q160" s="12">
        <f t="shared" si="58"/>
        <v>7.9022660821570234</v>
      </c>
      <c r="R160" s="12">
        <f t="shared" si="58"/>
        <v>8.5785621940553405</v>
      </c>
      <c r="S160" s="12">
        <f t="shared" si="58"/>
        <v>9.3411712500000004</v>
      </c>
      <c r="T160" s="12">
        <f t="shared" si="58"/>
        <v>10.10378030594466</v>
      </c>
      <c r="U160" s="12">
        <f t="shared" si="58"/>
        <v>10.780076417842977</v>
      </c>
      <c r="V160" s="12">
        <f t="shared" si="58"/>
        <v>11.318849627835917</v>
      </c>
      <c r="W160" s="12">
        <f t="shared" si="58"/>
        <v>11.712565061260667</v>
      </c>
      <c r="X160" s="12">
        <f t="shared" si="58"/>
        <v>11.982492166472158</v>
      </c>
      <c r="Y160" s="12">
        <f t="shared" si="58"/>
        <v>12.159552864645045</v>
      </c>
      <c r="Z160" s="12">
        <f t="shared" si="58"/>
        <v>12.272354621888043</v>
      </c>
      <c r="AA160" s="12">
        <f t="shared" si="58"/>
        <v>12.342886821737098</v>
      </c>
      <c r="AB160" s="12">
        <f t="shared" si="58"/>
        <v>12.386474391582469</v>
      </c>
      <c r="AC160" s="12">
        <f t="shared" si="57"/>
        <v>12.41321562224369</v>
      </c>
      <c r="AD160" s="300">
        <f t="shared" si="62"/>
        <v>2.206939055452376E-3</v>
      </c>
      <c r="AE160" s="299">
        <f t="shared" si="62"/>
        <v>2.206939055452376E-3</v>
      </c>
      <c r="AF160" s="299">
        <f t="shared" si="62"/>
        <v>2.206939055452376E-3</v>
      </c>
      <c r="AG160" s="299">
        <f t="shared" si="62"/>
        <v>2.206939055452376E-3</v>
      </c>
      <c r="AH160" s="299">
        <f t="shared" si="62"/>
        <v>2.206939055452376E-3</v>
      </c>
      <c r="AI160" s="299">
        <f t="shared" si="60"/>
        <v>2.1070121637889313E-3</v>
      </c>
      <c r="AJ160" s="299">
        <f t="shared" si="60"/>
        <v>2.0513289729402798E-3</v>
      </c>
      <c r="AK160" s="299">
        <f t="shared" si="60"/>
        <v>1.9718846439973486E-3</v>
      </c>
      <c r="AL160" s="299">
        <f t="shared" si="60"/>
        <v>1.8664507920532693E-3</v>
      </c>
      <c r="AM160" s="299">
        <f t="shared" si="60"/>
        <v>1.7391969544738198E-3</v>
      </c>
      <c r="AN160" s="299">
        <f t="shared" si="60"/>
        <v>1.6020863161723205E-3</v>
      </c>
      <c r="AO160" s="299">
        <f t="shared" si="60"/>
        <v>1.4712927036349172E-3</v>
      </c>
      <c r="AP160" s="299">
        <f t="shared" si="60"/>
        <v>1.3602430661960332E-3</v>
      </c>
      <c r="AQ160" s="299">
        <f t="shared" si="60"/>
        <v>1.2749072057393878E-3</v>
      </c>
      <c r="AR160" s="299">
        <f t="shared" si="55"/>
        <v>1.2142220769264639E-3</v>
      </c>
      <c r="AS160" s="299">
        <f t="shared" si="55"/>
        <v>1.1734062548763324E-3</v>
      </c>
      <c r="AT160" s="299">
        <f t="shared" si="55"/>
        <v>1.1469731765804776E-3</v>
      </c>
      <c r="AU160" s="299">
        <f t="shared" si="55"/>
        <v>1.1302715861773141E-3</v>
      </c>
      <c r="AV160" s="299">
        <f t="shared" si="55"/>
        <v>1.1198826571566975E-3</v>
      </c>
      <c r="AW160" s="299">
        <f t="shared" si="55"/>
        <v>1.1134831990296926E-3</v>
      </c>
      <c r="AX160" s="299">
        <f t="shared" si="55"/>
        <v>1.1095648906252983E-3</v>
      </c>
      <c r="AY160" s="299">
        <f t="shared" si="55"/>
        <v>1.107174605015449E-3</v>
      </c>
      <c r="AZ160" s="306">
        <f t="shared" si="63"/>
        <v>0.12217567780157404</v>
      </c>
      <c r="BA160" s="2">
        <f t="shared" si="63"/>
        <v>0.12217567780157404</v>
      </c>
      <c r="BB160" s="2">
        <f t="shared" si="63"/>
        <v>0.12217567780157404</v>
      </c>
      <c r="BC160" s="2">
        <f t="shared" si="63"/>
        <v>0.12217567780157404</v>
      </c>
      <c r="BD160" s="2">
        <f t="shared" si="63"/>
        <v>0.12217567780157404</v>
      </c>
      <c r="BE160" s="2">
        <f t="shared" si="61"/>
        <v>0.11664374628338207</v>
      </c>
      <c r="BF160" s="2">
        <f t="shared" si="61"/>
        <v>0.11356113665386791</v>
      </c>
      <c r="BG160" s="2">
        <f t="shared" si="61"/>
        <v>0.10916311546152273</v>
      </c>
      <c r="BH160" s="2">
        <f t="shared" si="61"/>
        <v>0.10332631979076132</v>
      </c>
      <c r="BI160" s="2">
        <f t="shared" si="61"/>
        <v>9.6281574345385257E-2</v>
      </c>
      <c r="BJ160" s="2">
        <f t="shared" si="61"/>
        <v>8.8691158503630893E-2</v>
      </c>
      <c r="BK160" s="2">
        <f t="shared" si="61"/>
        <v>8.1450451867716031E-2</v>
      </c>
      <c r="BL160" s="2">
        <f t="shared" si="61"/>
        <v>7.5302767503621235E-2</v>
      </c>
      <c r="BM160" s="2">
        <f t="shared" si="61"/>
        <v>7.0578592376848603E-2</v>
      </c>
      <c r="BN160" s="2">
        <f t="shared" si="56"/>
        <v>6.7219076523034035E-2</v>
      </c>
      <c r="BO160" s="2">
        <f t="shared" si="56"/>
        <v>6.4959521275378546E-2</v>
      </c>
      <c r="BP160" s="2">
        <f t="shared" si="56"/>
        <v>6.3496191669968963E-2</v>
      </c>
      <c r="BQ160" s="2">
        <f t="shared" si="56"/>
        <v>6.2571595169295544E-2</v>
      </c>
      <c r="BR160" s="2">
        <f t="shared" si="56"/>
        <v>6.1996466263225185E-2</v>
      </c>
      <c r="BS160" s="2">
        <f t="shared" si="56"/>
        <v>6.1642193619267038E-2</v>
      </c>
      <c r="BT160" s="2">
        <f t="shared" si="56"/>
        <v>6.1425276897457352E-2</v>
      </c>
      <c r="BU160" s="2">
        <f t="shared" si="56"/>
        <v>6.1292951193310165E-2</v>
      </c>
    </row>
    <row r="161" spans="1:73" x14ac:dyDescent="0.25">
      <c r="A161" t="s">
        <v>41</v>
      </c>
      <c r="B161" s="1" t="s">
        <v>5</v>
      </c>
      <c r="C161" t="s">
        <v>13</v>
      </c>
      <c r="D161" t="s">
        <v>13</v>
      </c>
      <c r="E161" s="97">
        <v>3.6284649999999998</v>
      </c>
      <c r="F161" s="5">
        <f t="shared" si="54"/>
        <v>8.8897392500000005E-3</v>
      </c>
      <c r="G161" s="1">
        <f>LOOKUP(RIGHT(D161,5),Ref!$C$4:$C$21,Ref!$E$4:$E$21)*$G$3</f>
        <v>1.5</v>
      </c>
      <c r="H161" s="36">
        <f t="shared" si="59"/>
        <v>3.6284649999999998</v>
      </c>
      <c r="I161" s="12">
        <f t="shared" si="59"/>
        <v>3.6284649999999998</v>
      </c>
      <c r="J161" s="12">
        <f t="shared" si="59"/>
        <v>3.6284649999999998</v>
      </c>
      <c r="K161" s="12">
        <f t="shared" si="59"/>
        <v>3.6284649999999998</v>
      </c>
      <c r="L161" s="12">
        <f t="shared" si="59"/>
        <v>3.6284649999999998</v>
      </c>
      <c r="M161" s="12">
        <f t="shared" si="58"/>
        <v>3.8005481209192395</v>
      </c>
      <c r="N161" s="12">
        <f t="shared" si="58"/>
        <v>3.9037137511707809</v>
      </c>
      <c r="O161" s="12">
        <f t="shared" si="58"/>
        <v>4.0609886304549825</v>
      </c>
      <c r="P161" s="12">
        <f t="shared" si="58"/>
        <v>4.2903896282380307</v>
      </c>
      <c r="Q161" s="12">
        <f t="shared" si="58"/>
        <v>4.6043095344912794</v>
      </c>
      <c r="R161" s="12">
        <f t="shared" si="58"/>
        <v>4.9983581028106627</v>
      </c>
      <c r="S161" s="12">
        <f t="shared" si="58"/>
        <v>5.4426974999999995</v>
      </c>
      <c r="T161" s="12">
        <f t="shared" si="58"/>
        <v>5.8870368971893363</v>
      </c>
      <c r="U161" s="12">
        <f t="shared" si="58"/>
        <v>6.2810854655087196</v>
      </c>
      <c r="V161" s="12">
        <f t="shared" si="58"/>
        <v>6.5950053717619692</v>
      </c>
      <c r="W161" s="12">
        <f t="shared" si="58"/>
        <v>6.8244063695450157</v>
      </c>
      <c r="X161" s="12">
        <f t="shared" si="58"/>
        <v>6.9816812488292186</v>
      </c>
      <c r="Y161" s="12">
        <f t="shared" si="58"/>
        <v>7.0848468790807599</v>
      </c>
      <c r="Z161" s="12">
        <f t="shared" si="58"/>
        <v>7.1505715966467802</v>
      </c>
      <c r="AA161" s="12">
        <f t="shared" si="58"/>
        <v>7.1916676666698995</v>
      </c>
      <c r="AB161" s="12">
        <f t="shared" si="58"/>
        <v>7.2170642632078845</v>
      </c>
      <c r="AC161" s="12">
        <f t="shared" si="57"/>
        <v>7.2326452246710149</v>
      </c>
      <c r="AD161" s="300">
        <f t="shared" si="62"/>
        <v>3.7877165973846409E-3</v>
      </c>
      <c r="AE161" s="299">
        <f t="shared" si="62"/>
        <v>3.7877165973846409E-3</v>
      </c>
      <c r="AF161" s="299">
        <f t="shared" si="62"/>
        <v>3.7877165973846409E-3</v>
      </c>
      <c r="AG161" s="299">
        <f t="shared" si="62"/>
        <v>3.7877165973846409E-3</v>
      </c>
      <c r="AH161" s="299">
        <f t="shared" si="62"/>
        <v>3.7877165973846409E-3</v>
      </c>
      <c r="AI161" s="299">
        <f t="shared" si="60"/>
        <v>3.6162144686133044E-3</v>
      </c>
      <c r="AJ161" s="299">
        <f t="shared" si="60"/>
        <v>3.5206467429655551E-3</v>
      </c>
      <c r="AK161" s="299">
        <f t="shared" si="60"/>
        <v>3.3842983455950881E-3</v>
      </c>
      <c r="AL161" s="299">
        <f t="shared" si="60"/>
        <v>3.2033447529038182E-3</v>
      </c>
      <c r="AM161" s="299">
        <f t="shared" si="60"/>
        <v>2.9849420419228528E-3</v>
      </c>
      <c r="AN161" s="299">
        <f t="shared" si="60"/>
        <v>2.7496223401442563E-3</v>
      </c>
      <c r="AO161" s="299">
        <f t="shared" si="60"/>
        <v>2.5251443982564274E-3</v>
      </c>
      <c r="AP161" s="299">
        <f t="shared" si="60"/>
        <v>2.3345525675388416E-3</v>
      </c>
      <c r="AQ161" s="299">
        <f t="shared" si="60"/>
        <v>2.1880926758598299E-3</v>
      </c>
      <c r="AR161" s="299">
        <f t="shared" si="55"/>
        <v>2.0839402439876134E-3</v>
      </c>
      <c r="AS161" s="299">
        <f t="shared" si="55"/>
        <v>2.0138890270166528E-3</v>
      </c>
      <c r="AT161" s="299">
        <f t="shared" si="55"/>
        <v>1.9685225683762015E-3</v>
      </c>
      <c r="AU161" s="299">
        <f t="shared" si="55"/>
        <v>1.9398580291282816E-3</v>
      </c>
      <c r="AV161" s="299">
        <f t="shared" si="55"/>
        <v>1.9220277592876967E-3</v>
      </c>
      <c r="AW161" s="299">
        <f t="shared" si="55"/>
        <v>1.9110445227084902E-3</v>
      </c>
      <c r="AX161" s="299">
        <f t="shared" si="55"/>
        <v>1.9043196239214894E-3</v>
      </c>
      <c r="AY161" s="299">
        <f t="shared" si="55"/>
        <v>1.9002172340278729E-3</v>
      </c>
      <c r="AZ161" s="306">
        <f t="shared" si="63"/>
        <v>0.20968718708495682</v>
      </c>
      <c r="BA161" s="2">
        <f t="shared" si="63"/>
        <v>0.20968718708495682</v>
      </c>
      <c r="BB161" s="2">
        <f t="shared" si="63"/>
        <v>0.20968718708495682</v>
      </c>
      <c r="BC161" s="2">
        <f t="shared" si="63"/>
        <v>0.20968718708495682</v>
      </c>
      <c r="BD161" s="2">
        <f t="shared" si="63"/>
        <v>0.20968718708495682</v>
      </c>
      <c r="BE161" s="2">
        <f t="shared" si="61"/>
        <v>0.20019286562860111</v>
      </c>
      <c r="BF161" s="2">
        <f t="shared" si="61"/>
        <v>0.19490225661603131</v>
      </c>
      <c r="BG161" s="2">
        <f t="shared" si="61"/>
        <v>0.18735403827047281</v>
      </c>
      <c r="BH161" s="2">
        <f t="shared" si="61"/>
        <v>0.17733648577709227</v>
      </c>
      <c r="BI161" s="2">
        <f t="shared" si="61"/>
        <v>0.16524575804182584</v>
      </c>
      <c r="BJ161" s="2">
        <f t="shared" si="61"/>
        <v>0.15221850928575584</v>
      </c>
      <c r="BK161" s="2">
        <f t="shared" si="61"/>
        <v>0.13979145805663787</v>
      </c>
      <c r="BL161" s="2">
        <f t="shared" si="61"/>
        <v>0.12924033475133626</v>
      </c>
      <c r="BM161" s="2">
        <f t="shared" si="61"/>
        <v>0.1211323462264966</v>
      </c>
      <c r="BN161" s="2">
        <f t="shared" si="56"/>
        <v>0.11536648969899861</v>
      </c>
      <c r="BO161" s="2">
        <f t="shared" si="56"/>
        <v>0.11148846919222122</v>
      </c>
      <c r="BP161" s="2">
        <f t="shared" si="56"/>
        <v>0.10897699166856206</v>
      </c>
      <c r="BQ161" s="2">
        <f t="shared" si="56"/>
        <v>0.10739012885835793</v>
      </c>
      <c r="BR161" s="2">
        <f t="shared" si="56"/>
        <v>0.1064030489035325</v>
      </c>
      <c r="BS161" s="2">
        <f t="shared" si="56"/>
        <v>0.10579501925712953</v>
      </c>
      <c r="BT161" s="2">
        <f t="shared" si="56"/>
        <v>0.10542273028729189</v>
      </c>
      <c r="BU161" s="2">
        <f t="shared" si="56"/>
        <v>0.10519562285330061</v>
      </c>
    </row>
    <row r="162" spans="1:73" x14ac:dyDescent="0.25">
      <c r="A162" t="s">
        <v>41</v>
      </c>
      <c r="B162" s="1" t="s">
        <v>5</v>
      </c>
      <c r="C162" t="s">
        <v>14</v>
      </c>
      <c r="D162" t="s">
        <v>14</v>
      </c>
      <c r="E162" s="97">
        <v>4.7845659999999999</v>
      </c>
      <c r="F162" s="5">
        <f t="shared" si="54"/>
        <v>1.17221867E-2</v>
      </c>
      <c r="G162" s="1">
        <f>LOOKUP(RIGHT(D162,5),Ref!$C$4:$C$21,Ref!$E$4:$E$21)*$G$3</f>
        <v>2</v>
      </c>
      <c r="H162" s="36">
        <f t="shared" si="59"/>
        <v>4.7845659999999999</v>
      </c>
      <c r="I162" s="12">
        <f t="shared" si="59"/>
        <v>4.7845659999999999</v>
      </c>
      <c r="J162" s="12">
        <f t="shared" si="59"/>
        <v>4.7845659999999999</v>
      </c>
      <c r="K162" s="12">
        <f t="shared" si="59"/>
        <v>4.7845659999999999</v>
      </c>
      <c r="L162" s="12">
        <f t="shared" si="59"/>
        <v>4.7845659999999999</v>
      </c>
      <c r="M162" s="12">
        <f t="shared" si="58"/>
        <v>5.0114782203256976</v>
      </c>
      <c r="N162" s="12">
        <f t="shared" si="58"/>
        <v>5.1475144689515204</v>
      </c>
      <c r="O162" s="12">
        <f t="shared" si="58"/>
        <v>5.3549002478076746</v>
      </c>
      <c r="P162" s="12">
        <f t="shared" si="58"/>
        <v>5.6573929587360832</v>
      </c>
      <c r="Q162" s="12">
        <f t="shared" si="58"/>
        <v>6.0713339806785527</v>
      </c>
      <c r="R162" s="12">
        <f t="shared" si="58"/>
        <v>6.5909342475488675</v>
      </c>
      <c r="S162" s="12">
        <f t="shared" si="58"/>
        <v>7.1768489999999998</v>
      </c>
      <c r="T162" s="12">
        <f t="shared" si="58"/>
        <v>7.7627637524511321</v>
      </c>
      <c r="U162" s="12">
        <f t="shared" si="58"/>
        <v>8.2823640193214469</v>
      </c>
      <c r="V162" s="12">
        <f t="shared" si="58"/>
        <v>8.6963050412639173</v>
      </c>
      <c r="W162" s="12">
        <f t="shared" si="58"/>
        <v>8.9987977521923241</v>
      </c>
      <c r="X162" s="12">
        <f t="shared" si="58"/>
        <v>9.2061835310484792</v>
      </c>
      <c r="Y162" s="12">
        <f t="shared" si="58"/>
        <v>9.3422197796743021</v>
      </c>
      <c r="Z162" s="12">
        <f t="shared" si="58"/>
        <v>9.4288856973629063</v>
      </c>
      <c r="AA162" s="12">
        <f t="shared" si="58"/>
        <v>9.4830757913465149</v>
      </c>
      <c r="AB162" s="12">
        <f t="shared" si="58"/>
        <v>9.5165642478457144</v>
      </c>
      <c r="AC162" s="12">
        <f t="shared" si="57"/>
        <v>9.5371096130245991</v>
      </c>
      <c r="AD162" s="300">
        <f t="shared" si="62"/>
        <v>2.8724856347533425E-3</v>
      </c>
      <c r="AE162" s="299">
        <f t="shared" si="62"/>
        <v>2.8724856347533425E-3</v>
      </c>
      <c r="AF162" s="299">
        <f t="shared" si="62"/>
        <v>2.8724856347533425E-3</v>
      </c>
      <c r="AG162" s="299">
        <f t="shared" si="62"/>
        <v>2.8724856347533425E-3</v>
      </c>
      <c r="AH162" s="299">
        <f t="shared" si="62"/>
        <v>2.8724856347533425E-3</v>
      </c>
      <c r="AI162" s="299">
        <f t="shared" si="60"/>
        <v>2.7424237918040996E-3</v>
      </c>
      <c r="AJ162" s="299">
        <f t="shared" si="60"/>
        <v>2.6699482218898252E-3</v>
      </c>
      <c r="AK162" s="299">
        <f t="shared" si="60"/>
        <v>2.5665458678069612E-3</v>
      </c>
      <c r="AL162" s="299">
        <f t="shared" si="60"/>
        <v>2.4293163306442324E-3</v>
      </c>
      <c r="AM162" s="299">
        <f t="shared" si="60"/>
        <v>2.2636865550910161E-3</v>
      </c>
      <c r="AN162" s="299">
        <f t="shared" si="60"/>
        <v>2.0852274635633681E-3</v>
      </c>
      <c r="AO162" s="299">
        <f t="shared" si="60"/>
        <v>1.9149904231688948E-3</v>
      </c>
      <c r="AP162" s="299">
        <f t="shared" si="60"/>
        <v>1.7704515481602346E-3</v>
      </c>
      <c r="AQ162" s="299">
        <f t="shared" si="60"/>
        <v>1.6593809534895614E-3</v>
      </c>
      <c r="AR162" s="299">
        <f t="shared" si="55"/>
        <v>1.5803950112508668E-3</v>
      </c>
      <c r="AS162" s="299">
        <f t="shared" si="55"/>
        <v>1.5272703623304554E-3</v>
      </c>
      <c r="AT162" s="299">
        <f t="shared" si="55"/>
        <v>1.4928658609920217E-3</v>
      </c>
      <c r="AU162" s="299">
        <f t="shared" si="55"/>
        <v>1.4711275722105097E-3</v>
      </c>
      <c r="AV162" s="299">
        <f t="shared" si="55"/>
        <v>1.4576056540141432E-3</v>
      </c>
      <c r="AW162" s="299">
        <f t="shared" si="55"/>
        <v>1.4492763113915584E-3</v>
      </c>
      <c r="AX162" s="299">
        <f t="shared" si="55"/>
        <v>1.4441763587778465E-3</v>
      </c>
      <c r="AY162" s="299">
        <f t="shared" si="55"/>
        <v>1.4410652347709165E-3</v>
      </c>
      <c r="AZ162" s="306">
        <f t="shared" si="63"/>
        <v>0.15902019520395744</v>
      </c>
      <c r="BA162" s="2">
        <f t="shared" si="63"/>
        <v>0.15902019520395744</v>
      </c>
      <c r="BB162" s="2">
        <f t="shared" si="63"/>
        <v>0.15902019520395744</v>
      </c>
      <c r="BC162" s="2">
        <f t="shared" si="63"/>
        <v>0.15902019520395744</v>
      </c>
      <c r="BD162" s="2">
        <f t="shared" si="63"/>
        <v>0.15902019520395744</v>
      </c>
      <c r="BE162" s="2">
        <f t="shared" si="61"/>
        <v>0.15181999917716302</v>
      </c>
      <c r="BF162" s="2">
        <f t="shared" si="61"/>
        <v>0.14780776700588685</v>
      </c>
      <c r="BG162" s="2">
        <f t="shared" si="61"/>
        <v>0.14208343462564235</v>
      </c>
      <c r="BH162" s="2">
        <f t="shared" si="61"/>
        <v>0.13448643656816045</v>
      </c>
      <c r="BI162" s="2">
        <f t="shared" si="61"/>
        <v>0.12531720733985768</v>
      </c>
      <c r="BJ162" s="2">
        <f t="shared" si="61"/>
        <v>0.11543774990156684</v>
      </c>
      <c r="BK162" s="2">
        <f t="shared" si="61"/>
        <v>0.10601346346930496</v>
      </c>
      <c r="BL162" s="2">
        <f t="shared" si="61"/>
        <v>9.8011822019699851E-2</v>
      </c>
      <c r="BM162" s="2">
        <f t="shared" si="61"/>
        <v>9.1862977467700294E-2</v>
      </c>
      <c r="BN162" s="2">
        <f t="shared" si="56"/>
        <v>8.7490332466032869E-2</v>
      </c>
      <c r="BO162" s="2">
        <f t="shared" si="56"/>
        <v>8.4549363174748329E-2</v>
      </c>
      <c r="BP162" s="2">
        <f t="shared" si="56"/>
        <v>8.2644737281222388E-2</v>
      </c>
      <c r="BQ162" s="2">
        <f t="shared" si="56"/>
        <v>8.144131022710141E-2</v>
      </c>
      <c r="BR162" s="2">
        <f t="shared" si="56"/>
        <v>8.0692739705075872E-2</v>
      </c>
      <c r="BS162" s="2">
        <f t="shared" si="56"/>
        <v>8.023162906496023E-2</v>
      </c>
      <c r="BT162" s="2">
        <f t="shared" si="56"/>
        <v>7.9949296770465389E-2</v>
      </c>
      <c r="BU162" s="2">
        <f t="shared" si="56"/>
        <v>7.9777065605616343E-2</v>
      </c>
    </row>
    <row r="163" spans="1:73" x14ac:dyDescent="0.25">
      <c r="A163" t="s">
        <v>41</v>
      </c>
      <c r="B163" s="1" t="s">
        <v>5</v>
      </c>
      <c r="C163" t="s">
        <v>15</v>
      </c>
      <c r="D163" t="s">
        <v>15</v>
      </c>
      <c r="E163" s="97">
        <v>4.2002375000000001</v>
      </c>
      <c r="F163" s="5">
        <f t="shared" si="54"/>
        <v>1.0290581875000001E-2</v>
      </c>
      <c r="G163" s="1">
        <f>LOOKUP(RIGHT(D163,5),Ref!$C$4:$C$21,Ref!$E$4:$E$21)*$G$3</f>
        <v>2.5</v>
      </c>
      <c r="H163" s="36">
        <f t="shared" si="59"/>
        <v>4.2002375000000001</v>
      </c>
      <c r="I163" s="12">
        <f t="shared" si="59"/>
        <v>4.2002375000000001</v>
      </c>
      <c r="J163" s="12">
        <f t="shared" si="59"/>
        <v>4.2002375000000001</v>
      </c>
      <c r="K163" s="12">
        <f t="shared" si="59"/>
        <v>4.2002375000000001</v>
      </c>
      <c r="L163" s="12">
        <f t="shared" si="59"/>
        <v>4.2002375000000001</v>
      </c>
      <c r="M163" s="12">
        <f t="shared" si="58"/>
        <v>4.3994374309906599</v>
      </c>
      <c r="N163" s="12">
        <f t="shared" si="58"/>
        <v>4.5188598724069777</v>
      </c>
      <c r="O163" s="12">
        <f t="shared" si="58"/>
        <v>4.700918083186874</v>
      </c>
      <c r="P163" s="12">
        <f t="shared" si="58"/>
        <v>4.9664680260486005</v>
      </c>
      <c r="Q163" s="12">
        <f t="shared" si="58"/>
        <v>5.3298553433415554</v>
      </c>
      <c r="R163" s="12">
        <f t="shared" si="58"/>
        <v>5.7859979748610506</v>
      </c>
      <c r="S163" s="12">
        <f t="shared" si="58"/>
        <v>6.3003562500000001</v>
      </c>
      <c r="T163" s="12">
        <f t="shared" si="58"/>
        <v>6.8147145251389496</v>
      </c>
      <c r="U163" s="12">
        <f t="shared" si="58"/>
        <v>7.2708571566584448</v>
      </c>
      <c r="V163" s="12">
        <f t="shared" si="58"/>
        <v>7.6342444739513997</v>
      </c>
      <c r="W163" s="12">
        <f t="shared" si="58"/>
        <v>7.8997944168131253</v>
      </c>
      <c r="X163" s="12">
        <f t="shared" si="58"/>
        <v>8.0818526275930225</v>
      </c>
      <c r="Y163" s="12">
        <f t="shared" si="58"/>
        <v>8.2012750690093394</v>
      </c>
      <c r="Z163" s="12">
        <f t="shared" si="58"/>
        <v>8.2773566691895013</v>
      </c>
      <c r="AA163" s="12">
        <f t="shared" si="58"/>
        <v>8.3249286464343495</v>
      </c>
      <c r="AB163" s="12">
        <f t="shared" si="58"/>
        <v>8.3543272315526345</v>
      </c>
      <c r="AC163" s="12">
        <f t="shared" si="57"/>
        <v>8.3723634365659105</v>
      </c>
      <c r="AD163" s="300">
        <f t="shared" si="62"/>
        <v>3.2720999951858102E-3</v>
      </c>
      <c r="AE163" s="299">
        <f t="shared" si="62"/>
        <v>3.2720999951858102E-3</v>
      </c>
      <c r="AF163" s="299">
        <f t="shared" si="62"/>
        <v>3.2720999951858102E-3</v>
      </c>
      <c r="AG163" s="299">
        <f t="shared" si="62"/>
        <v>3.2720999951858102E-3</v>
      </c>
      <c r="AH163" s="299">
        <f t="shared" si="62"/>
        <v>3.2720999951858102E-3</v>
      </c>
      <c r="AI163" s="299">
        <f t="shared" si="60"/>
        <v>3.1239442131205612E-3</v>
      </c>
      <c r="AJ163" s="299">
        <f t="shared" si="60"/>
        <v>3.0413859892957271E-3</v>
      </c>
      <c r="AK163" s="299">
        <f t="shared" si="60"/>
        <v>2.9235985099770384E-3</v>
      </c>
      <c r="AL163" s="299">
        <f t="shared" si="60"/>
        <v>2.7672778786545175E-3</v>
      </c>
      <c r="AM163" s="299">
        <f t="shared" si="60"/>
        <v>2.5786060255272715E-3</v>
      </c>
      <c r="AN163" s="299">
        <f t="shared" si="60"/>
        <v>2.3753200680750857E-3</v>
      </c>
      <c r="AO163" s="299">
        <f t="shared" si="60"/>
        <v>2.18139999679054E-3</v>
      </c>
      <c r="AP163" s="299">
        <f t="shared" si="60"/>
        <v>2.0167531674041817E-3</v>
      </c>
      <c r="AQ163" s="299">
        <f t="shared" si="60"/>
        <v>1.8902306574601405E-3</v>
      </c>
      <c r="AR163" s="299">
        <f t="shared" si="55"/>
        <v>1.800256351551672E-3</v>
      </c>
      <c r="AS163" s="299">
        <f t="shared" si="55"/>
        <v>1.7397411095001123E-3</v>
      </c>
      <c r="AT163" s="299">
        <f t="shared" si="55"/>
        <v>1.7005503238955305E-3</v>
      </c>
      <c r="AU163" s="299">
        <f t="shared" si="55"/>
        <v>1.675787848582598E-3</v>
      </c>
      <c r="AV163" s="299">
        <f t="shared" si="55"/>
        <v>1.6603847886229844E-3</v>
      </c>
      <c r="AW163" s="299">
        <f t="shared" si="55"/>
        <v>1.6508966847921008E-3</v>
      </c>
      <c r="AX163" s="299">
        <f t="shared" si="55"/>
        <v>1.6450872371413013E-3</v>
      </c>
      <c r="AY163" s="299">
        <f t="shared" si="55"/>
        <v>1.6415432998888623E-3</v>
      </c>
      <c r="AZ163" s="306">
        <f t="shared" si="63"/>
        <v>0.18114276140009172</v>
      </c>
      <c r="BA163" s="2">
        <f t="shared" si="63"/>
        <v>0.18114276140009172</v>
      </c>
      <c r="BB163" s="2">
        <f t="shared" si="63"/>
        <v>0.18114276140009172</v>
      </c>
      <c r="BC163" s="2">
        <f t="shared" si="63"/>
        <v>0.18114276140009172</v>
      </c>
      <c r="BD163" s="2">
        <f t="shared" si="63"/>
        <v>0.18114276140009172</v>
      </c>
      <c r="BE163" s="2">
        <f t="shared" si="61"/>
        <v>0.17294088874333466</v>
      </c>
      <c r="BF163" s="2">
        <f t="shared" si="61"/>
        <v>0.16837048299108992</v>
      </c>
      <c r="BG163" s="2">
        <f t="shared" si="61"/>
        <v>0.16184979313028636</v>
      </c>
      <c r="BH163" s="2">
        <f t="shared" si="61"/>
        <v>0.1531959161512122</v>
      </c>
      <c r="BI163" s="2">
        <f t="shared" si="61"/>
        <v>0.14275108239789622</v>
      </c>
      <c r="BJ163" s="2">
        <f t="shared" si="61"/>
        <v>0.13149721493023669</v>
      </c>
      <c r="BK163" s="2">
        <f t="shared" si="61"/>
        <v>0.12076184093339448</v>
      </c>
      <c r="BL163" s="2">
        <f t="shared" si="61"/>
        <v>0.11164702739630968</v>
      </c>
      <c r="BM163" s="2">
        <f t="shared" si="61"/>
        <v>0.10464276809364349</v>
      </c>
      <c r="BN163" s="2">
        <f t="shared" si="56"/>
        <v>9.9661809610927243E-2</v>
      </c>
      <c r="BO163" s="2">
        <f t="shared" si="56"/>
        <v>9.6311698652172151E-2</v>
      </c>
      <c r="BP163" s="2">
        <f t="shared" si="56"/>
        <v>9.414210507731266E-2</v>
      </c>
      <c r="BQ163" s="2">
        <f t="shared" si="56"/>
        <v>9.2771259698538874E-2</v>
      </c>
      <c r="BR163" s="2">
        <f t="shared" si="56"/>
        <v>9.1918549567674687E-2</v>
      </c>
      <c r="BS163" s="2">
        <f t="shared" si="56"/>
        <v>9.1393290152954554E-2</v>
      </c>
      <c r="BT163" s="2">
        <f t="shared" si="56"/>
        <v>9.1071680363760038E-2</v>
      </c>
      <c r="BU163" s="2">
        <f t="shared" si="56"/>
        <v>9.0875488749481745E-2</v>
      </c>
    </row>
    <row r="164" spans="1:73" x14ac:dyDescent="0.25">
      <c r="A164" t="s">
        <v>41</v>
      </c>
      <c r="B164" s="1" t="s">
        <v>5</v>
      </c>
      <c r="C164" t="s">
        <v>16</v>
      </c>
      <c r="D164" t="s">
        <v>16</v>
      </c>
      <c r="E164" s="97">
        <v>5.66890625</v>
      </c>
      <c r="F164" s="5">
        <f t="shared" si="54"/>
        <v>1.3888820312499999E-2</v>
      </c>
      <c r="G164" s="1">
        <f>LOOKUP(RIGHT(D164,5),Ref!$C$4:$C$21,Ref!$E$4:$E$21)*$G$3</f>
        <v>3</v>
      </c>
      <c r="H164" s="36">
        <f t="shared" si="59"/>
        <v>5.66890625</v>
      </c>
      <c r="I164" s="12">
        <f t="shared" si="59"/>
        <v>5.66890625</v>
      </c>
      <c r="J164" s="12">
        <f t="shared" si="59"/>
        <v>5.66890625</v>
      </c>
      <c r="K164" s="12">
        <f t="shared" si="59"/>
        <v>5.66890625</v>
      </c>
      <c r="L164" s="12">
        <f t="shared" si="59"/>
        <v>5.66890625</v>
      </c>
      <c r="M164" s="12">
        <f t="shared" si="58"/>
        <v>5.9377590788680159</v>
      </c>
      <c r="N164" s="12">
        <f t="shared" si="58"/>
        <v>6.0989391608360526</v>
      </c>
      <c r="O164" s="12">
        <f t="shared" si="58"/>
        <v>6.3446564396694454</v>
      </c>
      <c r="P164" s="12">
        <f t="shared" si="58"/>
        <v>6.7030594420653777</v>
      </c>
      <c r="Q164" s="12">
        <f t="shared" si="58"/>
        <v>7.1935099544882499</v>
      </c>
      <c r="R164" s="12">
        <f t="shared" si="58"/>
        <v>7.8091489069789874</v>
      </c>
      <c r="S164" s="12">
        <f t="shared" si="58"/>
        <v>8.5033593750000005</v>
      </c>
      <c r="T164" s="12">
        <f t="shared" si="58"/>
        <v>9.1975698430210127</v>
      </c>
      <c r="U164" s="12">
        <f t="shared" si="58"/>
        <v>9.8132087955117502</v>
      </c>
      <c r="V164" s="12">
        <f t="shared" si="58"/>
        <v>10.303659307934623</v>
      </c>
      <c r="W164" s="12">
        <f t="shared" si="58"/>
        <v>10.662062310330555</v>
      </c>
      <c r="X164" s="12">
        <f t="shared" si="58"/>
        <v>10.907779589163948</v>
      </c>
      <c r="Y164" s="12">
        <f t="shared" si="58"/>
        <v>11.068959671131985</v>
      </c>
      <c r="Z164" s="12">
        <f t="shared" si="58"/>
        <v>11.171644211892195</v>
      </c>
      <c r="AA164" s="12">
        <f t="shared" si="58"/>
        <v>11.235850361932087</v>
      </c>
      <c r="AB164" s="12">
        <f t="shared" ref="AB164:AC179" si="64">AB$3*$E164</f>
        <v>11.275528552253039</v>
      </c>
      <c r="AC164" s="12">
        <f t="shared" si="64"/>
        <v>11.299871355565005</v>
      </c>
      <c r="AD164" s="300">
        <f t="shared" si="62"/>
        <v>2.4243824994511524E-3</v>
      </c>
      <c r="AE164" s="299">
        <f t="shared" si="62"/>
        <v>2.4243824994511524E-3</v>
      </c>
      <c r="AF164" s="299">
        <f t="shared" si="62"/>
        <v>2.4243824994511524E-3</v>
      </c>
      <c r="AG164" s="299">
        <f t="shared" si="62"/>
        <v>2.4243824994511524E-3</v>
      </c>
      <c r="AH164" s="299">
        <f t="shared" si="62"/>
        <v>2.4243824994511524E-3</v>
      </c>
      <c r="AI164" s="299">
        <f t="shared" si="60"/>
        <v>2.3146100946469122E-3</v>
      </c>
      <c r="AJ164" s="299">
        <f t="shared" si="60"/>
        <v>2.2534405969783875E-3</v>
      </c>
      <c r="AK164" s="299">
        <f t="shared" si="60"/>
        <v>2.1661688436900293E-3</v>
      </c>
      <c r="AL164" s="299">
        <f t="shared" si="60"/>
        <v>2.0503468934320711E-3</v>
      </c>
      <c r="AM164" s="299">
        <f t="shared" si="60"/>
        <v>1.9105550962578721E-3</v>
      </c>
      <c r="AN164" s="299">
        <f t="shared" si="60"/>
        <v>1.7599353357504418E-3</v>
      </c>
      <c r="AO164" s="299">
        <f t="shared" si="60"/>
        <v>1.6162549996341015E-3</v>
      </c>
      <c r="AP164" s="299">
        <f t="shared" si="60"/>
        <v>1.4942639564686437E-3</v>
      </c>
      <c r="AQ164" s="299">
        <f t="shared" si="60"/>
        <v>1.4005201957809298E-3</v>
      </c>
      <c r="AR164" s="299">
        <f t="shared" si="55"/>
        <v>1.3338559333911221E-3</v>
      </c>
      <c r="AS164" s="299">
        <f t="shared" si="55"/>
        <v>1.2890186441897814E-3</v>
      </c>
      <c r="AT164" s="299">
        <f t="shared" si="55"/>
        <v>1.2599811896806645E-3</v>
      </c>
      <c r="AU164" s="299">
        <f t="shared" si="55"/>
        <v>1.2416340389578588E-3</v>
      </c>
      <c r="AV164" s="299">
        <f t="shared" si="55"/>
        <v>1.2302215182344624E-3</v>
      </c>
      <c r="AW164" s="299">
        <f t="shared" si="55"/>
        <v>1.223191539653608E-3</v>
      </c>
      <c r="AX164" s="299">
        <f t="shared" si="55"/>
        <v>1.2188871714384564E-3</v>
      </c>
      <c r="AY164" s="299">
        <f t="shared" si="55"/>
        <v>1.216261377768762E-3</v>
      </c>
      <c r="AZ164" s="306">
        <f t="shared" si="63"/>
        <v>0.13421330072026111</v>
      </c>
      <c r="BA164" s="2">
        <f t="shared" si="63"/>
        <v>0.13421330072026111</v>
      </c>
      <c r="BB164" s="2">
        <f t="shared" si="63"/>
        <v>0.13421330072026111</v>
      </c>
      <c r="BC164" s="2">
        <f t="shared" si="63"/>
        <v>0.13421330072026111</v>
      </c>
      <c r="BD164" s="2">
        <f t="shared" si="63"/>
        <v>0.13421330072026111</v>
      </c>
      <c r="BE164" s="2">
        <f t="shared" si="61"/>
        <v>0.12813632368379385</v>
      </c>
      <c r="BF164" s="2">
        <f t="shared" si="61"/>
        <v>0.12474999327291539</v>
      </c>
      <c r="BG164" s="2">
        <f t="shared" si="61"/>
        <v>0.11991864752977191</v>
      </c>
      <c r="BH164" s="2">
        <f t="shared" si="61"/>
        <v>0.11350676894068888</v>
      </c>
      <c r="BI164" s="2">
        <f t="shared" si="61"/>
        <v>0.10576792471267867</v>
      </c>
      <c r="BJ164" s="2">
        <f t="shared" si="61"/>
        <v>9.7429646732213993E-2</v>
      </c>
      <c r="BK164" s="2">
        <f t="shared" si="61"/>
        <v>8.947553381350741E-2</v>
      </c>
      <c r="BL164" s="2">
        <f t="shared" si="61"/>
        <v>8.2722135550134968E-2</v>
      </c>
      <c r="BM164" s="2">
        <f t="shared" si="61"/>
        <v>7.7532500850710825E-2</v>
      </c>
      <c r="BN164" s="2">
        <f t="shared" si="56"/>
        <v>7.3841981430840739E-2</v>
      </c>
      <c r="BO164" s="2">
        <f t="shared" si="56"/>
        <v>7.1359798615041992E-2</v>
      </c>
      <c r="BP164" s="2">
        <f t="shared" si="56"/>
        <v>6.9752291295109889E-2</v>
      </c>
      <c r="BQ164" s="2">
        <f t="shared" si="56"/>
        <v>6.8736596924325863E-2</v>
      </c>
      <c r="BR164" s="2">
        <f t="shared" si="56"/>
        <v>6.8104802198793821E-2</v>
      </c>
      <c r="BS164" s="2">
        <f t="shared" si="56"/>
        <v>6.7715624076305811E-2</v>
      </c>
      <c r="BT164" s="2">
        <f t="shared" si="56"/>
        <v>6.747733516529375E-2</v>
      </c>
      <c r="BU164" s="2">
        <f t="shared" si="56"/>
        <v>6.7331971784927891E-2</v>
      </c>
    </row>
    <row r="165" spans="1:73" x14ac:dyDescent="0.25">
      <c r="A165" t="s">
        <v>41</v>
      </c>
      <c r="B165" s="1" t="s">
        <v>5</v>
      </c>
      <c r="C165" t="s">
        <v>17</v>
      </c>
      <c r="D165" t="s">
        <v>17</v>
      </c>
      <c r="E165" s="97">
        <v>6.2823799999999999</v>
      </c>
      <c r="F165" s="5">
        <f t="shared" si="54"/>
        <v>1.5391831E-2</v>
      </c>
      <c r="G165" s="1">
        <f>LOOKUP(RIGHT(D165,5),Ref!$C$4:$C$21,Ref!$E$4:$E$21)*$G$3</f>
        <v>3</v>
      </c>
      <c r="H165" s="36">
        <f t="shared" si="59"/>
        <v>6.2823799999999999</v>
      </c>
      <c r="I165" s="12">
        <f t="shared" si="59"/>
        <v>6.2823799999999999</v>
      </c>
      <c r="J165" s="12">
        <f t="shared" si="59"/>
        <v>6.2823799999999999</v>
      </c>
      <c r="K165" s="12">
        <f t="shared" si="59"/>
        <v>6.2823799999999999</v>
      </c>
      <c r="L165" s="12">
        <f t="shared" si="59"/>
        <v>6.2823799999999999</v>
      </c>
      <c r="M165" s="12">
        <f t="shared" ref="M165:AB180" si="65">M$3*$E165</f>
        <v>6.5803273571332817</v>
      </c>
      <c r="N165" s="12">
        <f t="shared" si="65"/>
        <v>6.7589499130018593</v>
      </c>
      <c r="O165" s="12">
        <f t="shared" si="65"/>
        <v>7.0312580532533104</v>
      </c>
      <c r="P165" s="12">
        <f t="shared" si="65"/>
        <v>7.4284464622505766</v>
      </c>
      <c r="Q165" s="12">
        <f t="shared" si="65"/>
        <v>7.9719722067864307</v>
      </c>
      <c r="R165" s="12">
        <f t="shared" si="65"/>
        <v>8.6542339468440925</v>
      </c>
      <c r="S165" s="12">
        <f t="shared" si="65"/>
        <v>9.4235699999999998</v>
      </c>
      <c r="T165" s="12">
        <f t="shared" si="65"/>
        <v>10.192906053155907</v>
      </c>
      <c r="U165" s="12">
        <f t="shared" si="65"/>
        <v>10.875167793213569</v>
      </c>
      <c r="V165" s="12">
        <f t="shared" si="65"/>
        <v>11.418693537749423</v>
      </c>
      <c r="W165" s="12">
        <f t="shared" si="65"/>
        <v>11.815881946746687</v>
      </c>
      <c r="X165" s="12">
        <f t="shared" si="65"/>
        <v>12.088190086998141</v>
      </c>
      <c r="Y165" s="12">
        <f t="shared" si="65"/>
        <v>12.266812642866718</v>
      </c>
      <c r="Z165" s="12">
        <f t="shared" si="65"/>
        <v>12.380609427772294</v>
      </c>
      <c r="AA165" s="12">
        <f t="shared" si="65"/>
        <v>12.451763794258355</v>
      </c>
      <c r="AB165" s="12">
        <f t="shared" si="65"/>
        <v>12.495735851356415</v>
      </c>
      <c r="AC165" s="12">
        <f t="shared" si="64"/>
        <v>12.522712967210293</v>
      </c>
      <c r="AD165" s="300">
        <f t="shared" si="62"/>
        <v>2.1876418019173083E-3</v>
      </c>
      <c r="AE165" s="299">
        <f t="shared" si="62"/>
        <v>2.1876418019173083E-3</v>
      </c>
      <c r="AF165" s="299">
        <f t="shared" si="62"/>
        <v>2.1876418019173083E-3</v>
      </c>
      <c r="AG165" s="299">
        <f t="shared" si="62"/>
        <v>2.1876418019173083E-3</v>
      </c>
      <c r="AH165" s="299">
        <f t="shared" si="62"/>
        <v>2.1876418019173083E-3</v>
      </c>
      <c r="AI165" s="299">
        <f t="shared" si="60"/>
        <v>2.0885886609624017E-3</v>
      </c>
      <c r="AJ165" s="299">
        <f t="shared" si="60"/>
        <v>2.0333923583442121E-3</v>
      </c>
      <c r="AK165" s="299">
        <f t="shared" si="60"/>
        <v>1.9546426826377392E-3</v>
      </c>
      <c r="AL165" s="299">
        <f t="shared" si="60"/>
        <v>1.8501307337100198E-3</v>
      </c>
      <c r="AM165" s="299">
        <f t="shared" si="60"/>
        <v>1.7239895909107064E-3</v>
      </c>
      <c r="AN165" s="299">
        <f t="shared" si="60"/>
        <v>1.5880778342652832E-3</v>
      </c>
      <c r="AO165" s="299">
        <f t="shared" si="60"/>
        <v>1.4584278679448722E-3</v>
      </c>
      <c r="AP165" s="299">
        <f t="shared" si="60"/>
        <v>1.3483492373869172E-3</v>
      </c>
      <c r="AQ165" s="299">
        <f t="shared" si="60"/>
        <v>1.263759545126805E-3</v>
      </c>
      <c r="AR165" s="299">
        <f t="shared" si="55"/>
        <v>1.2036050409877333E-3</v>
      </c>
      <c r="AS165" s="299">
        <f t="shared" si="55"/>
        <v>1.1631461083879005E-3</v>
      </c>
      <c r="AT165" s="299">
        <f t="shared" si="55"/>
        <v>1.136944158274914E-3</v>
      </c>
      <c r="AU165" s="299">
        <f t="shared" si="55"/>
        <v>1.1203886049014785E-3</v>
      </c>
      <c r="AV165" s="299">
        <f t="shared" si="55"/>
        <v>1.1100905156332208E-3</v>
      </c>
      <c r="AW165" s="299">
        <f t="shared" si="55"/>
        <v>1.1037470137256044E-3</v>
      </c>
      <c r="AX165" s="299">
        <f t="shared" si="55"/>
        <v>1.0998629666165189E-3</v>
      </c>
      <c r="AY165" s="299">
        <f t="shared" si="55"/>
        <v>1.0974935814240694E-3</v>
      </c>
      <c r="AZ165" s="306">
        <f t="shared" si="63"/>
        <v>0.1211073859407132</v>
      </c>
      <c r="BA165" s="2">
        <f t="shared" si="63"/>
        <v>0.1211073859407132</v>
      </c>
      <c r="BB165" s="2">
        <f t="shared" si="63"/>
        <v>0.1211073859407132</v>
      </c>
      <c r="BC165" s="2">
        <f t="shared" si="63"/>
        <v>0.1211073859407132</v>
      </c>
      <c r="BD165" s="2">
        <f t="shared" si="63"/>
        <v>0.1211073859407132</v>
      </c>
      <c r="BE165" s="2">
        <f t="shared" si="61"/>
        <v>0.11562382507633764</v>
      </c>
      <c r="BF165" s="2">
        <f t="shared" si="61"/>
        <v>0.11256816947594511</v>
      </c>
      <c r="BG165" s="2">
        <f t="shared" si="61"/>
        <v>0.10820860413936616</v>
      </c>
      <c r="BH165" s="2">
        <f t="shared" si="61"/>
        <v>0.10242284482396435</v>
      </c>
      <c r="BI165" s="2">
        <f t="shared" si="61"/>
        <v>9.5439697925504913E-2</v>
      </c>
      <c r="BJ165" s="2">
        <f t="shared" si="61"/>
        <v>8.7915651917830517E-2</v>
      </c>
      <c r="BK165" s="2">
        <f t="shared" si="61"/>
        <v>8.0738257293808804E-2</v>
      </c>
      <c r="BL165" s="2">
        <f t="shared" si="61"/>
        <v>7.4644327664596416E-2</v>
      </c>
      <c r="BM165" s="2">
        <f t="shared" si="61"/>
        <v>6.9961460250848401E-2</v>
      </c>
      <c r="BN165" s="2">
        <f t="shared" si="56"/>
        <v>6.6631319666380737E-2</v>
      </c>
      <c r="BO165" s="2">
        <f t="shared" si="56"/>
        <v>6.4391521742962532E-2</v>
      </c>
      <c r="BP165" s="2">
        <f t="shared" si="56"/>
        <v>6.2940987344711569E-2</v>
      </c>
      <c r="BQ165" s="2">
        <f t="shared" si="56"/>
        <v>6.2024475423015112E-2</v>
      </c>
      <c r="BR165" s="2">
        <f t="shared" si="56"/>
        <v>6.1454375386359318E-2</v>
      </c>
      <c r="BS165" s="2">
        <f t="shared" si="56"/>
        <v>6.1103200466832715E-2</v>
      </c>
      <c r="BT165" s="2">
        <f t="shared" si="56"/>
        <v>6.0888180443061157E-2</v>
      </c>
      <c r="BU165" s="2">
        <f t="shared" si="56"/>
        <v>6.0757011781586177E-2</v>
      </c>
    </row>
    <row r="166" spans="1:73" x14ac:dyDescent="0.25">
      <c r="A166" t="s">
        <v>41</v>
      </c>
      <c r="B166" s="1" t="s">
        <v>5</v>
      </c>
      <c r="C166" t="s">
        <v>18</v>
      </c>
      <c r="D166" t="s">
        <v>18</v>
      </c>
      <c r="E166" s="97">
        <v>6.3046449999999998</v>
      </c>
      <c r="F166" s="5">
        <f t="shared" si="54"/>
        <v>1.5446380249999999E-2</v>
      </c>
      <c r="G166" s="1">
        <f>LOOKUP(RIGHT(D166,5),Ref!$C$4:$C$21,Ref!$E$4:$E$21)*$G$3</f>
        <v>3</v>
      </c>
      <c r="H166" s="36">
        <f t="shared" ref="H166:L181" si="66">$E166</f>
        <v>6.3046449999999998</v>
      </c>
      <c r="I166" s="12">
        <f t="shared" si="66"/>
        <v>6.3046449999999998</v>
      </c>
      <c r="J166" s="12">
        <f t="shared" si="66"/>
        <v>6.3046449999999998</v>
      </c>
      <c r="K166" s="12">
        <f t="shared" si="66"/>
        <v>6.3046449999999998</v>
      </c>
      <c r="L166" s="12">
        <f t="shared" si="66"/>
        <v>6.3046449999999998</v>
      </c>
      <c r="M166" s="12">
        <f t="shared" si="65"/>
        <v>6.60364829419958</v>
      </c>
      <c r="N166" s="12">
        <f t="shared" si="65"/>
        <v>6.7829038953800325</v>
      </c>
      <c r="O166" s="12">
        <f t="shared" si="65"/>
        <v>7.0561771063121332</v>
      </c>
      <c r="P166" s="12">
        <f t="shared" si="65"/>
        <v>7.4547731665381249</v>
      </c>
      <c r="Q166" s="12">
        <f t="shared" si="65"/>
        <v>8.0002251875332338</v>
      </c>
      <c r="R166" s="12">
        <f t="shared" si="65"/>
        <v>8.6849048898348844</v>
      </c>
      <c r="S166" s="12">
        <f t="shared" si="65"/>
        <v>9.4569674999999993</v>
      </c>
      <c r="T166" s="12">
        <f t="shared" si="65"/>
        <v>10.229030110165116</v>
      </c>
      <c r="U166" s="12">
        <f t="shared" si="65"/>
        <v>10.913709812466767</v>
      </c>
      <c r="V166" s="12">
        <f t="shared" si="65"/>
        <v>11.459161833461874</v>
      </c>
      <c r="W166" s="12">
        <f t="shared" si="65"/>
        <v>11.857757893687864</v>
      </c>
      <c r="X166" s="12">
        <f t="shared" si="65"/>
        <v>12.131031104619968</v>
      </c>
      <c r="Y166" s="12">
        <f t="shared" si="65"/>
        <v>12.310286705800419</v>
      </c>
      <c r="Z166" s="12">
        <f t="shared" si="65"/>
        <v>12.424486790954616</v>
      </c>
      <c r="AA166" s="12">
        <f t="shared" si="65"/>
        <v>12.49589333129355</v>
      </c>
      <c r="AB166" s="12">
        <f t="shared" si="65"/>
        <v>12.540021227078745</v>
      </c>
      <c r="AC166" s="12">
        <f t="shared" si="64"/>
        <v>12.567093950884463</v>
      </c>
      <c r="AD166" s="300">
        <f t="shared" si="62"/>
        <v>2.1799160941701331E-3</v>
      </c>
      <c r="AE166" s="299">
        <f t="shared" si="62"/>
        <v>2.1799160941701331E-3</v>
      </c>
      <c r="AF166" s="299">
        <f t="shared" si="62"/>
        <v>2.1799160941701331E-3</v>
      </c>
      <c r="AG166" s="299">
        <f t="shared" si="62"/>
        <v>2.1799160941701331E-3</v>
      </c>
      <c r="AH166" s="299">
        <f t="shared" si="62"/>
        <v>2.1799160941701331E-3</v>
      </c>
      <c r="AI166" s="299">
        <f t="shared" si="60"/>
        <v>2.0812127616792022E-3</v>
      </c>
      <c r="AJ166" s="299">
        <f t="shared" si="60"/>
        <v>2.0262113860835167E-3</v>
      </c>
      <c r="AK166" s="299">
        <f t="shared" si="60"/>
        <v>1.9477398166827284E-3</v>
      </c>
      <c r="AL166" s="299">
        <f t="shared" si="60"/>
        <v>1.843596954125911E-3</v>
      </c>
      <c r="AM166" s="299">
        <f t="shared" si="60"/>
        <v>1.7179012816971619E-3</v>
      </c>
      <c r="AN166" s="299">
        <f t="shared" si="60"/>
        <v>1.5824695005716464E-3</v>
      </c>
      <c r="AO166" s="299">
        <f t="shared" si="60"/>
        <v>1.4532773961134222E-3</v>
      </c>
      <c r="AP166" s="299">
        <f t="shared" si="60"/>
        <v>1.343587510791618E-3</v>
      </c>
      <c r="AQ166" s="299">
        <f t="shared" si="60"/>
        <v>1.2592965489910592E-3</v>
      </c>
      <c r="AR166" s="299">
        <f t="shared" si="55"/>
        <v>1.1993544818781259E-3</v>
      </c>
      <c r="AS166" s="299">
        <f t="shared" si="55"/>
        <v>1.1590384309368693E-3</v>
      </c>
      <c r="AT166" s="299">
        <f t="shared" si="55"/>
        <v>1.1329290136182376E-3</v>
      </c>
      <c r="AU166" s="299">
        <f t="shared" si="55"/>
        <v>1.1164319265654053E-3</v>
      </c>
      <c r="AV166" s="299">
        <f t="shared" si="55"/>
        <v>1.1061702052381748E-3</v>
      </c>
      <c r="AW166" s="299">
        <f t="shared" si="55"/>
        <v>1.0998491055546286E-3</v>
      </c>
      <c r="AX166" s="299">
        <f t="shared" si="55"/>
        <v>1.0959787750479664E-3</v>
      </c>
      <c r="AY166" s="299">
        <f t="shared" si="55"/>
        <v>1.0936177573942617E-3</v>
      </c>
      <c r="AZ166" s="306">
        <f t="shared" si="63"/>
        <v>0.12067969239921007</v>
      </c>
      <c r="BA166" s="2">
        <f t="shared" si="63"/>
        <v>0.12067969239921007</v>
      </c>
      <c r="BB166" s="2">
        <f t="shared" si="63"/>
        <v>0.12067969239921007</v>
      </c>
      <c r="BC166" s="2">
        <f t="shared" si="63"/>
        <v>0.12067969239921007</v>
      </c>
      <c r="BD166" s="2">
        <f t="shared" si="63"/>
        <v>0.12067969239921007</v>
      </c>
      <c r="BE166" s="2">
        <f t="shared" si="61"/>
        <v>0.11521549685717151</v>
      </c>
      <c r="BF166" s="2">
        <f t="shared" si="61"/>
        <v>0.11217063237538165</v>
      </c>
      <c r="BG166" s="2">
        <f t="shared" si="61"/>
        <v>0.10782646294487178</v>
      </c>
      <c r="BH166" s="2">
        <f t="shared" si="61"/>
        <v>0.10206113617264369</v>
      </c>
      <c r="BI166" s="2">
        <f t="shared" si="61"/>
        <v>9.5102650419370729E-2</v>
      </c>
      <c r="BJ166" s="2">
        <f t="shared" si="61"/>
        <v>8.7605175754628534E-2</v>
      </c>
      <c r="BK166" s="2">
        <f t="shared" si="61"/>
        <v>8.0453128266140053E-2</v>
      </c>
      <c r="BL166" s="2">
        <f t="shared" si="61"/>
        <v>7.4380719490709984E-2</v>
      </c>
      <c r="BM166" s="2">
        <f t="shared" si="61"/>
        <v>6.9714389731812806E-2</v>
      </c>
      <c r="BN166" s="2">
        <f t="shared" si="56"/>
        <v>6.6396009616033425E-2</v>
      </c>
      <c r="BO166" s="2">
        <f t="shared" si="56"/>
        <v>6.4164121590914794E-2</v>
      </c>
      <c r="BP166" s="2">
        <f t="shared" si="56"/>
        <v>6.2718709788524021E-2</v>
      </c>
      <c r="BQ166" s="2">
        <f t="shared" si="56"/>
        <v>6.1805434549929726E-2</v>
      </c>
      <c r="BR166" s="2">
        <f t="shared" si="56"/>
        <v>6.1237347834771985E-2</v>
      </c>
      <c r="BS166" s="2">
        <f t="shared" si="56"/>
        <v>6.0887413097616194E-2</v>
      </c>
      <c r="BT166" s="2">
        <f t="shared" si="56"/>
        <v>6.0673152422044151E-2</v>
      </c>
      <c r="BU166" s="2">
        <f t="shared" si="56"/>
        <v>6.0542446985738518E-2</v>
      </c>
    </row>
    <row r="167" spans="1:73" x14ac:dyDescent="0.25">
      <c r="A167" t="s">
        <v>42</v>
      </c>
      <c r="B167" s="1" t="s">
        <v>5</v>
      </c>
      <c r="C167" t="s">
        <v>13</v>
      </c>
      <c r="D167" t="s">
        <v>13</v>
      </c>
      <c r="E167" s="97">
        <v>7.1437799999999996</v>
      </c>
      <c r="F167" s="5">
        <f t="shared" si="54"/>
        <v>1.7502260999999998E-2</v>
      </c>
      <c r="G167" s="1">
        <f>LOOKUP(RIGHT(D167,5),Ref!$C$4:$C$21,Ref!$E$4:$E$21)*$G$3</f>
        <v>1.5</v>
      </c>
      <c r="H167" s="36">
        <f t="shared" si="66"/>
        <v>7.1437799999999996</v>
      </c>
      <c r="I167" s="12">
        <f t="shared" si="66"/>
        <v>7.1437799999999996</v>
      </c>
      <c r="J167" s="12">
        <f t="shared" si="66"/>
        <v>7.1437799999999996</v>
      </c>
      <c r="K167" s="12">
        <f t="shared" si="66"/>
        <v>7.1437799999999996</v>
      </c>
      <c r="L167" s="12">
        <f t="shared" si="66"/>
        <v>7.1437799999999996</v>
      </c>
      <c r="M167" s="12">
        <f t="shared" si="65"/>
        <v>7.4825800042884376</v>
      </c>
      <c r="N167" s="12">
        <f t="shared" si="65"/>
        <v>7.685694149272158</v>
      </c>
      <c r="O167" s="12">
        <f t="shared" si="65"/>
        <v>7.9953394502831623</v>
      </c>
      <c r="P167" s="12">
        <f t="shared" si="65"/>
        <v>8.4469878084573722</v>
      </c>
      <c r="Q167" s="12">
        <f t="shared" si="65"/>
        <v>9.0650383471545446</v>
      </c>
      <c r="R167" s="12">
        <f t="shared" si="65"/>
        <v>9.8408474789468148</v>
      </c>
      <c r="S167" s="12">
        <f t="shared" si="65"/>
        <v>10.715669999999999</v>
      </c>
      <c r="T167" s="12">
        <f t="shared" si="65"/>
        <v>11.590492521053184</v>
      </c>
      <c r="U167" s="12">
        <f t="shared" si="65"/>
        <v>12.366301652845454</v>
      </c>
      <c r="V167" s="12">
        <f t="shared" si="65"/>
        <v>12.984352191542627</v>
      </c>
      <c r="W167" s="12">
        <f t="shared" si="65"/>
        <v>13.436000549716834</v>
      </c>
      <c r="X167" s="12">
        <f t="shared" si="65"/>
        <v>13.74564585072784</v>
      </c>
      <c r="Y167" s="12">
        <f t="shared" si="65"/>
        <v>13.948759995711562</v>
      </c>
      <c r="Z167" s="12">
        <f t="shared" si="65"/>
        <v>14.078159872203075</v>
      </c>
      <c r="AA167" s="12">
        <f t="shared" si="65"/>
        <v>14.159070472997008</v>
      </c>
      <c r="AB167" s="12">
        <f t="shared" si="65"/>
        <v>14.209071698974421</v>
      </c>
      <c r="AC167" s="12">
        <f t="shared" si="64"/>
        <v>14.239747745424113</v>
      </c>
      <c r="AD167" s="300">
        <f t="shared" si="62"/>
        <v>1.9238550324239072E-3</v>
      </c>
      <c r="AE167" s="299">
        <f t="shared" si="62"/>
        <v>1.9238550324239072E-3</v>
      </c>
      <c r="AF167" s="299">
        <f t="shared" si="62"/>
        <v>1.9238550324239072E-3</v>
      </c>
      <c r="AG167" s="299">
        <f t="shared" si="62"/>
        <v>1.9238550324239072E-3</v>
      </c>
      <c r="AH167" s="299">
        <f t="shared" si="62"/>
        <v>1.9238550324239072E-3</v>
      </c>
      <c r="AI167" s="299">
        <f t="shared" si="60"/>
        <v>1.8367457609076668E-3</v>
      </c>
      <c r="AJ167" s="299">
        <f t="shared" si="60"/>
        <v>1.7882050516973525E-3</v>
      </c>
      <c r="AK167" s="299">
        <f t="shared" si="60"/>
        <v>1.7189510450419359E-3</v>
      </c>
      <c r="AL167" s="299">
        <f t="shared" si="60"/>
        <v>1.627041190916455E-3</v>
      </c>
      <c r="AM167" s="299">
        <f t="shared" si="60"/>
        <v>1.5161102002225156E-3</v>
      </c>
      <c r="AN167" s="299">
        <f t="shared" si="60"/>
        <v>1.3965867404135527E-3</v>
      </c>
      <c r="AO167" s="299">
        <f t="shared" si="60"/>
        <v>1.2825700216159382E-3</v>
      </c>
      <c r="AP167" s="299">
        <f t="shared" si="60"/>
        <v>1.1857647186748223E-3</v>
      </c>
      <c r="AQ167" s="299">
        <f t="shared" si="60"/>
        <v>1.1113748871205073E-3</v>
      </c>
      <c r="AR167" s="299">
        <f t="shared" si="55"/>
        <v>1.0584738384161489E-3</v>
      </c>
      <c r="AS167" s="299">
        <f t="shared" si="55"/>
        <v>1.0228934609428032E-3</v>
      </c>
      <c r="AT167" s="299">
        <f t="shared" si="55"/>
        <v>9.9985095300571323E-4</v>
      </c>
      <c r="AU167" s="299">
        <f t="shared" si="55"/>
        <v>9.8529167522809361E-4</v>
      </c>
      <c r="AV167" s="299">
        <f t="shared" si="55"/>
        <v>9.7623533389939684E-4</v>
      </c>
      <c r="AW167" s="299">
        <f t="shared" si="55"/>
        <v>9.706567341224761E-4</v>
      </c>
      <c r="AX167" s="299">
        <f t="shared" si="55"/>
        <v>9.6724102704902543E-4</v>
      </c>
      <c r="AY167" s="299">
        <f t="shared" si="55"/>
        <v>9.6515734332061533E-4</v>
      </c>
      <c r="AZ167" s="306">
        <f t="shared" si="63"/>
        <v>0.10650420635660922</v>
      </c>
      <c r="BA167" s="2">
        <f t="shared" si="63"/>
        <v>0.10650420635660922</v>
      </c>
      <c r="BB167" s="2">
        <f t="shared" si="63"/>
        <v>0.10650420635660922</v>
      </c>
      <c r="BC167" s="2">
        <f t="shared" si="63"/>
        <v>0.10650420635660922</v>
      </c>
      <c r="BD167" s="2">
        <f t="shared" si="63"/>
        <v>0.10650420635660922</v>
      </c>
      <c r="BE167" s="2">
        <f t="shared" si="61"/>
        <v>0.10168185556989187</v>
      </c>
      <c r="BF167" s="2">
        <f t="shared" si="61"/>
        <v>9.8994652208255027E-2</v>
      </c>
      <c r="BG167" s="2">
        <f t="shared" si="61"/>
        <v>9.5160765095379643E-2</v>
      </c>
      <c r="BH167" s="2">
        <f t="shared" si="61"/>
        <v>9.0072655074089222E-2</v>
      </c>
      <c r="BI167" s="2">
        <f t="shared" si="61"/>
        <v>8.393153896861795E-2</v>
      </c>
      <c r="BJ167" s="2">
        <f t="shared" si="61"/>
        <v>7.7314745596244572E-2</v>
      </c>
      <c r="BK167" s="2">
        <f t="shared" si="61"/>
        <v>7.1002804237739484E-2</v>
      </c>
      <c r="BL167" s="2">
        <f t="shared" si="61"/>
        <v>6.5643683208820441E-2</v>
      </c>
      <c r="BM167" s="2">
        <f t="shared" si="61"/>
        <v>6.1525477919354317E-2</v>
      </c>
      <c r="BN167" s="2">
        <f t="shared" si="56"/>
        <v>5.859688708858294E-2</v>
      </c>
      <c r="BO167" s="2">
        <f t="shared" si="56"/>
        <v>5.6627164941746945E-2</v>
      </c>
      <c r="BP167" s="2">
        <f t="shared" si="56"/>
        <v>5.5351536591925994E-2</v>
      </c>
      <c r="BQ167" s="2">
        <f t="shared" si="56"/>
        <v>5.4545538063608012E-2</v>
      </c>
      <c r="BR167" s="2">
        <f t="shared" si="56"/>
        <v>5.4044180929389771E-2</v>
      </c>
      <c r="BS167" s="2">
        <f t="shared" si="56"/>
        <v>5.37353508295077E-2</v>
      </c>
      <c r="BT167" s="2">
        <f t="shared" si="56"/>
        <v>5.3546258010728008E-2</v>
      </c>
      <c r="BU167" s="2">
        <f t="shared" si="56"/>
        <v>5.3430905721676955E-2</v>
      </c>
    </row>
    <row r="168" spans="1:73" x14ac:dyDescent="0.25">
      <c r="A168" t="s">
        <v>42</v>
      </c>
      <c r="B168" s="1" t="s">
        <v>5</v>
      </c>
      <c r="C168" t="s">
        <v>14</v>
      </c>
      <c r="D168" t="s">
        <v>14</v>
      </c>
      <c r="E168" s="97">
        <v>7.04535775</v>
      </c>
      <c r="F168" s="5">
        <f t="shared" si="54"/>
        <v>1.72611264875E-2</v>
      </c>
      <c r="G168" s="1">
        <f>LOOKUP(RIGHT(D168,5),Ref!$C$4:$C$21,Ref!$E$4:$E$21)*$G$3</f>
        <v>2</v>
      </c>
      <c r="H168" s="36">
        <f t="shared" si="66"/>
        <v>7.04535775</v>
      </c>
      <c r="I168" s="12">
        <f t="shared" si="66"/>
        <v>7.04535775</v>
      </c>
      <c r="J168" s="12">
        <f t="shared" si="66"/>
        <v>7.04535775</v>
      </c>
      <c r="K168" s="12">
        <f t="shared" si="66"/>
        <v>7.04535775</v>
      </c>
      <c r="L168" s="12">
        <f t="shared" si="66"/>
        <v>7.04535775</v>
      </c>
      <c r="M168" s="12">
        <f t="shared" si="65"/>
        <v>7.3794899931420872</v>
      </c>
      <c r="N168" s="12">
        <f t="shared" si="65"/>
        <v>7.5798057665135623</v>
      </c>
      <c r="O168" s="12">
        <f t="shared" si="65"/>
        <v>7.8851849804911716</v>
      </c>
      <c r="P168" s="12">
        <f t="shared" si="65"/>
        <v>8.3306108279469218</v>
      </c>
      <c r="Q168" s="12">
        <f t="shared" si="65"/>
        <v>8.9401462773451108</v>
      </c>
      <c r="R168" s="12">
        <f t="shared" si="65"/>
        <v>9.7052668268571978</v>
      </c>
      <c r="S168" s="12">
        <f t="shared" si="65"/>
        <v>10.568036625</v>
      </c>
      <c r="T168" s="12">
        <f t="shared" si="65"/>
        <v>11.430806423142803</v>
      </c>
      <c r="U168" s="12">
        <f t="shared" si="65"/>
        <v>12.195926972654888</v>
      </c>
      <c r="V168" s="12">
        <f t="shared" si="65"/>
        <v>12.805462422053077</v>
      </c>
      <c r="W168" s="12">
        <f t="shared" si="65"/>
        <v>13.250888269508827</v>
      </c>
      <c r="X168" s="12">
        <f t="shared" si="65"/>
        <v>13.556267483486437</v>
      </c>
      <c r="Y168" s="12">
        <f t="shared" si="65"/>
        <v>13.756583256857914</v>
      </c>
      <c r="Z168" s="12">
        <f t="shared" si="65"/>
        <v>13.884200347906145</v>
      </c>
      <c r="AA168" s="12">
        <f t="shared" si="65"/>
        <v>13.96399621625045</v>
      </c>
      <c r="AB168" s="12">
        <f t="shared" si="65"/>
        <v>14.013308558588745</v>
      </c>
      <c r="AC168" s="12">
        <f t="shared" si="64"/>
        <v>14.043561970870996</v>
      </c>
      <c r="AD168" s="300">
        <f t="shared" si="62"/>
        <v>1.9507309055426263E-3</v>
      </c>
      <c r="AE168" s="299">
        <f t="shared" si="62"/>
        <v>1.9507309055426263E-3</v>
      </c>
      <c r="AF168" s="299">
        <f t="shared" si="62"/>
        <v>1.9507309055426263E-3</v>
      </c>
      <c r="AG168" s="299">
        <f t="shared" si="62"/>
        <v>1.9507309055426263E-3</v>
      </c>
      <c r="AH168" s="299">
        <f t="shared" si="62"/>
        <v>1.9507309055426263E-3</v>
      </c>
      <c r="AI168" s="299">
        <f t="shared" si="60"/>
        <v>1.8624047347853942E-3</v>
      </c>
      <c r="AJ168" s="299">
        <f t="shared" si="60"/>
        <v>1.8131859214976717E-3</v>
      </c>
      <c r="AK168" s="299">
        <f t="shared" si="60"/>
        <v>1.7429644501089643E-3</v>
      </c>
      <c r="AL168" s="299">
        <f t="shared" si="60"/>
        <v>1.6497706335558552E-3</v>
      </c>
      <c r="AM168" s="299">
        <f t="shared" si="60"/>
        <v>1.5372899589301344E-3</v>
      </c>
      <c r="AN168" s="299">
        <f t="shared" si="60"/>
        <v>1.4160967801005603E-3</v>
      </c>
      <c r="AO168" s="299">
        <f t="shared" si="60"/>
        <v>1.3004872703617509E-3</v>
      </c>
      <c r="AP168" s="299">
        <f t="shared" si="60"/>
        <v>1.202329616544287E-3</v>
      </c>
      <c r="AQ168" s="299">
        <f t="shared" si="60"/>
        <v>1.1269005738017686E-3</v>
      </c>
      <c r="AR168" s="299">
        <f t="shared" si="55"/>
        <v>1.073260507942342E-3</v>
      </c>
      <c r="AS168" s="299">
        <f t="shared" si="55"/>
        <v>1.0371830796546816E-3</v>
      </c>
      <c r="AT168" s="299">
        <f t="shared" si="55"/>
        <v>1.0138186724532412E-3</v>
      </c>
      <c r="AU168" s="299">
        <f t="shared" si="55"/>
        <v>9.9905600445356372E-4</v>
      </c>
      <c r="AV168" s="299">
        <f t="shared" si="55"/>
        <v>9.8987314783324266E-4</v>
      </c>
      <c r="AW168" s="299">
        <f t="shared" si="55"/>
        <v>9.8421661612420786E-4</v>
      </c>
      <c r="AX168" s="299">
        <f t="shared" si="55"/>
        <v>9.807531923006021E-4</v>
      </c>
      <c r="AY168" s="299">
        <f t="shared" si="55"/>
        <v>9.7864039992389957E-4</v>
      </c>
      <c r="AZ168" s="306">
        <f t="shared" si="63"/>
        <v>0.10799204898945235</v>
      </c>
      <c r="BA168" s="2">
        <f t="shared" si="63"/>
        <v>0.10799204898945235</v>
      </c>
      <c r="BB168" s="2">
        <f t="shared" si="63"/>
        <v>0.10799204898945235</v>
      </c>
      <c r="BC168" s="2">
        <f t="shared" si="63"/>
        <v>0.10799204898945235</v>
      </c>
      <c r="BD168" s="2">
        <f t="shared" si="63"/>
        <v>0.10799204898945235</v>
      </c>
      <c r="BE168" s="2">
        <f t="shared" si="61"/>
        <v>0.1031023309189774</v>
      </c>
      <c r="BF168" s="2">
        <f t="shared" si="61"/>
        <v>0.10037758785950764</v>
      </c>
      <c r="BG168" s="2">
        <f t="shared" si="61"/>
        <v>9.6490142104291451E-2</v>
      </c>
      <c r="BH168" s="2">
        <f t="shared" si="61"/>
        <v>9.1330952195461917E-2</v>
      </c>
      <c r="BI168" s="2">
        <f t="shared" si="61"/>
        <v>8.5104045916367221E-2</v>
      </c>
      <c r="BJ168" s="2">
        <f t="shared" si="61"/>
        <v>7.8394817253324006E-2</v>
      </c>
      <c r="BK168" s="2">
        <f t="shared" si="61"/>
        <v>7.1994699326301564E-2</v>
      </c>
      <c r="BL168" s="2">
        <f t="shared" si="61"/>
        <v>6.6560712439834191E-2</v>
      </c>
      <c r="BM168" s="2">
        <f t="shared" si="61"/>
        <v>6.2384976639507761E-2</v>
      </c>
      <c r="BN168" s="2">
        <f t="shared" si="56"/>
        <v>5.9415473975849849E-2</v>
      </c>
      <c r="BO168" s="2">
        <f t="shared" si="56"/>
        <v>5.7418235201406619E-2</v>
      </c>
      <c r="BP168" s="2">
        <f t="shared" si="56"/>
        <v>5.6124786576617638E-2</v>
      </c>
      <c r="BQ168" s="2">
        <f t="shared" si="56"/>
        <v>5.5307528408765565E-2</v>
      </c>
      <c r="BR168" s="2">
        <f t="shared" si="56"/>
        <v>5.4799167414849304E-2</v>
      </c>
      <c r="BS168" s="2">
        <f t="shared" si="56"/>
        <v>5.4486023019742397E-2</v>
      </c>
      <c r="BT168" s="2">
        <f t="shared" si="56"/>
        <v>5.4294288611799531E-2</v>
      </c>
      <c r="BU168" s="2">
        <f t="shared" si="56"/>
        <v>5.4177324874155809E-2</v>
      </c>
    </row>
    <row r="169" spans="1:73" x14ac:dyDescent="0.25">
      <c r="A169" t="s">
        <v>42</v>
      </c>
      <c r="B169" s="1" t="s">
        <v>5</v>
      </c>
      <c r="C169" t="s">
        <v>15</v>
      </c>
      <c r="D169" t="s">
        <v>15</v>
      </c>
      <c r="E169" s="97">
        <v>6.7493974999999997</v>
      </c>
      <c r="F169" s="5">
        <f t="shared" si="54"/>
        <v>1.6536023874999996E-2</v>
      </c>
      <c r="G169" s="1">
        <f>LOOKUP(RIGHT(D169,5),Ref!$C$4:$C$21,Ref!$E$4:$E$21)*$G$3</f>
        <v>2.5</v>
      </c>
      <c r="H169" s="36">
        <f t="shared" si="66"/>
        <v>6.7493974999999997</v>
      </c>
      <c r="I169" s="12">
        <f t="shared" si="66"/>
        <v>6.7493974999999997</v>
      </c>
      <c r="J169" s="12">
        <f t="shared" si="66"/>
        <v>6.7493974999999997</v>
      </c>
      <c r="K169" s="12">
        <f t="shared" si="66"/>
        <v>6.7493974999999997</v>
      </c>
      <c r="L169" s="12">
        <f t="shared" si="66"/>
        <v>6.7493974999999997</v>
      </c>
      <c r="M169" s="12">
        <f t="shared" si="65"/>
        <v>7.0694935698599854</v>
      </c>
      <c r="N169" s="12">
        <f t="shared" si="65"/>
        <v>7.2613945105899305</v>
      </c>
      <c r="O169" s="12">
        <f t="shared" si="65"/>
        <v>7.5539454038887746</v>
      </c>
      <c r="P169" s="12">
        <f t="shared" si="65"/>
        <v>7.9806598743148118</v>
      </c>
      <c r="Q169" s="12">
        <f t="shared" si="65"/>
        <v>8.5645900570410927</v>
      </c>
      <c r="R169" s="12">
        <f t="shared" si="65"/>
        <v>9.2975695461345307</v>
      </c>
      <c r="S169" s="12">
        <f t="shared" si="65"/>
        <v>10.124096249999999</v>
      </c>
      <c r="T169" s="12">
        <f t="shared" si="65"/>
        <v>10.950622953865468</v>
      </c>
      <c r="U169" s="12">
        <f t="shared" si="65"/>
        <v>11.683602442958907</v>
      </c>
      <c r="V169" s="12">
        <f t="shared" si="65"/>
        <v>12.267532625685188</v>
      </c>
      <c r="W169" s="12">
        <f t="shared" si="65"/>
        <v>12.694247096111223</v>
      </c>
      <c r="X169" s="12">
        <f t="shared" si="65"/>
        <v>12.98679798941007</v>
      </c>
      <c r="Y169" s="12">
        <f t="shared" si="65"/>
        <v>13.178698930140014</v>
      </c>
      <c r="Z169" s="12">
        <f t="shared" si="65"/>
        <v>13.300955103047372</v>
      </c>
      <c r="AA169" s="12">
        <f t="shared" si="65"/>
        <v>13.377398919447383</v>
      </c>
      <c r="AB169" s="12">
        <f t="shared" si="65"/>
        <v>13.424639756876431</v>
      </c>
      <c r="AC169" s="12">
        <f t="shared" si="64"/>
        <v>13.453622288703759</v>
      </c>
      <c r="AD169" s="300">
        <f t="shared" si="62"/>
        <v>2.0362702157532223E-3</v>
      </c>
      <c r="AE169" s="299">
        <f t="shared" si="62"/>
        <v>2.0362702157532223E-3</v>
      </c>
      <c r="AF169" s="299">
        <f t="shared" si="62"/>
        <v>2.0362702157532223E-3</v>
      </c>
      <c r="AG169" s="299">
        <f t="shared" si="62"/>
        <v>2.0362702157532223E-3</v>
      </c>
      <c r="AH169" s="299">
        <f t="shared" si="62"/>
        <v>2.0362702157532223E-3</v>
      </c>
      <c r="AI169" s="299">
        <f t="shared" si="60"/>
        <v>1.9440709532750106E-3</v>
      </c>
      <c r="AJ169" s="299">
        <f t="shared" si="60"/>
        <v>1.8926939010799871E-3</v>
      </c>
      <c r="AK169" s="299">
        <f t="shared" si="60"/>
        <v>1.8193932268101977E-3</v>
      </c>
      <c r="AL169" s="299">
        <f t="shared" si="60"/>
        <v>1.7221128728668231E-3</v>
      </c>
      <c r="AM169" s="299">
        <f t="shared" si="60"/>
        <v>1.6046999344972055E-3</v>
      </c>
      <c r="AN169" s="299">
        <f t="shared" si="60"/>
        <v>1.4781924496862912E-3</v>
      </c>
      <c r="AO169" s="299">
        <f t="shared" si="60"/>
        <v>1.357513477168815E-3</v>
      </c>
      <c r="AP169" s="299">
        <f t="shared" si="60"/>
        <v>1.2550516223077425E-3</v>
      </c>
      <c r="AQ169" s="299">
        <f t="shared" si="60"/>
        <v>1.1763150253209619E-3</v>
      </c>
      <c r="AR169" s="299">
        <f t="shared" si="55"/>
        <v>1.1203228491729099E-3</v>
      </c>
      <c r="AS169" s="299">
        <f t="shared" si="55"/>
        <v>1.0826634300934238E-3</v>
      </c>
      <c r="AT169" s="299">
        <f t="shared" si="55"/>
        <v>1.0582744965107113E-3</v>
      </c>
      <c r="AU169" s="299">
        <f t="shared" si="55"/>
        <v>1.0428644873354917E-3</v>
      </c>
      <c r="AV169" s="299">
        <f t="shared" si="55"/>
        <v>1.0332789635821322E-3</v>
      </c>
      <c r="AW169" s="299">
        <f t="shared" si="55"/>
        <v>1.0273743936535761E-3</v>
      </c>
      <c r="AX169" s="299">
        <f t="shared" si="55"/>
        <v>1.0237590991214085E-3</v>
      </c>
      <c r="AY169" s="299">
        <f t="shared" si="55"/>
        <v>1.0215536610589237E-3</v>
      </c>
      <c r="AZ169" s="306">
        <f t="shared" si="63"/>
        <v>0.11272748705143204</v>
      </c>
      <c r="BA169" s="2">
        <f t="shared" si="63"/>
        <v>0.11272748705143204</v>
      </c>
      <c r="BB169" s="2">
        <f t="shared" si="63"/>
        <v>0.11272748705143204</v>
      </c>
      <c r="BC169" s="2">
        <f t="shared" si="63"/>
        <v>0.11272748705143204</v>
      </c>
      <c r="BD169" s="2">
        <f t="shared" si="63"/>
        <v>0.11272748705143204</v>
      </c>
      <c r="BE169" s="2">
        <f t="shared" si="61"/>
        <v>0.10762335544514635</v>
      </c>
      <c r="BF169" s="2">
        <f t="shared" si="61"/>
        <v>0.1047791327377426</v>
      </c>
      <c r="BG169" s="2">
        <f t="shared" si="61"/>
        <v>0.1007212229644307</v>
      </c>
      <c r="BH169" s="2">
        <f t="shared" si="61"/>
        <v>9.5335803212831541E-2</v>
      </c>
      <c r="BI169" s="2">
        <f t="shared" si="61"/>
        <v>8.8835847859491696E-2</v>
      </c>
      <c r="BJ169" s="2">
        <f t="shared" si="61"/>
        <v>8.1832420345007095E-2</v>
      </c>
      <c r="BK169" s="2">
        <f t="shared" si="61"/>
        <v>7.5151658034288027E-2</v>
      </c>
      <c r="BL169" s="2">
        <f t="shared" si="61"/>
        <v>6.9479391491389764E-2</v>
      </c>
      <c r="BM169" s="2">
        <f t="shared" si="61"/>
        <v>6.5120550189957688E-2</v>
      </c>
      <c r="BN169" s="2">
        <f t="shared" si="56"/>
        <v>6.2020835199834805E-2</v>
      </c>
      <c r="BO169" s="2">
        <f t="shared" si="56"/>
        <v>5.9936017750851535E-2</v>
      </c>
      <c r="BP169" s="2">
        <f t="shared" si="56"/>
        <v>5.8585851562997893E-2</v>
      </c>
      <c r="BQ169" s="2">
        <f t="shared" si="56"/>
        <v>5.7732756725032371E-2</v>
      </c>
      <c r="BR169" s="2">
        <f t="shared" si="56"/>
        <v>5.7202104164076284E-2</v>
      </c>
      <c r="BS169" s="2">
        <f t="shared" si="56"/>
        <v>5.6875228425769933E-2</v>
      </c>
      <c r="BT169" s="2">
        <f t="shared" si="56"/>
        <v>5.6675086487627757E-2</v>
      </c>
      <c r="BU169" s="2">
        <f t="shared" si="56"/>
        <v>5.6552993904478349E-2</v>
      </c>
    </row>
    <row r="170" spans="1:73" x14ac:dyDescent="0.25">
      <c r="A170" t="s">
        <v>42</v>
      </c>
      <c r="B170" s="1" t="s">
        <v>5</v>
      </c>
      <c r="C170" t="s">
        <v>16</v>
      </c>
      <c r="D170" t="s">
        <v>16</v>
      </c>
      <c r="E170" s="97">
        <v>5.8918299999999997</v>
      </c>
      <c r="F170" s="5">
        <f t="shared" si="54"/>
        <v>1.44349835E-2</v>
      </c>
      <c r="G170" s="1">
        <f>LOOKUP(RIGHT(D170,5),Ref!$C$4:$C$21,Ref!$E$4:$E$21)*$G$3</f>
        <v>3</v>
      </c>
      <c r="H170" s="36">
        <f t="shared" si="66"/>
        <v>5.8918299999999997</v>
      </c>
      <c r="I170" s="12">
        <f t="shared" si="66"/>
        <v>5.8918299999999997</v>
      </c>
      <c r="J170" s="12">
        <f t="shared" si="66"/>
        <v>5.8918299999999997</v>
      </c>
      <c r="K170" s="12">
        <f t="shared" si="66"/>
        <v>5.8918299999999997</v>
      </c>
      <c r="L170" s="12">
        <f t="shared" si="66"/>
        <v>5.8918299999999997</v>
      </c>
      <c r="M170" s="12">
        <f t="shared" si="65"/>
        <v>6.1712551823637831</v>
      </c>
      <c r="N170" s="12">
        <f t="shared" si="65"/>
        <v>6.338773500794562</v>
      </c>
      <c r="O170" s="12">
        <f t="shared" si="65"/>
        <v>6.5941533520575728</v>
      </c>
      <c r="P170" s="12">
        <f t="shared" si="65"/>
        <v>6.966650173928004</v>
      </c>
      <c r="Q170" s="12">
        <f t="shared" si="65"/>
        <v>7.4763871346703787</v>
      </c>
      <c r="R170" s="12">
        <f t="shared" si="65"/>
        <v>8.1162354386449778</v>
      </c>
      <c r="S170" s="12">
        <f t="shared" si="65"/>
        <v>8.837745</v>
      </c>
      <c r="T170" s="12">
        <f t="shared" si="65"/>
        <v>9.5592545613550222</v>
      </c>
      <c r="U170" s="12">
        <f t="shared" si="65"/>
        <v>10.199102865329621</v>
      </c>
      <c r="V170" s="12">
        <f t="shared" si="65"/>
        <v>10.708839826071994</v>
      </c>
      <c r="W170" s="12">
        <f t="shared" si="65"/>
        <v>11.081336647942425</v>
      </c>
      <c r="X170" s="12">
        <f t="shared" si="65"/>
        <v>11.336716499205437</v>
      </c>
      <c r="Y170" s="12">
        <f t="shared" si="65"/>
        <v>11.504234817636217</v>
      </c>
      <c r="Z170" s="12">
        <f t="shared" si="65"/>
        <v>11.610957319492236</v>
      </c>
      <c r="AA170" s="12">
        <f t="shared" si="65"/>
        <v>11.67768830855905</v>
      </c>
      <c r="AB170" s="12">
        <f t="shared" si="65"/>
        <v>11.718926801800793</v>
      </c>
      <c r="AC170" s="12">
        <f t="shared" si="64"/>
        <v>11.74422686013877</v>
      </c>
      <c r="AD170" s="300">
        <f t="shared" si="62"/>
        <v>2.3326533697559603E-3</v>
      </c>
      <c r="AE170" s="299">
        <f t="shared" si="62"/>
        <v>2.3326533697559603E-3</v>
      </c>
      <c r="AF170" s="299">
        <f t="shared" si="62"/>
        <v>2.3326533697559603E-3</v>
      </c>
      <c r="AG170" s="299">
        <f t="shared" si="62"/>
        <v>2.3326533697559603E-3</v>
      </c>
      <c r="AH170" s="299">
        <f t="shared" si="62"/>
        <v>2.3326533697559603E-3</v>
      </c>
      <c r="AI170" s="299">
        <f t="shared" si="60"/>
        <v>2.2270343224188361E-3</v>
      </c>
      <c r="AJ170" s="299">
        <f t="shared" si="60"/>
        <v>2.1681792387449254E-3</v>
      </c>
      <c r="AK170" s="299">
        <f t="shared" si="60"/>
        <v>2.0842095064775596E-3</v>
      </c>
      <c r="AL170" s="299">
        <f t="shared" si="60"/>
        <v>1.9727698047712094E-3</v>
      </c>
      <c r="AM170" s="299">
        <f t="shared" si="60"/>
        <v>1.8382671811891388E-3</v>
      </c>
      <c r="AN170" s="299">
        <f t="shared" si="60"/>
        <v>1.6933462819584964E-3</v>
      </c>
      <c r="AO170" s="299">
        <f t="shared" si="60"/>
        <v>1.5551022465039735E-3</v>
      </c>
      <c r="AP170" s="299">
        <f t="shared" si="60"/>
        <v>1.4377268661816146E-3</v>
      </c>
      <c r="AQ170" s="299">
        <f t="shared" si="60"/>
        <v>1.347530001903269E-3</v>
      </c>
      <c r="AR170" s="299">
        <f t="shared" si="55"/>
        <v>1.2833880538645067E-3</v>
      </c>
      <c r="AS170" s="299">
        <f t="shared" si="55"/>
        <v>1.240247231915038E-3</v>
      </c>
      <c r="AT170" s="299">
        <f t="shared" si="55"/>
        <v>1.2123084408516801E-3</v>
      </c>
      <c r="AU170" s="299">
        <f t="shared" si="55"/>
        <v>1.1946554743875756E-3</v>
      </c>
      <c r="AV170" s="299">
        <f t="shared" si="55"/>
        <v>1.1836747587088959E-3</v>
      </c>
      <c r="AW170" s="299">
        <f t="shared" si="55"/>
        <v>1.1769107669585615E-3</v>
      </c>
      <c r="AX170" s="299">
        <f t="shared" si="55"/>
        <v>1.1727692591626518E-3</v>
      </c>
      <c r="AY170" s="299">
        <f t="shared" si="55"/>
        <v>1.1702428152317609E-3</v>
      </c>
      <c r="AZ170" s="306">
        <f t="shared" si="63"/>
        <v>0.12913519556508213</v>
      </c>
      <c r="BA170" s="2">
        <f t="shared" si="63"/>
        <v>0.12913519556508213</v>
      </c>
      <c r="BB170" s="2">
        <f t="shared" si="63"/>
        <v>0.12913519556508213</v>
      </c>
      <c r="BC170" s="2">
        <f t="shared" si="63"/>
        <v>0.12913519556508213</v>
      </c>
      <c r="BD170" s="2">
        <f t="shared" si="63"/>
        <v>0.12913519556508213</v>
      </c>
      <c r="BE170" s="2">
        <f t="shared" si="61"/>
        <v>0.12328814751665987</v>
      </c>
      <c r="BF170" s="2">
        <f t="shared" si="61"/>
        <v>0.12002994257340896</v>
      </c>
      <c r="BG170" s="2">
        <f t="shared" si="61"/>
        <v>0.11538139601330505</v>
      </c>
      <c r="BH170" s="2">
        <f t="shared" si="61"/>
        <v>0.10921211777413421</v>
      </c>
      <c r="BI170" s="2">
        <f t="shared" si="61"/>
        <v>0.10176608107383166</v>
      </c>
      <c r="BJ170" s="2">
        <f t="shared" si="61"/>
        <v>9.3743290844362448E-2</v>
      </c>
      <c r="BK170" s="2">
        <f t="shared" si="61"/>
        <v>8.6090130376721405E-2</v>
      </c>
      <c r="BL170" s="2">
        <f t="shared" si="61"/>
        <v>7.9592254228908046E-2</v>
      </c>
      <c r="BM170" s="2">
        <f t="shared" si="61"/>
        <v>7.4598974962061859E-2</v>
      </c>
      <c r="BN170" s="2">
        <f t="shared" si="56"/>
        <v>7.1048090329435348E-2</v>
      </c>
      <c r="BO170" s="2">
        <f t="shared" si="56"/>
        <v>6.8659823580713111E-2</v>
      </c>
      <c r="BP170" s="2">
        <f t="shared" si="56"/>
        <v>6.7113138036003939E-2</v>
      </c>
      <c r="BQ170" s="2">
        <f t="shared" si="56"/>
        <v>6.6135873558477026E-2</v>
      </c>
      <c r="BR170" s="2">
        <f t="shared" si="56"/>
        <v>6.5527983468592274E-2</v>
      </c>
      <c r="BS170" s="2">
        <f t="shared" si="56"/>
        <v>6.5153530320599964E-2</v>
      </c>
      <c r="BT170" s="2">
        <f t="shared" si="56"/>
        <v>6.4924257327838478E-2</v>
      </c>
      <c r="BU170" s="2">
        <f t="shared" si="56"/>
        <v>6.478439392793095E-2</v>
      </c>
    </row>
    <row r="171" spans="1:73" x14ac:dyDescent="0.25">
      <c r="A171" t="s">
        <v>42</v>
      </c>
      <c r="B171" s="1" t="s">
        <v>5</v>
      </c>
      <c r="C171" t="s">
        <v>17</v>
      </c>
      <c r="D171" t="s">
        <v>17</v>
      </c>
      <c r="E171" s="97">
        <v>6.3114705000000004</v>
      </c>
      <c r="F171" s="5">
        <f t="shared" si="54"/>
        <v>1.5463102725E-2</v>
      </c>
      <c r="G171" s="1">
        <f>LOOKUP(RIGHT(D171,5),Ref!$C$4:$C$21,Ref!$E$4:$E$21)*$G$3</f>
        <v>3</v>
      </c>
      <c r="H171" s="36">
        <f t="shared" si="66"/>
        <v>6.3114705000000004</v>
      </c>
      <c r="I171" s="12">
        <f t="shared" si="66"/>
        <v>6.3114705000000004</v>
      </c>
      <c r="J171" s="12">
        <f t="shared" si="66"/>
        <v>6.3114705000000004</v>
      </c>
      <c r="K171" s="12">
        <f t="shared" si="66"/>
        <v>6.3114705000000004</v>
      </c>
      <c r="L171" s="12">
        <f t="shared" si="66"/>
        <v>6.3114705000000004</v>
      </c>
      <c r="M171" s="12">
        <f t="shared" si="65"/>
        <v>6.6107974994969538</v>
      </c>
      <c r="N171" s="12">
        <f t="shared" si="65"/>
        <v>6.7902471653877683</v>
      </c>
      <c r="O171" s="12">
        <f t="shared" si="65"/>
        <v>7.0638162258563959</v>
      </c>
      <c r="P171" s="12">
        <f t="shared" si="65"/>
        <v>7.462843811950866</v>
      </c>
      <c r="Q171" s="12">
        <f t="shared" si="65"/>
        <v>8.0088863472047951</v>
      </c>
      <c r="R171" s="12">
        <f t="shared" si="65"/>
        <v>8.6943072936697661</v>
      </c>
      <c r="S171" s="12">
        <f t="shared" si="65"/>
        <v>9.4672057500000015</v>
      </c>
      <c r="T171" s="12">
        <f t="shared" si="65"/>
        <v>10.240104206330235</v>
      </c>
      <c r="U171" s="12">
        <f t="shared" si="65"/>
        <v>10.925525152795206</v>
      </c>
      <c r="V171" s="12">
        <f t="shared" si="65"/>
        <v>11.471567688049134</v>
      </c>
      <c r="W171" s="12">
        <f t="shared" si="65"/>
        <v>11.870595274143604</v>
      </c>
      <c r="X171" s="12">
        <f t="shared" si="65"/>
        <v>12.144164334612233</v>
      </c>
      <c r="Y171" s="12">
        <f t="shared" si="65"/>
        <v>12.323614000503047</v>
      </c>
      <c r="Z171" s="12">
        <f t="shared" si="65"/>
        <v>12.437937720323623</v>
      </c>
      <c r="AA171" s="12">
        <f t="shared" si="65"/>
        <v>12.509421566417453</v>
      </c>
      <c r="AB171" s="12">
        <f t="shared" si="65"/>
        <v>12.553597235701821</v>
      </c>
      <c r="AC171" s="12">
        <f t="shared" si="64"/>
        <v>12.580699268830481</v>
      </c>
      <c r="AD171" s="300">
        <f t="shared" si="62"/>
        <v>2.1775586376470047E-3</v>
      </c>
      <c r="AE171" s="299">
        <f t="shared" si="62"/>
        <v>2.1775586376470047E-3</v>
      </c>
      <c r="AF171" s="299">
        <f t="shared" si="62"/>
        <v>2.1775586376470047E-3</v>
      </c>
      <c r="AG171" s="299">
        <f t="shared" si="62"/>
        <v>2.1775586376470047E-3</v>
      </c>
      <c r="AH171" s="299">
        <f t="shared" si="62"/>
        <v>2.1775586376470047E-3</v>
      </c>
      <c r="AI171" s="299">
        <f t="shared" si="60"/>
        <v>2.078962047253009E-3</v>
      </c>
      <c r="AJ171" s="299">
        <f t="shared" si="60"/>
        <v>2.0240201525483659E-3</v>
      </c>
      <c r="AK171" s="299">
        <f t="shared" si="60"/>
        <v>1.9456334457318115E-3</v>
      </c>
      <c r="AL171" s="299">
        <f t="shared" si="60"/>
        <v>1.8416032078174417E-3</v>
      </c>
      <c r="AM171" s="299">
        <f t="shared" si="60"/>
        <v>1.7160434681815597E-3</v>
      </c>
      <c r="AN171" s="299">
        <f t="shared" si="60"/>
        <v>1.5807581489023085E-3</v>
      </c>
      <c r="AO171" s="299">
        <f t="shared" si="60"/>
        <v>1.4517057584313361E-3</v>
      </c>
      <c r="AP171" s="299">
        <f t="shared" si="60"/>
        <v>1.3421344965447942E-3</v>
      </c>
      <c r="AQ171" s="299">
        <f t="shared" si="60"/>
        <v>1.2579346906737086E-3</v>
      </c>
      <c r="AR171" s="299">
        <f t="shared" si="55"/>
        <v>1.1980574475315246E-3</v>
      </c>
      <c r="AS171" s="299">
        <f t="shared" si="55"/>
        <v>1.157784996129504E-3</v>
      </c>
      <c r="AT171" s="299">
        <f t="shared" si="55"/>
        <v>1.131703814675701E-3</v>
      </c>
      <c r="AU171" s="299">
        <f t="shared" si="55"/>
        <v>1.1152245682937041E-3</v>
      </c>
      <c r="AV171" s="299">
        <f t="shared" si="55"/>
        <v>1.104973944440338E-3</v>
      </c>
      <c r="AW171" s="299">
        <f t="shared" si="55"/>
        <v>1.0986596806702117E-3</v>
      </c>
      <c r="AX171" s="299">
        <f t="shared" si="55"/>
        <v>1.0947935357080868E-3</v>
      </c>
      <c r="AY171" s="299">
        <f t="shared" si="55"/>
        <v>1.0924350713620455E-3</v>
      </c>
      <c r="AZ171" s="306">
        <f t="shared" si="63"/>
        <v>0.12054918410633746</v>
      </c>
      <c r="BA171" s="2">
        <f t="shared" si="63"/>
        <v>0.12054918410633746</v>
      </c>
      <c r="BB171" s="2">
        <f t="shared" si="63"/>
        <v>0.12054918410633746</v>
      </c>
      <c r="BC171" s="2">
        <f t="shared" si="63"/>
        <v>0.12054918410633746</v>
      </c>
      <c r="BD171" s="2">
        <f t="shared" si="63"/>
        <v>0.12054918410633746</v>
      </c>
      <c r="BE171" s="2">
        <f t="shared" si="61"/>
        <v>0.11509089778413478</v>
      </c>
      <c r="BF171" s="2">
        <f t="shared" si="61"/>
        <v>0.11204932615185129</v>
      </c>
      <c r="BG171" s="2">
        <f t="shared" si="61"/>
        <v>0.10770985469599692</v>
      </c>
      <c r="BH171" s="2">
        <f t="shared" si="61"/>
        <v>0.10195076280007601</v>
      </c>
      <c r="BI171" s="2">
        <f t="shared" si="61"/>
        <v>9.499980225737148E-2</v>
      </c>
      <c r="BJ171" s="2">
        <f t="shared" si="61"/>
        <v>8.7510435689359553E-2</v>
      </c>
      <c r="BK171" s="2">
        <f t="shared" si="61"/>
        <v>8.036612273755829E-2</v>
      </c>
      <c r="BL171" s="2">
        <f t="shared" si="61"/>
        <v>7.4300280930332668E-2</v>
      </c>
      <c r="BM171" s="2">
        <f t="shared" si="61"/>
        <v>6.9638997544348005E-2</v>
      </c>
      <c r="BN171" s="2">
        <f t="shared" si="56"/>
        <v>6.6324206069833802E-2</v>
      </c>
      <c r="BO171" s="2">
        <f t="shared" si="56"/>
        <v>6.4094731705955518E-2</v>
      </c>
      <c r="BP171" s="2">
        <f t="shared" si="56"/>
        <v>6.2650883035050078E-2</v>
      </c>
      <c r="BQ171" s="2">
        <f t="shared" si="56"/>
        <v>6.1738595452207473E-2</v>
      </c>
      <c r="BR171" s="2">
        <f t="shared" si="56"/>
        <v>6.1171123090848004E-2</v>
      </c>
      <c r="BS171" s="2">
        <f t="shared" si="56"/>
        <v>6.0821566788408575E-2</v>
      </c>
      <c r="BT171" s="2">
        <f t="shared" si="56"/>
        <v>6.0607537823693935E-2</v>
      </c>
      <c r="BU171" s="2">
        <f t="shared" si="56"/>
        <v>6.0476973737958746E-2</v>
      </c>
    </row>
    <row r="172" spans="1:73" x14ac:dyDescent="0.25">
      <c r="A172" t="s">
        <v>42</v>
      </c>
      <c r="B172" s="1" t="s">
        <v>5</v>
      </c>
      <c r="C172" t="s">
        <v>18</v>
      </c>
      <c r="D172" t="s">
        <v>18</v>
      </c>
      <c r="E172" s="97">
        <v>6.53632875</v>
      </c>
      <c r="F172" s="5">
        <f t="shared" si="54"/>
        <v>1.6014005437499999E-2</v>
      </c>
      <c r="G172" s="1">
        <f>LOOKUP(RIGHT(D172,5),Ref!$C$4:$C$21,Ref!$E$4:$E$21)*$G$3</f>
        <v>3</v>
      </c>
      <c r="H172" s="36">
        <f t="shared" si="66"/>
        <v>6.53632875</v>
      </c>
      <c r="I172" s="12">
        <f t="shared" si="66"/>
        <v>6.53632875</v>
      </c>
      <c r="J172" s="12">
        <f t="shared" si="66"/>
        <v>6.53632875</v>
      </c>
      <c r="K172" s="12">
        <f t="shared" si="66"/>
        <v>6.53632875</v>
      </c>
      <c r="L172" s="12">
        <f t="shared" si="66"/>
        <v>6.53632875</v>
      </c>
      <c r="M172" s="12">
        <f t="shared" si="65"/>
        <v>6.8463198483443835</v>
      </c>
      <c r="N172" s="12">
        <f t="shared" si="65"/>
        <v>7.0321627529955295</v>
      </c>
      <c r="O172" s="12">
        <f t="shared" si="65"/>
        <v>7.3154782362971753</v>
      </c>
      <c r="P172" s="12">
        <f t="shared" si="65"/>
        <v>7.7287219459892968</v>
      </c>
      <c r="Q172" s="12">
        <f t="shared" si="65"/>
        <v>8.2942182945665639</v>
      </c>
      <c r="R172" s="12">
        <f t="shared" si="65"/>
        <v>9.0040586777595468</v>
      </c>
      <c r="S172" s="12">
        <f t="shared" si="65"/>
        <v>9.8044931250000005</v>
      </c>
      <c r="T172" s="12">
        <f t="shared" si="65"/>
        <v>10.604927572240454</v>
      </c>
      <c r="U172" s="12">
        <f t="shared" si="65"/>
        <v>11.314767955433435</v>
      </c>
      <c r="V172" s="12">
        <f t="shared" si="65"/>
        <v>11.880264304010703</v>
      </c>
      <c r="W172" s="12">
        <f t="shared" si="65"/>
        <v>12.293508013702823</v>
      </c>
      <c r="X172" s="12">
        <f t="shared" si="65"/>
        <v>12.576823497004471</v>
      </c>
      <c r="Y172" s="12">
        <f t="shared" si="65"/>
        <v>12.762666401655617</v>
      </c>
      <c r="Z172" s="12">
        <f t="shared" si="65"/>
        <v>12.881063123413275</v>
      </c>
      <c r="AA172" s="12">
        <f t="shared" si="65"/>
        <v>12.955093718721244</v>
      </c>
      <c r="AB172" s="12">
        <f t="shared" si="65"/>
        <v>13.000843231009053</v>
      </c>
      <c r="AC172" s="12">
        <f t="shared" si="64"/>
        <v>13.028910826084134</v>
      </c>
      <c r="AD172" s="300">
        <f t="shared" si="62"/>
        <v>2.1026477751029979E-3</v>
      </c>
      <c r="AE172" s="299">
        <f t="shared" si="62"/>
        <v>2.1026477751029979E-3</v>
      </c>
      <c r="AF172" s="299">
        <f t="shared" si="62"/>
        <v>2.1026477751029979E-3</v>
      </c>
      <c r="AG172" s="299">
        <f t="shared" si="62"/>
        <v>2.1026477751029979E-3</v>
      </c>
      <c r="AH172" s="299">
        <f t="shared" si="62"/>
        <v>2.1026477751029979E-3</v>
      </c>
      <c r="AI172" s="299">
        <f t="shared" si="60"/>
        <v>2.0074430362544068E-3</v>
      </c>
      <c r="AJ172" s="299">
        <f t="shared" si="60"/>
        <v>1.9543912145200027E-3</v>
      </c>
      <c r="AK172" s="299">
        <f t="shared" si="60"/>
        <v>1.8787011128455985E-3</v>
      </c>
      <c r="AL172" s="299">
        <f t="shared" si="60"/>
        <v>1.778249651051464E-3</v>
      </c>
      <c r="AM172" s="299">
        <f t="shared" si="60"/>
        <v>1.6570093305275694E-3</v>
      </c>
      <c r="AN172" s="299">
        <f t="shared" si="60"/>
        <v>1.5263780030084209E-3</v>
      </c>
      <c r="AO172" s="299">
        <f t="shared" si="60"/>
        <v>1.4017651834019986E-3</v>
      </c>
      <c r="AP172" s="299">
        <f t="shared" si="60"/>
        <v>1.295963316100773E-3</v>
      </c>
      <c r="AQ172" s="299">
        <f t="shared" si="60"/>
        <v>1.2146600935752714E-3</v>
      </c>
      <c r="AR172" s="299">
        <f t="shared" si="55"/>
        <v>1.156842705838582E-3</v>
      </c>
      <c r="AS172" s="299">
        <f t="shared" si="55"/>
        <v>1.117955679388675E-3</v>
      </c>
      <c r="AT172" s="299">
        <f t="shared" si="55"/>
        <v>1.0927717246570798E-3</v>
      </c>
      <c r="AU172" s="299">
        <f t="shared" si="55"/>
        <v>1.0768593858840026E-3</v>
      </c>
      <c r="AV172" s="299">
        <f t="shared" si="55"/>
        <v>1.0669613968856497E-3</v>
      </c>
      <c r="AW172" s="299">
        <f t="shared" ref="AW172:AY195" si="67">Algae_electricity_factor/AA172</f>
        <v>1.0608643520400442E-3</v>
      </c>
      <c r="AX172" s="299">
        <f t="shared" si="67"/>
        <v>1.0571312075164957E-3</v>
      </c>
      <c r="AY172" s="299">
        <f t="shared" si="67"/>
        <v>1.0548538774257561E-3</v>
      </c>
      <c r="AZ172" s="306">
        <f t="shared" si="63"/>
        <v>0.11640213465184378</v>
      </c>
      <c r="BA172" s="2">
        <f t="shared" si="63"/>
        <v>0.11640213465184378</v>
      </c>
      <c r="BB172" s="2">
        <f t="shared" si="63"/>
        <v>0.11640213465184378</v>
      </c>
      <c r="BC172" s="2">
        <f t="shared" si="63"/>
        <v>0.11640213465184378</v>
      </c>
      <c r="BD172" s="2">
        <f t="shared" si="63"/>
        <v>0.11640213465184378</v>
      </c>
      <c r="BE172" s="2">
        <f t="shared" si="61"/>
        <v>0.11113162051145027</v>
      </c>
      <c r="BF172" s="2">
        <f t="shared" si="61"/>
        <v>0.10819468291772931</v>
      </c>
      <c r="BG172" s="2">
        <f t="shared" si="61"/>
        <v>0.10400449495032989</v>
      </c>
      <c r="BH172" s="2">
        <f t="shared" si="61"/>
        <v>9.8443523341015721E-2</v>
      </c>
      <c r="BI172" s="2">
        <f t="shared" si="61"/>
        <v>9.1731684923778298E-2</v>
      </c>
      <c r="BJ172" s="2">
        <f t="shared" si="61"/>
        <v>8.4499962352037439E-2</v>
      </c>
      <c r="BK172" s="2">
        <f t="shared" si="61"/>
        <v>7.7601423101229181E-2</v>
      </c>
      <c r="BL172" s="2">
        <f t="shared" si="61"/>
        <v>7.1744254178388325E-2</v>
      </c>
      <c r="BM172" s="2">
        <f t="shared" si="61"/>
        <v>6.7243325031765722E-2</v>
      </c>
      <c r="BN172" s="2">
        <f t="shared" si="56"/>
        <v>6.4042566715402288E-2</v>
      </c>
      <c r="BO172" s="2">
        <f t="shared" si="56"/>
        <v>6.1889789182888476E-2</v>
      </c>
      <c r="BP172" s="2">
        <f t="shared" si="56"/>
        <v>6.0495610792934654E-2</v>
      </c>
      <c r="BQ172" s="2">
        <f t="shared" si="56"/>
        <v>5.9614707095025116E-2</v>
      </c>
      <c r="BR172" s="2">
        <f t="shared" si="56"/>
        <v>5.9066756524410749E-2</v>
      </c>
      <c r="BS172" s="2">
        <f t="shared" ref="BS172:BU195" si="68">Algae_yield_cost_factor/AA172</f>
        <v>5.8729225415539342E-2</v>
      </c>
      <c r="BT172" s="2">
        <f t="shared" si="68"/>
        <v>5.8522559326881857E-2</v>
      </c>
      <c r="BU172" s="2">
        <f t="shared" si="68"/>
        <v>5.8396486816303626E-2</v>
      </c>
    </row>
    <row r="173" spans="1:73" x14ac:dyDescent="0.25">
      <c r="A173" t="s">
        <v>42</v>
      </c>
      <c r="B173" s="1" t="s">
        <v>5</v>
      </c>
      <c r="C173" t="s">
        <v>6</v>
      </c>
      <c r="D173" t="s">
        <v>6</v>
      </c>
      <c r="E173" s="97">
        <v>7.0036199999999997</v>
      </c>
      <c r="F173" s="5">
        <f t="shared" si="54"/>
        <v>1.7158869E-2</v>
      </c>
      <c r="G173" s="1">
        <f>LOOKUP(RIGHT(D173,5),Ref!$C$4:$C$21,Ref!$E$4:$E$21)*$G$3</f>
        <v>3</v>
      </c>
      <c r="H173" s="36">
        <f t="shared" si="66"/>
        <v>7.0036199999999997</v>
      </c>
      <c r="I173" s="12">
        <f t="shared" si="66"/>
        <v>7.0036199999999997</v>
      </c>
      <c r="J173" s="12">
        <f t="shared" si="66"/>
        <v>7.0036199999999997</v>
      </c>
      <c r="K173" s="12">
        <f t="shared" si="66"/>
        <v>7.0036199999999997</v>
      </c>
      <c r="L173" s="12">
        <f t="shared" si="66"/>
        <v>7.0036199999999997</v>
      </c>
      <c r="M173" s="12">
        <f t="shared" si="65"/>
        <v>7.3357727939038702</v>
      </c>
      <c r="N173" s="12">
        <f t="shared" si="65"/>
        <v>7.5349018667603804</v>
      </c>
      <c r="O173" s="12">
        <f t="shared" si="65"/>
        <v>7.8384719687325424</v>
      </c>
      <c r="P173" s="12">
        <f t="shared" si="65"/>
        <v>8.2812590470406739</v>
      </c>
      <c r="Q173" s="12">
        <f t="shared" si="65"/>
        <v>8.8871835175353251</v>
      </c>
      <c r="R173" s="12">
        <f t="shared" si="65"/>
        <v>9.6477713788080681</v>
      </c>
      <c r="S173" s="12">
        <f t="shared" si="65"/>
        <v>10.50543</v>
      </c>
      <c r="T173" s="12">
        <f t="shared" si="65"/>
        <v>11.363088621191931</v>
      </c>
      <c r="U173" s="12">
        <f t="shared" si="65"/>
        <v>12.123676482464674</v>
      </c>
      <c r="V173" s="12">
        <f t="shared" si="65"/>
        <v>12.729600952959325</v>
      </c>
      <c r="W173" s="12">
        <f t="shared" si="65"/>
        <v>13.172388031267454</v>
      </c>
      <c r="X173" s="12">
        <f t="shared" si="65"/>
        <v>13.475958133239619</v>
      </c>
      <c r="Y173" s="12">
        <f t="shared" si="65"/>
        <v>13.67508720609613</v>
      </c>
      <c r="Z173" s="12">
        <f t="shared" si="65"/>
        <v>13.801948274465186</v>
      </c>
      <c r="AA173" s="12">
        <f t="shared" si="65"/>
        <v>13.881271420185296</v>
      </c>
      <c r="AB173" s="12">
        <f t="shared" si="65"/>
        <v>13.930291628853524</v>
      </c>
      <c r="AC173" s="12">
        <f t="shared" si="64"/>
        <v>13.960365815409661</v>
      </c>
      <c r="AD173" s="300">
        <f t="shared" si="62"/>
        <v>1.9623561962998077E-3</v>
      </c>
      <c r="AE173" s="299">
        <f t="shared" si="62"/>
        <v>1.9623561962998077E-3</v>
      </c>
      <c r="AF173" s="299">
        <f t="shared" si="62"/>
        <v>1.9623561962998077E-3</v>
      </c>
      <c r="AG173" s="299">
        <f t="shared" si="62"/>
        <v>1.9623561962998077E-3</v>
      </c>
      <c r="AH173" s="299">
        <f t="shared" si="62"/>
        <v>1.9623561962998077E-3</v>
      </c>
      <c r="AI173" s="299">
        <f t="shared" si="60"/>
        <v>1.8735036498063818E-3</v>
      </c>
      <c r="AJ173" s="299">
        <f t="shared" si="60"/>
        <v>1.8239915192735348E-3</v>
      </c>
      <c r="AK173" s="299">
        <f t="shared" si="60"/>
        <v>1.7533515662685414E-3</v>
      </c>
      <c r="AL173" s="299">
        <f t="shared" si="60"/>
        <v>1.6596023654688794E-3</v>
      </c>
      <c r="AM173" s="299">
        <f t="shared" si="60"/>
        <v>1.5464513674564874E-3</v>
      </c>
      <c r="AN173" s="299">
        <f t="shared" si="60"/>
        <v>1.4245359434737362E-3</v>
      </c>
      <c r="AO173" s="299">
        <f t="shared" si="60"/>
        <v>1.3082374641998718E-3</v>
      </c>
      <c r="AP173" s="299">
        <f t="shared" si="60"/>
        <v>1.2094948443768826E-3</v>
      </c>
      <c r="AQ173" s="299">
        <f t="shared" si="60"/>
        <v>1.1336162857370526E-3</v>
      </c>
      <c r="AR173" s="299">
        <f t="shared" si="60"/>
        <v>1.0796565543819505E-3</v>
      </c>
      <c r="AS173" s="299">
        <f t="shared" si="60"/>
        <v>1.0433641243262741E-3</v>
      </c>
      <c r="AT173" s="299">
        <f t="shared" si="60"/>
        <v>1.0198604780189608E-3</v>
      </c>
      <c r="AU173" s="299">
        <f t="shared" si="60"/>
        <v>1.005009832581001E-3</v>
      </c>
      <c r="AV173" s="299">
        <f t="shared" si="60"/>
        <v>9.9577225115066691E-4</v>
      </c>
      <c r="AW173" s="299">
        <f t="shared" si="67"/>
        <v>9.9008200960210035E-4</v>
      </c>
      <c r="AX173" s="299">
        <f t="shared" si="67"/>
        <v>9.8659794566414039E-4</v>
      </c>
      <c r="AY173" s="299">
        <f t="shared" si="67"/>
        <v>9.8447256219882646E-4</v>
      </c>
      <c r="AZ173" s="306">
        <f t="shared" si="63"/>
        <v>0.10863562261890533</v>
      </c>
      <c r="BA173" s="2">
        <f t="shared" si="63"/>
        <v>0.10863562261890533</v>
      </c>
      <c r="BB173" s="2">
        <f t="shared" si="63"/>
        <v>0.10863562261890533</v>
      </c>
      <c r="BC173" s="2">
        <f t="shared" si="63"/>
        <v>0.10863562261890533</v>
      </c>
      <c r="BD173" s="2">
        <f t="shared" si="63"/>
        <v>0.10863562261890533</v>
      </c>
      <c r="BE173" s="2">
        <f t="shared" si="61"/>
        <v>0.10371676449937062</v>
      </c>
      <c r="BF173" s="2">
        <f t="shared" si="61"/>
        <v>0.10097578345945213</v>
      </c>
      <c r="BG173" s="2">
        <f t="shared" si="61"/>
        <v>9.7065170650759341E-2</v>
      </c>
      <c r="BH173" s="2">
        <f t="shared" si="61"/>
        <v>9.1875234787892127E-2</v>
      </c>
      <c r="BI173" s="2">
        <f t="shared" si="61"/>
        <v>8.5611219548352657E-2</v>
      </c>
      <c r="BJ173" s="2">
        <f t="shared" si="61"/>
        <v>7.8862007546888602E-2</v>
      </c>
      <c r="BK173" s="2">
        <f t="shared" si="61"/>
        <v>7.2423748412603559E-2</v>
      </c>
      <c r="BL173" s="2">
        <f t="shared" si="61"/>
        <v>6.6957377932198969E-2</v>
      </c>
      <c r="BM173" s="2">
        <f t="shared" si="61"/>
        <v>6.2756757027183793E-2</v>
      </c>
      <c r="BN173" s="2">
        <f t="shared" si="61"/>
        <v>5.9769557749517685E-2</v>
      </c>
      <c r="BO173" s="2">
        <f t="shared" si="61"/>
        <v>5.7760416522820053E-2</v>
      </c>
      <c r="BP173" s="2">
        <f t="shared" si="61"/>
        <v>5.6459259650676226E-2</v>
      </c>
      <c r="BQ173" s="2">
        <f t="shared" si="61"/>
        <v>5.5637131070509487E-2</v>
      </c>
      <c r="BR173" s="2">
        <f t="shared" si="61"/>
        <v>5.5125740522723399E-2</v>
      </c>
      <c r="BS173" s="2">
        <f t="shared" si="68"/>
        <v>5.4810729958053188E-2</v>
      </c>
      <c r="BT173" s="2">
        <f t="shared" si="68"/>
        <v>5.4617852917759467E-2</v>
      </c>
      <c r="BU173" s="2">
        <f t="shared" si="68"/>
        <v>5.4500192140122021E-2</v>
      </c>
    </row>
    <row r="174" spans="1:73" x14ac:dyDescent="0.25">
      <c r="A174" t="s">
        <v>42</v>
      </c>
      <c r="B174" s="1" t="s">
        <v>5</v>
      </c>
      <c r="C174" t="s">
        <v>7</v>
      </c>
      <c r="D174" t="s">
        <v>7</v>
      </c>
      <c r="E174" s="97">
        <v>7.163125</v>
      </c>
      <c r="F174" s="5">
        <f t="shared" si="54"/>
        <v>1.754965625E-2</v>
      </c>
      <c r="G174" s="1">
        <f>LOOKUP(RIGHT(D174,5),Ref!$C$4:$C$21,Ref!$E$4:$E$21)*$G$3</f>
        <v>3.5</v>
      </c>
      <c r="H174" s="36">
        <f t="shared" si="66"/>
        <v>7.163125</v>
      </c>
      <c r="I174" s="12">
        <f t="shared" si="66"/>
        <v>7.163125</v>
      </c>
      <c r="J174" s="12">
        <f t="shared" si="66"/>
        <v>7.163125</v>
      </c>
      <c r="K174" s="12">
        <f t="shared" si="66"/>
        <v>7.163125</v>
      </c>
      <c r="L174" s="12">
        <f t="shared" si="66"/>
        <v>7.163125</v>
      </c>
      <c r="M174" s="12">
        <f t="shared" si="65"/>
        <v>7.5028424578050581</v>
      </c>
      <c r="N174" s="12">
        <f t="shared" si="65"/>
        <v>7.7065066257646695</v>
      </c>
      <c r="O174" s="12">
        <f t="shared" si="65"/>
        <v>8.0169904308096811</v>
      </c>
      <c r="P174" s="12">
        <f t="shared" si="65"/>
        <v>8.4698618302154056</v>
      </c>
      <c r="Q174" s="12">
        <f t="shared" si="65"/>
        <v>9.0895860189509463</v>
      </c>
      <c r="R174" s="12">
        <f t="shared" si="65"/>
        <v>9.8674960031847156</v>
      </c>
      <c r="S174" s="12">
        <f t="shared" si="65"/>
        <v>10.7446875</v>
      </c>
      <c r="T174" s="12">
        <f t="shared" si="65"/>
        <v>11.621878996815283</v>
      </c>
      <c r="U174" s="12">
        <f t="shared" si="65"/>
        <v>12.399788981049053</v>
      </c>
      <c r="V174" s="12">
        <f t="shared" si="65"/>
        <v>13.019513169784593</v>
      </c>
      <c r="W174" s="12">
        <f t="shared" si="65"/>
        <v>13.472384569190318</v>
      </c>
      <c r="X174" s="12">
        <f t="shared" si="65"/>
        <v>13.782868374235331</v>
      </c>
      <c r="Y174" s="12">
        <f t="shared" si="65"/>
        <v>13.986532542194942</v>
      </c>
      <c r="Z174" s="12">
        <f t="shared" si="65"/>
        <v>14.116282827099191</v>
      </c>
      <c r="AA174" s="12">
        <f t="shared" si="65"/>
        <v>14.197412529765293</v>
      </c>
      <c r="AB174" s="12">
        <f t="shared" si="65"/>
        <v>14.247549156569233</v>
      </c>
      <c r="AC174" s="12">
        <f t="shared" si="64"/>
        <v>14.278308272222983</v>
      </c>
      <c r="AD174" s="300">
        <f t="shared" si="62"/>
        <v>1.9186593984509917E-3</v>
      </c>
      <c r="AE174" s="299">
        <f t="shared" si="62"/>
        <v>1.9186593984509917E-3</v>
      </c>
      <c r="AF174" s="299">
        <f t="shared" si="62"/>
        <v>1.9186593984509917E-3</v>
      </c>
      <c r="AG174" s="299">
        <f t="shared" si="62"/>
        <v>1.9186593984509917E-3</v>
      </c>
      <c r="AH174" s="299">
        <f t="shared" si="62"/>
        <v>1.9186593984509917E-3</v>
      </c>
      <c r="AI174" s="299">
        <f t="shared" si="60"/>
        <v>1.8317853774514575E-3</v>
      </c>
      <c r="AJ174" s="299">
        <f t="shared" si="60"/>
        <v>1.7833757590736603E-3</v>
      </c>
      <c r="AK174" s="299">
        <f t="shared" si="60"/>
        <v>1.7143087823470453E-3</v>
      </c>
      <c r="AL174" s="299">
        <f t="shared" si="60"/>
        <v>1.622647143369012E-3</v>
      </c>
      <c r="AM174" s="299">
        <f t="shared" si="60"/>
        <v>1.5120157370066283E-3</v>
      </c>
      <c r="AN174" s="299">
        <f t="shared" si="60"/>
        <v>1.3928150666687414E-3</v>
      </c>
      <c r="AO174" s="299">
        <f t="shared" si="60"/>
        <v>1.2791062656339945E-3</v>
      </c>
      <c r="AP174" s="299">
        <f t="shared" si="60"/>
        <v>1.1825623986702481E-3</v>
      </c>
      <c r="AQ174" s="299">
        <f t="shared" si="60"/>
        <v>1.1083734670431881E-3</v>
      </c>
      <c r="AR174" s="299">
        <f t="shared" si="60"/>
        <v>1.055615284865267E-3</v>
      </c>
      <c r="AS174" s="299">
        <f t="shared" si="60"/>
        <v>1.0201309970737601E-3</v>
      </c>
      <c r="AT174" s="299">
        <f t="shared" si="60"/>
        <v>9.9715071858485702E-4</v>
      </c>
      <c r="AU174" s="299">
        <f t="shared" si="60"/>
        <v>9.8263076013066215E-4</v>
      </c>
      <c r="AV174" s="299">
        <f t="shared" si="60"/>
        <v>9.7359887669192327E-4</v>
      </c>
      <c r="AW174" s="299">
        <f t="shared" si="67"/>
        <v>9.6803534268764845E-4</v>
      </c>
      <c r="AX174" s="299">
        <f t="shared" si="67"/>
        <v>9.6462886019890563E-4</v>
      </c>
      <c r="AY174" s="299">
        <f t="shared" si="67"/>
        <v>9.6255080374374957E-4</v>
      </c>
      <c r="AZ174" s="306">
        <f t="shared" si="63"/>
        <v>0.10621657716237226</v>
      </c>
      <c r="BA174" s="2">
        <f t="shared" si="63"/>
        <v>0.10621657716237226</v>
      </c>
      <c r="BB174" s="2">
        <f t="shared" si="63"/>
        <v>0.10621657716237226</v>
      </c>
      <c r="BC174" s="2">
        <f t="shared" si="63"/>
        <v>0.10621657716237226</v>
      </c>
      <c r="BD174" s="2">
        <f t="shared" si="63"/>
        <v>0.10621657716237226</v>
      </c>
      <c r="BE174" s="2">
        <f t="shared" si="61"/>
        <v>0.10140724979434004</v>
      </c>
      <c r="BF174" s="2">
        <f t="shared" si="61"/>
        <v>9.872730359337413E-2</v>
      </c>
      <c r="BG174" s="2">
        <f t="shared" si="61"/>
        <v>9.4903770417669814E-2</v>
      </c>
      <c r="BH174" s="2">
        <f t="shared" si="61"/>
        <v>8.9829401534271311E-2</v>
      </c>
      <c r="BI174" s="2">
        <f t="shared" si="61"/>
        <v>8.3704870353823735E-2</v>
      </c>
      <c r="BJ174" s="2">
        <f t="shared" si="61"/>
        <v>7.7105946538073816E-2</v>
      </c>
      <c r="BK174" s="2">
        <f t="shared" si="61"/>
        <v>7.0811051441581507E-2</v>
      </c>
      <c r="BL174" s="2">
        <f t="shared" si="61"/>
        <v>6.5466403452893437E-2</v>
      </c>
      <c r="BM174" s="2">
        <f t="shared" si="61"/>
        <v>6.1359319940769555E-2</v>
      </c>
      <c r="BN174" s="2">
        <f t="shared" si="61"/>
        <v>5.8438638170585748E-2</v>
      </c>
      <c r="BO174" s="2">
        <f t="shared" si="61"/>
        <v>5.6474235528146295E-2</v>
      </c>
      <c r="BP174" s="2">
        <f t="shared" si="61"/>
        <v>5.5202052187371994E-2</v>
      </c>
      <c r="BQ174" s="2">
        <f t="shared" si="61"/>
        <v>5.4398230368455341E-2</v>
      </c>
      <c r="BR174" s="2">
        <f t="shared" si="61"/>
        <v>5.3898227217835236E-2</v>
      </c>
      <c r="BS174" s="2">
        <f t="shared" si="68"/>
        <v>5.3590231155929917E-2</v>
      </c>
      <c r="BT174" s="2">
        <f t="shared" si="68"/>
        <v>5.3401649008202219E-2</v>
      </c>
      <c r="BU174" s="2">
        <f t="shared" si="68"/>
        <v>5.3286608243804399E-2</v>
      </c>
    </row>
    <row r="175" spans="1:73" x14ac:dyDescent="0.25">
      <c r="A175" t="s">
        <v>42</v>
      </c>
      <c r="B175" s="1" t="s">
        <v>5</v>
      </c>
      <c r="C175" t="s">
        <v>8</v>
      </c>
      <c r="D175" t="s">
        <v>8</v>
      </c>
      <c r="E175" s="97">
        <v>7.1817399999999996</v>
      </c>
      <c r="F175" s="5">
        <f t="shared" si="54"/>
        <v>1.7595263E-2</v>
      </c>
      <c r="G175" s="1">
        <f>LOOKUP(RIGHT(D175,5),Ref!$C$4:$C$21,Ref!$E$4:$E$21)*$G$3</f>
        <v>4</v>
      </c>
      <c r="H175" s="36">
        <f t="shared" si="66"/>
        <v>7.1817399999999996</v>
      </c>
      <c r="I175" s="12">
        <f t="shared" si="66"/>
        <v>7.1817399999999996</v>
      </c>
      <c r="J175" s="12">
        <f t="shared" si="66"/>
        <v>7.1817399999999996</v>
      </c>
      <c r="K175" s="12">
        <f t="shared" si="66"/>
        <v>7.1817399999999996</v>
      </c>
      <c r="L175" s="12">
        <f t="shared" si="66"/>
        <v>7.1817399999999996</v>
      </c>
      <c r="M175" s="12">
        <f t="shared" si="65"/>
        <v>7.5223402904342578</v>
      </c>
      <c r="N175" s="12">
        <f t="shared" si="65"/>
        <v>7.7265337257857647</v>
      </c>
      <c r="O175" s="12">
        <f t="shared" si="65"/>
        <v>8.0378243932031221</v>
      </c>
      <c r="P175" s="12">
        <f t="shared" si="65"/>
        <v>8.4918726813410608</v>
      </c>
      <c r="Q175" s="12">
        <f t="shared" si="65"/>
        <v>9.1132073635097495</v>
      </c>
      <c r="R175" s="12">
        <f t="shared" si="65"/>
        <v>9.8931389227343924</v>
      </c>
      <c r="S175" s="12">
        <f t="shared" si="65"/>
        <v>10.77261</v>
      </c>
      <c r="T175" s="12">
        <f t="shared" si="65"/>
        <v>11.652081077265606</v>
      </c>
      <c r="U175" s="12">
        <f t="shared" si="65"/>
        <v>12.432012636490249</v>
      </c>
      <c r="V175" s="12">
        <f t="shared" si="65"/>
        <v>13.053347318658938</v>
      </c>
      <c r="W175" s="12">
        <f t="shared" si="65"/>
        <v>13.507395606796875</v>
      </c>
      <c r="X175" s="12">
        <f t="shared" si="65"/>
        <v>13.818686274214235</v>
      </c>
      <c r="Y175" s="12">
        <f t="shared" si="65"/>
        <v>14.022879709565741</v>
      </c>
      <c r="Z175" s="12">
        <f t="shared" si="65"/>
        <v>14.152967179923754</v>
      </c>
      <c r="AA175" s="12">
        <f t="shared" si="65"/>
        <v>14.234307716466848</v>
      </c>
      <c r="AB175" s="12">
        <f t="shared" si="65"/>
        <v>14.284574634632163</v>
      </c>
      <c r="AC175" s="12">
        <f t="shared" si="64"/>
        <v>14.315413684803026</v>
      </c>
      <c r="AD175" s="300">
        <f t="shared" si="62"/>
        <v>1.9136862520126405E-3</v>
      </c>
      <c r="AE175" s="299">
        <f t="shared" si="62"/>
        <v>1.9136862520126405E-3</v>
      </c>
      <c r="AF175" s="299">
        <f t="shared" si="62"/>
        <v>1.9136862520126405E-3</v>
      </c>
      <c r="AG175" s="299">
        <f t="shared" si="62"/>
        <v>1.9136862520126405E-3</v>
      </c>
      <c r="AH175" s="299">
        <f t="shared" si="62"/>
        <v>1.9136862520126405E-3</v>
      </c>
      <c r="AI175" s="299">
        <f t="shared" si="60"/>
        <v>1.8270374076278133E-3</v>
      </c>
      <c r="AJ175" s="299">
        <f t="shared" si="60"/>
        <v>1.7787532665084662E-3</v>
      </c>
      <c r="AK175" s="299">
        <f t="shared" si="60"/>
        <v>1.7098653107115659E-3</v>
      </c>
      <c r="AL175" s="299">
        <f t="shared" si="60"/>
        <v>1.6184412578073217E-3</v>
      </c>
      <c r="AM175" s="299">
        <f t="shared" si="60"/>
        <v>1.5080966069706788E-3</v>
      </c>
      <c r="AN175" s="299">
        <f t="shared" si="60"/>
        <v>1.3892049036071383E-3</v>
      </c>
      <c r="AO175" s="299">
        <f t="shared" si="60"/>
        <v>1.2757908346750935E-3</v>
      </c>
      <c r="AP175" s="299">
        <f t="shared" si="60"/>
        <v>1.1794972084724345E-3</v>
      </c>
      <c r="AQ175" s="299">
        <f t="shared" si="60"/>
        <v>1.1055005738322102E-3</v>
      </c>
      <c r="AR175" s="299">
        <f t="shared" si="60"/>
        <v>1.0528791403476756E-3</v>
      </c>
      <c r="AS175" s="299">
        <f t="shared" si="60"/>
        <v>1.0174868274838659E-3</v>
      </c>
      <c r="AT175" s="299">
        <f t="shared" si="60"/>
        <v>9.9456611365256252E-4</v>
      </c>
      <c r="AU175" s="299">
        <f t="shared" si="60"/>
        <v>9.8008379078899405E-4</v>
      </c>
      <c r="AV175" s="299">
        <f t="shared" si="60"/>
        <v>9.7107531790399442E-4</v>
      </c>
      <c r="AW175" s="299">
        <f t="shared" si="67"/>
        <v>9.655262045255693E-4</v>
      </c>
      <c r="AX175" s="299">
        <f t="shared" si="67"/>
        <v>9.6212855160619673E-4</v>
      </c>
      <c r="AY175" s="299">
        <f t="shared" si="67"/>
        <v>9.6005588145309446E-4</v>
      </c>
      <c r="AZ175" s="306">
        <f t="shared" si="63"/>
        <v>0.10594126483083735</v>
      </c>
      <c r="BA175" s="2">
        <f t="shared" si="63"/>
        <v>0.10594126483083735</v>
      </c>
      <c r="BB175" s="2">
        <f t="shared" si="63"/>
        <v>0.10594126483083735</v>
      </c>
      <c r="BC175" s="2">
        <f t="shared" si="63"/>
        <v>0.10594126483083735</v>
      </c>
      <c r="BD175" s="2">
        <f t="shared" si="63"/>
        <v>0.10594126483083735</v>
      </c>
      <c r="BE175" s="2">
        <f t="shared" si="61"/>
        <v>0.10114440319241327</v>
      </c>
      <c r="BF175" s="2">
        <f t="shared" si="61"/>
        <v>9.8471403385849116E-2</v>
      </c>
      <c r="BG175" s="2">
        <f t="shared" si="61"/>
        <v>9.4657780770825886E-2</v>
      </c>
      <c r="BH175" s="2">
        <f t="shared" si="61"/>
        <v>8.9596564602057047E-2</v>
      </c>
      <c r="BI175" s="2">
        <f t="shared" si="61"/>
        <v>8.3487908146665513E-2</v>
      </c>
      <c r="BJ175" s="2">
        <f t="shared" si="61"/>
        <v>7.6906088677053203E-2</v>
      </c>
      <c r="BK175" s="2">
        <f t="shared" si="61"/>
        <v>7.0627509887224896E-2</v>
      </c>
      <c r="BL175" s="2">
        <f t="shared" si="61"/>
        <v>6.5296715173969996E-2</v>
      </c>
      <c r="BM175" s="2">
        <f t="shared" si="61"/>
        <v>6.1200277182232296E-2</v>
      </c>
      <c r="BN175" s="2">
        <f t="shared" si="61"/>
        <v>5.8287165790696552E-2</v>
      </c>
      <c r="BO175" s="2">
        <f t="shared" si="61"/>
        <v>5.6327854860737506E-2</v>
      </c>
      <c r="BP175" s="2">
        <f t="shared" si="61"/>
        <v>5.5058969006768425E-2</v>
      </c>
      <c r="BQ175" s="2">
        <f t="shared" si="61"/>
        <v>5.4257230686162637E-2</v>
      </c>
      <c r="BR175" s="2">
        <f t="shared" si="61"/>
        <v>5.3758523538829872E-2</v>
      </c>
      <c r="BS175" s="2">
        <f t="shared" si="68"/>
        <v>5.3451325799711562E-2</v>
      </c>
      <c r="BT175" s="2">
        <f t="shared" si="68"/>
        <v>5.3263232455070579E-2</v>
      </c>
      <c r="BU175" s="2">
        <f t="shared" si="68"/>
        <v>5.3148489875211501E-2</v>
      </c>
    </row>
    <row r="176" spans="1:73" x14ac:dyDescent="0.25">
      <c r="A176" t="s">
        <v>42</v>
      </c>
      <c r="B176" s="1" t="s">
        <v>5</v>
      </c>
      <c r="C176" t="s">
        <v>9</v>
      </c>
      <c r="D176" t="s">
        <v>9</v>
      </c>
      <c r="E176" s="97">
        <v>6.9273350000000002</v>
      </c>
      <c r="F176" s="5">
        <f t="shared" si="54"/>
        <v>1.6971970749999999E-2</v>
      </c>
      <c r="G176" s="1">
        <f>LOOKUP(RIGHT(D176,5),Ref!$C$4:$C$21,Ref!$E$4:$E$21)*$G$3</f>
        <v>4.5</v>
      </c>
      <c r="H176" s="36">
        <f t="shared" si="66"/>
        <v>6.9273350000000002</v>
      </c>
      <c r="I176" s="12">
        <f t="shared" si="66"/>
        <v>6.9273350000000002</v>
      </c>
      <c r="J176" s="12">
        <f t="shared" si="66"/>
        <v>6.9273350000000002</v>
      </c>
      <c r="K176" s="12">
        <f t="shared" si="66"/>
        <v>6.9273350000000002</v>
      </c>
      <c r="L176" s="12">
        <f t="shared" si="66"/>
        <v>6.9273350000000002</v>
      </c>
      <c r="M176" s="12">
        <f t="shared" si="65"/>
        <v>7.2558699111685199</v>
      </c>
      <c r="N176" s="12">
        <f t="shared" si="65"/>
        <v>7.4528300254974607</v>
      </c>
      <c r="O176" s="12">
        <f t="shared" si="65"/>
        <v>7.753093573826086</v>
      </c>
      <c r="P176" s="12">
        <f t="shared" si="65"/>
        <v>8.1910577159571059</v>
      </c>
      <c r="Q176" s="12">
        <f t="shared" si="65"/>
        <v>8.790382321206117</v>
      </c>
      <c r="R176" s="12">
        <f t="shared" si="65"/>
        <v>9.5426856888888025</v>
      </c>
      <c r="S176" s="12">
        <f t="shared" si="65"/>
        <v>10.391002500000001</v>
      </c>
      <c r="T176" s="12">
        <f t="shared" si="65"/>
        <v>11.239319311111199</v>
      </c>
      <c r="U176" s="12">
        <f t="shared" si="65"/>
        <v>11.991622678793885</v>
      </c>
      <c r="V176" s="12">
        <f t="shared" si="65"/>
        <v>12.590947284042896</v>
      </c>
      <c r="W176" s="12">
        <f t="shared" si="65"/>
        <v>13.028911426173913</v>
      </c>
      <c r="X176" s="12">
        <f t="shared" si="65"/>
        <v>13.329174974502539</v>
      </c>
      <c r="Y176" s="12">
        <f t="shared" si="65"/>
        <v>13.526135088831481</v>
      </c>
      <c r="Z176" s="12">
        <f t="shared" si="65"/>
        <v>13.651614357988054</v>
      </c>
      <c r="AA176" s="12">
        <f t="shared" si="65"/>
        <v>13.730073498212255</v>
      </c>
      <c r="AB176" s="12">
        <f t="shared" si="65"/>
        <v>13.778559767772101</v>
      </c>
      <c r="AC176" s="12">
        <f t="shared" si="64"/>
        <v>13.808306379542421</v>
      </c>
      <c r="AD176" s="300">
        <f t="shared" si="62"/>
        <v>1.9839659989778552E-3</v>
      </c>
      <c r="AE176" s="299">
        <f t="shared" si="62"/>
        <v>1.9839659989778552E-3</v>
      </c>
      <c r="AF176" s="299">
        <f t="shared" si="62"/>
        <v>1.9839659989778552E-3</v>
      </c>
      <c r="AG176" s="299">
        <f t="shared" si="62"/>
        <v>1.9839659989778552E-3</v>
      </c>
      <c r="AH176" s="299">
        <f t="shared" si="62"/>
        <v>1.9839659989778552E-3</v>
      </c>
      <c r="AI176" s="299">
        <f t="shared" si="60"/>
        <v>1.8941349930178015E-3</v>
      </c>
      <c r="AJ176" s="299">
        <f t="shared" si="60"/>
        <v>1.8440776264197578E-3</v>
      </c>
      <c r="AK176" s="299">
        <f t="shared" si="60"/>
        <v>1.7726597741483095E-3</v>
      </c>
      <c r="AL176" s="299">
        <f t="shared" si="60"/>
        <v>1.6778781910857714E-3</v>
      </c>
      <c r="AM176" s="299">
        <f t="shared" si="60"/>
        <v>1.5634811548951512E-3</v>
      </c>
      <c r="AN176" s="299">
        <f t="shared" si="60"/>
        <v>1.440223177373626E-3</v>
      </c>
      <c r="AO176" s="299">
        <f t="shared" si="60"/>
        <v>1.32264399931857E-3</v>
      </c>
      <c r="AP176" s="299">
        <f t="shared" si="60"/>
        <v>1.2228140088468107E-3</v>
      </c>
      <c r="AQ176" s="299">
        <f t="shared" si="60"/>
        <v>1.1460998625176546E-3</v>
      </c>
      <c r="AR176" s="299">
        <f t="shared" si="60"/>
        <v>1.0915459173550168E-3</v>
      </c>
      <c r="AS176" s="299">
        <f t="shared" si="60"/>
        <v>1.054853828840958E-3</v>
      </c>
      <c r="AT176" s="299">
        <f t="shared" si="60"/>
        <v>1.031091356353223E-3</v>
      </c>
      <c r="AU176" s="299">
        <f t="shared" si="60"/>
        <v>1.0160771730630827E-3</v>
      </c>
      <c r="AV176" s="299">
        <f t="shared" si="60"/>
        <v>1.0067378658032032E-3</v>
      </c>
      <c r="AW176" s="299">
        <f t="shared" si="67"/>
        <v>1.0009849623396965E-3</v>
      </c>
      <c r="AX176" s="299">
        <f t="shared" si="67"/>
        <v>9.9746253129266672E-4</v>
      </c>
      <c r="AY176" s="299">
        <f t="shared" si="67"/>
        <v>9.9531374274045427E-4</v>
      </c>
      <c r="AZ176" s="306">
        <f t="shared" si="63"/>
        <v>0.10983193670960301</v>
      </c>
      <c r="BA176" s="2">
        <f t="shared" si="63"/>
        <v>0.10983193670960301</v>
      </c>
      <c r="BB176" s="2">
        <f t="shared" si="63"/>
        <v>0.10983193670960301</v>
      </c>
      <c r="BC176" s="2">
        <f t="shared" si="63"/>
        <v>0.10983193670960301</v>
      </c>
      <c r="BD176" s="2">
        <f t="shared" si="63"/>
        <v>0.10983193670960301</v>
      </c>
      <c r="BE176" s="2">
        <f t="shared" si="61"/>
        <v>0.10485891128162303</v>
      </c>
      <c r="BF176" s="2">
        <f t="shared" si="61"/>
        <v>0.10208774608883329</v>
      </c>
      <c r="BG176" s="2">
        <f t="shared" si="61"/>
        <v>9.8134068941818323E-2</v>
      </c>
      <c r="BH176" s="2">
        <f t="shared" si="61"/>
        <v>9.2886980615947856E-2</v>
      </c>
      <c r="BI176" s="2">
        <f t="shared" si="61"/>
        <v>8.6553984967268585E-2</v>
      </c>
      <c r="BJ176" s="2">
        <f t="shared" si="61"/>
        <v>7.9730449486785315E-2</v>
      </c>
      <c r="BK176" s="2">
        <f t="shared" si="61"/>
        <v>7.3221291139735328E-2</v>
      </c>
      <c r="BL176" s="2">
        <f t="shared" si="61"/>
        <v>6.7694724050952823E-2</v>
      </c>
      <c r="BM176" s="2">
        <f t="shared" si="61"/>
        <v>6.3447845188766658E-2</v>
      </c>
      <c r="BN176" s="2">
        <f t="shared" si="61"/>
        <v>6.0427750360806422E-2</v>
      </c>
      <c r="BO176" s="2">
        <f t="shared" si="61"/>
        <v>5.8396484126659522E-2</v>
      </c>
      <c r="BP176" s="2">
        <f t="shared" si="61"/>
        <v>5.708099869208997E-2</v>
      </c>
      <c r="BQ176" s="2">
        <f t="shared" si="61"/>
        <v>5.6249816691128933E-2</v>
      </c>
      <c r="BR176" s="2">
        <f t="shared" si="61"/>
        <v>5.573279462300524E-2</v>
      </c>
      <c r="BS176" s="2">
        <f t="shared" si="68"/>
        <v>5.5414315108020688E-2</v>
      </c>
      <c r="BT176" s="2">
        <f t="shared" si="68"/>
        <v>5.5219314072710288E-2</v>
      </c>
      <c r="BU176" s="2">
        <f t="shared" si="68"/>
        <v>5.5100357594428648E-2</v>
      </c>
    </row>
    <row r="177" spans="1:73" x14ac:dyDescent="0.25">
      <c r="A177" t="s">
        <v>42</v>
      </c>
      <c r="B177" s="1" t="s">
        <v>5</v>
      </c>
      <c r="C177" t="s">
        <v>10</v>
      </c>
      <c r="D177" t="s">
        <v>10</v>
      </c>
      <c r="E177" s="97">
        <v>6.8158275000000001</v>
      </c>
      <c r="F177" s="5">
        <f t="shared" si="54"/>
        <v>1.6698777374999998E-2</v>
      </c>
      <c r="G177" s="1">
        <f>LOOKUP(RIGHT(D177,5),Ref!$C$4:$C$21,Ref!$E$4:$E$21)*$G$3</f>
        <v>4.5</v>
      </c>
      <c r="H177" s="36">
        <f t="shared" si="66"/>
        <v>6.8158275000000001</v>
      </c>
      <c r="I177" s="12">
        <f t="shared" si="66"/>
        <v>6.8158275000000001</v>
      </c>
      <c r="J177" s="12">
        <f t="shared" si="66"/>
        <v>6.8158275000000001</v>
      </c>
      <c r="K177" s="12">
        <f t="shared" si="66"/>
        <v>6.8158275000000001</v>
      </c>
      <c r="L177" s="12">
        <f t="shared" si="66"/>
        <v>6.8158275000000001</v>
      </c>
      <c r="M177" s="12">
        <f t="shared" si="65"/>
        <v>7.1390740706151723</v>
      </c>
      <c r="N177" s="12">
        <f t="shared" si="65"/>
        <v>7.3328637694887417</v>
      </c>
      <c r="O177" s="12">
        <f t="shared" si="65"/>
        <v>7.6282940539987045</v>
      </c>
      <c r="P177" s="12">
        <f t="shared" si="65"/>
        <v>8.0592084018612677</v>
      </c>
      <c r="Q177" s="12">
        <f t="shared" si="65"/>
        <v>8.6488858356627016</v>
      </c>
      <c r="R177" s="12">
        <f t="shared" si="65"/>
        <v>9.3890795727627925</v>
      </c>
      <c r="S177" s="12">
        <f t="shared" si="65"/>
        <v>10.22374125</v>
      </c>
      <c r="T177" s="12">
        <f t="shared" si="65"/>
        <v>11.058402927237209</v>
      </c>
      <c r="U177" s="12">
        <f t="shared" si="65"/>
        <v>11.7985966643373</v>
      </c>
      <c r="V177" s="12">
        <f t="shared" si="65"/>
        <v>12.388274098138732</v>
      </c>
      <c r="W177" s="12">
        <f t="shared" si="65"/>
        <v>12.819188446001295</v>
      </c>
      <c r="X177" s="12">
        <f t="shared" si="65"/>
        <v>13.114618730511259</v>
      </c>
      <c r="Y177" s="12">
        <f t="shared" si="65"/>
        <v>13.308408429384828</v>
      </c>
      <c r="Z177" s="12">
        <f t="shared" si="65"/>
        <v>13.431867891558561</v>
      </c>
      <c r="AA177" s="12">
        <f t="shared" si="65"/>
        <v>13.509064095519603</v>
      </c>
      <c r="AB177" s="12">
        <f t="shared" si="65"/>
        <v>13.556769894277481</v>
      </c>
      <c r="AC177" s="12">
        <f t="shared" si="64"/>
        <v>13.58603768261686</v>
      </c>
      <c r="AD177" s="300">
        <f t="shared" si="62"/>
        <v>2.0164238463384319E-3</v>
      </c>
      <c r="AE177" s="299">
        <f t="shared" si="62"/>
        <v>2.0164238463384319E-3</v>
      </c>
      <c r="AF177" s="299">
        <f t="shared" si="62"/>
        <v>2.0164238463384319E-3</v>
      </c>
      <c r="AG177" s="299">
        <f t="shared" si="62"/>
        <v>2.0164238463384319E-3</v>
      </c>
      <c r="AH177" s="299">
        <f t="shared" si="62"/>
        <v>2.0164238463384319E-3</v>
      </c>
      <c r="AI177" s="299">
        <f t="shared" si="60"/>
        <v>1.925123197712526E-3</v>
      </c>
      <c r="AJ177" s="299">
        <f t="shared" si="60"/>
        <v>1.8742468884687168E-3</v>
      </c>
      <c r="AK177" s="299">
        <f t="shared" si="60"/>
        <v>1.8016606342442911E-3</v>
      </c>
      <c r="AL177" s="299">
        <f t="shared" si="60"/>
        <v>1.7053284166662307E-3</v>
      </c>
      <c r="AM177" s="299">
        <f t="shared" si="60"/>
        <v>1.5890598355292301E-3</v>
      </c>
      <c r="AN177" s="299">
        <f t="shared" si="60"/>
        <v>1.4637853473303906E-3</v>
      </c>
      <c r="AO177" s="299">
        <f t="shared" si="60"/>
        <v>1.3442825642256213E-3</v>
      </c>
      <c r="AP177" s="299">
        <f t="shared" si="60"/>
        <v>1.2428193468767836E-3</v>
      </c>
      <c r="AQ177" s="299">
        <f t="shared" si="60"/>
        <v>1.1648501507870814E-3</v>
      </c>
      <c r="AR177" s="299">
        <f t="shared" si="60"/>
        <v>1.1094036985825296E-3</v>
      </c>
      <c r="AS177" s="299">
        <f t="shared" si="60"/>
        <v>1.0721113244743911E-3</v>
      </c>
      <c r="AT177" s="299">
        <f t="shared" si="60"/>
        <v>1.0479600959770702E-3</v>
      </c>
      <c r="AU177" s="299">
        <f t="shared" si="60"/>
        <v>1.0327002794100863E-3</v>
      </c>
      <c r="AV177" s="299">
        <f t="shared" si="60"/>
        <v>1.0232081803132243E-3</v>
      </c>
      <c r="AW177" s="299">
        <f t="shared" si="67"/>
        <v>1.0173611588746138E-3</v>
      </c>
      <c r="AX177" s="299">
        <f t="shared" si="67"/>
        <v>1.0137811005651604E-3</v>
      </c>
      <c r="AY177" s="299">
        <f t="shared" si="67"/>
        <v>1.0115971576550235E-3</v>
      </c>
      <c r="AZ177" s="306">
        <f t="shared" si="63"/>
        <v>0.11162879625199108</v>
      </c>
      <c r="BA177" s="2">
        <f t="shared" si="63"/>
        <v>0.11162879625199108</v>
      </c>
      <c r="BB177" s="2">
        <f t="shared" si="63"/>
        <v>0.11162879625199108</v>
      </c>
      <c r="BC177" s="2">
        <f t="shared" si="63"/>
        <v>0.11162879625199108</v>
      </c>
      <c r="BD177" s="2">
        <f t="shared" si="63"/>
        <v>0.11162879625199108</v>
      </c>
      <c r="BE177" s="2">
        <f t="shared" si="61"/>
        <v>0.10657441171788488</v>
      </c>
      <c r="BF177" s="2">
        <f t="shared" si="61"/>
        <v>0.10375791003400366</v>
      </c>
      <c r="BG177" s="2">
        <f t="shared" si="61"/>
        <v>9.9739550402804508E-2</v>
      </c>
      <c r="BH177" s="2">
        <f t="shared" si="61"/>
        <v>9.4406619279196427E-2</v>
      </c>
      <c r="BI177" s="2">
        <f t="shared" si="61"/>
        <v>8.7970015299423818E-2</v>
      </c>
      <c r="BJ177" s="2">
        <f t="shared" si="61"/>
        <v>8.1034846215744166E-2</v>
      </c>
      <c r="BK177" s="2">
        <f t="shared" si="61"/>
        <v>7.4419197501327389E-2</v>
      </c>
      <c r="BL177" s="2">
        <f t="shared" si="61"/>
        <v>6.8802215319197446E-2</v>
      </c>
      <c r="BM177" s="2">
        <f t="shared" si="61"/>
        <v>6.4485857168586624E-2</v>
      </c>
      <c r="BN177" s="2">
        <f t="shared" si="61"/>
        <v>6.1416353340174326E-2</v>
      </c>
      <c r="BO177" s="2">
        <f t="shared" si="61"/>
        <v>5.9351855422918626E-2</v>
      </c>
      <c r="BP177" s="2">
        <f t="shared" si="61"/>
        <v>5.8014848538151684E-2</v>
      </c>
      <c r="BQ177" s="2">
        <f t="shared" si="61"/>
        <v>5.7170068331107507E-2</v>
      </c>
      <c r="BR177" s="2">
        <f t="shared" si="61"/>
        <v>5.6644587739310602E-2</v>
      </c>
      <c r="BS177" s="2">
        <f t="shared" si="68"/>
        <v>5.6320897873195948E-2</v>
      </c>
      <c r="BT177" s="2">
        <f t="shared" si="68"/>
        <v>5.6122706604866179E-2</v>
      </c>
      <c r="BU177" s="2">
        <f t="shared" si="68"/>
        <v>5.6001803988789532E-2</v>
      </c>
    </row>
    <row r="178" spans="1:73" x14ac:dyDescent="0.25">
      <c r="A178" t="s">
        <v>42</v>
      </c>
      <c r="B178" s="1" t="s">
        <v>5</v>
      </c>
      <c r="C178" t="s">
        <v>11</v>
      </c>
      <c r="D178" t="s">
        <v>11</v>
      </c>
      <c r="E178" s="97">
        <v>6.5148849999999996</v>
      </c>
      <c r="F178" s="5">
        <f t="shared" si="54"/>
        <v>1.5961468249999996E-2</v>
      </c>
      <c r="G178" s="1">
        <f>LOOKUP(RIGHT(D178,5),Ref!$C$4:$C$21,Ref!$E$4:$E$21)*$G$3</f>
        <v>4.5</v>
      </c>
      <c r="H178" s="36">
        <f t="shared" si="66"/>
        <v>6.5148849999999996</v>
      </c>
      <c r="I178" s="12">
        <f t="shared" si="66"/>
        <v>6.5148849999999996</v>
      </c>
      <c r="J178" s="12">
        <f t="shared" si="66"/>
        <v>6.5148849999999996</v>
      </c>
      <c r="K178" s="12">
        <f t="shared" si="66"/>
        <v>6.5148849999999996</v>
      </c>
      <c r="L178" s="12">
        <f t="shared" si="66"/>
        <v>6.5148849999999996</v>
      </c>
      <c r="M178" s="12">
        <f t="shared" si="65"/>
        <v>6.8238591097764312</v>
      </c>
      <c r="N178" s="12">
        <f t="shared" si="65"/>
        <v>7.0090923191476984</v>
      </c>
      <c r="O178" s="12">
        <f t="shared" si="65"/>
        <v>7.2914783286380631</v>
      </c>
      <c r="P178" s="12">
        <f t="shared" si="65"/>
        <v>7.7033663086631732</v>
      </c>
      <c r="Q178" s="12">
        <f t="shared" si="65"/>
        <v>8.2670074319620603</v>
      </c>
      <c r="R178" s="12">
        <f t="shared" si="65"/>
        <v>8.9745190400430062</v>
      </c>
      <c r="S178" s="12">
        <f t="shared" si="65"/>
        <v>9.7723274999999994</v>
      </c>
      <c r="T178" s="12">
        <f t="shared" si="65"/>
        <v>10.570135959956993</v>
      </c>
      <c r="U178" s="12">
        <f t="shared" si="65"/>
        <v>11.277647568037938</v>
      </c>
      <c r="V178" s="12">
        <f t="shared" si="65"/>
        <v>11.841288691336825</v>
      </c>
      <c r="W178" s="12">
        <f t="shared" si="65"/>
        <v>12.253176671361935</v>
      </c>
      <c r="X178" s="12">
        <f t="shared" si="65"/>
        <v>12.535562680852301</v>
      </c>
      <c r="Y178" s="12">
        <f t="shared" si="65"/>
        <v>12.720795890223567</v>
      </c>
      <c r="Z178" s="12">
        <f t="shared" si="65"/>
        <v>12.83880418756145</v>
      </c>
      <c r="AA178" s="12">
        <f t="shared" si="65"/>
        <v>12.912591910511118</v>
      </c>
      <c r="AB178" s="12">
        <f t="shared" si="65"/>
        <v>12.958191332260087</v>
      </c>
      <c r="AC178" s="12">
        <f t="shared" si="64"/>
        <v>12.986166845906141</v>
      </c>
      <c r="AD178" s="300">
        <f t="shared" si="62"/>
        <v>2.1095686421984824E-3</v>
      </c>
      <c r="AE178" s="299">
        <f t="shared" si="62"/>
        <v>2.1095686421984824E-3</v>
      </c>
      <c r="AF178" s="299">
        <f t="shared" si="62"/>
        <v>2.1095686421984824E-3</v>
      </c>
      <c r="AG178" s="299">
        <f t="shared" si="62"/>
        <v>2.1095686421984824E-3</v>
      </c>
      <c r="AH178" s="299">
        <f t="shared" si="62"/>
        <v>2.1095686421984824E-3</v>
      </c>
      <c r="AI178" s="299">
        <f t="shared" si="60"/>
        <v>2.014050536863962E-3</v>
      </c>
      <c r="AJ178" s="299">
        <f t="shared" si="60"/>
        <v>1.9608240950092768E-3</v>
      </c>
      <c r="AK178" s="299">
        <f t="shared" si="60"/>
        <v>1.8848848592952416E-3</v>
      </c>
      <c r="AL178" s="299">
        <f t="shared" si="60"/>
        <v>1.7841027614217526E-3</v>
      </c>
      <c r="AM178" s="299">
        <f t="shared" si="60"/>
        <v>1.6624633782707761E-3</v>
      </c>
      <c r="AN178" s="299">
        <f t="shared" si="60"/>
        <v>1.5314020776163399E-3</v>
      </c>
      <c r="AO178" s="299">
        <f t="shared" si="60"/>
        <v>1.4063790947989882E-3</v>
      </c>
      <c r="AP178" s="299">
        <f t="shared" si="60"/>
        <v>1.3002289805537353E-3</v>
      </c>
      <c r="AQ178" s="299">
        <f t="shared" si="60"/>
        <v>1.2186581483961325E-3</v>
      </c>
      <c r="AR178" s="299">
        <f t="shared" si="60"/>
        <v>1.1606504546742601E-3</v>
      </c>
      <c r="AS178" s="299">
        <f t="shared" si="60"/>
        <v>1.1216354315408451E-3</v>
      </c>
      <c r="AT178" s="299">
        <f t="shared" si="60"/>
        <v>1.0963685837989702E-3</v>
      </c>
      <c r="AU178" s="299">
        <f t="shared" si="60"/>
        <v>1.0804038695481119E-3</v>
      </c>
      <c r="AV178" s="299">
        <f t="shared" si="60"/>
        <v>1.070473301309821E-3</v>
      </c>
      <c r="AW178" s="299">
        <f t="shared" si="67"/>
        <v>1.06435618803547E-3</v>
      </c>
      <c r="AX178" s="299">
        <f t="shared" si="67"/>
        <v>1.0606107558632711E-3</v>
      </c>
      <c r="AY178" s="299">
        <f t="shared" si="67"/>
        <v>1.0583259299384326E-3</v>
      </c>
      <c r="AZ178" s="306">
        <f t="shared" si="63"/>
        <v>0.11678527238565498</v>
      </c>
      <c r="BA178" s="2">
        <f t="shared" si="63"/>
        <v>0.11678527238565498</v>
      </c>
      <c r="BB178" s="2">
        <f t="shared" si="63"/>
        <v>0.11678527238565498</v>
      </c>
      <c r="BC178" s="2">
        <f t="shared" si="63"/>
        <v>0.11678527238565498</v>
      </c>
      <c r="BD178" s="2">
        <f t="shared" si="63"/>
        <v>0.11678527238565498</v>
      </c>
      <c r="BE178" s="2">
        <f t="shared" si="61"/>
        <v>0.11149741034309618</v>
      </c>
      <c r="BF178" s="2">
        <f t="shared" si="61"/>
        <v>0.10855080581657052</v>
      </c>
      <c r="BG178" s="2">
        <f t="shared" si="61"/>
        <v>0.1043468258416029</v>
      </c>
      <c r="BH178" s="2">
        <f t="shared" si="61"/>
        <v>9.8767550289095993E-2</v>
      </c>
      <c r="BI178" s="2">
        <f t="shared" si="61"/>
        <v>9.2033619849503659E-2</v>
      </c>
      <c r="BJ178" s="2">
        <f t="shared" si="61"/>
        <v>8.4778094056232767E-2</v>
      </c>
      <c r="BK178" s="2">
        <f t="shared" si="61"/>
        <v>7.7856848257103317E-2</v>
      </c>
      <c r="BL178" s="2">
        <f t="shared" si="61"/>
        <v>7.1980400457338431E-2</v>
      </c>
      <c r="BM178" s="2">
        <f t="shared" si="61"/>
        <v>6.7464656498268952E-2</v>
      </c>
      <c r="BN178" s="2">
        <f t="shared" si="61"/>
        <v>6.4253362882948362E-2</v>
      </c>
      <c r="BO178" s="2">
        <f t="shared" si="61"/>
        <v>6.2093499481196204E-2</v>
      </c>
      <c r="BP178" s="2">
        <f t="shared" si="61"/>
        <v>6.0694732151783039E-2</v>
      </c>
      <c r="BQ178" s="2">
        <f t="shared" si="61"/>
        <v>5.981092895853752E-2</v>
      </c>
      <c r="BR178" s="2">
        <f t="shared" si="61"/>
        <v>5.9261174808113423E-2</v>
      </c>
      <c r="BS178" s="2">
        <f t="shared" si="68"/>
        <v>5.892253271528515E-2</v>
      </c>
      <c r="BT178" s="2">
        <f t="shared" si="68"/>
        <v>5.8715186385005808E-2</v>
      </c>
      <c r="BU178" s="2">
        <f t="shared" si="68"/>
        <v>5.8588698906642471E-2</v>
      </c>
    </row>
    <row r="179" spans="1:73" x14ac:dyDescent="0.25">
      <c r="A179" t="s">
        <v>43</v>
      </c>
      <c r="B179" s="1" t="s">
        <v>5</v>
      </c>
      <c r="C179" t="s">
        <v>15</v>
      </c>
      <c r="D179" t="s">
        <v>15</v>
      </c>
      <c r="E179" s="97">
        <v>3.7068669999999999</v>
      </c>
      <c r="F179" s="5">
        <f t="shared" si="54"/>
        <v>9.081824149999999E-3</v>
      </c>
      <c r="G179" s="1">
        <f>LOOKUP(RIGHT(D179,5),Ref!$C$4:$C$21,Ref!$E$4:$E$21)*$G$3</f>
        <v>2.5</v>
      </c>
      <c r="H179" s="36">
        <f t="shared" si="66"/>
        <v>3.7068669999999999</v>
      </c>
      <c r="I179" s="12">
        <f t="shared" si="66"/>
        <v>3.7068669999999999</v>
      </c>
      <c r="J179" s="12">
        <f t="shared" si="66"/>
        <v>3.7068669999999999</v>
      </c>
      <c r="K179" s="12">
        <f t="shared" si="66"/>
        <v>3.7068669999999999</v>
      </c>
      <c r="L179" s="12">
        <f t="shared" si="66"/>
        <v>3.7068669999999999</v>
      </c>
      <c r="M179" s="12">
        <f t="shared" si="65"/>
        <v>3.8826684042281072</v>
      </c>
      <c r="N179" s="12">
        <f t="shared" si="65"/>
        <v>3.9880631842008065</v>
      </c>
      <c r="O179" s="12">
        <f t="shared" si="65"/>
        <v>4.1487363779473609</v>
      </c>
      <c r="P179" s="12">
        <f t="shared" si="65"/>
        <v>4.3830941541554971</v>
      </c>
      <c r="Q179" s="12">
        <f t="shared" si="65"/>
        <v>4.7037970798095303</v>
      </c>
      <c r="R179" s="12">
        <f t="shared" si="65"/>
        <v>5.1063600463257748</v>
      </c>
      <c r="S179" s="12">
        <f t="shared" si="65"/>
        <v>5.5603005000000003</v>
      </c>
      <c r="T179" s="12">
        <f t="shared" si="65"/>
        <v>6.014240953674225</v>
      </c>
      <c r="U179" s="12">
        <f t="shared" si="65"/>
        <v>6.4168039201904694</v>
      </c>
      <c r="V179" s="12">
        <f t="shared" si="65"/>
        <v>6.7375068458445027</v>
      </c>
      <c r="W179" s="12">
        <f t="shared" si="65"/>
        <v>6.9718646220526379</v>
      </c>
      <c r="X179" s="12">
        <f t="shared" si="65"/>
        <v>7.1325378157991928</v>
      </c>
      <c r="Y179" s="12">
        <f t="shared" si="65"/>
        <v>7.2379325957718921</v>
      </c>
      <c r="Z179" s="12">
        <f t="shared" si="65"/>
        <v>7.3050774591314118</v>
      </c>
      <c r="AA179" s="12">
        <f t="shared" si="65"/>
        <v>7.3470615118364515</v>
      </c>
      <c r="AB179" s="12">
        <f t="shared" si="65"/>
        <v>7.3730068649317611</v>
      </c>
      <c r="AC179" s="12">
        <f t="shared" si="64"/>
        <v>7.3889244917728494</v>
      </c>
      <c r="AD179" s="300">
        <f t="shared" si="62"/>
        <v>3.7076045899486708E-3</v>
      </c>
      <c r="AE179" s="299">
        <f t="shared" si="62"/>
        <v>3.7076045899486708E-3</v>
      </c>
      <c r="AF179" s="299">
        <f t="shared" si="62"/>
        <v>3.7076045899486708E-3</v>
      </c>
      <c r="AG179" s="299">
        <f t="shared" si="62"/>
        <v>3.7076045899486708E-3</v>
      </c>
      <c r="AH179" s="299">
        <f t="shared" si="62"/>
        <v>3.7076045899486708E-3</v>
      </c>
      <c r="AI179" s="299">
        <f t="shared" si="60"/>
        <v>3.5397298127655976E-3</v>
      </c>
      <c r="AJ179" s="299">
        <f t="shared" si="60"/>
        <v>3.4461833899663819E-3</v>
      </c>
      <c r="AK179" s="299">
        <f t="shared" si="60"/>
        <v>3.3127188260462757E-3</v>
      </c>
      <c r="AL179" s="299">
        <f t="shared" si="60"/>
        <v>3.1355924879002003E-3</v>
      </c>
      <c r="AM179" s="299">
        <f t="shared" si="60"/>
        <v>2.9218090981266939E-3</v>
      </c>
      <c r="AN179" s="299">
        <f t="shared" si="60"/>
        <v>2.6914665199564832E-3</v>
      </c>
      <c r="AO179" s="299">
        <f t="shared" si="60"/>
        <v>2.4717363932991137E-3</v>
      </c>
      <c r="AP179" s="299">
        <f t="shared" si="60"/>
        <v>2.2851756704448316E-3</v>
      </c>
      <c r="AQ179" s="299">
        <f t="shared" si="60"/>
        <v>2.1418134751297357E-3</v>
      </c>
      <c r="AR179" s="299">
        <f t="shared" si="60"/>
        <v>2.0398639167255035E-3</v>
      </c>
      <c r="AS179" s="299">
        <f t="shared" si="60"/>
        <v>1.9712943163091579E-3</v>
      </c>
      <c r="AT179" s="299">
        <f t="shared" si="60"/>
        <v>1.9268873798448001E-3</v>
      </c>
      <c r="AU179" s="299">
        <f t="shared" ref="AR179:AV195" si="69">Algae_electricity_factor/Y179</f>
        <v>1.8988291092345505E-3</v>
      </c>
      <c r="AV179" s="299">
        <f t="shared" si="69"/>
        <v>1.8813759580809976E-3</v>
      </c>
      <c r="AW179" s="299">
        <f t="shared" si="67"/>
        <v>1.8706250221789619E-3</v>
      </c>
      <c r="AX179" s="299">
        <f t="shared" si="67"/>
        <v>1.8640423581996028E-3</v>
      </c>
      <c r="AY179" s="299">
        <f t="shared" si="67"/>
        <v>1.8600267358032932E-3</v>
      </c>
      <c r="AZ179" s="306">
        <f t="shared" si="63"/>
        <v>0.20525220335291711</v>
      </c>
      <c r="BA179" s="2">
        <f t="shared" si="63"/>
        <v>0.20525220335291711</v>
      </c>
      <c r="BB179" s="2">
        <f t="shared" si="63"/>
        <v>0.20525220335291711</v>
      </c>
      <c r="BC179" s="2">
        <f t="shared" si="63"/>
        <v>0.20525220335291711</v>
      </c>
      <c r="BD179" s="2">
        <f t="shared" si="63"/>
        <v>0.20525220335291711</v>
      </c>
      <c r="BE179" s="2">
        <f t="shared" si="61"/>
        <v>0.19595869131077057</v>
      </c>
      <c r="BF179" s="2">
        <f t="shared" si="61"/>
        <v>0.19077998119497896</v>
      </c>
      <c r="BG179" s="2">
        <f t="shared" si="61"/>
        <v>0.18339141125728844</v>
      </c>
      <c r="BH179" s="2">
        <f t="shared" si="61"/>
        <v>0.17358573476339376</v>
      </c>
      <c r="BI179" s="2">
        <f t="shared" si="61"/>
        <v>0.16175073166996107</v>
      </c>
      <c r="BJ179" s="2">
        <f t="shared" si="61"/>
        <v>0.14899901542071514</v>
      </c>
      <c r="BK179" s="2">
        <f t="shared" si="61"/>
        <v>0.13683480223527805</v>
      </c>
      <c r="BL179" s="2">
        <f t="shared" si="61"/>
        <v>0.1265068402058955</v>
      </c>
      <c r="BM179" s="2">
        <f t="shared" si="61"/>
        <v>0.11857033949443693</v>
      </c>
      <c r="BN179" s="2">
        <f t="shared" si="61"/>
        <v>0.112926433574681</v>
      </c>
      <c r="BO179" s="2">
        <f t="shared" si="61"/>
        <v>0.10913043504597089</v>
      </c>
      <c r="BP179" s="2">
        <f t="shared" si="61"/>
        <v>0.10667207646637149</v>
      </c>
      <c r="BQ179" s="2">
        <f t="shared" ref="BN179:BR195" si="70">Algae_yield_cost_factor/Y179</f>
        <v>0.10511877655929973</v>
      </c>
      <c r="BR179" s="2">
        <f t="shared" si="70"/>
        <v>0.10415257381496451</v>
      </c>
      <c r="BS179" s="2">
        <f t="shared" si="68"/>
        <v>0.10355740428475596</v>
      </c>
      <c r="BT179" s="2">
        <f t="shared" si="68"/>
        <v>0.10319298940368742</v>
      </c>
      <c r="BU179" s="2">
        <f t="shared" si="68"/>
        <v>0.10297068539993515</v>
      </c>
    </row>
    <row r="180" spans="1:73" x14ac:dyDescent="0.25">
      <c r="A180" t="s">
        <v>43</v>
      </c>
      <c r="B180" s="1" t="s">
        <v>5</v>
      </c>
      <c r="C180" t="s">
        <v>16</v>
      </c>
      <c r="D180" t="s">
        <v>16</v>
      </c>
      <c r="E180" s="97">
        <v>6.4991717500000004</v>
      </c>
      <c r="F180" s="5">
        <f t="shared" si="54"/>
        <v>1.5922970787500001E-2</v>
      </c>
      <c r="G180" s="1">
        <f>LOOKUP(RIGHT(D180,5),Ref!$C$4:$C$21,Ref!$E$4:$E$21)*$G$3</f>
        <v>3</v>
      </c>
      <c r="H180" s="36">
        <f t="shared" si="66"/>
        <v>6.4991717500000004</v>
      </c>
      <c r="I180" s="12">
        <f t="shared" si="66"/>
        <v>6.4991717500000004</v>
      </c>
      <c r="J180" s="12">
        <f t="shared" si="66"/>
        <v>6.4991717500000004</v>
      </c>
      <c r="K180" s="12">
        <f t="shared" si="66"/>
        <v>6.4991717500000004</v>
      </c>
      <c r="L180" s="12">
        <f t="shared" si="66"/>
        <v>6.4991717500000004</v>
      </c>
      <c r="M180" s="12">
        <f t="shared" si="65"/>
        <v>6.8074006451747247</v>
      </c>
      <c r="N180" s="12">
        <f t="shared" si="65"/>
        <v>6.9921870906004804</v>
      </c>
      <c r="O180" s="12">
        <f t="shared" si="65"/>
        <v>7.2738920133236</v>
      </c>
      <c r="P180" s="12">
        <f t="shared" si="65"/>
        <v>7.684786560801224</v>
      </c>
      <c r="Q180" s="12">
        <f t="shared" si="65"/>
        <v>8.2470682381727194</v>
      </c>
      <c r="R180" s="12">
        <f t="shared" si="65"/>
        <v>8.9528733991290146</v>
      </c>
      <c r="S180" s="12">
        <f t="shared" si="65"/>
        <v>9.7487576249999996</v>
      </c>
      <c r="T180" s="12">
        <f t="shared" si="65"/>
        <v>10.544641850870986</v>
      </c>
      <c r="U180" s="12">
        <f t="shared" si="65"/>
        <v>11.250447011827282</v>
      </c>
      <c r="V180" s="12">
        <f t="shared" si="65"/>
        <v>11.812728689198776</v>
      </c>
      <c r="W180" s="12">
        <f t="shared" si="65"/>
        <v>12.223623236676399</v>
      </c>
      <c r="X180" s="12">
        <f t="shared" si="65"/>
        <v>12.505328159399522</v>
      </c>
      <c r="Y180" s="12">
        <f t="shared" si="65"/>
        <v>12.690114604825276</v>
      </c>
      <c r="Z180" s="12">
        <f t="shared" si="65"/>
        <v>12.807838277971305</v>
      </c>
      <c r="AA180" s="12">
        <f t="shared" si="65"/>
        <v>12.881448032324807</v>
      </c>
      <c r="AB180" s="12">
        <f t="shared" ref="AB180:AC195" si="71">AB$3*$E180</f>
        <v>12.926937472836379</v>
      </c>
      <c r="AC180" s="12">
        <f t="shared" si="71"/>
        <v>12.954845512345928</v>
      </c>
      <c r="AD180" s="300">
        <f t="shared" si="62"/>
        <v>2.1146690120213024E-3</v>
      </c>
      <c r="AE180" s="299">
        <f t="shared" si="62"/>
        <v>2.1146690120213024E-3</v>
      </c>
      <c r="AF180" s="299">
        <f t="shared" si="62"/>
        <v>2.1146690120213024E-3</v>
      </c>
      <c r="AG180" s="299">
        <f t="shared" si="62"/>
        <v>2.1146690120213024E-3</v>
      </c>
      <c r="AH180" s="299">
        <f t="shared" si="62"/>
        <v>2.1146690120213024E-3</v>
      </c>
      <c r="AI180" s="299">
        <f t="shared" si="62"/>
        <v>2.0189199695879664E-3</v>
      </c>
      <c r="AJ180" s="299">
        <f t="shared" si="62"/>
        <v>1.9655648405067171E-3</v>
      </c>
      <c r="AK180" s="299">
        <f t="shared" si="62"/>
        <v>1.8894420041368624E-3</v>
      </c>
      <c r="AL180" s="299">
        <f t="shared" si="62"/>
        <v>1.7884162422458143E-3</v>
      </c>
      <c r="AM180" s="299">
        <f t="shared" si="62"/>
        <v>1.6664827677689243E-3</v>
      </c>
      <c r="AN180" s="299">
        <f t="shared" si="62"/>
        <v>1.535104596125118E-3</v>
      </c>
      <c r="AO180" s="299">
        <f t="shared" si="62"/>
        <v>1.409779341347535E-3</v>
      </c>
      <c r="AP180" s="299">
        <f t="shared" si="62"/>
        <v>1.3033725846643184E-3</v>
      </c>
      <c r="AQ180" s="299">
        <f t="shared" si="62"/>
        <v>1.2216045361647407E-3</v>
      </c>
      <c r="AR180" s="299">
        <f t="shared" si="69"/>
        <v>1.1634565954347208E-3</v>
      </c>
      <c r="AS180" s="299">
        <f t="shared" si="69"/>
        <v>1.1243472444644933E-3</v>
      </c>
      <c r="AT180" s="299">
        <f t="shared" si="69"/>
        <v>1.0990193082777283E-3</v>
      </c>
      <c r="AU180" s="299">
        <f t="shared" si="69"/>
        <v>1.0830159956398983E-3</v>
      </c>
      <c r="AV180" s="299">
        <f t="shared" si="69"/>
        <v>1.073061417957424E-3</v>
      </c>
      <c r="AW180" s="299">
        <f t="shared" si="67"/>
        <v>1.0669295151477512E-3</v>
      </c>
      <c r="AX180" s="299">
        <f t="shared" si="67"/>
        <v>1.0631750275275132E-3</v>
      </c>
      <c r="AY180" s="299">
        <f t="shared" si="67"/>
        <v>1.0608846775078601E-3</v>
      </c>
      <c r="AZ180" s="306">
        <f t="shared" si="63"/>
        <v>0.11706762777675751</v>
      </c>
      <c r="BA180" s="2">
        <f t="shared" si="63"/>
        <v>0.11706762777675751</v>
      </c>
      <c r="BB180" s="2">
        <f t="shared" si="63"/>
        <v>0.11706762777675751</v>
      </c>
      <c r="BC180" s="2">
        <f t="shared" si="63"/>
        <v>0.11706762777675751</v>
      </c>
      <c r="BD180" s="2">
        <f t="shared" si="63"/>
        <v>0.11706762777675751</v>
      </c>
      <c r="BE180" s="2">
        <f t="shared" si="63"/>
        <v>0.11176698110541271</v>
      </c>
      <c r="BF180" s="2">
        <f t="shared" si="63"/>
        <v>0.10881325248133164</v>
      </c>
      <c r="BG180" s="2">
        <f t="shared" si="63"/>
        <v>0.10459910841301756</v>
      </c>
      <c r="BH180" s="2">
        <f t="shared" si="63"/>
        <v>9.9006343672203637E-2</v>
      </c>
      <c r="BI180" s="2">
        <f t="shared" si="63"/>
        <v>9.2256132399214347E-2</v>
      </c>
      <c r="BJ180" s="2">
        <f t="shared" si="63"/>
        <v>8.4983064695211344E-2</v>
      </c>
      <c r="BK180" s="2">
        <f t="shared" si="63"/>
        <v>7.8045085184505009E-2</v>
      </c>
      <c r="BL180" s="2">
        <f t="shared" si="63"/>
        <v>7.2154429713833498E-2</v>
      </c>
      <c r="BM180" s="2">
        <f t="shared" si="63"/>
        <v>6.7627767899921226E-2</v>
      </c>
      <c r="BN180" s="2">
        <f t="shared" si="70"/>
        <v>6.4408710239989744E-2</v>
      </c>
      <c r="BO180" s="2">
        <f t="shared" si="70"/>
        <v>6.2243624869207828E-2</v>
      </c>
      <c r="BP180" s="2">
        <f t="shared" si="70"/>
        <v>6.0841475696448398E-2</v>
      </c>
      <c r="BQ180" s="2">
        <f t="shared" si="70"/>
        <v>5.9955535704690623E-2</v>
      </c>
      <c r="BR180" s="2">
        <f t="shared" si="70"/>
        <v>5.9404452396531297E-2</v>
      </c>
      <c r="BS180" s="2">
        <f t="shared" si="68"/>
        <v>5.9064991558165927E-2</v>
      </c>
      <c r="BT180" s="2">
        <f t="shared" si="68"/>
        <v>5.8857143920204684E-2</v>
      </c>
      <c r="BU180" s="2">
        <f t="shared" si="68"/>
        <v>5.8730350629124607E-2</v>
      </c>
    </row>
    <row r="181" spans="1:73" x14ac:dyDescent="0.25">
      <c r="A181" t="s">
        <v>43</v>
      </c>
      <c r="B181" s="1" t="s">
        <v>5</v>
      </c>
      <c r="C181" t="s">
        <v>17</v>
      </c>
      <c r="D181" t="s">
        <v>17</v>
      </c>
      <c r="E181" s="97">
        <v>5.3644049999999996</v>
      </c>
      <c r="F181" s="5">
        <f t="shared" si="54"/>
        <v>1.314279225E-2</v>
      </c>
      <c r="G181" s="1">
        <f>LOOKUP(RIGHT(D181,5),Ref!$C$4:$C$21,Ref!$E$4:$E$21)*$G$3</f>
        <v>3</v>
      </c>
      <c r="H181" s="36">
        <f t="shared" si="66"/>
        <v>5.3644049999999996</v>
      </c>
      <c r="I181" s="12">
        <f t="shared" si="66"/>
        <v>5.3644049999999996</v>
      </c>
      <c r="J181" s="12">
        <f t="shared" si="66"/>
        <v>5.3644049999999996</v>
      </c>
      <c r="K181" s="12">
        <f t="shared" si="66"/>
        <v>5.3644049999999996</v>
      </c>
      <c r="L181" s="12">
        <f t="shared" si="66"/>
        <v>5.3644049999999996</v>
      </c>
      <c r="M181" s="12">
        <f t="shared" ref="M181:AB195" si="72">M$3*$E181</f>
        <v>5.6188165912031049</v>
      </c>
      <c r="N181" s="12">
        <f t="shared" si="72"/>
        <v>5.7713390001968579</v>
      </c>
      <c r="O181" s="12">
        <f t="shared" si="72"/>
        <v>6.0038577509100568</v>
      </c>
      <c r="P181" s="12">
        <f t="shared" si="72"/>
        <v>6.3430093920344364</v>
      </c>
      <c r="Q181" s="12">
        <f t="shared" si="72"/>
        <v>6.8071157055043088</v>
      </c>
      <c r="R181" s="12">
        <f t="shared" si="72"/>
        <v>7.3896860514041149</v>
      </c>
      <c r="S181" s="12">
        <f t="shared" si="72"/>
        <v>8.0466075000000004</v>
      </c>
      <c r="T181" s="12">
        <f t="shared" si="72"/>
        <v>8.7035289485958831</v>
      </c>
      <c r="U181" s="12">
        <f t="shared" si="72"/>
        <v>9.2860992944956902</v>
      </c>
      <c r="V181" s="12">
        <f t="shared" si="72"/>
        <v>9.7502056079655617</v>
      </c>
      <c r="W181" s="12">
        <f t="shared" si="72"/>
        <v>10.089357249089941</v>
      </c>
      <c r="X181" s="12">
        <f t="shared" si="72"/>
        <v>10.32187599980314</v>
      </c>
      <c r="Y181" s="12">
        <f t="shared" si="72"/>
        <v>10.474398408796894</v>
      </c>
      <c r="Z181" s="12">
        <f t="shared" si="72"/>
        <v>10.57156732279627</v>
      </c>
      <c r="AA181" s="12">
        <f t="shared" si="72"/>
        <v>10.632324685348305</v>
      </c>
      <c r="AB181" s="12">
        <f t="shared" si="72"/>
        <v>10.669871590017733</v>
      </c>
      <c r="AC181" s="12">
        <f t="shared" si="71"/>
        <v>10.692906837037512</v>
      </c>
      <c r="AD181" s="300">
        <f t="shared" si="62"/>
        <v>2.5619984142750706E-3</v>
      </c>
      <c r="AE181" s="299">
        <f t="shared" si="62"/>
        <v>2.5619984142750706E-3</v>
      </c>
      <c r="AF181" s="299">
        <f t="shared" si="62"/>
        <v>2.5619984142750706E-3</v>
      </c>
      <c r="AG181" s="299">
        <f t="shared" si="62"/>
        <v>2.5619984142750706E-3</v>
      </c>
      <c r="AH181" s="299">
        <f t="shared" si="62"/>
        <v>2.5619984142750706E-3</v>
      </c>
      <c r="AI181" s="299">
        <f t="shared" si="62"/>
        <v>2.4459949671691403E-3</v>
      </c>
      <c r="AJ181" s="299">
        <f t="shared" si="62"/>
        <v>2.3813532878696731E-3</v>
      </c>
      <c r="AK181" s="299">
        <f t="shared" si="62"/>
        <v>2.2891277031748501E-3</v>
      </c>
      <c r="AL181" s="299">
        <f t="shared" si="62"/>
        <v>2.166731318542346E-3</v>
      </c>
      <c r="AM181" s="299">
        <f t="shared" si="62"/>
        <v>2.0190044797411093E-3</v>
      </c>
      <c r="AN181" s="299">
        <f t="shared" si="62"/>
        <v>1.8598350468377255E-3</v>
      </c>
      <c r="AO181" s="299">
        <f t="shared" si="62"/>
        <v>1.707998942850047E-3</v>
      </c>
      <c r="AP181" s="299">
        <f t="shared" si="62"/>
        <v>1.5790832873309943E-3</v>
      </c>
      <c r="AQ181" s="299">
        <f t="shared" si="62"/>
        <v>1.4800183228361277E-3</v>
      </c>
      <c r="AR181" s="299">
        <f t="shared" si="69"/>
        <v>1.4095699779193623E-3</v>
      </c>
      <c r="AS181" s="299">
        <f t="shared" si="69"/>
        <v>1.3621875768913753E-3</v>
      </c>
      <c r="AT181" s="299">
        <f t="shared" si="69"/>
        <v>1.3315018610755814E-3</v>
      </c>
      <c r="AU181" s="299">
        <f t="shared" si="69"/>
        <v>1.3121132658069161E-3</v>
      </c>
      <c r="AV181" s="299">
        <f t="shared" si="69"/>
        <v>1.3000529329168535E-3</v>
      </c>
      <c r="AW181" s="299">
        <f t="shared" si="67"/>
        <v>1.2926239096581005E-3</v>
      </c>
      <c r="AX181" s="299">
        <f t="shared" si="67"/>
        <v>1.2880752113631031E-3</v>
      </c>
      <c r="AY181" s="299">
        <f t="shared" si="67"/>
        <v>1.2853003690189212E-3</v>
      </c>
      <c r="AZ181" s="306">
        <f t="shared" si="63"/>
        <v>0.14183168856307787</v>
      </c>
      <c r="BA181" s="2">
        <f t="shared" si="63"/>
        <v>0.14183168856307787</v>
      </c>
      <c r="BB181" s="2">
        <f t="shared" si="63"/>
        <v>0.14183168856307787</v>
      </c>
      <c r="BC181" s="2">
        <f t="shared" si="63"/>
        <v>0.14183168856307787</v>
      </c>
      <c r="BD181" s="2">
        <f t="shared" si="63"/>
        <v>0.14183168856307787</v>
      </c>
      <c r="BE181" s="2">
        <f t="shared" si="63"/>
        <v>0.13540976234700439</v>
      </c>
      <c r="BF181" s="2">
        <f t="shared" si="63"/>
        <v>0.13183121269782727</v>
      </c>
      <c r="BG181" s="2">
        <f t="shared" si="63"/>
        <v>0.12672562389921552</v>
      </c>
      <c r="BH181" s="2">
        <f t="shared" si="63"/>
        <v>0.11994978601824008</v>
      </c>
      <c r="BI181" s="2">
        <f t="shared" si="63"/>
        <v>0.11177165956955779</v>
      </c>
      <c r="BJ181" s="2">
        <f t="shared" si="63"/>
        <v>0.10296007353947736</v>
      </c>
      <c r="BK181" s="2">
        <f t="shared" si="63"/>
        <v>9.4554459042051911E-2</v>
      </c>
      <c r="BL181" s="2">
        <f t="shared" si="63"/>
        <v>8.741771570817404E-2</v>
      </c>
      <c r="BM181" s="2">
        <f t="shared" si="63"/>
        <v>8.1933500295135242E-2</v>
      </c>
      <c r="BN181" s="2">
        <f t="shared" si="70"/>
        <v>7.8033494869547901E-2</v>
      </c>
      <c r="BO181" s="2">
        <f t="shared" si="70"/>
        <v>7.5410415203093897E-2</v>
      </c>
      <c r="BP181" s="2">
        <f t="shared" si="70"/>
        <v>7.3711660486982078E-2</v>
      </c>
      <c r="BQ181" s="2">
        <f t="shared" si="70"/>
        <v>7.2638311967131802E-2</v>
      </c>
      <c r="BR181" s="2">
        <f t="shared" si="70"/>
        <v>7.1970654497517633E-2</v>
      </c>
      <c r="BS181" s="2">
        <f t="shared" si="68"/>
        <v>7.155938534633767E-2</v>
      </c>
      <c r="BT181" s="2">
        <f t="shared" si="68"/>
        <v>7.1307570373951731E-2</v>
      </c>
      <c r="BU181" s="2">
        <f t="shared" si="68"/>
        <v>7.1153955690594101E-2</v>
      </c>
    </row>
    <row r="182" spans="1:73" x14ac:dyDescent="0.25">
      <c r="A182" t="s">
        <v>43</v>
      </c>
      <c r="B182" s="1" t="s">
        <v>5</v>
      </c>
      <c r="C182" t="s">
        <v>18</v>
      </c>
      <c r="D182" t="s">
        <v>18</v>
      </c>
      <c r="E182" s="97">
        <v>6.1507610000000001</v>
      </c>
      <c r="F182" s="5">
        <f t="shared" si="54"/>
        <v>1.5069364450000001E-2</v>
      </c>
      <c r="G182" s="1">
        <f>LOOKUP(RIGHT(D182,5),Ref!$C$4:$C$21,Ref!$E$4:$E$21)*$G$3</f>
        <v>3</v>
      </c>
      <c r="H182" s="36">
        <f t="shared" ref="H182:L195" si="73">$E182</f>
        <v>6.1507610000000001</v>
      </c>
      <c r="I182" s="12">
        <f t="shared" si="73"/>
        <v>6.1507610000000001</v>
      </c>
      <c r="J182" s="12">
        <f t="shared" si="73"/>
        <v>6.1507610000000001</v>
      </c>
      <c r="K182" s="12">
        <f t="shared" si="73"/>
        <v>6.1507610000000001</v>
      </c>
      <c r="L182" s="12">
        <f t="shared" si="73"/>
        <v>6.1507610000000001</v>
      </c>
      <c r="M182" s="12">
        <f t="shared" si="72"/>
        <v>6.4424662111315234</v>
      </c>
      <c r="N182" s="12">
        <f t="shared" si="72"/>
        <v>6.6173465352056438</v>
      </c>
      <c r="O182" s="12">
        <f t="shared" si="72"/>
        <v>6.8839496838596821</v>
      </c>
      <c r="P182" s="12">
        <f t="shared" si="72"/>
        <v>7.272816797232708</v>
      </c>
      <c r="Q182" s="12">
        <f t="shared" si="72"/>
        <v>7.8049554058471333</v>
      </c>
      <c r="R182" s="12">
        <f t="shared" si="72"/>
        <v>8.4729234215575513</v>
      </c>
      <c r="S182" s="12">
        <f t="shared" si="72"/>
        <v>9.2261415000000007</v>
      </c>
      <c r="T182" s="12">
        <f t="shared" si="72"/>
        <v>9.97935957844245</v>
      </c>
      <c r="U182" s="12">
        <f t="shared" si="72"/>
        <v>10.647327594152866</v>
      </c>
      <c r="V182" s="12">
        <f t="shared" si="72"/>
        <v>11.179466202767292</v>
      </c>
      <c r="W182" s="12">
        <f t="shared" si="72"/>
        <v>11.568333316140317</v>
      </c>
      <c r="X182" s="12">
        <f t="shared" si="72"/>
        <v>11.834936464794357</v>
      </c>
      <c r="Y182" s="12">
        <f t="shared" si="72"/>
        <v>12.009816788868477</v>
      </c>
      <c r="Z182" s="12">
        <f t="shared" si="72"/>
        <v>12.121229474271557</v>
      </c>
      <c r="AA182" s="12">
        <f t="shared" si="72"/>
        <v>12.190893121227356</v>
      </c>
      <c r="AB182" s="12">
        <f t="shared" si="72"/>
        <v>12.233943941758511</v>
      </c>
      <c r="AC182" s="12">
        <f t="shared" si="71"/>
        <v>12.260355873556096</v>
      </c>
      <c r="AD182" s="300">
        <f t="shared" si="62"/>
        <v>2.2344547452793663E-3</v>
      </c>
      <c r="AE182" s="299">
        <f t="shared" si="62"/>
        <v>2.2344547452793663E-3</v>
      </c>
      <c r="AF182" s="299">
        <f t="shared" si="62"/>
        <v>2.2344547452793663E-3</v>
      </c>
      <c r="AG182" s="299">
        <f t="shared" si="62"/>
        <v>2.2344547452793663E-3</v>
      </c>
      <c r="AH182" s="299">
        <f t="shared" si="62"/>
        <v>2.2344547452793663E-3</v>
      </c>
      <c r="AI182" s="299">
        <f t="shared" si="62"/>
        <v>2.1332819844336291E-3</v>
      </c>
      <c r="AJ182" s="299">
        <f t="shared" si="62"/>
        <v>2.0769045463178478E-3</v>
      </c>
      <c r="AK182" s="299">
        <f t="shared" si="62"/>
        <v>1.9964697208279887E-3</v>
      </c>
      <c r="AL182" s="299">
        <f t="shared" si="62"/>
        <v>1.8897213399846219E-3</v>
      </c>
      <c r="AM182" s="299">
        <f t="shared" si="62"/>
        <v>1.7608809261399692E-3</v>
      </c>
      <c r="AN182" s="299">
        <f t="shared" si="62"/>
        <v>1.6220608188859114E-3</v>
      </c>
      <c r="AO182" s="299">
        <f t="shared" si="62"/>
        <v>1.4896364968529107E-3</v>
      </c>
      <c r="AP182" s="299">
        <f t="shared" si="62"/>
        <v>1.3772023139859964E-3</v>
      </c>
      <c r="AQ182" s="299">
        <f t="shared" si="62"/>
        <v>1.2908025025055822E-3</v>
      </c>
      <c r="AR182" s="299">
        <f t="shared" si="69"/>
        <v>1.2293607632292193E-3</v>
      </c>
      <c r="AS182" s="299">
        <f t="shared" si="69"/>
        <v>1.1880360573941955E-3</v>
      </c>
      <c r="AT182" s="299">
        <f t="shared" si="69"/>
        <v>1.1612734165842493E-3</v>
      </c>
      <c r="AU182" s="299">
        <f t="shared" si="69"/>
        <v>1.1443635939782004E-3</v>
      </c>
      <c r="AV182" s="299">
        <f t="shared" si="69"/>
        <v>1.1338451377973934E-3</v>
      </c>
      <c r="AW182" s="299">
        <f t="shared" si="67"/>
        <v>1.12736589246265E-3</v>
      </c>
      <c r="AX182" s="299">
        <f t="shared" si="67"/>
        <v>1.1233987313459726E-3</v>
      </c>
      <c r="AY182" s="299">
        <f t="shared" si="67"/>
        <v>1.1209786441168737E-3</v>
      </c>
      <c r="AZ182" s="306">
        <f t="shared" si="63"/>
        <v>0.12369894055161919</v>
      </c>
      <c r="BA182" s="2">
        <f t="shared" si="63"/>
        <v>0.12369894055161919</v>
      </c>
      <c r="BB182" s="2">
        <f t="shared" si="63"/>
        <v>0.12369894055161919</v>
      </c>
      <c r="BC182" s="2">
        <f t="shared" si="63"/>
        <v>0.12369894055161919</v>
      </c>
      <c r="BD182" s="2">
        <f t="shared" si="63"/>
        <v>0.12369894055161919</v>
      </c>
      <c r="BE182" s="2">
        <f t="shared" si="63"/>
        <v>0.11809803797986658</v>
      </c>
      <c r="BF182" s="2">
        <f t="shared" si="63"/>
        <v>0.11497699496896205</v>
      </c>
      <c r="BG182" s="2">
        <f t="shared" si="63"/>
        <v>0.11052414009796041</v>
      </c>
      <c r="BH182" s="2">
        <f t="shared" si="63"/>
        <v>0.10461457238627499</v>
      </c>
      <c r="BI182" s="2">
        <f t="shared" si="63"/>
        <v>9.7481994415525755E-2</v>
      </c>
      <c r="BJ182" s="2">
        <f t="shared" si="63"/>
        <v>8.9796942735303795E-2</v>
      </c>
      <c r="BK182" s="2">
        <f t="shared" si="63"/>
        <v>8.2465960367746116E-2</v>
      </c>
      <c r="BL182" s="2">
        <f t="shared" si="63"/>
        <v>7.6241627862553465E-2</v>
      </c>
      <c r="BM182" s="2">
        <f t="shared" si="63"/>
        <v>7.1458552632873387E-2</v>
      </c>
      <c r="BN182" s="2">
        <f t="shared" si="70"/>
        <v>6.8057150984354137E-2</v>
      </c>
      <c r="BO182" s="2">
        <f t="shared" si="70"/>
        <v>6.5769424038351176E-2</v>
      </c>
      <c r="BP182" s="2">
        <f t="shared" si="70"/>
        <v>6.4287849922094034E-2</v>
      </c>
      <c r="BQ182" s="2">
        <f t="shared" si="70"/>
        <v>6.335172573085536E-2</v>
      </c>
      <c r="BR182" s="2">
        <f t="shared" si="70"/>
        <v>6.2769426228682285E-2</v>
      </c>
      <c r="BS182" s="2">
        <f t="shared" si="68"/>
        <v>6.2410736581834422E-2</v>
      </c>
      <c r="BT182" s="2">
        <f t="shared" si="68"/>
        <v>6.2191115384239208E-2</v>
      </c>
      <c r="BU182" s="2">
        <f t="shared" si="68"/>
        <v>6.2057139868774189E-2</v>
      </c>
    </row>
    <row r="183" spans="1:73" x14ac:dyDescent="0.25">
      <c r="A183" t="s">
        <v>43</v>
      </c>
      <c r="B183" s="1" t="s">
        <v>5</v>
      </c>
      <c r="C183" t="s">
        <v>6</v>
      </c>
      <c r="D183" t="s">
        <v>6</v>
      </c>
      <c r="E183" s="97">
        <v>6.5404350000000004</v>
      </c>
      <c r="F183" s="5">
        <f t="shared" si="54"/>
        <v>1.6024065749999997E-2</v>
      </c>
      <c r="G183" s="1">
        <f>LOOKUP(RIGHT(D183,5),Ref!$C$4:$C$21,Ref!$E$4:$E$21)*$G$3</f>
        <v>3</v>
      </c>
      <c r="H183" s="36">
        <f t="shared" si="73"/>
        <v>6.5404350000000004</v>
      </c>
      <c r="I183" s="12">
        <f t="shared" si="73"/>
        <v>6.5404350000000004</v>
      </c>
      <c r="J183" s="12">
        <f t="shared" si="73"/>
        <v>6.5404350000000004</v>
      </c>
      <c r="K183" s="12">
        <f t="shared" si="73"/>
        <v>6.5404350000000004</v>
      </c>
      <c r="L183" s="12">
        <f t="shared" si="73"/>
        <v>6.5404350000000004</v>
      </c>
      <c r="M183" s="12">
        <f t="shared" si="72"/>
        <v>6.8506208408361191</v>
      </c>
      <c r="N183" s="12">
        <f t="shared" si="72"/>
        <v>7.0365804956472422</v>
      </c>
      <c r="O183" s="12">
        <f t="shared" si="72"/>
        <v>7.3200739632957292</v>
      </c>
      <c r="P183" s="12">
        <f t="shared" si="72"/>
        <v>7.7335772807964265</v>
      </c>
      <c r="Q183" s="12">
        <f t="shared" si="72"/>
        <v>8.2994288852780649</v>
      </c>
      <c r="R183" s="12">
        <f t="shared" si="72"/>
        <v>9.0097152041307993</v>
      </c>
      <c r="S183" s="12">
        <f t="shared" si="72"/>
        <v>9.8106524999999998</v>
      </c>
      <c r="T183" s="12">
        <f t="shared" si="72"/>
        <v>10.611589795869202</v>
      </c>
      <c r="U183" s="12">
        <f t="shared" si="72"/>
        <v>11.321876114721936</v>
      </c>
      <c r="V183" s="12">
        <f t="shared" si="72"/>
        <v>11.887727719203575</v>
      </c>
      <c r="W183" s="12">
        <f t="shared" si="72"/>
        <v>12.301231036704271</v>
      </c>
      <c r="X183" s="12">
        <f t="shared" si="72"/>
        <v>12.58472450435276</v>
      </c>
      <c r="Y183" s="12">
        <f t="shared" si="72"/>
        <v>12.770684159163881</v>
      </c>
      <c r="Z183" s="12">
        <f t="shared" si="72"/>
        <v>12.889155260065754</v>
      </c>
      <c r="AA183" s="12">
        <f t="shared" si="72"/>
        <v>12.963232362846588</v>
      </c>
      <c r="AB183" s="12">
        <f t="shared" si="72"/>
        <v>13.009010615875878</v>
      </c>
      <c r="AC183" s="12">
        <f t="shared" si="71"/>
        <v>13.037095843565027</v>
      </c>
      <c r="AD183" s="300">
        <f t="shared" si="62"/>
        <v>2.1013276798147614E-3</v>
      </c>
      <c r="AE183" s="299">
        <f t="shared" si="62"/>
        <v>2.1013276798147614E-3</v>
      </c>
      <c r="AF183" s="299">
        <f t="shared" si="62"/>
        <v>2.1013276798147614E-3</v>
      </c>
      <c r="AG183" s="299">
        <f t="shared" si="62"/>
        <v>2.1013276798147614E-3</v>
      </c>
      <c r="AH183" s="299">
        <f t="shared" si="62"/>
        <v>2.1013276798147614E-3</v>
      </c>
      <c r="AI183" s="299">
        <f t="shared" si="62"/>
        <v>2.0061827129016605E-3</v>
      </c>
      <c r="AJ183" s="299">
        <f t="shared" si="62"/>
        <v>1.953164198438561E-3</v>
      </c>
      <c r="AK183" s="299">
        <f t="shared" si="62"/>
        <v>1.8775216169183975E-3</v>
      </c>
      <c r="AL183" s="299">
        <f t="shared" si="62"/>
        <v>1.7771332210847065E-3</v>
      </c>
      <c r="AM183" s="299">
        <f t="shared" si="62"/>
        <v>1.6559690182909245E-3</v>
      </c>
      <c r="AN183" s="299">
        <f t="shared" si="62"/>
        <v>1.5254197044128606E-3</v>
      </c>
      <c r="AO183" s="299">
        <f t="shared" si="62"/>
        <v>1.4008851198765077E-3</v>
      </c>
      <c r="AP183" s="299">
        <f t="shared" si="62"/>
        <v>1.295149677655205E-3</v>
      </c>
      <c r="AQ183" s="299">
        <f t="shared" si="62"/>
        <v>1.2138974993427404E-3</v>
      </c>
      <c r="AR183" s="299">
        <f t="shared" si="69"/>
        <v>1.1561164108198484E-3</v>
      </c>
      <c r="AS183" s="299">
        <f t="shared" si="69"/>
        <v>1.1172537986256232E-3</v>
      </c>
      <c r="AT183" s="299">
        <f t="shared" si="69"/>
        <v>1.092085655015783E-3</v>
      </c>
      <c r="AU183" s="299">
        <f t="shared" si="69"/>
        <v>1.0761833064101929E-3</v>
      </c>
      <c r="AV183" s="299">
        <f t="shared" si="69"/>
        <v>1.0662915316188956E-3</v>
      </c>
      <c r="AW183" s="299">
        <f t="shared" si="67"/>
        <v>1.0601983146517719E-3</v>
      </c>
      <c r="AX183" s="299">
        <f t="shared" si="67"/>
        <v>1.0564675138904807E-3</v>
      </c>
      <c r="AY183" s="299">
        <f t="shared" si="67"/>
        <v>1.0541916135649915E-3</v>
      </c>
      <c r="AZ183" s="306">
        <f t="shared" si="63"/>
        <v>0.11632905445680872</v>
      </c>
      <c r="BA183" s="2">
        <f t="shared" si="63"/>
        <v>0.11632905445680872</v>
      </c>
      <c r="BB183" s="2">
        <f t="shared" si="63"/>
        <v>0.11632905445680872</v>
      </c>
      <c r="BC183" s="2">
        <f t="shared" si="63"/>
        <v>0.11632905445680872</v>
      </c>
      <c r="BD183" s="2">
        <f t="shared" si="63"/>
        <v>0.11632905445680872</v>
      </c>
      <c r="BE183" s="2">
        <f t="shared" si="63"/>
        <v>0.11106184927808044</v>
      </c>
      <c r="BF183" s="2">
        <f t="shared" si="63"/>
        <v>0.10812675556783119</v>
      </c>
      <c r="BG183" s="2">
        <f t="shared" si="63"/>
        <v>0.10393919830608683</v>
      </c>
      <c r="BH183" s="2">
        <f t="shared" si="63"/>
        <v>9.8381718014960332E-2</v>
      </c>
      <c r="BI183" s="2">
        <f t="shared" si="63"/>
        <v>9.1674093459109915E-2</v>
      </c>
      <c r="BJ183" s="2">
        <f t="shared" si="63"/>
        <v>8.4446911145136361E-2</v>
      </c>
      <c r="BK183" s="2">
        <f t="shared" si="63"/>
        <v>7.7552702971205811E-2</v>
      </c>
      <c r="BL183" s="2">
        <f t="shared" si="63"/>
        <v>7.1699211326694212E-2</v>
      </c>
      <c r="BM183" s="2">
        <f t="shared" si="63"/>
        <v>6.7201107976873842E-2</v>
      </c>
      <c r="BN183" s="2">
        <f t="shared" si="70"/>
        <v>6.4002359177283613E-2</v>
      </c>
      <c r="BO183" s="2">
        <f t="shared" si="70"/>
        <v>6.185093321278369E-2</v>
      </c>
      <c r="BP183" s="2">
        <f t="shared" si="70"/>
        <v>6.0457630123175142E-2</v>
      </c>
      <c r="BQ183" s="2">
        <f t="shared" si="70"/>
        <v>5.9577279478817795E-2</v>
      </c>
      <c r="BR183" s="2">
        <f t="shared" si="70"/>
        <v>5.9029672925387376E-2</v>
      </c>
      <c r="BS183" s="2">
        <f t="shared" si="68"/>
        <v>5.8692353727056452E-2</v>
      </c>
      <c r="BT183" s="2">
        <f t="shared" si="68"/>
        <v>5.8485817388580191E-2</v>
      </c>
      <c r="BU183" s="2">
        <f t="shared" si="68"/>
        <v>5.8359824029502835E-2</v>
      </c>
    </row>
    <row r="184" spans="1:73" x14ac:dyDescent="0.25">
      <c r="A184" t="s">
        <v>43</v>
      </c>
      <c r="B184" s="1" t="s">
        <v>5</v>
      </c>
      <c r="C184" t="s">
        <v>7</v>
      </c>
      <c r="D184" t="s">
        <v>7</v>
      </c>
      <c r="E184" s="97">
        <v>5.4186075000000002</v>
      </c>
      <c r="F184" s="5">
        <f t="shared" si="54"/>
        <v>1.3275588374999999E-2</v>
      </c>
      <c r="G184" s="1">
        <f>LOOKUP(RIGHT(D184,5),Ref!$C$4:$C$21,Ref!$E$4:$E$21)*$G$3</f>
        <v>3.5</v>
      </c>
      <c r="H184" s="36">
        <f t="shared" si="73"/>
        <v>5.4186075000000002</v>
      </c>
      <c r="I184" s="12">
        <f t="shared" si="73"/>
        <v>5.4186075000000002</v>
      </c>
      <c r="J184" s="12">
        <f t="shared" si="73"/>
        <v>5.4186075000000002</v>
      </c>
      <c r="K184" s="12">
        <f t="shared" si="73"/>
        <v>5.4186075000000002</v>
      </c>
      <c r="L184" s="12">
        <f t="shared" si="73"/>
        <v>5.4186075000000002</v>
      </c>
      <c r="M184" s="12">
        <f t="shared" si="72"/>
        <v>5.6755896920940119</v>
      </c>
      <c r="N184" s="12">
        <f t="shared" si="72"/>
        <v>5.8296532031994603</v>
      </c>
      <c r="O184" s="12">
        <f t="shared" si="72"/>
        <v>6.0645213472909614</v>
      </c>
      <c r="P184" s="12">
        <f t="shared" si="72"/>
        <v>6.4070998114885516</v>
      </c>
      <c r="Q184" s="12">
        <f t="shared" si="72"/>
        <v>6.8758955028961166</v>
      </c>
      <c r="R184" s="12">
        <f t="shared" si="72"/>
        <v>7.4643521995046473</v>
      </c>
      <c r="S184" s="12">
        <f t="shared" si="72"/>
        <v>8.1279112500000004</v>
      </c>
      <c r="T184" s="12">
        <f t="shared" si="72"/>
        <v>8.7914703004953534</v>
      </c>
      <c r="U184" s="12">
        <f t="shared" si="72"/>
        <v>9.3799269971038832</v>
      </c>
      <c r="V184" s="12">
        <f t="shared" si="72"/>
        <v>9.8487226885114492</v>
      </c>
      <c r="W184" s="12">
        <f t="shared" si="72"/>
        <v>10.191301152709038</v>
      </c>
      <c r="X184" s="12">
        <f t="shared" si="72"/>
        <v>10.426169296800541</v>
      </c>
      <c r="Y184" s="12">
        <f t="shared" si="72"/>
        <v>10.580232807905988</v>
      </c>
      <c r="Z184" s="12">
        <f t="shared" si="72"/>
        <v>10.678383526608972</v>
      </c>
      <c r="AA184" s="12">
        <f t="shared" si="72"/>
        <v>10.739754787802836</v>
      </c>
      <c r="AB184" s="12">
        <f t="shared" si="72"/>
        <v>10.777681070259799</v>
      </c>
      <c r="AC184" s="12">
        <f t="shared" si="71"/>
        <v>10.80094906778529</v>
      </c>
      <c r="AD184" s="300">
        <f t="shared" si="62"/>
        <v>2.5363706641474324E-3</v>
      </c>
      <c r="AE184" s="299">
        <f t="shared" si="62"/>
        <v>2.5363706641474324E-3</v>
      </c>
      <c r="AF184" s="299">
        <f t="shared" si="62"/>
        <v>2.5363706641474324E-3</v>
      </c>
      <c r="AG184" s="299">
        <f t="shared" si="62"/>
        <v>2.5363706641474324E-3</v>
      </c>
      <c r="AH184" s="299">
        <f t="shared" si="62"/>
        <v>2.5363706641474324E-3</v>
      </c>
      <c r="AI184" s="299">
        <f t="shared" si="62"/>
        <v>2.4215276031447144E-3</v>
      </c>
      <c r="AJ184" s="299">
        <f t="shared" si="62"/>
        <v>2.3575325365814948E-3</v>
      </c>
      <c r="AK184" s="299">
        <f t="shared" si="62"/>
        <v>2.2662294872898029E-3</v>
      </c>
      <c r="AL184" s="299">
        <f t="shared" si="62"/>
        <v>2.1450574375141865E-3</v>
      </c>
      <c r="AM184" s="299">
        <f t="shared" si="62"/>
        <v>1.9988083148937442E-3</v>
      </c>
      <c r="AN184" s="299">
        <f t="shared" si="62"/>
        <v>1.8412310587972145E-3</v>
      </c>
      <c r="AO184" s="299">
        <f t="shared" si="62"/>
        <v>1.6909137760982883E-3</v>
      </c>
      <c r="AP184" s="299">
        <f t="shared" si="62"/>
        <v>1.5632876679063433E-3</v>
      </c>
      <c r="AQ184" s="299">
        <f t="shared" si="62"/>
        <v>1.465213653344284E-3</v>
      </c>
      <c r="AR184" s="299">
        <f t="shared" si="69"/>
        <v>1.3954700054212297E-3</v>
      </c>
      <c r="AS184" s="299">
        <f t="shared" si="69"/>
        <v>1.3485615720300794E-3</v>
      </c>
      <c r="AT184" s="299">
        <f t="shared" si="69"/>
        <v>1.3181828063876472E-3</v>
      </c>
      <c r="AU184" s="299">
        <f t="shared" si="69"/>
        <v>1.2989881558427973E-3</v>
      </c>
      <c r="AV184" s="299">
        <f t="shared" si="69"/>
        <v>1.2870484628391763E-3</v>
      </c>
      <c r="AW184" s="299">
        <f t="shared" si="67"/>
        <v>1.2796937523320267E-3</v>
      </c>
      <c r="AX184" s="299">
        <f t="shared" si="67"/>
        <v>1.2751905548080917E-3</v>
      </c>
      <c r="AY184" s="299">
        <f t="shared" si="67"/>
        <v>1.2724434692985135E-3</v>
      </c>
      <c r="AZ184" s="306">
        <f t="shared" si="63"/>
        <v>0.14041294175417166</v>
      </c>
      <c r="BA184" s="2">
        <f t="shared" si="63"/>
        <v>0.14041294175417166</v>
      </c>
      <c r="BB184" s="2">
        <f t="shared" si="63"/>
        <v>0.14041294175417166</v>
      </c>
      <c r="BC184" s="2">
        <f t="shared" si="63"/>
        <v>0.14041294175417166</v>
      </c>
      <c r="BD184" s="2">
        <f t="shared" si="63"/>
        <v>0.14041294175417166</v>
      </c>
      <c r="BE184" s="2">
        <f t="shared" si="63"/>
        <v>0.13405525426654027</v>
      </c>
      <c r="BF184" s="2">
        <f t="shared" si="63"/>
        <v>0.13051250096123182</v>
      </c>
      <c r="BG184" s="2">
        <f t="shared" si="63"/>
        <v>0.12545798352677714</v>
      </c>
      <c r="BH184" s="2">
        <f t="shared" si="63"/>
        <v>0.11874992456367749</v>
      </c>
      <c r="BI184" s="2">
        <f t="shared" si="63"/>
        <v>0.11065360416919542</v>
      </c>
      <c r="BJ184" s="2">
        <f t="shared" si="63"/>
        <v>0.10193016070928555</v>
      </c>
      <c r="BK184" s="2">
        <f t="shared" si="63"/>
        <v>9.3608627836114441E-2</v>
      </c>
      <c r="BL184" s="2">
        <f t="shared" si="63"/>
        <v>8.6543273568625748E-2</v>
      </c>
      <c r="BM184" s="2">
        <f t="shared" si="63"/>
        <v>8.1113916933589478E-2</v>
      </c>
      <c r="BN184" s="2">
        <f t="shared" si="70"/>
        <v>7.7252923384038608E-2</v>
      </c>
      <c r="BO184" s="2">
        <f t="shared" si="70"/>
        <v>7.4656082465384868E-2</v>
      </c>
      <c r="BP184" s="2">
        <f t="shared" si="70"/>
        <v>7.297432044573611E-2</v>
      </c>
      <c r="BQ184" s="2">
        <f t="shared" si="70"/>
        <v>7.1911708664641541E-2</v>
      </c>
      <c r="BR184" s="2">
        <f t="shared" si="70"/>
        <v>7.1250729793541231E-2</v>
      </c>
      <c r="BS184" s="2">
        <f t="shared" si="68"/>
        <v>7.0843574580521013E-2</v>
      </c>
      <c r="BT184" s="2">
        <f t="shared" si="68"/>
        <v>7.0594278521165912E-2</v>
      </c>
      <c r="BU184" s="2">
        <f t="shared" si="68"/>
        <v>7.0442200450281989E-2</v>
      </c>
    </row>
    <row r="185" spans="1:73" x14ac:dyDescent="0.25">
      <c r="A185" t="s">
        <v>43</v>
      </c>
      <c r="B185" s="1" t="s">
        <v>5</v>
      </c>
      <c r="C185" t="s">
        <v>9</v>
      </c>
      <c r="D185" t="s">
        <v>9</v>
      </c>
      <c r="E185" s="97">
        <v>5.7085999999999997</v>
      </c>
      <c r="F185" s="5">
        <f t="shared" si="54"/>
        <v>1.3986069999999998E-2</v>
      </c>
      <c r="G185" s="1">
        <f>LOOKUP(RIGHT(D185,5),Ref!$C$4:$C$21,Ref!$E$4:$E$21)*$G$3</f>
        <v>4.5</v>
      </c>
      <c r="H185" s="36">
        <f t="shared" si="73"/>
        <v>5.7085999999999997</v>
      </c>
      <c r="I185" s="12">
        <f t="shared" si="73"/>
        <v>5.7085999999999997</v>
      </c>
      <c r="J185" s="12">
        <f t="shared" si="73"/>
        <v>5.7085999999999997</v>
      </c>
      <c r="K185" s="12">
        <f t="shared" si="73"/>
        <v>5.7085999999999997</v>
      </c>
      <c r="L185" s="12">
        <f t="shared" si="73"/>
        <v>5.7085999999999997</v>
      </c>
      <c r="M185" s="12">
        <f t="shared" si="72"/>
        <v>5.979335339621457</v>
      </c>
      <c r="N185" s="12">
        <f t="shared" si="72"/>
        <v>6.1416440064692699</v>
      </c>
      <c r="O185" s="12">
        <f t="shared" si="72"/>
        <v>6.3890818006554602</v>
      </c>
      <c r="P185" s="12">
        <f t="shared" si="72"/>
        <v>6.7499943452009656</v>
      </c>
      <c r="Q185" s="12">
        <f t="shared" si="72"/>
        <v>7.2438789980327547</v>
      </c>
      <c r="R185" s="12">
        <f t="shared" si="72"/>
        <v>7.8638286619010929</v>
      </c>
      <c r="S185" s="12">
        <f t="shared" si="72"/>
        <v>8.5628999999999991</v>
      </c>
      <c r="T185" s="12">
        <f t="shared" si="72"/>
        <v>9.2619713380989062</v>
      </c>
      <c r="U185" s="12">
        <f t="shared" si="72"/>
        <v>9.8819210019672443</v>
      </c>
      <c r="V185" s="12">
        <f t="shared" si="72"/>
        <v>10.375805654799034</v>
      </c>
      <c r="W185" s="12">
        <f t="shared" si="72"/>
        <v>10.736718199344537</v>
      </c>
      <c r="X185" s="12">
        <f t="shared" si="72"/>
        <v>10.984155993530729</v>
      </c>
      <c r="Y185" s="12">
        <f t="shared" si="72"/>
        <v>11.146464660378541</v>
      </c>
      <c r="Z185" s="12">
        <f t="shared" si="72"/>
        <v>11.249868199532807</v>
      </c>
      <c r="AA185" s="12">
        <f t="shared" si="72"/>
        <v>11.314523921810403</v>
      </c>
      <c r="AB185" s="12">
        <f t="shared" si="72"/>
        <v>11.354479939298995</v>
      </c>
      <c r="AC185" s="12">
        <f t="shared" si="71"/>
        <v>11.378993191213628</v>
      </c>
      <c r="AD185" s="300">
        <f t="shared" si="62"/>
        <v>2.4075249804731912E-3</v>
      </c>
      <c r="AE185" s="299">
        <f t="shared" si="62"/>
        <v>2.4075249804731912E-3</v>
      </c>
      <c r="AF185" s="299">
        <f t="shared" si="62"/>
        <v>2.4075249804731912E-3</v>
      </c>
      <c r="AG185" s="299">
        <f t="shared" si="62"/>
        <v>2.4075249804731912E-3</v>
      </c>
      <c r="AH185" s="299">
        <f t="shared" si="62"/>
        <v>2.4075249804731912E-3</v>
      </c>
      <c r="AI185" s="299">
        <f t="shared" si="62"/>
        <v>2.2985158588545306E-3</v>
      </c>
      <c r="AJ185" s="299">
        <f t="shared" si="62"/>
        <v>2.2377716925716488E-3</v>
      </c>
      <c r="AK185" s="299">
        <f t="shared" si="62"/>
        <v>2.151106768130484E-3</v>
      </c>
      <c r="AL185" s="299">
        <f t="shared" si="62"/>
        <v>2.0360901655125867E-3</v>
      </c>
      <c r="AM185" s="299">
        <f t="shared" si="62"/>
        <v>1.8972703861096598E-3</v>
      </c>
      <c r="AN185" s="299">
        <f t="shared" si="62"/>
        <v>1.7476979337195686E-3</v>
      </c>
      <c r="AO185" s="299">
        <f t="shared" si="62"/>
        <v>1.6050166536487943E-3</v>
      </c>
      <c r="AP185" s="299">
        <f t="shared" si="62"/>
        <v>1.4838738538301547E-3</v>
      </c>
      <c r="AQ185" s="299">
        <f t="shared" si="62"/>
        <v>1.3907819239592435E-3</v>
      </c>
      <c r="AR185" s="299">
        <f t="shared" si="69"/>
        <v>1.3245811998389299E-3</v>
      </c>
      <c r="AS185" s="299">
        <f t="shared" si="69"/>
        <v>1.2800556788729249E-3</v>
      </c>
      <c r="AT185" s="299">
        <f t="shared" si="69"/>
        <v>1.2512201312166126E-3</v>
      </c>
      <c r="AU185" s="299">
        <f t="shared" si="69"/>
        <v>1.2330005541920876E-3</v>
      </c>
      <c r="AV185" s="299">
        <f t="shared" si="69"/>
        <v>1.2216673884321609E-3</v>
      </c>
      <c r="AW185" s="299">
        <f t="shared" si="67"/>
        <v>1.2146862915757739E-3</v>
      </c>
      <c r="AX185" s="299">
        <f t="shared" si="67"/>
        <v>1.2104118530309161E-3</v>
      </c>
      <c r="AY185" s="299">
        <f t="shared" si="67"/>
        <v>1.2078043173574862E-3</v>
      </c>
      <c r="AZ185" s="306">
        <f t="shared" si="63"/>
        <v>0.13328007204677467</v>
      </c>
      <c r="BA185" s="2">
        <f t="shared" si="63"/>
        <v>0.13328007204677467</v>
      </c>
      <c r="BB185" s="2">
        <f t="shared" si="63"/>
        <v>0.13328007204677467</v>
      </c>
      <c r="BC185" s="2">
        <f t="shared" si="63"/>
        <v>0.13328007204677467</v>
      </c>
      <c r="BD185" s="2">
        <f t="shared" si="63"/>
        <v>0.13328007204677467</v>
      </c>
      <c r="BE185" s="2">
        <f t="shared" si="63"/>
        <v>0.12724535020549385</v>
      </c>
      <c r="BF185" s="2">
        <f t="shared" si="63"/>
        <v>0.12388256604987004</v>
      </c>
      <c r="BG185" s="2">
        <f t="shared" si="63"/>
        <v>0.11908481422293926</v>
      </c>
      <c r="BH185" s="2">
        <f t="shared" si="63"/>
        <v>0.11271751950831678</v>
      </c>
      <c r="BI185" s="2">
        <f t="shared" si="63"/>
        <v>0.10503248597786385</v>
      </c>
      <c r="BJ185" s="2">
        <f t="shared" si="63"/>
        <v>9.6752186752538286E-2</v>
      </c>
      <c r="BK185" s="2">
        <f t="shared" si="63"/>
        <v>8.885338136451644E-2</v>
      </c>
      <c r="BL185" s="2">
        <f t="shared" si="63"/>
        <v>8.2146941672828239E-2</v>
      </c>
      <c r="BM185" s="2">
        <f t="shared" si="63"/>
        <v>7.6993392189105031E-2</v>
      </c>
      <c r="BN185" s="2">
        <f t="shared" si="70"/>
        <v>7.3328534149472199E-2</v>
      </c>
      <c r="BO185" s="2">
        <f t="shared" si="70"/>
        <v>7.086361075702502E-2</v>
      </c>
      <c r="BP185" s="2">
        <f t="shared" si="70"/>
        <v>6.9267280957619914E-2</v>
      </c>
      <c r="BQ185" s="2">
        <f t="shared" si="70"/>
        <v>6.8258649039701802E-2</v>
      </c>
      <c r="BR185" s="2">
        <f t="shared" si="70"/>
        <v>6.7631247388108481E-2</v>
      </c>
      <c r="BS185" s="2">
        <f t="shared" si="68"/>
        <v>6.7244775347514371E-2</v>
      </c>
      <c r="BT185" s="2">
        <f t="shared" si="68"/>
        <v>6.7008143336698758E-2</v>
      </c>
      <c r="BU185" s="2">
        <f t="shared" si="68"/>
        <v>6.6863790715131807E-2</v>
      </c>
    </row>
    <row r="186" spans="1:73" x14ac:dyDescent="0.25">
      <c r="A186" t="s">
        <v>43</v>
      </c>
      <c r="B186" s="1" t="s">
        <v>5</v>
      </c>
      <c r="C186" t="s">
        <v>10</v>
      </c>
      <c r="D186" t="s">
        <v>10</v>
      </c>
      <c r="E186" s="97">
        <v>6.46488</v>
      </c>
      <c r="F186" s="5">
        <f t="shared" si="54"/>
        <v>1.5838956000000001E-2</v>
      </c>
      <c r="G186" s="1">
        <f>LOOKUP(RIGHT(D186,5),Ref!$C$4:$C$21,Ref!$E$4:$E$21)*$G$3</f>
        <v>4.5</v>
      </c>
      <c r="H186" s="36">
        <f t="shared" si="73"/>
        <v>6.46488</v>
      </c>
      <c r="I186" s="12">
        <f t="shared" si="73"/>
        <v>6.46488</v>
      </c>
      <c r="J186" s="12">
        <f t="shared" si="73"/>
        <v>6.46488</v>
      </c>
      <c r="K186" s="12">
        <f t="shared" si="73"/>
        <v>6.46488</v>
      </c>
      <c r="L186" s="12">
        <f t="shared" si="73"/>
        <v>6.46488</v>
      </c>
      <c r="M186" s="12">
        <f t="shared" si="72"/>
        <v>6.7714825789881878</v>
      </c>
      <c r="N186" s="12">
        <f t="shared" si="72"/>
        <v>6.9552940308557361</v>
      </c>
      <c r="O186" s="12">
        <f t="shared" si="72"/>
        <v>7.2355125865223471</v>
      </c>
      <c r="P186" s="12">
        <f t="shared" si="72"/>
        <v>7.6442391203452367</v>
      </c>
      <c r="Q186" s="12">
        <f t="shared" si="72"/>
        <v>8.2035540161864553</v>
      </c>
      <c r="R186" s="12">
        <f t="shared" si="72"/>
        <v>8.9056351188997542</v>
      </c>
      <c r="S186" s="12">
        <f t="shared" si="72"/>
        <v>9.6973199999999995</v>
      </c>
      <c r="T186" s="12">
        <f t="shared" si="72"/>
        <v>10.489004881100245</v>
      </c>
      <c r="U186" s="12">
        <f t="shared" si="72"/>
        <v>11.191085983813545</v>
      </c>
      <c r="V186" s="12">
        <f t="shared" si="72"/>
        <v>11.750400879654762</v>
      </c>
      <c r="W186" s="12">
        <f t="shared" si="72"/>
        <v>12.15912741347765</v>
      </c>
      <c r="X186" s="12">
        <f t="shared" si="72"/>
        <v>12.439345969144263</v>
      </c>
      <c r="Y186" s="12">
        <f t="shared" si="72"/>
        <v>12.623157421011813</v>
      </c>
      <c r="Z186" s="12">
        <f t="shared" si="72"/>
        <v>12.740259945660172</v>
      </c>
      <c r="AA186" s="12">
        <f t="shared" si="72"/>
        <v>12.813481310940274</v>
      </c>
      <c r="AB186" s="12">
        <f t="shared" si="72"/>
        <v>12.858730734326331</v>
      </c>
      <c r="AC186" s="12">
        <f t="shared" si="71"/>
        <v>12.886491521916611</v>
      </c>
      <c r="AD186" s="300">
        <f t="shared" si="62"/>
        <v>2.1258858793247919E-3</v>
      </c>
      <c r="AE186" s="299">
        <f t="shared" si="62"/>
        <v>2.1258858793247919E-3</v>
      </c>
      <c r="AF186" s="299">
        <f t="shared" si="62"/>
        <v>2.1258858793247919E-3</v>
      </c>
      <c r="AG186" s="299">
        <f t="shared" si="62"/>
        <v>2.1258858793247919E-3</v>
      </c>
      <c r="AH186" s="299">
        <f t="shared" si="62"/>
        <v>2.1258858793247919E-3</v>
      </c>
      <c r="AI186" s="299">
        <f t="shared" si="62"/>
        <v>2.0296289539569138E-3</v>
      </c>
      <c r="AJ186" s="299">
        <f t="shared" si="62"/>
        <v>1.9759908125463292E-3</v>
      </c>
      <c r="AK186" s="299">
        <f t="shared" si="62"/>
        <v>1.8994641967909197E-3</v>
      </c>
      <c r="AL186" s="299">
        <f t="shared" si="62"/>
        <v>1.7979025625912862E-3</v>
      </c>
      <c r="AM186" s="299">
        <f t="shared" si="62"/>
        <v>1.6753223147445277E-3</v>
      </c>
      <c r="AN186" s="299">
        <f t="shared" si="62"/>
        <v>1.5432472720965477E-3</v>
      </c>
      <c r="AO186" s="299">
        <f t="shared" si="62"/>
        <v>1.4172572528831945E-3</v>
      </c>
      <c r="AP186" s="299">
        <f t="shared" si="62"/>
        <v>1.3102860814082893E-3</v>
      </c>
      <c r="AQ186" s="299">
        <f t="shared" si="62"/>
        <v>1.2280843095484736E-3</v>
      </c>
      <c r="AR186" s="299">
        <f t="shared" si="69"/>
        <v>1.1696279339137798E-3</v>
      </c>
      <c r="AS186" s="299">
        <f t="shared" si="69"/>
        <v>1.1303111346867968E-3</v>
      </c>
      <c r="AT186" s="299">
        <f t="shared" si="69"/>
        <v>1.1048488511872076E-3</v>
      </c>
      <c r="AU186" s="299">
        <f t="shared" si="69"/>
        <v>1.088760651962751E-3</v>
      </c>
      <c r="AV186" s="299">
        <f t="shared" si="69"/>
        <v>1.078753272079889E-3</v>
      </c>
      <c r="AW186" s="299">
        <f t="shared" si="67"/>
        <v>1.0725888437356087E-3</v>
      </c>
      <c r="AX186" s="299">
        <f t="shared" si="67"/>
        <v>1.0688144411361521E-3</v>
      </c>
      <c r="AY186" s="299">
        <f t="shared" si="67"/>
        <v>1.0665119423820622E-3</v>
      </c>
      <c r="AZ186" s="306">
        <f t="shared" si="63"/>
        <v>0.11768859117048078</v>
      </c>
      <c r="BA186" s="2">
        <f t="shared" si="63"/>
        <v>0.11768859117048078</v>
      </c>
      <c r="BB186" s="2">
        <f t="shared" si="63"/>
        <v>0.11768859117048078</v>
      </c>
      <c r="BC186" s="2">
        <f t="shared" si="63"/>
        <v>0.11768859117048078</v>
      </c>
      <c r="BD186" s="2">
        <f t="shared" si="63"/>
        <v>0.11768859117048078</v>
      </c>
      <c r="BE186" s="2">
        <f t="shared" si="63"/>
        <v>0.1123598282076515</v>
      </c>
      <c r="BF186" s="2">
        <f t="shared" si="63"/>
        <v>0.10939043208107313</v>
      </c>
      <c r="BG186" s="2">
        <f t="shared" si="63"/>
        <v>0.10515393487165595</v>
      </c>
      <c r="BH186" s="2">
        <f t="shared" si="63"/>
        <v>9.9531504353549821E-2</v>
      </c>
      <c r="BI186" s="2">
        <f t="shared" si="63"/>
        <v>9.2745487844048694E-2</v>
      </c>
      <c r="BJ186" s="2">
        <f t="shared" si="63"/>
        <v>8.5433841509129332E-2</v>
      </c>
      <c r="BK186" s="2">
        <f t="shared" si="63"/>
        <v>7.8459060780320528E-2</v>
      </c>
      <c r="BL186" s="2">
        <f t="shared" si="63"/>
        <v>7.253715942654887E-2</v>
      </c>
      <c r="BM186" s="2">
        <f t="shared" si="63"/>
        <v>6.7986486779449101E-2</v>
      </c>
      <c r="BN186" s="2">
        <f t="shared" si="70"/>
        <v>6.4750354228644155E-2</v>
      </c>
      <c r="BO186" s="2">
        <f t="shared" si="70"/>
        <v>6.2573784566388388E-2</v>
      </c>
      <c r="BP186" s="2">
        <f t="shared" si="70"/>
        <v>6.1164197954899253E-2</v>
      </c>
      <c r="BQ186" s="2">
        <f t="shared" si="70"/>
        <v>6.0273558659718611E-2</v>
      </c>
      <c r="BR186" s="2">
        <f t="shared" si="70"/>
        <v>5.9719552232950342E-2</v>
      </c>
      <c r="BS186" s="2">
        <f t="shared" si="68"/>
        <v>5.9378290787890954E-2</v>
      </c>
      <c r="BT186" s="2">
        <f t="shared" si="68"/>
        <v>5.9169340660906088E-2</v>
      </c>
      <c r="BU186" s="2">
        <f t="shared" si="68"/>
        <v>5.9041874818465519E-2</v>
      </c>
    </row>
    <row r="187" spans="1:73" x14ac:dyDescent="0.25">
      <c r="A187" t="s">
        <v>43</v>
      </c>
      <c r="B187" s="1" t="s">
        <v>5</v>
      </c>
      <c r="C187" t="s">
        <v>11</v>
      </c>
      <c r="D187" t="s">
        <v>11</v>
      </c>
      <c r="E187" s="97">
        <v>5.5812150000000003</v>
      </c>
      <c r="F187" s="5">
        <f t="shared" si="54"/>
        <v>1.367397675E-2</v>
      </c>
      <c r="G187" s="1">
        <f>LOOKUP(RIGHT(D187,5),Ref!$C$4:$C$21,Ref!$E$4:$E$21)*$G$3</f>
        <v>4.5</v>
      </c>
      <c r="H187" s="36">
        <f t="shared" si="73"/>
        <v>5.5812150000000003</v>
      </c>
      <c r="I187" s="12">
        <f t="shared" si="73"/>
        <v>5.5812150000000003</v>
      </c>
      <c r="J187" s="12">
        <f t="shared" si="73"/>
        <v>5.5812150000000003</v>
      </c>
      <c r="K187" s="12">
        <f t="shared" si="73"/>
        <v>5.5812150000000003</v>
      </c>
      <c r="L187" s="12">
        <f t="shared" si="73"/>
        <v>5.5812150000000003</v>
      </c>
      <c r="M187" s="12">
        <f t="shared" si="72"/>
        <v>5.8459089947667335</v>
      </c>
      <c r="N187" s="12">
        <f t="shared" si="72"/>
        <v>6.0045958122072642</v>
      </c>
      <c r="O187" s="12">
        <f t="shared" si="72"/>
        <v>6.2465121364336733</v>
      </c>
      <c r="P187" s="12">
        <f t="shared" si="72"/>
        <v>6.5993710698508936</v>
      </c>
      <c r="Q187" s="12">
        <f t="shared" si="72"/>
        <v>7.0822348950715384</v>
      </c>
      <c r="R187" s="12">
        <f t="shared" si="72"/>
        <v>7.6883506438062419</v>
      </c>
      <c r="S187" s="12">
        <f t="shared" si="72"/>
        <v>8.3718225000000004</v>
      </c>
      <c r="T187" s="12">
        <f t="shared" si="72"/>
        <v>9.0552943561937589</v>
      </c>
      <c r="U187" s="12">
        <f t="shared" si="72"/>
        <v>9.6614101049284624</v>
      </c>
      <c r="V187" s="12">
        <f t="shared" si="72"/>
        <v>10.144273930149108</v>
      </c>
      <c r="W187" s="12">
        <f t="shared" si="72"/>
        <v>10.497132863566327</v>
      </c>
      <c r="X187" s="12">
        <f t="shared" si="72"/>
        <v>10.739049187792736</v>
      </c>
      <c r="Y187" s="12">
        <f t="shared" si="72"/>
        <v>10.897736005233268</v>
      </c>
      <c r="Z187" s="12">
        <f t="shared" si="72"/>
        <v>10.998832138047069</v>
      </c>
      <c r="AA187" s="12">
        <f t="shared" si="72"/>
        <v>11.062045095166425</v>
      </c>
      <c r="AB187" s="12">
        <f t="shared" si="72"/>
        <v>11.101109510985996</v>
      </c>
      <c r="AC187" s="12">
        <f t="shared" si="71"/>
        <v>11.125075760028619</v>
      </c>
      <c r="AD187" s="300">
        <f t="shared" si="62"/>
        <v>2.4624740497417247E-3</v>
      </c>
      <c r="AE187" s="299">
        <f t="shared" si="62"/>
        <v>2.4624740497417247E-3</v>
      </c>
      <c r="AF187" s="299">
        <f t="shared" si="62"/>
        <v>2.4624740497417247E-3</v>
      </c>
      <c r="AG187" s="299">
        <f t="shared" si="62"/>
        <v>2.4624740497417247E-3</v>
      </c>
      <c r="AH187" s="299">
        <f t="shared" si="62"/>
        <v>2.4624740497417247E-3</v>
      </c>
      <c r="AI187" s="299">
        <f t="shared" si="62"/>
        <v>2.3509769166493266E-3</v>
      </c>
      <c r="AJ187" s="299">
        <f t="shared" si="62"/>
        <v>2.2888463326022224E-3</v>
      </c>
      <c r="AK187" s="299">
        <f t="shared" si="62"/>
        <v>2.2002033780368037E-3</v>
      </c>
      <c r="AL187" s="299">
        <f t="shared" si="62"/>
        <v>2.0825616498997353E-3</v>
      </c>
      <c r="AM187" s="299">
        <f t="shared" si="62"/>
        <v>1.9405734640478109E-3</v>
      </c>
      <c r="AN187" s="299">
        <f t="shared" si="62"/>
        <v>1.7875871874549767E-3</v>
      </c>
      <c r="AO187" s="299">
        <f t="shared" si="62"/>
        <v>1.641649366494483E-3</v>
      </c>
      <c r="AP187" s="299">
        <f t="shared" si="62"/>
        <v>1.5177416175465057E-3</v>
      </c>
      <c r="AQ187" s="299">
        <f t="shared" si="62"/>
        <v>1.4225249683292502E-3</v>
      </c>
      <c r="AR187" s="299">
        <f t="shared" si="69"/>
        <v>1.3548132866052489E-3</v>
      </c>
      <c r="AS187" s="299">
        <f t="shared" si="69"/>
        <v>1.3092715203435056E-3</v>
      </c>
      <c r="AT187" s="299">
        <f t="shared" si="69"/>
        <v>1.279777833511727E-3</v>
      </c>
      <c r="AU187" s="299">
        <f t="shared" si="69"/>
        <v>1.2611424149868709E-3</v>
      </c>
      <c r="AV187" s="299">
        <f t="shared" si="69"/>
        <v>1.2495505823738797E-3</v>
      </c>
      <c r="AW187" s="299">
        <f t="shared" si="67"/>
        <v>1.2424101497773266E-3</v>
      </c>
      <c r="AX187" s="299">
        <f t="shared" si="67"/>
        <v>1.2380381519458193E-3</v>
      </c>
      <c r="AY187" s="299">
        <f t="shared" si="67"/>
        <v>1.2353711021824004E-3</v>
      </c>
      <c r="AZ187" s="306">
        <f t="shared" si="63"/>
        <v>0.13632204086139268</v>
      </c>
      <c r="BA187" s="2">
        <f t="shared" si="63"/>
        <v>0.13632204086139268</v>
      </c>
      <c r="BB187" s="2">
        <f t="shared" si="63"/>
        <v>0.13632204086139268</v>
      </c>
      <c r="BC187" s="2">
        <f t="shared" si="63"/>
        <v>0.13632204086139268</v>
      </c>
      <c r="BD187" s="2">
        <f t="shared" si="63"/>
        <v>0.13632204086139268</v>
      </c>
      <c r="BE187" s="2">
        <f t="shared" si="63"/>
        <v>0.13014958323287709</v>
      </c>
      <c r="BF187" s="2">
        <f t="shared" si="63"/>
        <v>0.12671004728402113</v>
      </c>
      <c r="BG187" s="2">
        <f t="shared" si="63"/>
        <v>0.1218027921291459</v>
      </c>
      <c r="BH187" s="2">
        <f t="shared" si="63"/>
        <v>0.11529017102282874</v>
      </c>
      <c r="BI187" s="2">
        <f t="shared" si="63"/>
        <v>0.10742973518368913</v>
      </c>
      <c r="BJ187" s="2">
        <f t="shared" si="63"/>
        <v>9.896044737490671E-2</v>
      </c>
      <c r="BK187" s="2">
        <f t="shared" si="63"/>
        <v>9.0881360574261785E-2</v>
      </c>
      <c r="BL187" s="2">
        <f t="shared" si="63"/>
        <v>8.4021853885490383E-2</v>
      </c>
      <c r="BM187" s="2">
        <f t="shared" si="63"/>
        <v>7.8750680389614969E-2</v>
      </c>
      <c r="BN187" s="2">
        <f t="shared" si="70"/>
        <v>7.5002176057664321E-2</v>
      </c>
      <c r="BO187" s="2">
        <f t="shared" si="70"/>
        <v>7.2480993541290367E-2</v>
      </c>
      <c r="BP187" s="2">
        <f t="shared" si="70"/>
        <v>7.0848229296787357E-2</v>
      </c>
      <c r="BQ187" s="2">
        <f t="shared" si="70"/>
        <v>6.9816576481651682E-2</v>
      </c>
      <c r="BR187" s="2">
        <f t="shared" si="70"/>
        <v>6.9174855087961326E-2</v>
      </c>
      <c r="BS187" s="2">
        <f t="shared" si="68"/>
        <v>6.8779562254602356E-2</v>
      </c>
      <c r="BT187" s="2">
        <f t="shared" si="68"/>
        <v>6.8537529382379725E-2</v>
      </c>
      <c r="BU187" s="2">
        <f t="shared" si="68"/>
        <v>6.8389882073419742E-2</v>
      </c>
    </row>
    <row r="188" spans="1:73" x14ac:dyDescent="0.25">
      <c r="A188" t="s">
        <v>44</v>
      </c>
      <c r="B188" s="1" t="s">
        <v>5</v>
      </c>
      <c r="C188" t="s">
        <v>9</v>
      </c>
      <c r="D188" t="s">
        <v>9</v>
      </c>
      <c r="E188" s="97">
        <v>3.8985650000000001</v>
      </c>
      <c r="F188" s="5">
        <f t="shared" si="54"/>
        <v>9.5514842499999988E-3</v>
      </c>
      <c r="G188" s="1">
        <f>LOOKUP(RIGHT(D188,5),Ref!$C$4:$C$21,Ref!$E$4:$E$21)*$G$3</f>
        <v>4.5</v>
      </c>
      <c r="H188" s="36">
        <f t="shared" si="73"/>
        <v>3.8985650000000001</v>
      </c>
      <c r="I188" s="12">
        <f t="shared" si="73"/>
        <v>3.8985650000000001</v>
      </c>
      <c r="J188" s="12">
        <f t="shared" si="73"/>
        <v>3.8985650000000001</v>
      </c>
      <c r="K188" s="12">
        <f t="shared" si="73"/>
        <v>3.8985650000000001</v>
      </c>
      <c r="L188" s="12">
        <f t="shared" si="73"/>
        <v>3.8985650000000001</v>
      </c>
      <c r="M188" s="12">
        <f t="shared" si="72"/>
        <v>4.0834578492645006</v>
      </c>
      <c r="N188" s="12">
        <f t="shared" si="72"/>
        <v>4.1943030455945189</v>
      </c>
      <c r="O188" s="12">
        <f t="shared" si="72"/>
        <v>4.3632853396931566</v>
      </c>
      <c r="P188" s="12">
        <f t="shared" si="72"/>
        <v>4.6097627622181276</v>
      </c>
      <c r="Q188" s="12">
        <f t="shared" si="72"/>
        <v>4.9470506124033156</v>
      </c>
      <c r="R188" s="12">
        <f t="shared" si="72"/>
        <v>5.370431837453042</v>
      </c>
      <c r="S188" s="12">
        <f t="shared" si="72"/>
        <v>5.8478475000000003</v>
      </c>
      <c r="T188" s="12">
        <f t="shared" si="72"/>
        <v>6.3252631625469578</v>
      </c>
      <c r="U188" s="12">
        <f t="shared" si="72"/>
        <v>6.7486443875966851</v>
      </c>
      <c r="V188" s="12">
        <f t="shared" si="72"/>
        <v>7.0859322377818721</v>
      </c>
      <c r="W188" s="12">
        <f t="shared" si="72"/>
        <v>7.3324096603068423</v>
      </c>
      <c r="X188" s="12">
        <f t="shared" si="72"/>
        <v>7.5013919544054808</v>
      </c>
      <c r="Y188" s="12">
        <f t="shared" si="72"/>
        <v>7.6122371507355</v>
      </c>
      <c r="Z188" s="12">
        <f t="shared" si="72"/>
        <v>7.682854363120839</v>
      </c>
      <c r="AA188" s="12">
        <f t="shared" si="72"/>
        <v>7.7270095913591383</v>
      </c>
      <c r="AB188" s="12">
        <f t="shared" si="72"/>
        <v>7.7542966900033621</v>
      </c>
      <c r="AC188" s="12">
        <f t="shared" si="71"/>
        <v>7.7710374856363664</v>
      </c>
      <c r="AD188" s="300">
        <f t="shared" si="62"/>
        <v>3.5252963856006658E-3</v>
      </c>
      <c r="AE188" s="299">
        <f t="shared" si="62"/>
        <v>3.5252963856006658E-3</v>
      </c>
      <c r="AF188" s="299">
        <f t="shared" si="62"/>
        <v>3.5252963856006658E-3</v>
      </c>
      <c r="AG188" s="299">
        <f t="shared" si="62"/>
        <v>3.5252963856006658E-3</v>
      </c>
      <c r="AH188" s="299">
        <f t="shared" si="62"/>
        <v>3.5252963856006658E-3</v>
      </c>
      <c r="AI188" s="299">
        <f t="shared" si="62"/>
        <v>3.3656762505837332E-3</v>
      </c>
      <c r="AJ188" s="299">
        <f t="shared" si="62"/>
        <v>3.2767296387810675E-3</v>
      </c>
      <c r="AK188" s="299">
        <f t="shared" si="62"/>
        <v>3.1498277177755612E-3</v>
      </c>
      <c r="AL188" s="299">
        <f t="shared" si="62"/>
        <v>2.9814109342399453E-3</v>
      </c>
      <c r="AM188" s="299">
        <f t="shared" si="62"/>
        <v>2.7781395785745791E-3</v>
      </c>
      <c r="AN188" s="299">
        <f t="shared" si="62"/>
        <v>2.5591232734176622E-3</v>
      </c>
      <c r="AO188" s="299">
        <f t="shared" si="62"/>
        <v>2.3501975904004439E-3</v>
      </c>
      <c r="AP188" s="299">
        <f t="shared" si="62"/>
        <v>2.1728103243051793E-3</v>
      </c>
      <c r="AQ188" s="299">
        <f t="shared" si="62"/>
        <v>2.0364974525533719E-3</v>
      </c>
      <c r="AR188" s="299">
        <f t="shared" si="69"/>
        <v>1.9395608993053896E-3</v>
      </c>
      <c r="AS188" s="299">
        <f t="shared" si="69"/>
        <v>1.8743629639146656E-3</v>
      </c>
      <c r="AT188" s="299">
        <f t="shared" si="69"/>
        <v>1.8321395798359535E-3</v>
      </c>
      <c r="AU188" s="299">
        <f t="shared" si="69"/>
        <v>1.8054609743997983E-3</v>
      </c>
      <c r="AV188" s="299">
        <f t="shared" si="69"/>
        <v>1.788866019574852E-3</v>
      </c>
      <c r="AW188" s="299">
        <f t="shared" si="67"/>
        <v>1.778643722520841E-3</v>
      </c>
      <c r="AX188" s="299">
        <f t="shared" si="67"/>
        <v>1.772384737515544E-3</v>
      </c>
      <c r="AY188" s="299">
        <f t="shared" si="67"/>
        <v>1.7685665689983225E-3</v>
      </c>
      <c r="AZ188" s="306">
        <f t="shared" si="63"/>
        <v>0.19515965984566572</v>
      </c>
      <c r="BA188" s="2">
        <f t="shared" si="63"/>
        <v>0.19515965984566572</v>
      </c>
      <c r="BB188" s="2">
        <f t="shared" si="63"/>
        <v>0.19515965984566572</v>
      </c>
      <c r="BC188" s="2">
        <f t="shared" si="63"/>
        <v>0.19515965984566572</v>
      </c>
      <c r="BD188" s="2">
        <f t="shared" si="63"/>
        <v>0.19515965984566572</v>
      </c>
      <c r="BE188" s="2">
        <f t="shared" si="63"/>
        <v>0.18632312304221735</v>
      </c>
      <c r="BF188" s="2">
        <f t="shared" si="63"/>
        <v>0.18139905748712359</v>
      </c>
      <c r="BG188" s="2">
        <f t="shared" si="63"/>
        <v>0.17437379406860501</v>
      </c>
      <c r="BH188" s="2">
        <f t="shared" si="63"/>
        <v>0.16505027666979444</v>
      </c>
      <c r="BI188" s="2">
        <f t="shared" si="63"/>
        <v>0.15379721755395476</v>
      </c>
      <c r="BJ188" s="2">
        <f t="shared" si="63"/>
        <v>0.14167252137531117</v>
      </c>
      <c r="BK188" s="2">
        <f t="shared" si="63"/>
        <v>0.13010643989711046</v>
      </c>
      <c r="BL188" s="2">
        <f t="shared" si="63"/>
        <v>0.12028631848731706</v>
      </c>
      <c r="BM188" s="2">
        <f t="shared" si="63"/>
        <v>0.11274006683246909</v>
      </c>
      <c r="BN188" s="2">
        <f t="shared" si="70"/>
        <v>0.10737367981441301</v>
      </c>
      <c r="BO188" s="2">
        <f t="shared" si="70"/>
        <v>0.1037643359460604</v>
      </c>
      <c r="BP188" s="2">
        <f t="shared" si="70"/>
        <v>0.10142685836318467</v>
      </c>
      <c r="BQ188" s="2">
        <f t="shared" si="70"/>
        <v>9.9949936427388447E-2</v>
      </c>
      <c r="BR188" s="2">
        <f t="shared" si="70"/>
        <v>9.9031243249697268E-2</v>
      </c>
      <c r="BS188" s="2">
        <f t="shared" si="68"/>
        <v>9.8465339053939199E-2</v>
      </c>
      <c r="BT188" s="2">
        <f t="shared" si="68"/>
        <v>9.8118842972190673E-2</v>
      </c>
      <c r="BU188" s="2">
        <f t="shared" si="68"/>
        <v>9.7907469973285394E-2</v>
      </c>
    </row>
    <row r="189" spans="1:73" x14ac:dyDescent="0.25">
      <c r="A189" t="s">
        <v>44</v>
      </c>
      <c r="B189" s="1" t="s">
        <v>5</v>
      </c>
      <c r="C189" t="s">
        <v>10</v>
      </c>
      <c r="D189" t="s">
        <v>10</v>
      </c>
      <c r="E189" s="97">
        <v>4.1263249999999996</v>
      </c>
      <c r="F189" s="5">
        <f t="shared" si="54"/>
        <v>1.0109496249999999E-2</v>
      </c>
      <c r="G189" s="1">
        <f>LOOKUP(RIGHT(D189,5),Ref!$C$4:$C$21,Ref!$E$4:$E$21)*$G$3</f>
        <v>4.5</v>
      </c>
      <c r="H189" s="36">
        <f t="shared" si="73"/>
        <v>4.1263249999999996</v>
      </c>
      <c r="I189" s="12">
        <f t="shared" si="73"/>
        <v>4.1263249999999996</v>
      </c>
      <c r="J189" s="12">
        <f t="shared" si="73"/>
        <v>4.1263249999999996</v>
      </c>
      <c r="K189" s="12">
        <f t="shared" si="73"/>
        <v>4.1263249999999996</v>
      </c>
      <c r="L189" s="12">
        <f t="shared" si="73"/>
        <v>4.1263249999999996</v>
      </c>
      <c r="M189" s="12">
        <f t="shared" si="72"/>
        <v>4.3220195661394225</v>
      </c>
      <c r="N189" s="12">
        <f t="shared" si="72"/>
        <v>4.4393405046761565</v>
      </c>
      <c r="O189" s="12">
        <f t="shared" si="72"/>
        <v>4.6181949972129139</v>
      </c>
      <c r="P189" s="12">
        <f t="shared" si="72"/>
        <v>4.8790719995202627</v>
      </c>
      <c r="Q189" s="12">
        <f t="shared" si="72"/>
        <v>5.2360647105345448</v>
      </c>
      <c r="R189" s="12">
        <f t="shared" si="72"/>
        <v>5.6841805001785071</v>
      </c>
      <c r="S189" s="12">
        <f t="shared" si="72"/>
        <v>6.1894874999999994</v>
      </c>
      <c r="T189" s="12">
        <f t="shared" si="72"/>
        <v>6.6947944998214917</v>
      </c>
      <c r="U189" s="12">
        <f t="shared" si="72"/>
        <v>7.1429102894654539</v>
      </c>
      <c r="V189" s="12">
        <f t="shared" si="72"/>
        <v>7.499903000479736</v>
      </c>
      <c r="W189" s="12">
        <f t="shared" si="72"/>
        <v>7.7607800027870839</v>
      </c>
      <c r="X189" s="12">
        <f t="shared" si="72"/>
        <v>7.9396344953238422</v>
      </c>
      <c r="Y189" s="12">
        <f t="shared" si="72"/>
        <v>8.0569554338605762</v>
      </c>
      <c r="Z189" s="12">
        <f t="shared" si="72"/>
        <v>8.1316982094449095</v>
      </c>
      <c r="AA189" s="12">
        <f t="shared" si="72"/>
        <v>8.1784330521781712</v>
      </c>
      <c r="AB189" s="12">
        <f t="shared" si="72"/>
        <v>8.2073143039498166</v>
      </c>
      <c r="AC189" s="12">
        <f t="shared" si="71"/>
        <v>8.2250331219098491</v>
      </c>
      <c r="AD189" s="300">
        <f t="shared" si="62"/>
        <v>3.3307112511809568E-3</v>
      </c>
      <c r="AE189" s="299">
        <f t="shared" si="62"/>
        <v>3.3307112511809568E-3</v>
      </c>
      <c r="AF189" s="299">
        <f t="shared" si="62"/>
        <v>3.3307112511809568E-3</v>
      </c>
      <c r="AG189" s="299">
        <f t="shared" si="62"/>
        <v>3.3307112511809568E-3</v>
      </c>
      <c r="AH189" s="299">
        <f t="shared" si="62"/>
        <v>3.3307112511809568E-3</v>
      </c>
      <c r="AI189" s="299">
        <f t="shared" si="62"/>
        <v>3.1799016393175461E-3</v>
      </c>
      <c r="AJ189" s="299">
        <f t="shared" si="62"/>
        <v>3.0958645972419805E-3</v>
      </c>
      <c r="AK189" s="299">
        <f t="shared" si="62"/>
        <v>2.9759672581654815E-3</v>
      </c>
      <c r="AL189" s="299">
        <f t="shared" si="62"/>
        <v>2.8168465447692935E-3</v>
      </c>
      <c r="AM189" s="299">
        <f t="shared" ref="AM189:AQ195" si="74">Algae_electricity_factor/Q189</f>
        <v>2.624795120632913E-3</v>
      </c>
      <c r="AN189" s="299">
        <f t="shared" si="74"/>
        <v>2.4178678180782E-3</v>
      </c>
      <c r="AO189" s="299">
        <f t="shared" si="74"/>
        <v>2.2204741674539713E-3</v>
      </c>
      <c r="AP189" s="299">
        <f t="shared" si="74"/>
        <v>2.0528781135695376E-3</v>
      </c>
      <c r="AQ189" s="299">
        <f t="shared" si="74"/>
        <v>1.9240892782594046E-3</v>
      </c>
      <c r="AR189" s="299">
        <f t="shared" si="69"/>
        <v>1.8325033140628808E-3</v>
      </c>
      <c r="AS189" s="299">
        <f t="shared" si="69"/>
        <v>1.7709040970873549E-3</v>
      </c>
      <c r="AT189" s="299">
        <f t="shared" si="69"/>
        <v>1.7310113093523061E-3</v>
      </c>
      <c r="AU189" s="299">
        <f t="shared" si="69"/>
        <v>1.7058052779800308E-3</v>
      </c>
      <c r="AV189" s="299">
        <f t="shared" si="69"/>
        <v>1.6901263118159217E-3</v>
      </c>
      <c r="AW189" s="299">
        <f t="shared" si="67"/>
        <v>1.6804682530070858E-3</v>
      </c>
      <c r="AX189" s="299">
        <f t="shared" si="67"/>
        <v>1.6745547440427712E-3</v>
      </c>
      <c r="AY189" s="299">
        <f t="shared" si="67"/>
        <v>1.6709473262690039E-3</v>
      </c>
      <c r="AZ189" s="306">
        <f t="shared" si="63"/>
        <v>0.18438746809478601</v>
      </c>
      <c r="BA189" s="2">
        <f t="shared" si="63"/>
        <v>0.18438746809478601</v>
      </c>
      <c r="BB189" s="2">
        <f t="shared" si="63"/>
        <v>0.18438746809478601</v>
      </c>
      <c r="BC189" s="2">
        <f t="shared" si="63"/>
        <v>0.18438746809478601</v>
      </c>
      <c r="BD189" s="2">
        <f t="shared" si="63"/>
        <v>0.18438746809478601</v>
      </c>
      <c r="BE189" s="2">
        <f t="shared" si="63"/>
        <v>0.17603867998354036</v>
      </c>
      <c r="BF189" s="2">
        <f t="shared" si="63"/>
        <v>0.1713864071667375</v>
      </c>
      <c r="BG189" s="2">
        <f t="shared" si="63"/>
        <v>0.16474891591744983</v>
      </c>
      <c r="BH189" s="2">
        <f t="shared" si="63"/>
        <v>0.15594002698894954</v>
      </c>
      <c r="BI189" s="2">
        <f t="shared" ref="BI189:BM195" si="75">Algae_yield_cost_factor/Q189</f>
        <v>0.1453081009017064</v>
      </c>
      <c r="BJ189" s="2">
        <f t="shared" si="75"/>
        <v>0.13385264934185748</v>
      </c>
      <c r="BK189" s="2">
        <f t="shared" si="75"/>
        <v>0.12292497872985733</v>
      </c>
      <c r="BL189" s="2">
        <f t="shared" si="75"/>
        <v>0.11364689675037892</v>
      </c>
      <c r="BM189" s="2">
        <f t="shared" si="75"/>
        <v>0.10651717415635582</v>
      </c>
      <c r="BN189" s="2">
        <f t="shared" si="70"/>
        <v>0.10144699461280365</v>
      </c>
      <c r="BO189" s="2">
        <f t="shared" si="70"/>
        <v>9.8036875032275206E-2</v>
      </c>
      <c r="BP189" s="2">
        <f t="shared" si="70"/>
        <v>9.5828418768436577E-2</v>
      </c>
      <c r="BQ189" s="2">
        <f t="shared" si="70"/>
        <v>9.4433018220339324E-2</v>
      </c>
      <c r="BR189" s="2">
        <f t="shared" si="70"/>
        <v>9.3565033980541043E-2</v>
      </c>
      <c r="BS189" s="2">
        <f t="shared" si="68"/>
        <v>9.3030365894305592E-2</v>
      </c>
      <c r="BT189" s="2">
        <f t="shared" si="68"/>
        <v>9.2702995292876497E-2</v>
      </c>
      <c r="BU189" s="2">
        <f t="shared" si="68"/>
        <v>9.2503289410407918E-2</v>
      </c>
    </row>
    <row r="190" spans="1:73" x14ac:dyDescent="0.25">
      <c r="A190" t="s">
        <v>45</v>
      </c>
      <c r="B190" s="1" t="s">
        <v>5</v>
      </c>
      <c r="C190" t="s">
        <v>16</v>
      </c>
      <c r="D190" t="s">
        <v>16</v>
      </c>
      <c r="E190" s="97">
        <v>5.0098075</v>
      </c>
      <c r="F190" s="5">
        <f t="shared" si="54"/>
        <v>1.2274028374999999E-2</v>
      </c>
      <c r="G190" s="1">
        <f>LOOKUP(RIGHT(D190,5),Ref!$C$4:$C$21,Ref!$E$4:$E$21)*$G$3</f>
        <v>3</v>
      </c>
      <c r="H190" s="36">
        <f t="shared" si="73"/>
        <v>5.0098075</v>
      </c>
      <c r="I190" s="12">
        <f t="shared" si="73"/>
        <v>5.0098075</v>
      </c>
      <c r="J190" s="12">
        <f t="shared" si="73"/>
        <v>5.0098075</v>
      </c>
      <c r="K190" s="12">
        <f t="shared" si="73"/>
        <v>5.0098075</v>
      </c>
      <c r="L190" s="12">
        <f t="shared" si="73"/>
        <v>5.0098075</v>
      </c>
      <c r="M190" s="12">
        <f t="shared" si="72"/>
        <v>5.2474019951390227</v>
      </c>
      <c r="N190" s="12">
        <f t="shared" si="72"/>
        <v>5.3898423792067751</v>
      </c>
      <c r="O190" s="12">
        <f t="shared" si="72"/>
        <v>5.6069911927683194</v>
      </c>
      <c r="P190" s="12">
        <f t="shared" si="72"/>
        <v>5.923724257356513</v>
      </c>
      <c r="Q190" s="12">
        <f t="shared" si="72"/>
        <v>6.3571522498400626</v>
      </c>
      <c r="R190" s="12">
        <f t="shared" si="72"/>
        <v>6.9012135740999652</v>
      </c>
      <c r="S190" s="12">
        <f t="shared" si="72"/>
        <v>7.5147112499999995</v>
      </c>
      <c r="T190" s="12">
        <f t="shared" si="72"/>
        <v>8.1282089259000347</v>
      </c>
      <c r="U190" s="12">
        <f t="shared" si="72"/>
        <v>8.6722702501599382</v>
      </c>
      <c r="V190" s="12">
        <f t="shared" si="72"/>
        <v>9.1056982426434878</v>
      </c>
      <c r="W190" s="12">
        <f t="shared" si="72"/>
        <v>9.4224313072316797</v>
      </c>
      <c r="X190" s="12">
        <f t="shared" si="72"/>
        <v>9.6395801207932248</v>
      </c>
      <c r="Y190" s="12">
        <f t="shared" si="72"/>
        <v>9.7820205048609772</v>
      </c>
      <c r="Z190" s="12">
        <f t="shared" si="72"/>
        <v>9.8727663665401248</v>
      </c>
      <c r="AA190" s="12">
        <f t="shared" si="72"/>
        <v>9.9295075504353392</v>
      </c>
      <c r="AB190" s="12">
        <f t="shared" si="72"/>
        <v>9.9645725324071854</v>
      </c>
      <c r="AC190" s="12">
        <f t="shared" si="71"/>
        <v>9.9860851052431361</v>
      </c>
      <c r="AD190" s="300">
        <f t="shared" ref="AD190:AL195" si="76">Algae_electricity_factor/H190</f>
        <v>2.743338362507793E-3</v>
      </c>
      <c r="AE190" s="299">
        <f t="shared" si="76"/>
        <v>2.743338362507793E-3</v>
      </c>
      <c r="AF190" s="299">
        <f t="shared" si="76"/>
        <v>2.743338362507793E-3</v>
      </c>
      <c r="AG190" s="299">
        <f t="shared" si="76"/>
        <v>2.743338362507793E-3</v>
      </c>
      <c r="AH190" s="299">
        <f t="shared" si="76"/>
        <v>2.743338362507793E-3</v>
      </c>
      <c r="AI190" s="299">
        <f t="shared" si="76"/>
        <v>2.6191241144209575E-3</v>
      </c>
      <c r="AJ190" s="299">
        <f t="shared" si="76"/>
        <v>2.5499070541561753E-3</v>
      </c>
      <c r="AK190" s="299">
        <f t="shared" si="76"/>
        <v>2.4511536813639407E-3</v>
      </c>
      <c r="AL190" s="299">
        <f t="shared" si="76"/>
        <v>2.3200939993892286E-3</v>
      </c>
      <c r="AM190" s="299">
        <f t="shared" si="74"/>
        <v>2.1619109568871862E-3</v>
      </c>
      <c r="AN190" s="299">
        <f t="shared" si="74"/>
        <v>1.9914754058776764E-3</v>
      </c>
      <c r="AO190" s="299">
        <f t="shared" si="74"/>
        <v>1.8288922416718621E-3</v>
      </c>
      <c r="AP190" s="299">
        <f t="shared" si="74"/>
        <v>1.6908518504902277E-3</v>
      </c>
      <c r="AQ190" s="299">
        <f t="shared" si="74"/>
        <v>1.584775002056214E-3</v>
      </c>
      <c r="AR190" s="299">
        <f t="shared" si="69"/>
        <v>1.509340276527694E-3</v>
      </c>
      <c r="AS190" s="299">
        <f t="shared" si="69"/>
        <v>1.4586041177059154E-3</v>
      </c>
      <c r="AT190" s="299">
        <f t="shared" si="69"/>
        <v>1.4257464465577078E-3</v>
      </c>
      <c r="AU190" s="299">
        <f t="shared" si="69"/>
        <v>1.4049855136471711E-3</v>
      </c>
      <c r="AV190" s="299">
        <f t="shared" si="69"/>
        <v>1.3920715423903678E-3</v>
      </c>
      <c r="AW190" s="299">
        <f t="shared" si="67"/>
        <v>1.3841166879345087E-3</v>
      </c>
      <c r="AX190" s="299">
        <f t="shared" si="67"/>
        <v>1.3792460297550927E-3</v>
      </c>
      <c r="AY190" s="299">
        <f t="shared" si="67"/>
        <v>1.3762747822280489E-3</v>
      </c>
      <c r="AZ190" s="306">
        <f t="shared" ref="AZ190:BH195" si="77">Algae_yield_cost_factor/H190</f>
        <v>0.15187062961724931</v>
      </c>
      <c r="BA190" s="2">
        <f t="shared" si="77"/>
        <v>0.15187062961724931</v>
      </c>
      <c r="BB190" s="2">
        <f t="shared" si="77"/>
        <v>0.15187062961724931</v>
      </c>
      <c r="BC190" s="2">
        <f t="shared" si="77"/>
        <v>0.15187062961724931</v>
      </c>
      <c r="BD190" s="2">
        <f t="shared" si="77"/>
        <v>0.15187062961724931</v>
      </c>
      <c r="BE190" s="2">
        <f t="shared" si="77"/>
        <v>0.14499415520118927</v>
      </c>
      <c r="BF190" s="2">
        <f t="shared" si="77"/>
        <v>0.14116231343265945</v>
      </c>
      <c r="BG190" s="2">
        <f t="shared" si="77"/>
        <v>0.1356953476701592</v>
      </c>
      <c r="BH190" s="2">
        <f t="shared" si="77"/>
        <v>0.12843991148665435</v>
      </c>
      <c r="BI190" s="2">
        <f t="shared" si="75"/>
        <v>0.11968293181988202</v>
      </c>
      <c r="BJ190" s="2">
        <f t="shared" si="75"/>
        <v>0.11024765588209527</v>
      </c>
      <c r="BK190" s="2">
        <f t="shared" si="75"/>
        <v>0.10124708641149956</v>
      </c>
      <c r="BL190" s="2">
        <f t="shared" si="75"/>
        <v>9.3605199647592702E-2</v>
      </c>
      <c r="BM190" s="2">
        <f t="shared" si="75"/>
        <v>8.7732807827591158E-2</v>
      </c>
      <c r="BN190" s="2">
        <f t="shared" si="70"/>
        <v>8.3556757429437564E-2</v>
      </c>
      <c r="BO190" s="2">
        <f t="shared" si="70"/>
        <v>8.0748014443180291E-2</v>
      </c>
      <c r="BP190" s="2">
        <f t="shared" si="70"/>
        <v>7.8929020740750824E-2</v>
      </c>
      <c r="BQ190" s="2">
        <f t="shared" si="70"/>
        <v>7.777969990025399E-2</v>
      </c>
      <c r="BR190" s="2">
        <f t="shared" si="70"/>
        <v>7.7064785191797491E-2</v>
      </c>
      <c r="BS190" s="2">
        <f t="shared" si="68"/>
        <v>7.6624406137126122E-2</v>
      </c>
      <c r="BT190" s="2">
        <f t="shared" si="68"/>
        <v>7.6354767533858045E-2</v>
      </c>
      <c r="BU190" s="2">
        <f t="shared" si="68"/>
        <v>7.6190279901253974E-2</v>
      </c>
    </row>
    <row r="191" spans="1:73" x14ac:dyDescent="0.25">
      <c r="A191" t="s">
        <v>45</v>
      </c>
      <c r="B191" s="1" t="s">
        <v>5</v>
      </c>
      <c r="C191" t="s">
        <v>17</v>
      </c>
      <c r="D191" t="s">
        <v>17</v>
      </c>
      <c r="E191" s="97">
        <v>5.7963825</v>
      </c>
      <c r="F191" s="5">
        <f t="shared" si="54"/>
        <v>1.4201137125000001E-2</v>
      </c>
      <c r="G191" s="1">
        <f>LOOKUP(RIGHT(D191,5),Ref!$C$4:$C$21,Ref!$E$4:$E$21)*$G$3</f>
        <v>3</v>
      </c>
      <c r="H191" s="36">
        <f t="shared" si="73"/>
        <v>5.7963825</v>
      </c>
      <c r="I191" s="12">
        <f t="shared" si="73"/>
        <v>5.7963825</v>
      </c>
      <c r="J191" s="12">
        <f t="shared" si="73"/>
        <v>5.7963825</v>
      </c>
      <c r="K191" s="12">
        <f t="shared" si="73"/>
        <v>5.7963825</v>
      </c>
      <c r="L191" s="12">
        <f t="shared" si="73"/>
        <v>5.7963825</v>
      </c>
      <c r="M191" s="12">
        <f t="shared" si="72"/>
        <v>6.0712810013336673</v>
      </c>
      <c r="N191" s="12">
        <f t="shared" si="72"/>
        <v>6.2360855271569848</v>
      </c>
      <c r="O191" s="12">
        <f t="shared" si="72"/>
        <v>6.4873282311578668</v>
      </c>
      <c r="P191" s="12">
        <f t="shared" si="72"/>
        <v>6.8537906137444971</v>
      </c>
      <c r="Q191" s="12">
        <f t="shared" si="72"/>
        <v>7.3552698483541663</v>
      </c>
      <c r="R191" s="12">
        <f t="shared" si="72"/>
        <v>7.9847526256598664</v>
      </c>
      <c r="S191" s="12">
        <f t="shared" si="72"/>
        <v>8.69457375</v>
      </c>
      <c r="T191" s="12">
        <f t="shared" si="72"/>
        <v>9.4043948743401327</v>
      </c>
      <c r="U191" s="12">
        <f t="shared" si="72"/>
        <v>10.033877651645835</v>
      </c>
      <c r="V191" s="12">
        <f t="shared" si="72"/>
        <v>10.535356886255503</v>
      </c>
      <c r="W191" s="12">
        <f t="shared" si="72"/>
        <v>10.901819268842132</v>
      </c>
      <c r="X191" s="12">
        <f t="shared" si="72"/>
        <v>11.153061972843014</v>
      </c>
      <c r="Y191" s="12">
        <f t="shared" si="72"/>
        <v>11.317866498666334</v>
      </c>
      <c r="Z191" s="12">
        <f t="shared" si="72"/>
        <v>11.422860098636876</v>
      </c>
      <c r="AA191" s="12">
        <f t="shared" si="72"/>
        <v>11.488510047334406</v>
      </c>
      <c r="AB191" s="12">
        <f t="shared" si="72"/>
        <v>11.529080478007526</v>
      </c>
      <c r="AC191" s="12">
        <f t="shared" si="71"/>
        <v>11.553970676027367</v>
      </c>
      <c r="AD191" s="300">
        <f t="shared" si="76"/>
        <v>2.3710645568213035E-3</v>
      </c>
      <c r="AE191" s="299">
        <f t="shared" si="76"/>
        <v>2.3710645568213035E-3</v>
      </c>
      <c r="AF191" s="299">
        <f t="shared" si="76"/>
        <v>2.3710645568213035E-3</v>
      </c>
      <c r="AG191" s="299">
        <f t="shared" si="76"/>
        <v>2.3710645568213035E-3</v>
      </c>
      <c r="AH191" s="299">
        <f t="shared" si="76"/>
        <v>2.3710645568213035E-3</v>
      </c>
      <c r="AI191" s="299">
        <f t="shared" si="76"/>
        <v>2.2637063085220776E-3</v>
      </c>
      <c r="AJ191" s="299">
        <f t="shared" si="76"/>
        <v>2.2038820737269346E-3</v>
      </c>
      <c r="AK191" s="299">
        <f t="shared" si="76"/>
        <v>2.1185296340518727E-3</v>
      </c>
      <c r="AL191" s="299">
        <f t="shared" si="76"/>
        <v>2.0052548842049594E-3</v>
      </c>
      <c r="AM191" s="299">
        <f t="shared" si="74"/>
        <v>1.868537441437932E-3</v>
      </c>
      <c r="AN191" s="299">
        <f t="shared" si="74"/>
        <v>1.7212301680283397E-3</v>
      </c>
      <c r="AO191" s="299">
        <f t="shared" si="74"/>
        <v>1.5807097045475358E-3</v>
      </c>
      <c r="AP191" s="299">
        <f t="shared" si="74"/>
        <v>1.4614015348322548E-3</v>
      </c>
      <c r="AQ191" s="299">
        <f t="shared" si="74"/>
        <v>1.3697194226077621E-3</v>
      </c>
      <c r="AR191" s="299">
        <f t="shared" si="69"/>
        <v>1.3045212660483527E-3</v>
      </c>
      <c r="AS191" s="299">
        <f t="shared" si="69"/>
        <v>1.2606700555758662E-3</v>
      </c>
      <c r="AT191" s="299">
        <f t="shared" si="69"/>
        <v>1.2322712038177527E-3</v>
      </c>
      <c r="AU191" s="299">
        <f t="shared" si="69"/>
        <v>1.2143275506164319E-3</v>
      </c>
      <c r="AV191" s="299">
        <f t="shared" si="69"/>
        <v>1.2031660183923047E-3</v>
      </c>
      <c r="AW191" s="299">
        <f t="shared" si="67"/>
        <v>1.1962906457759581E-3</v>
      </c>
      <c r="AX191" s="299">
        <f t="shared" si="67"/>
        <v>1.1920809408648043E-3</v>
      </c>
      <c r="AY191" s="299">
        <f t="shared" si="67"/>
        <v>1.1895128946488513E-3</v>
      </c>
      <c r="AZ191" s="306">
        <f t="shared" si="77"/>
        <v>0.13126163073023869</v>
      </c>
      <c r="BA191" s="2">
        <f t="shared" si="77"/>
        <v>0.13126163073023869</v>
      </c>
      <c r="BB191" s="2">
        <f t="shared" si="77"/>
        <v>0.13126163073023869</v>
      </c>
      <c r="BC191" s="2">
        <f t="shared" si="77"/>
        <v>0.13126163073023869</v>
      </c>
      <c r="BD191" s="2">
        <f t="shared" si="77"/>
        <v>0.13126163073023869</v>
      </c>
      <c r="BE191" s="2">
        <f t="shared" si="77"/>
        <v>0.12531830088560961</v>
      </c>
      <c r="BF191" s="2">
        <f t="shared" si="77"/>
        <v>0.12200644394193932</v>
      </c>
      <c r="BG191" s="2">
        <f t="shared" si="77"/>
        <v>0.11728135099315325</v>
      </c>
      <c r="BH191" s="2">
        <f t="shared" si="77"/>
        <v>0.11101048487831457</v>
      </c>
      <c r="BI191" s="2">
        <f t="shared" si="75"/>
        <v>0.1034418362579132</v>
      </c>
      <c r="BJ191" s="2">
        <f t="shared" si="75"/>
        <v>9.528693686028139E-2</v>
      </c>
      <c r="BK191" s="2">
        <f t="shared" si="75"/>
        <v>8.7507753820159129E-2</v>
      </c>
      <c r="BL191" s="2">
        <f t="shared" si="75"/>
        <v>8.0902878861687844E-2</v>
      </c>
      <c r="BM191" s="2">
        <f t="shared" si="75"/>
        <v>7.5827376583709735E-2</v>
      </c>
      <c r="BN191" s="2">
        <f t="shared" si="70"/>
        <v>7.2218020471505634E-2</v>
      </c>
      <c r="BO191" s="2">
        <f t="shared" si="70"/>
        <v>6.9790426764892222E-2</v>
      </c>
      <c r="BP191" s="2">
        <f t="shared" si="70"/>
        <v>6.8218272357745385E-2</v>
      </c>
      <c r="BQ191" s="2">
        <f t="shared" si="70"/>
        <v>6.7224915524129333E-2</v>
      </c>
      <c r="BR191" s="2">
        <f t="shared" si="70"/>
        <v>6.6607015468657577E-2</v>
      </c>
      <c r="BS191" s="2">
        <f t="shared" si="68"/>
        <v>6.6226396299557608E-2</v>
      </c>
      <c r="BT191" s="2">
        <f t="shared" si="68"/>
        <v>6.5993347928967522E-2</v>
      </c>
      <c r="BU191" s="2">
        <f t="shared" si="68"/>
        <v>6.5851181435386888E-2</v>
      </c>
    </row>
    <row r="192" spans="1:73" x14ac:dyDescent="0.25">
      <c r="A192" t="s">
        <v>45</v>
      </c>
      <c r="B192" s="1" t="s">
        <v>5</v>
      </c>
      <c r="C192" t="s">
        <v>18</v>
      </c>
      <c r="D192" t="s">
        <v>18</v>
      </c>
      <c r="E192" s="97">
        <v>6.1038949999999996</v>
      </c>
      <c r="F192" s="5">
        <f t="shared" si="54"/>
        <v>1.4954542749999997E-2</v>
      </c>
      <c r="G192" s="1">
        <f>LOOKUP(RIGHT(D192,5),Ref!$C$4:$C$21,Ref!$E$4:$E$21)*$G$3</f>
        <v>3</v>
      </c>
      <c r="H192" s="36">
        <f t="shared" si="73"/>
        <v>6.1038949999999996</v>
      </c>
      <c r="I192" s="12">
        <f t="shared" si="73"/>
        <v>6.1038949999999996</v>
      </c>
      <c r="J192" s="12">
        <f t="shared" si="73"/>
        <v>6.1038949999999996</v>
      </c>
      <c r="K192" s="12">
        <f t="shared" si="73"/>
        <v>6.1038949999999996</v>
      </c>
      <c r="L192" s="12">
        <f t="shared" si="73"/>
        <v>6.1038949999999996</v>
      </c>
      <c r="M192" s="12">
        <f t="shared" si="72"/>
        <v>6.3933775501591832</v>
      </c>
      <c r="N192" s="12">
        <f t="shared" si="72"/>
        <v>6.5669253657407678</v>
      </c>
      <c r="O192" s="12">
        <f t="shared" si="72"/>
        <v>6.8314971197161931</v>
      </c>
      <c r="P192" s="12">
        <f t="shared" si="72"/>
        <v>7.2174012426339988</v>
      </c>
      <c r="Q192" s="12">
        <f t="shared" si="72"/>
        <v>7.7454851971932062</v>
      </c>
      <c r="R192" s="12">
        <f t="shared" si="72"/>
        <v>8.4083636005736562</v>
      </c>
      <c r="S192" s="12">
        <f t="shared" si="72"/>
        <v>9.1558424999999986</v>
      </c>
      <c r="T192" s="12">
        <f t="shared" si="72"/>
        <v>9.9033213994263427</v>
      </c>
      <c r="U192" s="12">
        <f t="shared" si="72"/>
        <v>10.566199802806793</v>
      </c>
      <c r="V192" s="12">
        <f t="shared" si="72"/>
        <v>11.094283757366</v>
      </c>
      <c r="W192" s="12">
        <f t="shared" si="72"/>
        <v>11.480187880283804</v>
      </c>
      <c r="X192" s="12">
        <f t="shared" si="72"/>
        <v>11.744759634259232</v>
      </c>
      <c r="Y192" s="12">
        <f t="shared" si="72"/>
        <v>11.918307449840816</v>
      </c>
      <c r="Z192" s="12">
        <f t="shared" si="72"/>
        <v>12.028871221277949</v>
      </c>
      <c r="AA192" s="12">
        <f t="shared" si="72"/>
        <v>12.098004062943438</v>
      </c>
      <c r="AB192" s="12">
        <f t="shared" si="72"/>
        <v>12.140726855811835</v>
      </c>
      <c r="AC192" s="12">
        <f t="shared" si="71"/>
        <v>12.166937540707512</v>
      </c>
      <c r="AD192" s="300">
        <f t="shared" si="76"/>
        <v>2.2516109965078461E-3</v>
      </c>
      <c r="AE192" s="299">
        <f t="shared" si="76"/>
        <v>2.2516109965078461E-3</v>
      </c>
      <c r="AF192" s="299">
        <f t="shared" si="76"/>
        <v>2.2516109965078461E-3</v>
      </c>
      <c r="AG192" s="299">
        <f t="shared" si="76"/>
        <v>2.2516109965078461E-3</v>
      </c>
      <c r="AH192" s="299">
        <f t="shared" si="76"/>
        <v>2.2516109965078461E-3</v>
      </c>
      <c r="AI192" s="299">
        <f t="shared" si="76"/>
        <v>2.1496614263281024E-3</v>
      </c>
      <c r="AJ192" s="299">
        <f t="shared" si="76"/>
        <v>2.0928511195252397E-3</v>
      </c>
      <c r="AK192" s="299">
        <f t="shared" si="76"/>
        <v>2.0117987115685445E-3</v>
      </c>
      <c r="AL192" s="299">
        <f t="shared" si="76"/>
        <v>1.9042307115121008E-3</v>
      </c>
      <c r="AM192" s="299">
        <f t="shared" si="74"/>
        <v>1.7744010547602153E-3</v>
      </c>
      <c r="AN192" s="299">
        <f t="shared" si="74"/>
        <v>1.6345150800319351E-3</v>
      </c>
      <c r="AO192" s="299">
        <f t="shared" si="74"/>
        <v>1.5010739976718977E-3</v>
      </c>
      <c r="AP192" s="299">
        <f t="shared" si="74"/>
        <v>1.3877765397299301E-3</v>
      </c>
      <c r="AQ192" s="299">
        <f t="shared" si="74"/>
        <v>1.3007133463327494E-3</v>
      </c>
      <c r="AR192" s="299">
        <f t="shared" si="69"/>
        <v>1.2387998544209093E-3</v>
      </c>
      <c r="AS192" s="299">
        <f t="shared" si="69"/>
        <v>1.1971578555027534E-3</v>
      </c>
      <c r="AT192" s="299">
        <f t="shared" si="69"/>
        <v>1.170189729846787E-3</v>
      </c>
      <c r="AU192" s="299">
        <f t="shared" si="69"/>
        <v>1.1531500728077645E-3</v>
      </c>
      <c r="AV192" s="299">
        <f t="shared" si="69"/>
        <v>1.1425508554134423E-3</v>
      </c>
      <c r="AW192" s="299">
        <f t="shared" si="67"/>
        <v>1.1360218621207382E-3</v>
      </c>
      <c r="AX192" s="299">
        <f t="shared" si="67"/>
        <v>1.1320242409498013E-3</v>
      </c>
      <c r="AY192" s="299">
        <f t="shared" si="67"/>
        <v>1.129585572174316E-3</v>
      </c>
      <c r="AZ192" s="306">
        <f t="shared" si="77"/>
        <v>0.12464870697910396</v>
      </c>
      <c r="BA192" s="2">
        <f t="shared" si="77"/>
        <v>0.12464870697910396</v>
      </c>
      <c r="BB192" s="2">
        <f t="shared" si="77"/>
        <v>0.12464870697910396</v>
      </c>
      <c r="BC192" s="2">
        <f t="shared" si="77"/>
        <v>0.12464870697910396</v>
      </c>
      <c r="BD192" s="2">
        <f t="shared" si="77"/>
        <v>0.12464870697910396</v>
      </c>
      <c r="BE192" s="2">
        <f t="shared" si="77"/>
        <v>0.11900480040745821</v>
      </c>
      <c r="BF192" s="2">
        <f t="shared" si="77"/>
        <v>0.11585979387789076</v>
      </c>
      <c r="BG192" s="2">
        <f t="shared" si="77"/>
        <v>0.1113727497725749</v>
      </c>
      <c r="BH192" s="2">
        <f t="shared" si="77"/>
        <v>0.10541780811517518</v>
      </c>
      <c r="BI192" s="2">
        <f t="shared" si="75"/>
        <v>9.8230465866997005E-2</v>
      </c>
      <c r="BJ192" s="2">
        <f t="shared" si="75"/>
        <v>9.0486407989577147E-2</v>
      </c>
      <c r="BK192" s="2">
        <f t="shared" si="75"/>
        <v>8.3099137986069327E-2</v>
      </c>
      <c r="BL192" s="2">
        <f t="shared" si="75"/>
        <v>7.6827014755907058E-2</v>
      </c>
      <c r="BM192" s="2">
        <f t="shared" si="75"/>
        <v>7.2007214844083151E-2</v>
      </c>
      <c r="BN192" s="2">
        <f t="shared" si="70"/>
        <v>6.8579697069768894E-2</v>
      </c>
      <c r="BO192" s="2">
        <f t="shared" si="70"/>
        <v>6.6274404846012755E-2</v>
      </c>
      <c r="BP192" s="2">
        <f t="shared" si="70"/>
        <v>6.4781455132283408E-2</v>
      </c>
      <c r="BQ192" s="2">
        <f t="shared" si="70"/>
        <v>6.3838143334385936E-2</v>
      </c>
      <c r="BR192" s="2">
        <f t="shared" si="70"/>
        <v>6.3251372908570025E-2</v>
      </c>
      <c r="BS192" s="2">
        <f t="shared" si="68"/>
        <v>6.288992922532588E-2</v>
      </c>
      <c r="BT192" s="2">
        <f t="shared" si="68"/>
        <v>6.2668621765590432E-2</v>
      </c>
      <c r="BU192" s="2">
        <f t="shared" si="68"/>
        <v>6.253361757966043E-2</v>
      </c>
    </row>
    <row r="193" spans="1:73" x14ac:dyDescent="0.25">
      <c r="A193" t="s">
        <v>45</v>
      </c>
      <c r="B193" s="1" t="s">
        <v>5</v>
      </c>
      <c r="C193" t="s">
        <v>9</v>
      </c>
      <c r="D193" t="s">
        <v>9</v>
      </c>
      <c r="E193" s="97">
        <v>4.1257045000000003</v>
      </c>
      <c r="F193" s="5">
        <f t="shared" si="54"/>
        <v>1.0107976025000001E-2</v>
      </c>
      <c r="G193" s="1">
        <f>LOOKUP(RIGHT(D193,5),Ref!$C$4:$C$21,Ref!$E$4:$E$21)*$G$3</f>
        <v>4.5</v>
      </c>
      <c r="H193" s="36">
        <f t="shared" si="73"/>
        <v>4.1257045000000003</v>
      </c>
      <c r="I193" s="12">
        <f t="shared" si="73"/>
        <v>4.1257045000000003</v>
      </c>
      <c r="J193" s="12">
        <f t="shared" si="73"/>
        <v>4.1257045000000003</v>
      </c>
      <c r="K193" s="12">
        <f t="shared" si="73"/>
        <v>4.1257045000000003</v>
      </c>
      <c r="L193" s="12">
        <f t="shared" si="73"/>
        <v>4.1257045000000003</v>
      </c>
      <c r="M193" s="12">
        <f t="shared" si="72"/>
        <v>4.321369638385117</v>
      </c>
      <c r="N193" s="12">
        <f t="shared" si="72"/>
        <v>4.4386729346754548</v>
      </c>
      <c r="O193" s="12">
        <f t="shared" si="72"/>
        <v>4.6175005317998004</v>
      </c>
      <c r="P193" s="12">
        <f t="shared" si="72"/>
        <v>4.8783383044827415</v>
      </c>
      <c r="Q193" s="12">
        <f t="shared" si="72"/>
        <v>5.2352773323825854</v>
      </c>
      <c r="R193" s="12">
        <f t="shared" si="72"/>
        <v>5.6833257361935194</v>
      </c>
      <c r="S193" s="12">
        <f t="shared" si="72"/>
        <v>6.1885567500000001</v>
      </c>
      <c r="T193" s="12">
        <f t="shared" si="72"/>
        <v>6.6937877638064815</v>
      </c>
      <c r="U193" s="12">
        <f t="shared" si="72"/>
        <v>7.1418361676174156</v>
      </c>
      <c r="V193" s="12">
        <f t="shared" si="72"/>
        <v>7.4987751955172595</v>
      </c>
      <c r="W193" s="12">
        <f t="shared" si="72"/>
        <v>7.7596129682001997</v>
      </c>
      <c r="X193" s="12">
        <f t="shared" si="72"/>
        <v>7.9384405653245462</v>
      </c>
      <c r="Y193" s="12">
        <f t="shared" si="72"/>
        <v>8.055743861614884</v>
      </c>
      <c r="Z193" s="12">
        <f t="shared" si="72"/>
        <v>8.1304753976840924</v>
      </c>
      <c r="AA193" s="12">
        <f t="shared" si="72"/>
        <v>8.1772032126214551</v>
      </c>
      <c r="AB193" s="12">
        <f t="shared" si="72"/>
        <v>8.2060801213477212</v>
      </c>
      <c r="AC193" s="12">
        <f t="shared" si="71"/>
        <v>8.2237962748238491</v>
      </c>
      <c r="AD193" s="300">
        <f t="shared" si="76"/>
        <v>3.3312121853441659E-3</v>
      </c>
      <c r="AE193" s="299">
        <f t="shared" si="76"/>
        <v>3.3312121853441659E-3</v>
      </c>
      <c r="AF193" s="299">
        <f t="shared" si="76"/>
        <v>3.3312121853441659E-3</v>
      </c>
      <c r="AG193" s="299">
        <f t="shared" si="76"/>
        <v>3.3312121853441659E-3</v>
      </c>
      <c r="AH193" s="299">
        <f t="shared" si="76"/>
        <v>3.3312121853441659E-3</v>
      </c>
      <c r="AI193" s="299">
        <f t="shared" si="76"/>
        <v>3.1803798919328736E-3</v>
      </c>
      <c r="AJ193" s="299">
        <f t="shared" si="76"/>
        <v>3.0963302108075142E-3</v>
      </c>
      <c r="AK193" s="299">
        <f t="shared" si="76"/>
        <v>2.9764148393443299E-3</v>
      </c>
      <c r="AL193" s="299">
        <f t="shared" si="76"/>
        <v>2.8172701944225898E-3</v>
      </c>
      <c r="AM193" s="299">
        <f t="shared" si="74"/>
        <v>2.6251898860293081E-3</v>
      </c>
      <c r="AN193" s="299">
        <f t="shared" si="74"/>
        <v>2.4182314619070576E-3</v>
      </c>
      <c r="AO193" s="299">
        <f t="shared" si="74"/>
        <v>2.2208081235627771E-3</v>
      </c>
      <c r="AP193" s="299">
        <f t="shared" si="74"/>
        <v>2.0531868634738192E-3</v>
      </c>
      <c r="AQ193" s="299">
        <f t="shared" si="74"/>
        <v>1.9243786585088039E-3</v>
      </c>
      <c r="AR193" s="299">
        <f t="shared" si="69"/>
        <v>1.8327789199154992E-3</v>
      </c>
      <c r="AS193" s="299">
        <f t="shared" si="69"/>
        <v>1.7711704385066787E-3</v>
      </c>
      <c r="AT193" s="299">
        <f t="shared" si="69"/>
        <v>1.731271650953953E-3</v>
      </c>
      <c r="AU193" s="299">
        <f t="shared" si="69"/>
        <v>1.7060618286309525E-3</v>
      </c>
      <c r="AV193" s="299">
        <f t="shared" si="69"/>
        <v>1.69038050437297E-3</v>
      </c>
      <c r="AW193" s="299">
        <f t="shared" si="67"/>
        <v>1.6807209930060334E-3</v>
      </c>
      <c r="AX193" s="299">
        <f t="shared" si="67"/>
        <v>1.6748065946585089E-3</v>
      </c>
      <c r="AY193" s="299">
        <f t="shared" si="67"/>
        <v>1.6711986343343169E-3</v>
      </c>
      <c r="AZ193" s="306">
        <f t="shared" si="77"/>
        <v>0.18441519970376397</v>
      </c>
      <c r="BA193" s="2">
        <f t="shared" si="77"/>
        <v>0.18441519970376397</v>
      </c>
      <c r="BB193" s="2">
        <f t="shared" si="77"/>
        <v>0.18441519970376397</v>
      </c>
      <c r="BC193" s="2">
        <f t="shared" si="77"/>
        <v>0.18441519970376397</v>
      </c>
      <c r="BD193" s="2">
        <f t="shared" si="77"/>
        <v>0.18441519970376397</v>
      </c>
      <c r="BE193" s="2">
        <f t="shared" si="77"/>
        <v>0.17606515594684061</v>
      </c>
      <c r="BF193" s="2">
        <f t="shared" si="77"/>
        <v>0.17141218343492318</v>
      </c>
      <c r="BG193" s="2">
        <f t="shared" si="77"/>
        <v>0.16477369391653499</v>
      </c>
      <c r="BH193" s="2">
        <f t="shared" si="77"/>
        <v>0.15596348014385836</v>
      </c>
      <c r="BI193" s="2">
        <f t="shared" si="75"/>
        <v>0.14532995503028237</v>
      </c>
      <c r="BJ193" s="2">
        <f t="shared" si="75"/>
        <v>0.13387278058705851</v>
      </c>
      <c r="BK193" s="2">
        <f t="shared" si="75"/>
        <v>0.12294346646917599</v>
      </c>
      <c r="BL193" s="2">
        <f t="shared" si="75"/>
        <v>0.11366398907956381</v>
      </c>
      <c r="BM193" s="2">
        <f t="shared" si="75"/>
        <v>0.10653319418555664</v>
      </c>
      <c r="BN193" s="2">
        <f t="shared" si="70"/>
        <v>0.10146225209432158</v>
      </c>
      <c r="BO193" s="2">
        <f t="shared" si="70"/>
        <v>9.805161963673184E-2</v>
      </c>
      <c r="BP193" s="2">
        <f t="shared" si="70"/>
        <v>9.5842831224259767E-2</v>
      </c>
      <c r="BQ193" s="2">
        <f t="shared" si="70"/>
        <v>9.4447220809934798E-2</v>
      </c>
      <c r="BR193" s="2">
        <f t="shared" si="70"/>
        <v>9.3579106026560055E-2</v>
      </c>
      <c r="BS193" s="2">
        <f t="shared" si="68"/>
        <v>9.3044357527016397E-2</v>
      </c>
      <c r="BT193" s="2">
        <f t="shared" si="68"/>
        <v>9.2716937689521509E-2</v>
      </c>
      <c r="BU193" s="2">
        <f t="shared" si="68"/>
        <v>9.251720177157656E-2</v>
      </c>
    </row>
    <row r="194" spans="1:73" x14ac:dyDescent="0.25">
      <c r="A194" t="s">
        <v>45</v>
      </c>
      <c r="B194" s="1" t="s">
        <v>5</v>
      </c>
      <c r="C194" t="s">
        <v>10</v>
      </c>
      <c r="D194" t="s">
        <v>10</v>
      </c>
      <c r="E194" s="97">
        <v>6.5687407499999999</v>
      </c>
      <c r="F194" s="5">
        <f t="shared" si="54"/>
        <v>1.60934148375E-2</v>
      </c>
      <c r="G194" s="1">
        <f>LOOKUP(RIGHT(D194,5),Ref!$C$4:$C$21,Ref!$E$4:$E$21)*$G$3</f>
        <v>4.5</v>
      </c>
      <c r="H194" s="36">
        <f t="shared" si="73"/>
        <v>6.5687407499999999</v>
      </c>
      <c r="I194" s="12">
        <f t="shared" si="73"/>
        <v>6.5687407499999999</v>
      </c>
      <c r="J194" s="12">
        <f t="shared" si="73"/>
        <v>6.5687407499999999</v>
      </c>
      <c r="K194" s="12">
        <f t="shared" si="73"/>
        <v>6.5687407499999999</v>
      </c>
      <c r="L194" s="12">
        <f t="shared" si="73"/>
        <v>6.5687407499999999</v>
      </c>
      <c r="M194" s="12">
        <f t="shared" si="72"/>
        <v>6.8802690157458146</v>
      </c>
      <c r="N194" s="12">
        <f t="shared" si="72"/>
        <v>7.067033468326378</v>
      </c>
      <c r="O194" s="12">
        <f t="shared" si="72"/>
        <v>7.3517538414057562</v>
      </c>
      <c r="P194" s="12">
        <f t="shared" si="72"/>
        <v>7.7670467220669082</v>
      </c>
      <c r="Q194" s="12">
        <f t="shared" si="72"/>
        <v>8.335347223916008</v>
      </c>
      <c r="R194" s="12">
        <f t="shared" si="72"/>
        <v>9.0487075259166314</v>
      </c>
      <c r="S194" s="12">
        <f t="shared" si="72"/>
        <v>9.8531111249999999</v>
      </c>
      <c r="T194" s="12">
        <f t="shared" si="72"/>
        <v>10.657514724083368</v>
      </c>
      <c r="U194" s="12">
        <f t="shared" si="72"/>
        <v>11.370875026083992</v>
      </c>
      <c r="V194" s="12">
        <f t="shared" si="72"/>
        <v>11.939175527933092</v>
      </c>
      <c r="W194" s="12">
        <f t="shared" si="72"/>
        <v>12.354468408594242</v>
      </c>
      <c r="X194" s="12">
        <f t="shared" si="72"/>
        <v>12.639188781673623</v>
      </c>
      <c r="Y194" s="12">
        <f t="shared" si="72"/>
        <v>12.825953234254186</v>
      </c>
      <c r="Z194" s="12">
        <f t="shared" si="72"/>
        <v>12.944937055390163</v>
      </c>
      <c r="AA194" s="12">
        <f t="shared" si="72"/>
        <v>13.019334749683953</v>
      </c>
      <c r="AB194" s="12">
        <f t="shared" si="72"/>
        <v>13.065311122224511</v>
      </c>
      <c r="AC194" s="12">
        <f t="shared" si="71"/>
        <v>13.093517897399975</v>
      </c>
      <c r="AD194" s="300">
        <f t="shared" si="76"/>
        <v>2.0922727241943989E-3</v>
      </c>
      <c r="AE194" s="299">
        <f t="shared" si="76"/>
        <v>2.0922727241943989E-3</v>
      </c>
      <c r="AF194" s="299">
        <f t="shared" si="76"/>
        <v>2.0922727241943989E-3</v>
      </c>
      <c r="AG194" s="299">
        <f t="shared" si="76"/>
        <v>2.0922727241943989E-3</v>
      </c>
      <c r="AH194" s="299">
        <f t="shared" si="76"/>
        <v>2.0922727241943989E-3</v>
      </c>
      <c r="AI194" s="299">
        <f t="shared" si="76"/>
        <v>1.9975377520960883E-3</v>
      </c>
      <c r="AJ194" s="299">
        <f t="shared" si="76"/>
        <v>1.9447477028553017E-3</v>
      </c>
      <c r="AK194" s="299">
        <f t="shared" si="76"/>
        <v>1.8694310772654074E-3</v>
      </c>
      <c r="AL194" s="299">
        <f t="shared" si="76"/>
        <v>1.7694752710167702E-3</v>
      </c>
      <c r="AM194" s="299">
        <f t="shared" si="74"/>
        <v>1.6488331840688955E-3</v>
      </c>
      <c r="AN194" s="299">
        <f t="shared" si="74"/>
        <v>1.5188464279750314E-3</v>
      </c>
      <c r="AO194" s="299">
        <f t="shared" si="74"/>
        <v>1.394848482796266E-3</v>
      </c>
      <c r="AP194" s="299">
        <f t="shared" si="74"/>
        <v>1.2895686714344482E-3</v>
      </c>
      <c r="AQ194" s="299">
        <f t="shared" si="74"/>
        <v>1.2086666216981903E-3</v>
      </c>
      <c r="AR194" s="299">
        <f t="shared" si="69"/>
        <v>1.151134521087701E-3</v>
      </c>
      <c r="AS194" s="299">
        <f t="shared" si="69"/>
        <v>1.1124393740785065E-3</v>
      </c>
      <c r="AT194" s="299">
        <f t="shared" si="69"/>
        <v>1.0873796840076468E-3</v>
      </c>
      <c r="AU194" s="299">
        <f t="shared" si="69"/>
        <v>1.0715458611547349E-3</v>
      </c>
      <c r="AV194" s="299">
        <f t="shared" si="69"/>
        <v>1.0616967115963335E-3</v>
      </c>
      <c r="AW194" s="299">
        <f t="shared" si="67"/>
        <v>1.0556297512714994E-3</v>
      </c>
      <c r="AX194" s="299">
        <f t="shared" si="67"/>
        <v>1.0519150271248391E-3</v>
      </c>
      <c r="AY194" s="299">
        <f t="shared" si="67"/>
        <v>1.0496489340163023E-3</v>
      </c>
      <c r="AZ194" s="306">
        <f t="shared" si="77"/>
        <v>0.11582777403510981</v>
      </c>
      <c r="BA194" s="2">
        <f t="shared" si="77"/>
        <v>0.11582777403510981</v>
      </c>
      <c r="BB194" s="2">
        <f t="shared" si="77"/>
        <v>0.11582777403510981</v>
      </c>
      <c r="BC194" s="2">
        <f t="shared" si="77"/>
        <v>0.11582777403510981</v>
      </c>
      <c r="BD194" s="2">
        <f t="shared" si="77"/>
        <v>0.11582777403510981</v>
      </c>
      <c r="BE194" s="2">
        <f t="shared" si="77"/>
        <v>0.1105832660823282</v>
      </c>
      <c r="BF194" s="2">
        <f t="shared" si="77"/>
        <v>0.10766082015830629</v>
      </c>
      <c r="BG194" s="2">
        <f t="shared" si="77"/>
        <v>0.10349130774769442</v>
      </c>
      <c r="BH194" s="2">
        <f t="shared" si="77"/>
        <v>9.7957775524201818E-2</v>
      </c>
      <c r="BI194" s="2">
        <f t="shared" si="75"/>
        <v>9.1279055190788827E-2</v>
      </c>
      <c r="BJ194" s="2">
        <f t="shared" si="75"/>
        <v>8.4083015956374907E-2</v>
      </c>
      <c r="BK194" s="2">
        <f t="shared" si="75"/>
        <v>7.7218516023406542E-2</v>
      </c>
      <c r="BL194" s="2">
        <f t="shared" si="75"/>
        <v>7.1390248006592022E-2</v>
      </c>
      <c r="BM194" s="2">
        <f t="shared" si="75"/>
        <v>6.6911527700453832E-2</v>
      </c>
      <c r="BN194" s="2">
        <f t="shared" si="70"/>
        <v>6.3726562818859467E-2</v>
      </c>
      <c r="BO194" s="2">
        <f t="shared" si="70"/>
        <v>6.1584407691467037E-2</v>
      </c>
      <c r="BP194" s="2">
        <f t="shared" si="70"/>
        <v>6.0197108566762823E-2</v>
      </c>
      <c r="BQ194" s="2">
        <f t="shared" si="70"/>
        <v>5.9320551493532707E-2</v>
      </c>
      <c r="BR194" s="2">
        <f t="shared" si="70"/>
        <v>5.8775304663950395E-2</v>
      </c>
      <c r="BS194" s="2">
        <f t="shared" si="68"/>
        <v>5.8439439027765022E-2</v>
      </c>
      <c r="BT194" s="2">
        <f t="shared" si="68"/>
        <v>5.8233792687263315E-2</v>
      </c>
      <c r="BU194" s="2">
        <f t="shared" si="68"/>
        <v>5.8108342253635356E-2</v>
      </c>
    </row>
    <row r="195" spans="1:73" x14ac:dyDescent="0.25">
      <c r="A195" t="s">
        <v>45</v>
      </c>
      <c r="B195" s="1" t="s">
        <v>5</v>
      </c>
      <c r="C195" t="s">
        <v>11</v>
      </c>
      <c r="D195" t="s">
        <v>11</v>
      </c>
      <c r="E195" s="97">
        <v>6.5917539999999999</v>
      </c>
      <c r="F195" s="5">
        <f t="shared" si="54"/>
        <v>1.6149797300000001E-2</v>
      </c>
      <c r="G195" s="1">
        <f>LOOKUP(RIGHT(D195,5),Ref!$C$4:$C$21,Ref!$E$4:$E$21)*$G$3</f>
        <v>4.5</v>
      </c>
      <c r="H195" s="36">
        <f t="shared" si="73"/>
        <v>6.5917539999999999</v>
      </c>
      <c r="I195" s="12">
        <f t="shared" si="73"/>
        <v>6.5917539999999999</v>
      </c>
      <c r="J195" s="12">
        <f t="shared" si="73"/>
        <v>6.5917539999999999</v>
      </c>
      <c r="K195" s="12">
        <f t="shared" si="73"/>
        <v>6.5917539999999999</v>
      </c>
      <c r="L195" s="12">
        <f t="shared" si="73"/>
        <v>6.5917539999999999</v>
      </c>
      <c r="M195" s="12">
        <f t="shared" si="72"/>
        <v>6.9043736892217185</v>
      </c>
      <c r="N195" s="12">
        <f t="shared" si="72"/>
        <v>7.0917924615877519</v>
      </c>
      <c r="O195" s="12">
        <f t="shared" si="72"/>
        <v>7.3775103380509819</v>
      </c>
      <c r="P195" s="12">
        <f t="shared" si="72"/>
        <v>7.7942581762526446</v>
      </c>
      <c r="Q195" s="12">
        <f t="shared" si="72"/>
        <v>8.3645496900813505</v>
      </c>
      <c r="R195" s="12">
        <f t="shared" si="72"/>
        <v>9.0804092137128514</v>
      </c>
      <c r="S195" s="12">
        <f t="shared" si="72"/>
        <v>9.8876309999999989</v>
      </c>
      <c r="T195" s="12">
        <f t="shared" si="72"/>
        <v>10.694852786287148</v>
      </c>
      <c r="U195" s="12">
        <f t="shared" si="72"/>
        <v>11.410712309918649</v>
      </c>
      <c r="V195" s="12">
        <f t="shared" si="72"/>
        <v>11.981003823747356</v>
      </c>
      <c r="W195" s="12">
        <f t="shared" si="72"/>
        <v>12.397751661949016</v>
      </c>
      <c r="X195" s="12">
        <f t="shared" si="72"/>
        <v>12.683469538412249</v>
      </c>
      <c r="Y195" s="12">
        <f t="shared" si="72"/>
        <v>12.870888310778282</v>
      </c>
      <c r="Z195" s="12">
        <f t="shared" si="72"/>
        <v>12.990288985695825</v>
      </c>
      <c r="AA195" s="12">
        <f t="shared" si="72"/>
        <v>13.064947328537542</v>
      </c>
      <c r="AB195" s="12">
        <f t="shared" si="72"/>
        <v>13.111084776967017</v>
      </c>
      <c r="AC195" s="12">
        <f t="shared" si="71"/>
        <v>13.139390373148442</v>
      </c>
      <c r="AD195" s="300">
        <f t="shared" si="76"/>
        <v>2.0849681440674606E-3</v>
      </c>
      <c r="AE195" s="299">
        <f t="shared" si="76"/>
        <v>2.0849681440674606E-3</v>
      </c>
      <c r="AF195" s="299">
        <f t="shared" si="76"/>
        <v>2.0849681440674606E-3</v>
      </c>
      <c r="AG195" s="299">
        <f t="shared" si="76"/>
        <v>2.0849681440674606E-3</v>
      </c>
      <c r="AH195" s="299">
        <f t="shared" si="76"/>
        <v>2.0849681440674606E-3</v>
      </c>
      <c r="AI195" s="299">
        <f t="shared" si="76"/>
        <v>1.9905639124058591E-3</v>
      </c>
      <c r="AJ195" s="299">
        <f t="shared" si="76"/>
        <v>1.9379581647334704E-3</v>
      </c>
      <c r="AK195" s="299">
        <f t="shared" si="76"/>
        <v>1.8629044859000625E-3</v>
      </c>
      <c r="AL195" s="299">
        <f t="shared" si="76"/>
        <v>1.763297647158124E-3</v>
      </c>
      <c r="AM195" s="299">
        <f t="shared" si="74"/>
        <v>1.6430767480317993E-3</v>
      </c>
      <c r="AN195" s="299">
        <f t="shared" si="74"/>
        <v>1.5135438040363048E-3</v>
      </c>
      <c r="AO195" s="299">
        <f t="shared" si="74"/>
        <v>1.3899787627116406E-3</v>
      </c>
      <c r="AP195" s="299">
        <f t="shared" si="74"/>
        <v>1.2850665061188301E-3</v>
      </c>
      <c r="AQ195" s="299">
        <f t="shared" si="74"/>
        <v>1.2044469030721924E-3</v>
      </c>
      <c r="AR195" s="299">
        <f t="shared" si="69"/>
        <v>1.1471156595650438E-3</v>
      </c>
      <c r="AS195" s="299">
        <f t="shared" si="69"/>
        <v>1.1085556057483302E-3</v>
      </c>
      <c r="AT195" s="299">
        <f t="shared" si="69"/>
        <v>1.0835834045176979E-3</v>
      </c>
      <c r="AU195" s="299">
        <f t="shared" si="69"/>
        <v>1.0678048609916193E-3</v>
      </c>
      <c r="AV195" s="299">
        <f t="shared" si="69"/>
        <v>1.0579900969611173E-3</v>
      </c>
      <c r="AW195" s="299">
        <f t="shared" si="67"/>
        <v>1.0519443177171755E-3</v>
      </c>
      <c r="AX195" s="299">
        <f t="shared" si="67"/>
        <v>1.0482425624821993E-3</v>
      </c>
      <c r="AY195" s="299">
        <f t="shared" si="67"/>
        <v>1.0459843807986381E-3</v>
      </c>
      <c r="AZ195" s="306">
        <f t="shared" si="77"/>
        <v>0.11542339402930052</v>
      </c>
      <c r="BA195" s="2">
        <f t="shared" si="77"/>
        <v>0.11542339402930052</v>
      </c>
      <c r="BB195" s="2">
        <f t="shared" si="77"/>
        <v>0.11542339402930052</v>
      </c>
      <c r="BC195" s="2">
        <f t="shared" si="77"/>
        <v>0.11542339402930052</v>
      </c>
      <c r="BD195" s="2">
        <f t="shared" si="77"/>
        <v>0.11542339402930052</v>
      </c>
      <c r="BE195" s="2">
        <f t="shared" si="77"/>
        <v>0.11019719579691264</v>
      </c>
      <c r="BF195" s="2">
        <f t="shared" si="77"/>
        <v>0.10728495276860878</v>
      </c>
      <c r="BG195" s="2">
        <f t="shared" si="77"/>
        <v>0.1031299970346392</v>
      </c>
      <c r="BH195" s="2">
        <f t="shared" si="77"/>
        <v>9.7615783578267196E-2</v>
      </c>
      <c r="BI195" s="2">
        <f t="shared" si="75"/>
        <v>9.0960380113279962E-2</v>
      </c>
      <c r="BJ195" s="2">
        <f t="shared" si="75"/>
        <v>8.3789463820333698E-2</v>
      </c>
      <c r="BK195" s="2">
        <f t="shared" si="75"/>
        <v>7.6948929352867013E-2</v>
      </c>
      <c r="BL195" s="2">
        <f t="shared" si="75"/>
        <v>7.1141009090070303E-2</v>
      </c>
      <c r="BM195" s="2">
        <f t="shared" si="75"/>
        <v>6.6677924972734864E-2</v>
      </c>
      <c r="BN195" s="2">
        <f t="shared" si="70"/>
        <v>6.3504079497759922E-2</v>
      </c>
      <c r="BO195" s="2">
        <f t="shared" si="70"/>
        <v>6.1369403100836738E-2</v>
      </c>
      <c r="BP195" s="2">
        <f t="shared" si="70"/>
        <v>5.9986947339762536E-2</v>
      </c>
      <c r="BQ195" s="2">
        <f t="shared" si="70"/>
        <v>5.9113450518335733E-2</v>
      </c>
      <c r="BR195" s="2">
        <f t="shared" si="70"/>
        <v>5.8570107264281406E-2</v>
      </c>
      <c r="BS195" s="2">
        <f t="shared" si="68"/>
        <v>5.8235414208239647E-2</v>
      </c>
      <c r="BT195" s="2">
        <f t="shared" si="68"/>
        <v>5.803048582393678E-2</v>
      </c>
      <c r="BU195" s="2">
        <f t="shared" si="68"/>
        <v>5.7905473365116686E-2</v>
      </c>
    </row>
    <row r="196" spans="1:73" x14ac:dyDescent="0.25">
      <c r="E196" s="5"/>
      <c r="H196" s="297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300"/>
      <c r="AE196" s="299"/>
      <c r="AF196" s="299"/>
      <c r="AG196" s="299"/>
      <c r="AH196" s="299"/>
      <c r="AI196" s="299"/>
      <c r="AJ196" s="299"/>
      <c r="AK196" s="299"/>
      <c r="AL196" s="299"/>
      <c r="AM196" s="299"/>
      <c r="AN196" s="299"/>
      <c r="AO196" s="299"/>
      <c r="AP196" s="299"/>
      <c r="AQ196" s="299"/>
      <c r="AR196" s="299"/>
      <c r="AS196" s="299"/>
      <c r="AT196" s="299"/>
      <c r="AU196" s="299"/>
      <c r="AV196" s="299"/>
      <c r="AW196" s="299"/>
      <c r="AX196" s="299"/>
      <c r="AY196" s="299"/>
    </row>
    <row r="197" spans="1:73" x14ac:dyDescent="0.25">
      <c r="E197" s="5"/>
      <c r="H197" s="297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300"/>
      <c r="AE197" s="299"/>
      <c r="AF197" s="299"/>
      <c r="AG197" s="299"/>
      <c r="AH197" s="299"/>
      <c r="AI197" s="299"/>
      <c r="AJ197" s="299"/>
      <c r="AK197" s="299"/>
      <c r="AL197" s="299"/>
      <c r="AM197" s="299"/>
      <c r="AN197" s="299"/>
      <c r="AO197" s="299"/>
      <c r="AP197" s="299"/>
      <c r="AQ197" s="299"/>
      <c r="AR197" s="299"/>
      <c r="AS197" s="299"/>
      <c r="AT197" s="299"/>
      <c r="AU197" s="299"/>
      <c r="AV197" s="299"/>
      <c r="AW197" s="299"/>
      <c r="AX197" s="299"/>
      <c r="AY197" s="299"/>
    </row>
    <row r="198" spans="1:73" x14ac:dyDescent="0.25">
      <c r="E198" s="5"/>
      <c r="H198" s="297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300"/>
      <c r="AE198" s="299"/>
      <c r="AF198" s="299"/>
      <c r="AG198" s="299"/>
      <c r="AH198" s="299"/>
      <c r="AI198" s="299"/>
      <c r="AJ198" s="299"/>
      <c r="AK198" s="299"/>
      <c r="AL198" s="299"/>
      <c r="AM198" s="299"/>
      <c r="AN198" s="299"/>
      <c r="AO198" s="299"/>
      <c r="AP198" s="299"/>
      <c r="AQ198" s="299"/>
      <c r="AR198" s="299"/>
      <c r="AS198" s="299"/>
      <c r="AT198" s="299"/>
      <c r="AU198" s="299"/>
      <c r="AV198" s="299"/>
      <c r="AW198" s="299"/>
      <c r="AX198" s="299"/>
      <c r="AY198" s="299"/>
    </row>
    <row r="199" spans="1:73" x14ac:dyDescent="0.25">
      <c r="E199" s="5"/>
      <c r="H199" s="297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300"/>
      <c r="AE199" s="299"/>
      <c r="AF199" s="299"/>
      <c r="AG199" s="299"/>
      <c r="AH199" s="299"/>
      <c r="AI199" s="299"/>
      <c r="AJ199" s="299"/>
      <c r="AK199" s="299"/>
      <c r="AL199" s="299"/>
      <c r="AM199" s="299"/>
      <c r="AN199" s="299"/>
      <c r="AO199" s="299"/>
      <c r="AP199" s="299"/>
      <c r="AQ199" s="299"/>
      <c r="AR199" s="299"/>
      <c r="AS199" s="299"/>
      <c r="AT199" s="299"/>
      <c r="AU199" s="299"/>
      <c r="AV199" s="299"/>
      <c r="AW199" s="299"/>
      <c r="AX199" s="299"/>
      <c r="AY199" s="299"/>
    </row>
    <row r="200" spans="1:73" x14ac:dyDescent="0.25">
      <c r="E200" s="5"/>
      <c r="H200" s="297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300"/>
      <c r="AE200" s="299"/>
      <c r="AF200" s="299"/>
      <c r="AG200" s="299"/>
      <c r="AH200" s="299"/>
      <c r="AI200" s="299"/>
      <c r="AJ200" s="299"/>
      <c r="AK200" s="299"/>
      <c r="AL200" s="299"/>
      <c r="AM200" s="299"/>
      <c r="AN200" s="299"/>
      <c r="AO200" s="299"/>
      <c r="AP200" s="299"/>
      <c r="AQ200" s="299"/>
      <c r="AR200" s="299"/>
      <c r="AS200" s="299"/>
      <c r="AT200" s="299"/>
      <c r="AU200" s="299"/>
      <c r="AV200" s="299"/>
      <c r="AW200" s="299"/>
      <c r="AX200" s="299"/>
      <c r="AY200" s="299"/>
    </row>
    <row r="201" spans="1:73" x14ac:dyDescent="0.25">
      <c r="E201" s="5"/>
      <c r="H201" s="297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300"/>
      <c r="AE201" s="299"/>
      <c r="AF201" s="299"/>
      <c r="AG201" s="299"/>
      <c r="AH201" s="299"/>
      <c r="AI201" s="299"/>
      <c r="AJ201" s="299"/>
      <c r="AK201" s="299"/>
      <c r="AL201" s="299"/>
      <c r="AM201" s="299"/>
      <c r="AN201" s="299"/>
      <c r="AO201" s="299"/>
      <c r="AP201" s="299"/>
      <c r="AQ201" s="299"/>
      <c r="AR201" s="299"/>
      <c r="AS201" s="299"/>
      <c r="AT201" s="299"/>
      <c r="AU201" s="299"/>
      <c r="AV201" s="299"/>
      <c r="AW201" s="299"/>
      <c r="AX201" s="299"/>
      <c r="AY201" s="299"/>
    </row>
    <row r="202" spans="1:73" x14ac:dyDescent="0.25">
      <c r="E202" s="5"/>
      <c r="H202" s="297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300"/>
      <c r="AE202" s="299"/>
      <c r="AF202" s="299"/>
      <c r="AG202" s="299"/>
      <c r="AH202" s="299"/>
      <c r="AI202" s="299"/>
      <c r="AJ202" s="299"/>
      <c r="AK202" s="299"/>
      <c r="AL202" s="299"/>
      <c r="AM202" s="299"/>
      <c r="AN202" s="299"/>
      <c r="AO202" s="299"/>
      <c r="AP202" s="299"/>
      <c r="AQ202" s="299"/>
      <c r="AR202" s="299"/>
      <c r="AS202" s="299"/>
      <c r="AT202" s="299"/>
      <c r="AU202" s="299"/>
      <c r="AV202" s="299"/>
      <c r="AW202" s="299"/>
      <c r="AX202" s="299"/>
      <c r="AY202" s="299"/>
    </row>
    <row r="203" spans="1:73" x14ac:dyDescent="0.25">
      <c r="E203" s="5"/>
      <c r="H203" s="297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300"/>
      <c r="AE203" s="299"/>
      <c r="AF203" s="299"/>
      <c r="AG203" s="299"/>
      <c r="AH203" s="299"/>
      <c r="AI203" s="299"/>
      <c r="AJ203" s="299"/>
      <c r="AK203" s="299"/>
      <c r="AL203" s="299"/>
      <c r="AM203" s="299"/>
      <c r="AN203" s="299"/>
      <c r="AO203" s="299"/>
      <c r="AP203" s="299"/>
      <c r="AQ203" s="299"/>
      <c r="AR203" s="299"/>
      <c r="AS203" s="299"/>
      <c r="AT203" s="299"/>
      <c r="AU203" s="299"/>
      <c r="AV203" s="299"/>
      <c r="AW203" s="299"/>
      <c r="AX203" s="299"/>
      <c r="AY203" s="299"/>
    </row>
    <row r="204" spans="1:73" x14ac:dyDescent="0.25">
      <c r="E204" s="5"/>
      <c r="H204" s="297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300"/>
      <c r="AE204" s="299"/>
      <c r="AF204" s="299"/>
      <c r="AG204" s="299"/>
      <c r="AH204" s="299"/>
      <c r="AI204" s="299"/>
      <c r="AJ204" s="299"/>
      <c r="AK204" s="299"/>
      <c r="AL204" s="299"/>
      <c r="AM204" s="299"/>
      <c r="AN204" s="299"/>
      <c r="AO204" s="299"/>
      <c r="AP204" s="299"/>
      <c r="AQ204" s="299"/>
      <c r="AR204" s="299"/>
      <c r="AS204" s="299"/>
      <c r="AT204" s="299"/>
      <c r="AU204" s="299"/>
      <c r="AV204" s="299"/>
      <c r="AW204" s="299"/>
      <c r="AX204" s="299"/>
      <c r="AY204" s="299"/>
    </row>
    <row r="205" spans="1:73" x14ac:dyDescent="0.25">
      <c r="E205" s="5"/>
      <c r="H205" s="297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300"/>
      <c r="AE205" s="299"/>
      <c r="AF205" s="299"/>
      <c r="AG205" s="299"/>
      <c r="AH205" s="299"/>
      <c r="AI205" s="299"/>
      <c r="AJ205" s="299"/>
      <c r="AK205" s="299"/>
      <c r="AL205" s="299"/>
      <c r="AM205" s="299"/>
      <c r="AN205" s="299"/>
      <c r="AO205" s="299"/>
      <c r="AP205" s="299"/>
      <c r="AQ205" s="299"/>
      <c r="AR205" s="299"/>
      <c r="AS205" s="299"/>
      <c r="AT205" s="299"/>
      <c r="AU205" s="299"/>
      <c r="AV205" s="299"/>
      <c r="AW205" s="299"/>
      <c r="AX205" s="299"/>
      <c r="AY205" s="299"/>
    </row>
    <row r="206" spans="1:73" x14ac:dyDescent="0.25">
      <c r="E206" s="5"/>
      <c r="H206" s="297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300"/>
      <c r="AE206" s="299"/>
      <c r="AF206" s="299"/>
      <c r="AG206" s="299"/>
      <c r="AH206" s="299"/>
      <c r="AI206" s="299"/>
      <c r="AJ206" s="299"/>
      <c r="AK206" s="299"/>
      <c r="AL206" s="299"/>
      <c r="AM206" s="299"/>
      <c r="AN206" s="299"/>
      <c r="AO206" s="299"/>
      <c r="AP206" s="299"/>
      <c r="AQ206" s="299"/>
      <c r="AR206" s="299"/>
      <c r="AS206" s="299"/>
      <c r="AT206" s="299"/>
      <c r="AU206" s="299"/>
      <c r="AV206" s="299"/>
      <c r="AW206" s="299"/>
      <c r="AX206" s="299"/>
      <c r="AY206" s="299"/>
    </row>
    <row r="207" spans="1:73" x14ac:dyDescent="0.25">
      <c r="E207" s="5"/>
      <c r="H207" s="297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300"/>
      <c r="AE207" s="299"/>
      <c r="AF207" s="299"/>
      <c r="AG207" s="299"/>
      <c r="AH207" s="299"/>
      <c r="AI207" s="299"/>
      <c r="AJ207" s="299"/>
      <c r="AK207" s="299"/>
      <c r="AL207" s="299"/>
      <c r="AM207" s="299"/>
      <c r="AN207" s="299"/>
      <c r="AO207" s="299"/>
      <c r="AP207" s="299"/>
      <c r="AQ207" s="299"/>
      <c r="AR207" s="299"/>
      <c r="AS207" s="299"/>
      <c r="AT207" s="299"/>
      <c r="AU207" s="299"/>
      <c r="AV207" s="299"/>
      <c r="AW207" s="299"/>
      <c r="AX207" s="299"/>
      <c r="AY207" s="299"/>
    </row>
    <row r="208" spans="1:73" x14ac:dyDescent="0.25">
      <c r="E208" s="5"/>
      <c r="H208" s="297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300"/>
      <c r="AE208" s="299"/>
      <c r="AF208" s="299"/>
      <c r="AG208" s="299"/>
      <c r="AH208" s="299"/>
      <c r="AI208" s="299"/>
      <c r="AJ208" s="299"/>
      <c r="AK208" s="299"/>
      <c r="AL208" s="299"/>
      <c r="AM208" s="299"/>
      <c r="AN208" s="299"/>
      <c r="AO208" s="299"/>
      <c r="AP208" s="299"/>
      <c r="AQ208" s="299"/>
      <c r="AR208" s="299"/>
      <c r="AS208" s="299"/>
      <c r="AT208" s="299"/>
      <c r="AU208" s="299"/>
      <c r="AV208" s="299"/>
      <c r="AW208" s="299"/>
      <c r="AX208" s="299"/>
      <c r="AY208" s="299"/>
    </row>
    <row r="209" spans="5:51" x14ac:dyDescent="0.25">
      <c r="E209" s="5"/>
      <c r="H209" s="297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300"/>
      <c r="AE209" s="299"/>
      <c r="AF209" s="299"/>
      <c r="AG209" s="299"/>
      <c r="AH209" s="299"/>
      <c r="AI209" s="299"/>
      <c r="AJ209" s="299"/>
      <c r="AK209" s="299"/>
      <c r="AL209" s="299"/>
      <c r="AM209" s="299"/>
      <c r="AN209" s="299"/>
      <c r="AO209" s="299"/>
      <c r="AP209" s="299"/>
      <c r="AQ209" s="299"/>
      <c r="AR209" s="299"/>
      <c r="AS209" s="299"/>
      <c r="AT209" s="299"/>
      <c r="AU209" s="299"/>
      <c r="AV209" s="299"/>
      <c r="AW209" s="299"/>
      <c r="AX209" s="299"/>
      <c r="AY209" s="299"/>
    </row>
    <row r="210" spans="5:51" x14ac:dyDescent="0.25">
      <c r="E210" s="5"/>
      <c r="H210" s="297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300"/>
      <c r="AE210" s="299"/>
      <c r="AF210" s="299"/>
      <c r="AG210" s="299"/>
      <c r="AH210" s="299"/>
      <c r="AI210" s="299"/>
      <c r="AJ210" s="299"/>
      <c r="AK210" s="299"/>
      <c r="AL210" s="299"/>
      <c r="AM210" s="299"/>
      <c r="AN210" s="299"/>
      <c r="AO210" s="299"/>
      <c r="AP210" s="299"/>
      <c r="AQ210" s="299"/>
      <c r="AR210" s="299"/>
      <c r="AS210" s="299"/>
      <c r="AT210" s="299"/>
      <c r="AU210" s="299"/>
      <c r="AV210" s="299"/>
      <c r="AW210" s="299"/>
      <c r="AX210" s="299"/>
      <c r="AY210" s="299"/>
    </row>
    <row r="211" spans="5:51" x14ac:dyDescent="0.25">
      <c r="E211" s="5"/>
      <c r="H211" s="297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300"/>
      <c r="AE211" s="299"/>
      <c r="AF211" s="299"/>
      <c r="AG211" s="299"/>
      <c r="AH211" s="299"/>
      <c r="AI211" s="299"/>
      <c r="AJ211" s="299"/>
      <c r="AK211" s="299"/>
      <c r="AL211" s="299"/>
      <c r="AM211" s="299"/>
      <c r="AN211" s="299"/>
      <c r="AO211" s="299"/>
      <c r="AP211" s="299"/>
      <c r="AQ211" s="299"/>
      <c r="AR211" s="299"/>
      <c r="AS211" s="299"/>
      <c r="AT211" s="299"/>
      <c r="AU211" s="299"/>
      <c r="AV211" s="299"/>
      <c r="AW211" s="299"/>
      <c r="AX211" s="299"/>
      <c r="AY211" s="299"/>
    </row>
    <row r="212" spans="5:51" x14ac:dyDescent="0.25">
      <c r="E212" s="5"/>
      <c r="H212" s="297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300"/>
      <c r="AE212" s="299"/>
      <c r="AF212" s="299"/>
      <c r="AG212" s="299"/>
      <c r="AH212" s="299"/>
      <c r="AI212" s="299"/>
      <c r="AJ212" s="299"/>
      <c r="AK212" s="299"/>
      <c r="AL212" s="299"/>
      <c r="AM212" s="299"/>
      <c r="AN212" s="299"/>
      <c r="AO212" s="299"/>
      <c r="AP212" s="299"/>
      <c r="AQ212" s="299"/>
      <c r="AR212" s="299"/>
      <c r="AS212" s="299"/>
      <c r="AT212" s="299"/>
      <c r="AU212" s="299"/>
      <c r="AV212" s="299"/>
      <c r="AW212" s="299"/>
      <c r="AX212" s="299"/>
      <c r="AY212" s="299"/>
    </row>
    <row r="213" spans="5:51" x14ac:dyDescent="0.25">
      <c r="E213" s="5"/>
      <c r="H213" s="297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300"/>
      <c r="AE213" s="299"/>
      <c r="AF213" s="299"/>
      <c r="AG213" s="299"/>
      <c r="AH213" s="299"/>
      <c r="AI213" s="299"/>
      <c r="AJ213" s="299"/>
      <c r="AK213" s="299"/>
      <c r="AL213" s="299"/>
      <c r="AM213" s="299"/>
      <c r="AN213" s="299"/>
      <c r="AO213" s="299"/>
      <c r="AP213" s="299"/>
      <c r="AQ213" s="299"/>
      <c r="AR213" s="299"/>
      <c r="AS213" s="299"/>
      <c r="AT213" s="299"/>
      <c r="AU213" s="299"/>
      <c r="AV213" s="299"/>
      <c r="AW213" s="299"/>
      <c r="AX213" s="299"/>
      <c r="AY213" s="299"/>
    </row>
    <row r="214" spans="5:51" x14ac:dyDescent="0.25">
      <c r="E214" s="5"/>
      <c r="H214" s="297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300"/>
      <c r="AE214" s="299"/>
      <c r="AF214" s="299"/>
      <c r="AG214" s="299"/>
      <c r="AH214" s="299"/>
      <c r="AI214" s="299"/>
      <c r="AJ214" s="299"/>
      <c r="AK214" s="299"/>
      <c r="AL214" s="299"/>
      <c r="AM214" s="299"/>
      <c r="AN214" s="299"/>
      <c r="AO214" s="299"/>
      <c r="AP214" s="299"/>
      <c r="AQ214" s="299"/>
      <c r="AR214" s="299"/>
      <c r="AS214" s="299"/>
      <c r="AT214" s="299"/>
      <c r="AU214" s="299"/>
      <c r="AV214" s="299"/>
      <c r="AW214" s="299"/>
      <c r="AX214" s="299"/>
      <c r="AY214" s="299"/>
    </row>
    <row r="215" spans="5:51" x14ac:dyDescent="0.25">
      <c r="E215" s="5"/>
      <c r="H215" s="297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300"/>
      <c r="AE215" s="299"/>
      <c r="AF215" s="299"/>
      <c r="AG215" s="299"/>
      <c r="AH215" s="299"/>
      <c r="AI215" s="299"/>
      <c r="AJ215" s="299"/>
      <c r="AK215" s="299"/>
      <c r="AL215" s="299"/>
      <c r="AM215" s="299"/>
      <c r="AN215" s="299"/>
      <c r="AO215" s="299"/>
      <c r="AP215" s="299"/>
      <c r="AQ215" s="299"/>
      <c r="AR215" s="299"/>
      <c r="AS215" s="299"/>
      <c r="AT215" s="299"/>
      <c r="AU215" s="299"/>
      <c r="AV215" s="299"/>
      <c r="AW215" s="299"/>
      <c r="AX215" s="299"/>
      <c r="AY215" s="299"/>
    </row>
    <row r="216" spans="5:51" x14ac:dyDescent="0.25">
      <c r="E216" s="5"/>
      <c r="H216" s="297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300"/>
      <c r="AE216" s="299"/>
      <c r="AF216" s="299"/>
      <c r="AG216" s="299"/>
      <c r="AH216" s="299"/>
      <c r="AI216" s="299"/>
      <c r="AJ216" s="299"/>
      <c r="AK216" s="299"/>
      <c r="AL216" s="299"/>
      <c r="AM216" s="299"/>
      <c r="AN216" s="299"/>
      <c r="AO216" s="299"/>
      <c r="AP216" s="299"/>
      <c r="AQ216" s="299"/>
      <c r="AR216" s="299"/>
      <c r="AS216" s="299"/>
      <c r="AT216" s="299"/>
      <c r="AU216" s="299"/>
      <c r="AV216" s="299"/>
      <c r="AW216" s="299"/>
      <c r="AX216" s="299"/>
      <c r="AY216" s="299"/>
    </row>
    <row r="217" spans="5:51" x14ac:dyDescent="0.25">
      <c r="E217" s="5"/>
      <c r="H217" s="297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300"/>
      <c r="AE217" s="299"/>
      <c r="AF217" s="299"/>
      <c r="AG217" s="299"/>
      <c r="AH217" s="299"/>
      <c r="AI217" s="299"/>
      <c r="AJ217" s="299"/>
      <c r="AK217" s="299"/>
      <c r="AL217" s="299"/>
      <c r="AM217" s="299"/>
      <c r="AN217" s="299"/>
      <c r="AO217" s="299"/>
      <c r="AP217" s="299"/>
      <c r="AQ217" s="299"/>
      <c r="AR217" s="299"/>
      <c r="AS217" s="299"/>
      <c r="AT217" s="299"/>
      <c r="AU217" s="299"/>
      <c r="AV217" s="299"/>
      <c r="AW217" s="299"/>
      <c r="AX217" s="299"/>
      <c r="AY217" s="299"/>
    </row>
    <row r="218" spans="5:51" x14ac:dyDescent="0.25">
      <c r="E218" s="5"/>
      <c r="H218" s="297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300"/>
      <c r="AE218" s="299"/>
      <c r="AF218" s="299"/>
      <c r="AG218" s="299"/>
      <c r="AH218" s="299"/>
      <c r="AI218" s="299"/>
      <c r="AJ218" s="299"/>
      <c r="AK218" s="299"/>
      <c r="AL218" s="299"/>
      <c r="AM218" s="299"/>
      <c r="AN218" s="299"/>
      <c r="AO218" s="299"/>
      <c r="AP218" s="299"/>
      <c r="AQ218" s="299"/>
      <c r="AR218" s="299"/>
      <c r="AS218" s="299"/>
      <c r="AT218" s="299"/>
      <c r="AU218" s="299"/>
      <c r="AV218" s="299"/>
      <c r="AW218" s="299"/>
      <c r="AX218" s="299"/>
      <c r="AY218" s="299"/>
    </row>
    <row r="219" spans="5:51" x14ac:dyDescent="0.25">
      <c r="E219" s="5"/>
      <c r="H219" s="297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300"/>
      <c r="AE219" s="299"/>
      <c r="AF219" s="299"/>
      <c r="AG219" s="299"/>
      <c r="AH219" s="299"/>
      <c r="AI219" s="299"/>
      <c r="AJ219" s="299"/>
      <c r="AK219" s="299"/>
      <c r="AL219" s="299"/>
      <c r="AM219" s="299"/>
      <c r="AN219" s="299"/>
      <c r="AO219" s="299"/>
      <c r="AP219" s="299"/>
      <c r="AQ219" s="299"/>
      <c r="AR219" s="299"/>
      <c r="AS219" s="299"/>
      <c r="AT219" s="299"/>
      <c r="AU219" s="299"/>
      <c r="AV219" s="299"/>
      <c r="AW219" s="299"/>
      <c r="AX219" s="299"/>
      <c r="AY219" s="299"/>
    </row>
    <row r="220" spans="5:51" x14ac:dyDescent="0.25">
      <c r="E220" s="5"/>
      <c r="H220" s="297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300"/>
      <c r="AE220" s="299"/>
      <c r="AF220" s="299"/>
      <c r="AG220" s="299"/>
      <c r="AH220" s="299"/>
      <c r="AI220" s="299"/>
      <c r="AJ220" s="299"/>
      <c r="AK220" s="299"/>
      <c r="AL220" s="299"/>
      <c r="AM220" s="299"/>
      <c r="AN220" s="299"/>
      <c r="AO220" s="299"/>
      <c r="AP220" s="299"/>
      <c r="AQ220" s="299"/>
      <c r="AR220" s="299"/>
      <c r="AS220" s="299"/>
      <c r="AT220" s="299"/>
      <c r="AU220" s="299"/>
      <c r="AV220" s="299"/>
      <c r="AW220" s="299"/>
      <c r="AX220" s="299"/>
      <c r="AY220" s="299"/>
    </row>
    <row r="221" spans="5:51" x14ac:dyDescent="0.25">
      <c r="E221" s="5"/>
      <c r="H221" s="297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300"/>
      <c r="AE221" s="299"/>
      <c r="AF221" s="299"/>
      <c r="AG221" s="299"/>
      <c r="AH221" s="299"/>
      <c r="AI221" s="299"/>
      <c r="AJ221" s="299"/>
      <c r="AK221" s="299"/>
      <c r="AL221" s="299"/>
      <c r="AM221" s="299"/>
      <c r="AN221" s="299"/>
      <c r="AO221" s="299"/>
      <c r="AP221" s="299"/>
      <c r="AQ221" s="299"/>
      <c r="AR221" s="299"/>
      <c r="AS221" s="299"/>
      <c r="AT221" s="299"/>
      <c r="AU221" s="299"/>
      <c r="AV221" s="299"/>
      <c r="AW221" s="299"/>
      <c r="AX221" s="299"/>
      <c r="AY221" s="299"/>
    </row>
    <row r="222" spans="5:51" x14ac:dyDescent="0.25">
      <c r="E222" s="5"/>
      <c r="H222" s="297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300"/>
      <c r="AE222" s="299"/>
      <c r="AF222" s="299"/>
      <c r="AG222" s="299"/>
      <c r="AH222" s="299"/>
      <c r="AI222" s="299"/>
      <c r="AJ222" s="299"/>
      <c r="AK222" s="299"/>
      <c r="AL222" s="299"/>
      <c r="AM222" s="299"/>
      <c r="AN222" s="299"/>
      <c r="AO222" s="299"/>
      <c r="AP222" s="299"/>
      <c r="AQ222" s="299"/>
      <c r="AR222" s="299"/>
      <c r="AS222" s="299"/>
      <c r="AT222" s="299"/>
      <c r="AU222" s="299"/>
      <c r="AV222" s="299"/>
      <c r="AW222" s="299"/>
      <c r="AX222" s="299"/>
      <c r="AY222" s="299"/>
    </row>
    <row r="223" spans="5:51" x14ac:dyDescent="0.25">
      <c r="E223" s="5"/>
      <c r="H223" s="297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300"/>
      <c r="AE223" s="299"/>
      <c r="AF223" s="299"/>
      <c r="AG223" s="299"/>
      <c r="AH223" s="299"/>
      <c r="AI223" s="299"/>
      <c r="AJ223" s="299"/>
      <c r="AK223" s="299"/>
      <c r="AL223" s="299"/>
      <c r="AM223" s="299"/>
      <c r="AN223" s="299"/>
      <c r="AO223" s="299"/>
      <c r="AP223" s="299"/>
      <c r="AQ223" s="299"/>
      <c r="AR223" s="299"/>
      <c r="AS223" s="299"/>
      <c r="AT223" s="299"/>
      <c r="AU223" s="299"/>
      <c r="AV223" s="299"/>
      <c r="AW223" s="299"/>
      <c r="AX223" s="299"/>
      <c r="AY223" s="299"/>
    </row>
    <row r="224" spans="5:51" x14ac:dyDescent="0.25">
      <c r="E224" s="5"/>
      <c r="H224" s="297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300"/>
      <c r="AE224" s="299"/>
      <c r="AF224" s="299"/>
      <c r="AG224" s="299"/>
      <c r="AH224" s="299"/>
      <c r="AI224" s="299"/>
      <c r="AJ224" s="299"/>
      <c r="AK224" s="299"/>
      <c r="AL224" s="299"/>
      <c r="AM224" s="299"/>
      <c r="AN224" s="299"/>
      <c r="AO224" s="299"/>
      <c r="AP224" s="299"/>
      <c r="AQ224" s="299"/>
      <c r="AR224" s="299"/>
      <c r="AS224" s="299"/>
      <c r="AT224" s="299"/>
      <c r="AU224" s="299"/>
      <c r="AV224" s="299"/>
      <c r="AW224" s="299"/>
      <c r="AX224" s="299"/>
      <c r="AY224" s="299"/>
    </row>
    <row r="225" spans="5:51" x14ac:dyDescent="0.25">
      <c r="E225" s="5"/>
      <c r="H225" s="297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300"/>
      <c r="AE225" s="299"/>
      <c r="AF225" s="299"/>
      <c r="AG225" s="299"/>
      <c r="AH225" s="299"/>
      <c r="AI225" s="299"/>
      <c r="AJ225" s="299"/>
      <c r="AK225" s="299"/>
      <c r="AL225" s="299"/>
      <c r="AM225" s="299"/>
      <c r="AN225" s="299"/>
      <c r="AO225" s="299"/>
      <c r="AP225" s="299"/>
      <c r="AQ225" s="299"/>
      <c r="AR225" s="299"/>
      <c r="AS225" s="299"/>
      <c r="AT225" s="299"/>
      <c r="AU225" s="299"/>
      <c r="AV225" s="299"/>
      <c r="AW225" s="299"/>
      <c r="AX225" s="299"/>
      <c r="AY225" s="299"/>
    </row>
    <row r="226" spans="5:51" x14ac:dyDescent="0.25">
      <c r="E226" s="5"/>
      <c r="H226" s="297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300"/>
      <c r="AE226" s="299"/>
      <c r="AF226" s="299"/>
      <c r="AG226" s="299"/>
      <c r="AH226" s="299"/>
      <c r="AI226" s="299"/>
      <c r="AJ226" s="299"/>
      <c r="AK226" s="299"/>
      <c r="AL226" s="299"/>
      <c r="AM226" s="299"/>
      <c r="AN226" s="299"/>
      <c r="AO226" s="299"/>
      <c r="AP226" s="299"/>
      <c r="AQ226" s="299"/>
      <c r="AR226" s="299"/>
      <c r="AS226" s="299"/>
      <c r="AT226" s="299"/>
      <c r="AU226" s="299"/>
      <c r="AV226" s="299"/>
      <c r="AW226" s="299"/>
      <c r="AX226" s="299"/>
      <c r="AY226" s="299"/>
    </row>
    <row r="227" spans="5:51" x14ac:dyDescent="0.25">
      <c r="E227" s="5"/>
      <c r="H227" s="297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300"/>
      <c r="AE227" s="299"/>
      <c r="AF227" s="299"/>
      <c r="AG227" s="299"/>
      <c r="AH227" s="299"/>
      <c r="AI227" s="299"/>
      <c r="AJ227" s="299"/>
      <c r="AK227" s="299"/>
      <c r="AL227" s="299"/>
      <c r="AM227" s="299"/>
      <c r="AN227" s="299"/>
      <c r="AO227" s="299"/>
      <c r="AP227" s="299"/>
      <c r="AQ227" s="299"/>
      <c r="AR227" s="299"/>
      <c r="AS227" s="299"/>
      <c r="AT227" s="299"/>
      <c r="AU227" s="299"/>
      <c r="AV227" s="299"/>
      <c r="AW227" s="299"/>
      <c r="AX227" s="299"/>
      <c r="AY227" s="299"/>
    </row>
  </sheetData>
  <pageMargins left="0.7" right="0.7" top="0.75" bottom="0.75" header="0.51180555555555496" footer="0.51180555555555496"/>
  <pageSetup firstPageNumber="0" orientation="portrait" horizontalDpi="4294967293" vertic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3"/>
  <sheetViews>
    <sheetView workbookViewId="0"/>
  </sheetViews>
  <sheetFormatPr defaultColWidth="8.85546875" defaultRowHeight="15" x14ac:dyDescent="0.25"/>
  <sheetData>
    <row r="2" spans="3:5" x14ac:dyDescent="0.25">
      <c r="D2" t="s">
        <v>677</v>
      </c>
    </row>
    <row r="3" spans="3:5" x14ac:dyDescent="0.25">
      <c r="D3" t="s">
        <v>676</v>
      </c>
      <c r="E3" t="s">
        <v>678</v>
      </c>
    </row>
    <row r="4" spans="3:5" x14ac:dyDescent="0.25">
      <c r="C4" t="s">
        <v>656</v>
      </c>
      <c r="D4">
        <v>30</v>
      </c>
      <c r="E4">
        <f>D4/10</f>
        <v>3</v>
      </c>
    </row>
    <row r="5" spans="3:5" x14ac:dyDescent="0.25">
      <c r="C5" t="s">
        <v>657</v>
      </c>
      <c r="D5">
        <v>40</v>
      </c>
      <c r="E5">
        <f t="shared" ref="E5:E21" si="0">D5/10</f>
        <v>4</v>
      </c>
    </row>
    <row r="6" spans="3:5" x14ac:dyDescent="0.25">
      <c r="C6" t="s">
        <v>658</v>
      </c>
      <c r="D6">
        <v>50</v>
      </c>
      <c r="E6">
        <f t="shared" si="0"/>
        <v>5</v>
      </c>
    </row>
    <row r="7" spans="3:5" x14ac:dyDescent="0.25">
      <c r="C7" t="s">
        <v>659</v>
      </c>
      <c r="D7">
        <v>60</v>
      </c>
      <c r="E7">
        <f t="shared" si="0"/>
        <v>6</v>
      </c>
    </row>
    <row r="8" spans="3:5" x14ac:dyDescent="0.25">
      <c r="C8" t="s">
        <v>660</v>
      </c>
      <c r="D8">
        <v>60</v>
      </c>
      <c r="E8">
        <f t="shared" si="0"/>
        <v>6</v>
      </c>
    </row>
    <row r="9" spans="3:5" x14ac:dyDescent="0.25">
      <c r="C9" t="s">
        <v>661</v>
      </c>
      <c r="D9">
        <v>60</v>
      </c>
      <c r="E9">
        <f t="shared" si="0"/>
        <v>6</v>
      </c>
    </row>
    <row r="10" spans="3:5" x14ac:dyDescent="0.25">
      <c r="C10" t="s">
        <v>662</v>
      </c>
      <c r="D10">
        <v>60</v>
      </c>
      <c r="E10">
        <f t="shared" si="0"/>
        <v>6</v>
      </c>
    </row>
    <row r="11" spans="3:5" x14ac:dyDescent="0.25">
      <c r="C11" t="s">
        <v>663</v>
      </c>
      <c r="D11">
        <v>70</v>
      </c>
      <c r="E11">
        <f t="shared" si="0"/>
        <v>7</v>
      </c>
    </row>
    <row r="12" spans="3:5" x14ac:dyDescent="0.25">
      <c r="C12" t="s">
        <v>664</v>
      </c>
      <c r="D12">
        <v>80</v>
      </c>
      <c r="E12">
        <f t="shared" si="0"/>
        <v>8</v>
      </c>
    </row>
    <row r="13" spans="3:5" x14ac:dyDescent="0.25">
      <c r="C13" t="s">
        <v>665</v>
      </c>
      <c r="D13">
        <v>90</v>
      </c>
      <c r="E13">
        <f t="shared" si="0"/>
        <v>9</v>
      </c>
    </row>
    <row r="14" spans="3:5" x14ac:dyDescent="0.25">
      <c r="C14" t="s">
        <v>666</v>
      </c>
      <c r="D14">
        <v>90</v>
      </c>
      <c r="E14">
        <f t="shared" si="0"/>
        <v>9</v>
      </c>
    </row>
    <row r="15" spans="3:5" x14ac:dyDescent="0.25">
      <c r="C15" t="s">
        <v>667</v>
      </c>
      <c r="D15">
        <v>90</v>
      </c>
      <c r="E15">
        <f t="shared" si="0"/>
        <v>9</v>
      </c>
    </row>
    <row r="16" spans="3:5" x14ac:dyDescent="0.25">
      <c r="C16" t="s">
        <v>668</v>
      </c>
      <c r="D16">
        <v>90</v>
      </c>
      <c r="E16">
        <f t="shared" si="0"/>
        <v>9</v>
      </c>
    </row>
    <row r="17" spans="3:5" x14ac:dyDescent="0.25">
      <c r="C17" t="s">
        <v>669</v>
      </c>
      <c r="D17">
        <v>100</v>
      </c>
      <c r="E17">
        <f t="shared" si="0"/>
        <v>10</v>
      </c>
    </row>
    <row r="18" spans="3:5" x14ac:dyDescent="0.25">
      <c r="C18" t="s">
        <v>670</v>
      </c>
      <c r="D18">
        <v>110</v>
      </c>
      <c r="E18">
        <f t="shared" si="0"/>
        <v>11</v>
      </c>
    </row>
    <row r="19" spans="3:5" x14ac:dyDescent="0.25">
      <c r="C19" t="s">
        <v>671</v>
      </c>
      <c r="D19">
        <v>120</v>
      </c>
      <c r="E19">
        <f t="shared" si="0"/>
        <v>12</v>
      </c>
    </row>
    <row r="20" spans="3:5" x14ac:dyDescent="0.25">
      <c r="C20" t="s">
        <v>672</v>
      </c>
      <c r="D20">
        <v>120</v>
      </c>
      <c r="E20">
        <f t="shared" si="0"/>
        <v>12</v>
      </c>
    </row>
    <row r="21" spans="3:5" x14ac:dyDescent="0.25">
      <c r="C21" t="s">
        <v>673</v>
      </c>
      <c r="D21">
        <v>120</v>
      </c>
      <c r="E21">
        <f t="shared" si="0"/>
        <v>12</v>
      </c>
    </row>
    <row r="22" spans="3:5" x14ac:dyDescent="0.25">
      <c r="D22" t="s">
        <v>674</v>
      </c>
    </row>
    <row r="23" spans="3:5" x14ac:dyDescent="0.25">
      <c r="D2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MK94"/>
  <sheetViews>
    <sheetView workbookViewId="0">
      <selection activeCell="C15" sqref="C15"/>
    </sheetView>
  </sheetViews>
  <sheetFormatPr defaultColWidth="8.85546875" defaultRowHeight="15" x14ac:dyDescent="0.25"/>
  <cols>
    <col min="1" max="1" width="31.85546875" style="1" customWidth="1"/>
    <col min="2" max="2" width="21.140625" style="1" bestFit="1" customWidth="1"/>
    <col min="3" max="3" width="8.42578125" style="1" bestFit="1" customWidth="1"/>
    <col min="4" max="4" width="16.28515625" style="1" customWidth="1"/>
    <col min="5" max="9" width="8.85546875" style="1"/>
    <col min="10" max="10" width="16.28515625" style="1" bestFit="1" customWidth="1"/>
    <col min="11" max="1025" width="8.85546875" style="1"/>
  </cols>
  <sheetData>
    <row r="1" spans="1:1025" ht="25.5" customHeight="1" x14ac:dyDescent="0.4">
      <c r="A1" s="199" t="s">
        <v>507</v>
      </c>
      <c r="B1"/>
      <c r="C1"/>
      <c r="F1"/>
      <c r="G1"/>
      <c r="H1"/>
    </row>
    <row r="2" spans="1:1025" x14ac:dyDescent="0.25">
      <c r="A2" t="s">
        <v>508</v>
      </c>
      <c r="B2"/>
      <c r="C2"/>
      <c r="D2"/>
      <c r="H2"/>
    </row>
    <row r="3" spans="1:1025" x14ac:dyDescent="0.25">
      <c r="A3" t="s">
        <v>551</v>
      </c>
      <c r="B3"/>
      <c r="C3"/>
      <c r="D3"/>
      <c r="H3"/>
    </row>
    <row r="4" spans="1:1025" x14ac:dyDescent="0.25">
      <c r="A4" t="s">
        <v>586</v>
      </c>
      <c r="B4"/>
      <c r="C4"/>
      <c r="D4"/>
      <c r="H4"/>
    </row>
    <row r="5" spans="1:1025" x14ac:dyDescent="0.25">
      <c r="A5"/>
      <c r="B5"/>
      <c r="C5"/>
      <c r="D5"/>
      <c r="H5"/>
    </row>
    <row r="6" spans="1:1025" x14ac:dyDescent="0.25">
      <c r="A6"/>
      <c r="B6"/>
      <c r="C6"/>
      <c r="D6"/>
      <c r="H6"/>
    </row>
    <row r="7" spans="1:1025" x14ac:dyDescent="0.25">
      <c r="A7" s="86" t="s">
        <v>385</v>
      </c>
      <c r="B7" s="87" t="s">
        <v>517</v>
      </c>
      <c r="C7"/>
      <c r="D7"/>
      <c r="H7"/>
    </row>
    <row r="8" spans="1:1025" x14ac:dyDescent="0.25">
      <c r="A8" t="s">
        <v>510</v>
      </c>
      <c r="B8" t="s">
        <v>518</v>
      </c>
      <c r="C8"/>
      <c r="D8"/>
      <c r="H8"/>
    </row>
    <row r="9" spans="1:1025" s="90" customFormat="1" x14ac:dyDescent="0.25">
      <c r="E9" s="200"/>
      <c r="F9" s="200"/>
      <c r="G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  <c r="BS9" s="200"/>
      <c r="BT9" s="200"/>
      <c r="BU9" s="200"/>
      <c r="BV9" s="200"/>
      <c r="BW9" s="200"/>
      <c r="BX9" s="200"/>
      <c r="BY9" s="200"/>
      <c r="BZ9" s="200"/>
      <c r="CA9" s="200"/>
      <c r="CB9" s="200"/>
      <c r="CC9" s="200"/>
      <c r="CD9" s="200"/>
      <c r="CE9" s="200"/>
      <c r="CF9" s="200"/>
      <c r="CG9" s="200"/>
      <c r="CH9" s="200"/>
      <c r="CI9" s="200"/>
      <c r="CJ9" s="200"/>
      <c r="CK9" s="200"/>
      <c r="CL9" s="200"/>
      <c r="CM9" s="200"/>
      <c r="CN9" s="200"/>
      <c r="CO9" s="200"/>
      <c r="CP9" s="200"/>
      <c r="CQ9" s="200"/>
      <c r="CR9" s="200"/>
      <c r="CS9" s="200"/>
      <c r="CT9" s="200"/>
      <c r="CU9" s="200"/>
      <c r="CV9" s="200"/>
      <c r="CW9" s="200"/>
      <c r="CX9" s="200"/>
      <c r="CY9" s="200"/>
      <c r="CZ9" s="200"/>
      <c r="DA9" s="200"/>
      <c r="DB9" s="200"/>
      <c r="DC9" s="200"/>
      <c r="DD9" s="200"/>
      <c r="DE9" s="200"/>
      <c r="DF9" s="200"/>
      <c r="DG9" s="200"/>
      <c r="DH9" s="200"/>
      <c r="DI9" s="200"/>
      <c r="DJ9" s="200"/>
      <c r="DK9" s="200"/>
      <c r="DL9" s="200"/>
      <c r="DM9" s="200"/>
      <c r="DN9" s="200"/>
      <c r="DO9" s="200"/>
      <c r="DP9" s="200"/>
      <c r="DQ9" s="200"/>
      <c r="DR9" s="200"/>
      <c r="DS9" s="200"/>
      <c r="DT9" s="200"/>
      <c r="DU9" s="200"/>
      <c r="DV9" s="200"/>
      <c r="DW9" s="200"/>
      <c r="DX9" s="200"/>
      <c r="DY9" s="200"/>
      <c r="DZ9" s="200"/>
      <c r="EA9" s="200"/>
      <c r="EB9" s="200"/>
      <c r="EC9" s="200"/>
      <c r="ED9" s="200"/>
      <c r="EE9" s="200"/>
      <c r="EF9" s="200"/>
      <c r="EG9" s="200"/>
      <c r="EH9" s="200"/>
      <c r="EI9" s="200"/>
      <c r="EJ9" s="200"/>
      <c r="EK9" s="200"/>
      <c r="EL9" s="200"/>
      <c r="EM9" s="200"/>
      <c r="EN9" s="200"/>
      <c r="EO9" s="200"/>
      <c r="EP9" s="200"/>
      <c r="EQ9" s="200"/>
      <c r="ER9" s="200"/>
      <c r="ES9" s="200"/>
      <c r="ET9" s="200"/>
      <c r="EU9" s="200"/>
      <c r="EV9" s="200"/>
      <c r="EW9" s="200"/>
      <c r="EX9" s="200"/>
      <c r="EY9" s="200"/>
      <c r="EZ9" s="200"/>
      <c r="FA9" s="200"/>
      <c r="FB9" s="200"/>
      <c r="FC9" s="200"/>
      <c r="FD9" s="200"/>
      <c r="FE9" s="200"/>
      <c r="FF9" s="200"/>
      <c r="FG9" s="200"/>
      <c r="FH9" s="200"/>
      <c r="FI9" s="200"/>
      <c r="FJ9" s="200"/>
      <c r="FK9" s="200"/>
      <c r="FL9" s="200"/>
      <c r="FM9" s="200"/>
      <c r="FN9" s="200"/>
      <c r="FO9" s="200"/>
      <c r="FP9" s="200"/>
      <c r="FQ9" s="200"/>
      <c r="FR9" s="200"/>
      <c r="FS9" s="200"/>
      <c r="FT9" s="200"/>
      <c r="FU9" s="200"/>
      <c r="FV9" s="200"/>
      <c r="FW9" s="200"/>
      <c r="FX9" s="200"/>
      <c r="FY9" s="200"/>
      <c r="FZ9" s="200"/>
      <c r="GA9" s="200"/>
      <c r="GB9" s="200"/>
      <c r="GC9" s="200"/>
      <c r="GD9" s="200"/>
      <c r="GE9" s="200"/>
      <c r="GF9" s="200"/>
      <c r="GG9" s="200"/>
      <c r="GH9" s="200"/>
      <c r="GI9" s="200"/>
      <c r="GJ9" s="200"/>
      <c r="GK9" s="200"/>
      <c r="GL9" s="200"/>
      <c r="GM9" s="200"/>
      <c r="GN9" s="200"/>
      <c r="GO9" s="200"/>
      <c r="GP9" s="200"/>
      <c r="GQ9" s="200"/>
      <c r="GR9" s="200"/>
      <c r="GS9" s="200"/>
      <c r="GT9" s="200"/>
      <c r="GU9" s="200"/>
      <c r="GV9" s="200"/>
      <c r="GW9" s="200"/>
      <c r="GX9" s="200"/>
      <c r="GY9" s="200"/>
      <c r="GZ9" s="200"/>
      <c r="HA9" s="200"/>
      <c r="HB9" s="200"/>
      <c r="HC9" s="200"/>
      <c r="HD9" s="200"/>
      <c r="HE9" s="200"/>
      <c r="HF9" s="200"/>
      <c r="HG9" s="200"/>
      <c r="HH9" s="200"/>
      <c r="HI9" s="200"/>
      <c r="HJ9" s="200"/>
      <c r="HK9" s="200"/>
      <c r="HL9" s="200"/>
      <c r="HM9" s="200"/>
      <c r="HN9" s="200"/>
      <c r="HO9" s="200"/>
      <c r="HP9" s="200"/>
      <c r="HQ9" s="200"/>
      <c r="HR9" s="200"/>
      <c r="HS9" s="200"/>
      <c r="HT9" s="200"/>
      <c r="HU9" s="200"/>
      <c r="HV9" s="200"/>
      <c r="HW9" s="200"/>
      <c r="HX9" s="200"/>
      <c r="HY9" s="200"/>
      <c r="HZ9" s="200"/>
      <c r="IA9" s="200"/>
      <c r="IB9" s="200"/>
      <c r="IC9" s="200"/>
      <c r="ID9" s="200"/>
      <c r="IE9" s="200"/>
      <c r="IF9" s="200"/>
      <c r="IG9" s="200"/>
      <c r="IH9" s="200"/>
      <c r="II9" s="200"/>
      <c r="IJ9" s="200"/>
      <c r="IK9" s="200"/>
      <c r="IL9" s="200"/>
      <c r="IM9" s="200"/>
      <c r="IN9" s="200"/>
      <c r="IO9" s="200"/>
      <c r="IP9" s="200"/>
      <c r="IQ9" s="200"/>
      <c r="IR9" s="200"/>
      <c r="IS9" s="200"/>
      <c r="IT9" s="200"/>
      <c r="IU9" s="200"/>
      <c r="IV9" s="200"/>
      <c r="IW9" s="200"/>
      <c r="IX9" s="200"/>
      <c r="IY9" s="200"/>
      <c r="IZ9" s="200"/>
      <c r="JA9" s="200"/>
      <c r="JB9" s="200"/>
      <c r="JC9" s="200"/>
      <c r="JD9" s="200"/>
      <c r="JE9" s="200"/>
      <c r="JF9" s="200"/>
      <c r="JG9" s="200"/>
      <c r="JH9" s="200"/>
      <c r="JI9" s="200"/>
      <c r="JJ9" s="200"/>
      <c r="JK9" s="200"/>
      <c r="JL9" s="200"/>
      <c r="JM9" s="200"/>
      <c r="JN9" s="200"/>
      <c r="JO9" s="200"/>
      <c r="JP9" s="200"/>
      <c r="JQ9" s="200"/>
      <c r="JR9" s="200"/>
      <c r="JS9" s="200"/>
      <c r="JT9" s="200"/>
      <c r="JU9" s="200"/>
      <c r="JV9" s="200"/>
      <c r="JW9" s="200"/>
      <c r="JX9" s="200"/>
      <c r="JY9" s="200"/>
      <c r="JZ9" s="200"/>
      <c r="KA9" s="200"/>
      <c r="KB9" s="200"/>
      <c r="KC9" s="200"/>
      <c r="KD9" s="200"/>
      <c r="KE9" s="200"/>
      <c r="KF9" s="200"/>
      <c r="KG9" s="200"/>
      <c r="KH9" s="200"/>
      <c r="KI9" s="200"/>
      <c r="KJ9" s="200"/>
      <c r="KK9" s="200"/>
      <c r="KL9" s="200"/>
      <c r="KM9" s="200"/>
      <c r="KN9" s="200"/>
      <c r="KO9" s="200"/>
      <c r="KP9" s="200"/>
      <c r="KQ9" s="200"/>
      <c r="KR9" s="200"/>
      <c r="KS9" s="200"/>
      <c r="KT9" s="200"/>
      <c r="KU9" s="200"/>
      <c r="KV9" s="200"/>
      <c r="KW9" s="200"/>
      <c r="KX9" s="200"/>
      <c r="KY9" s="200"/>
      <c r="KZ9" s="200"/>
      <c r="LA9" s="200"/>
      <c r="LB9" s="200"/>
      <c r="LC9" s="200"/>
      <c r="LD9" s="200"/>
      <c r="LE9" s="200"/>
      <c r="LF9" s="200"/>
      <c r="LG9" s="200"/>
      <c r="LH9" s="200"/>
      <c r="LI9" s="200"/>
      <c r="LJ9" s="200"/>
      <c r="LK9" s="200"/>
      <c r="LL9" s="200"/>
      <c r="LM9" s="200"/>
      <c r="LN9" s="200"/>
      <c r="LO9" s="200"/>
      <c r="LP9" s="200"/>
      <c r="LQ9" s="200"/>
      <c r="LR9" s="200"/>
      <c r="LS9" s="200"/>
      <c r="LT9" s="200"/>
      <c r="LU9" s="200"/>
      <c r="LV9" s="200"/>
      <c r="LW9" s="200"/>
      <c r="LX9" s="200"/>
      <c r="LY9" s="200"/>
      <c r="LZ9" s="200"/>
      <c r="MA9" s="200"/>
      <c r="MB9" s="200"/>
      <c r="MC9" s="200"/>
      <c r="MD9" s="200"/>
      <c r="ME9" s="200"/>
      <c r="MF9" s="200"/>
      <c r="MG9" s="200"/>
      <c r="MH9" s="200"/>
      <c r="MI9" s="200"/>
      <c r="MJ9" s="200"/>
      <c r="MK9" s="200"/>
      <c r="ML9" s="200"/>
      <c r="MM9" s="200"/>
      <c r="MN9" s="200"/>
      <c r="MO9" s="200"/>
      <c r="MP9" s="200"/>
      <c r="MQ9" s="200"/>
      <c r="MR9" s="200"/>
      <c r="MS9" s="200"/>
      <c r="MT9" s="200"/>
      <c r="MU9" s="200"/>
      <c r="MV9" s="200"/>
      <c r="MW9" s="200"/>
      <c r="MX9" s="200"/>
      <c r="MY9" s="200"/>
      <c r="MZ9" s="200"/>
      <c r="NA9" s="200"/>
      <c r="NB9" s="200"/>
      <c r="NC9" s="200"/>
      <c r="ND9" s="200"/>
      <c r="NE9" s="200"/>
      <c r="NF9" s="200"/>
      <c r="NG9" s="200"/>
      <c r="NH9" s="200"/>
      <c r="NI9" s="200"/>
      <c r="NJ9" s="200"/>
      <c r="NK9" s="200"/>
      <c r="NL9" s="200"/>
      <c r="NM9" s="200"/>
      <c r="NN9" s="200"/>
      <c r="NO9" s="200"/>
      <c r="NP9" s="200"/>
      <c r="NQ9" s="200"/>
      <c r="NR9" s="200"/>
      <c r="NS9" s="200"/>
      <c r="NT9" s="200"/>
      <c r="NU9" s="200"/>
      <c r="NV9" s="200"/>
      <c r="NW9" s="200"/>
      <c r="NX9" s="200"/>
      <c r="NY9" s="200"/>
      <c r="NZ9" s="200"/>
      <c r="OA9" s="200"/>
      <c r="OB9" s="200"/>
      <c r="OC9" s="200"/>
      <c r="OD9" s="200"/>
      <c r="OE9" s="200"/>
      <c r="OF9" s="200"/>
      <c r="OG9" s="200"/>
      <c r="OH9" s="200"/>
      <c r="OI9" s="200"/>
      <c r="OJ9" s="200"/>
      <c r="OK9" s="200"/>
      <c r="OL9" s="200"/>
      <c r="OM9" s="200"/>
      <c r="ON9" s="200"/>
      <c r="OO9" s="200"/>
      <c r="OP9" s="200"/>
      <c r="OQ9" s="200"/>
      <c r="OR9" s="200"/>
      <c r="OS9" s="200"/>
      <c r="OT9" s="200"/>
      <c r="OU9" s="200"/>
      <c r="OV9" s="200"/>
      <c r="OW9" s="200"/>
      <c r="OX9" s="200"/>
      <c r="OY9" s="200"/>
      <c r="OZ9" s="200"/>
      <c r="PA9" s="200"/>
      <c r="PB9" s="200"/>
      <c r="PC9" s="200"/>
      <c r="PD9" s="200"/>
      <c r="PE9" s="200"/>
      <c r="PF9" s="200"/>
      <c r="PG9" s="200"/>
      <c r="PH9" s="200"/>
      <c r="PI9" s="200"/>
      <c r="PJ9" s="200"/>
      <c r="PK9" s="200"/>
      <c r="PL9" s="200"/>
      <c r="PM9" s="200"/>
      <c r="PN9" s="200"/>
      <c r="PO9" s="200"/>
      <c r="PP9" s="200"/>
      <c r="PQ9" s="200"/>
      <c r="PR9" s="200"/>
      <c r="PS9" s="200"/>
      <c r="PT9" s="200"/>
      <c r="PU9" s="200"/>
      <c r="PV9" s="200"/>
      <c r="PW9" s="200"/>
      <c r="PX9" s="200"/>
      <c r="PY9" s="200"/>
      <c r="PZ9" s="200"/>
      <c r="QA9" s="200"/>
      <c r="QB9" s="200"/>
      <c r="QC9" s="200"/>
      <c r="QD9" s="200"/>
      <c r="QE9" s="200"/>
      <c r="QF9" s="200"/>
      <c r="QG9" s="200"/>
      <c r="QH9" s="200"/>
      <c r="QI9" s="200"/>
      <c r="QJ9" s="200"/>
      <c r="QK9" s="200"/>
      <c r="QL9" s="200"/>
      <c r="QM9" s="200"/>
      <c r="QN9" s="200"/>
      <c r="QO9" s="200"/>
      <c r="QP9" s="200"/>
      <c r="QQ9" s="200"/>
      <c r="QR9" s="200"/>
      <c r="QS9" s="200"/>
      <c r="QT9" s="200"/>
      <c r="QU9" s="200"/>
      <c r="QV9" s="200"/>
      <c r="QW9" s="200"/>
      <c r="QX9" s="200"/>
      <c r="QY9" s="200"/>
      <c r="QZ9" s="200"/>
      <c r="RA9" s="200"/>
      <c r="RB9" s="200"/>
      <c r="RC9" s="200"/>
      <c r="RD9" s="200"/>
      <c r="RE9" s="200"/>
      <c r="RF9" s="200"/>
      <c r="RG9" s="200"/>
      <c r="RH9" s="200"/>
      <c r="RI9" s="200"/>
      <c r="RJ9" s="200"/>
      <c r="RK9" s="200"/>
      <c r="RL9" s="200"/>
      <c r="RM9" s="200"/>
      <c r="RN9" s="200"/>
      <c r="RO9" s="200"/>
      <c r="RP9" s="200"/>
      <c r="RQ9" s="200"/>
      <c r="RR9" s="200"/>
      <c r="RS9" s="200"/>
      <c r="RT9" s="200"/>
      <c r="RU9" s="200"/>
      <c r="RV9" s="200"/>
      <c r="RW9" s="200"/>
      <c r="RX9" s="200"/>
      <c r="RY9" s="200"/>
      <c r="RZ9" s="200"/>
      <c r="SA9" s="200"/>
      <c r="SB9" s="200"/>
      <c r="SC9" s="200"/>
      <c r="SD9" s="200"/>
      <c r="SE9" s="200"/>
      <c r="SF9" s="200"/>
      <c r="SG9" s="200"/>
      <c r="SH9" s="200"/>
      <c r="SI9" s="200"/>
      <c r="SJ9" s="200"/>
      <c r="SK9" s="200"/>
      <c r="SL9" s="200"/>
      <c r="SM9" s="200"/>
      <c r="SN9" s="200"/>
      <c r="SO9" s="200"/>
      <c r="SP9" s="200"/>
      <c r="SQ9" s="200"/>
      <c r="SR9" s="200"/>
      <c r="SS9" s="200"/>
      <c r="ST9" s="200"/>
      <c r="SU9" s="200"/>
      <c r="SV9" s="200"/>
      <c r="SW9" s="200"/>
      <c r="SX9" s="200"/>
      <c r="SY9" s="200"/>
      <c r="SZ9" s="200"/>
      <c r="TA9" s="200"/>
      <c r="TB9" s="200"/>
      <c r="TC9" s="200"/>
      <c r="TD9" s="200"/>
      <c r="TE9" s="200"/>
      <c r="TF9" s="200"/>
      <c r="TG9" s="200"/>
      <c r="TH9" s="200"/>
      <c r="TI9" s="200"/>
      <c r="TJ9" s="200"/>
      <c r="TK9" s="200"/>
      <c r="TL9" s="200"/>
      <c r="TM9" s="200"/>
      <c r="TN9" s="200"/>
      <c r="TO9" s="200"/>
      <c r="TP9" s="200"/>
      <c r="TQ9" s="200"/>
      <c r="TR9" s="200"/>
      <c r="TS9" s="200"/>
      <c r="TT9" s="200"/>
      <c r="TU9" s="200"/>
      <c r="TV9" s="200"/>
      <c r="TW9" s="200"/>
      <c r="TX9" s="200"/>
      <c r="TY9" s="200"/>
      <c r="TZ9" s="200"/>
      <c r="UA9" s="200"/>
      <c r="UB9" s="200"/>
      <c r="UC9" s="200"/>
      <c r="UD9" s="200"/>
      <c r="UE9" s="200"/>
      <c r="UF9" s="200"/>
      <c r="UG9" s="200"/>
      <c r="UH9" s="200"/>
      <c r="UI9" s="200"/>
      <c r="UJ9" s="200"/>
      <c r="UK9" s="200"/>
      <c r="UL9" s="200"/>
      <c r="UM9" s="200"/>
      <c r="UN9" s="200"/>
      <c r="UO9" s="200"/>
      <c r="UP9" s="200"/>
      <c r="UQ9" s="200"/>
      <c r="UR9" s="200"/>
      <c r="US9" s="200"/>
      <c r="UT9" s="200"/>
      <c r="UU9" s="200"/>
      <c r="UV9" s="200"/>
      <c r="UW9" s="200"/>
      <c r="UX9" s="200"/>
      <c r="UY9" s="200"/>
      <c r="UZ9" s="200"/>
      <c r="VA9" s="200"/>
      <c r="VB9" s="200"/>
      <c r="VC9" s="200"/>
      <c r="VD9" s="200"/>
      <c r="VE9" s="200"/>
      <c r="VF9" s="200"/>
      <c r="VG9" s="200"/>
      <c r="VH9" s="200"/>
      <c r="VI9" s="200"/>
      <c r="VJ9" s="200"/>
      <c r="VK9" s="200"/>
      <c r="VL9" s="200"/>
      <c r="VM9" s="200"/>
      <c r="VN9" s="200"/>
      <c r="VO9" s="200"/>
      <c r="VP9" s="200"/>
      <c r="VQ9" s="200"/>
      <c r="VR9" s="200"/>
      <c r="VS9" s="200"/>
      <c r="VT9" s="200"/>
      <c r="VU9" s="200"/>
      <c r="VV9" s="200"/>
      <c r="VW9" s="200"/>
      <c r="VX9" s="200"/>
      <c r="VY9" s="200"/>
      <c r="VZ9" s="200"/>
      <c r="WA9" s="200"/>
      <c r="WB9" s="200"/>
      <c r="WC9" s="200"/>
      <c r="WD9" s="200"/>
      <c r="WE9" s="200"/>
      <c r="WF9" s="200"/>
      <c r="WG9" s="200"/>
      <c r="WH9" s="200"/>
      <c r="WI9" s="200"/>
      <c r="WJ9" s="200"/>
      <c r="WK9" s="200"/>
      <c r="WL9" s="200"/>
      <c r="WM9" s="200"/>
      <c r="WN9" s="200"/>
      <c r="WO9" s="200"/>
      <c r="WP9" s="200"/>
      <c r="WQ9" s="200"/>
      <c r="WR9" s="200"/>
      <c r="WS9" s="200"/>
      <c r="WT9" s="200"/>
      <c r="WU9" s="200"/>
      <c r="WV9" s="200"/>
      <c r="WW9" s="200"/>
      <c r="WX9" s="200"/>
      <c r="WY9" s="200"/>
      <c r="WZ9" s="200"/>
      <c r="XA9" s="200"/>
      <c r="XB9" s="200"/>
      <c r="XC9" s="200"/>
      <c r="XD9" s="200"/>
      <c r="XE9" s="200"/>
      <c r="XF9" s="200"/>
      <c r="XG9" s="200"/>
      <c r="XH9" s="200"/>
      <c r="XI9" s="200"/>
      <c r="XJ9" s="200"/>
      <c r="XK9" s="200"/>
      <c r="XL9" s="200"/>
      <c r="XM9" s="200"/>
      <c r="XN9" s="200"/>
      <c r="XO9" s="200"/>
      <c r="XP9" s="200"/>
      <c r="XQ9" s="200"/>
      <c r="XR9" s="200"/>
      <c r="XS9" s="200"/>
      <c r="XT9" s="200"/>
      <c r="XU9" s="200"/>
      <c r="XV9" s="200"/>
      <c r="XW9" s="200"/>
      <c r="XX9" s="200"/>
      <c r="XY9" s="200"/>
      <c r="XZ9" s="200"/>
      <c r="YA9" s="200"/>
      <c r="YB9" s="200"/>
      <c r="YC9" s="200"/>
      <c r="YD9" s="200"/>
      <c r="YE9" s="200"/>
      <c r="YF9" s="200"/>
      <c r="YG9" s="200"/>
      <c r="YH9" s="200"/>
      <c r="YI9" s="200"/>
      <c r="YJ9" s="200"/>
      <c r="YK9" s="200"/>
      <c r="YL9" s="200"/>
      <c r="YM9" s="200"/>
      <c r="YN9" s="200"/>
      <c r="YO9" s="200"/>
      <c r="YP9" s="200"/>
      <c r="YQ9" s="200"/>
      <c r="YR9" s="200"/>
      <c r="YS9" s="200"/>
      <c r="YT9" s="200"/>
      <c r="YU9" s="200"/>
      <c r="YV9" s="200"/>
      <c r="YW9" s="200"/>
      <c r="YX9" s="200"/>
      <c r="YY9" s="200"/>
      <c r="YZ9" s="200"/>
      <c r="ZA9" s="200"/>
      <c r="ZB9" s="200"/>
      <c r="ZC9" s="200"/>
      <c r="ZD9" s="200"/>
      <c r="ZE9" s="200"/>
      <c r="ZF9" s="200"/>
      <c r="ZG9" s="200"/>
      <c r="ZH9" s="200"/>
      <c r="ZI9" s="200"/>
      <c r="ZJ9" s="200"/>
      <c r="ZK9" s="200"/>
      <c r="ZL9" s="200"/>
      <c r="ZM9" s="200"/>
      <c r="ZN9" s="200"/>
      <c r="ZO9" s="200"/>
      <c r="ZP9" s="200"/>
      <c r="ZQ9" s="200"/>
      <c r="ZR9" s="200"/>
      <c r="ZS9" s="200"/>
      <c r="ZT9" s="200"/>
      <c r="ZU9" s="200"/>
      <c r="ZV9" s="200"/>
      <c r="ZW9" s="200"/>
      <c r="ZX9" s="200"/>
      <c r="ZY9" s="200"/>
      <c r="ZZ9" s="200"/>
      <c r="AAA9" s="200"/>
      <c r="AAB9" s="200"/>
      <c r="AAC9" s="200"/>
      <c r="AAD9" s="200"/>
      <c r="AAE9" s="200"/>
      <c r="AAF9" s="200"/>
      <c r="AAG9" s="200"/>
      <c r="AAH9" s="200"/>
      <c r="AAI9" s="200"/>
      <c r="AAJ9" s="200"/>
      <c r="AAK9" s="200"/>
      <c r="AAL9" s="200"/>
      <c r="AAM9" s="200"/>
      <c r="AAN9" s="200"/>
      <c r="AAO9" s="200"/>
      <c r="AAP9" s="200"/>
      <c r="AAQ9" s="200"/>
      <c r="AAR9" s="200"/>
      <c r="AAS9" s="200"/>
      <c r="AAT9" s="200"/>
      <c r="AAU9" s="200"/>
      <c r="AAV9" s="200"/>
      <c r="AAW9" s="200"/>
      <c r="AAX9" s="200"/>
      <c r="AAY9" s="200"/>
      <c r="AAZ9" s="200"/>
      <c r="ABA9" s="200"/>
      <c r="ABB9" s="200"/>
      <c r="ABC9" s="200"/>
      <c r="ABD9" s="200"/>
      <c r="ABE9" s="200"/>
      <c r="ABF9" s="200"/>
      <c r="ABG9" s="200"/>
      <c r="ABH9" s="200"/>
      <c r="ABI9" s="200"/>
      <c r="ABJ9" s="200"/>
      <c r="ABK9" s="200"/>
      <c r="ABL9" s="200"/>
      <c r="ABM9" s="200"/>
      <c r="ABN9" s="200"/>
      <c r="ABO9" s="200"/>
      <c r="ABP9" s="200"/>
      <c r="ABQ9" s="200"/>
      <c r="ABR9" s="200"/>
      <c r="ABS9" s="200"/>
      <c r="ABT9" s="200"/>
      <c r="ABU9" s="200"/>
      <c r="ABV9" s="200"/>
      <c r="ABW9" s="200"/>
      <c r="ABX9" s="200"/>
      <c r="ABY9" s="200"/>
      <c r="ABZ9" s="200"/>
      <c r="ACA9" s="200"/>
      <c r="ACB9" s="200"/>
      <c r="ACC9" s="200"/>
      <c r="ACD9" s="200"/>
      <c r="ACE9" s="200"/>
      <c r="ACF9" s="200"/>
      <c r="ACG9" s="200"/>
      <c r="ACH9" s="200"/>
      <c r="ACI9" s="200"/>
      <c r="ACJ9" s="200"/>
      <c r="ACK9" s="200"/>
      <c r="ACL9" s="200"/>
      <c r="ACM9" s="200"/>
      <c r="ACN9" s="200"/>
      <c r="ACO9" s="200"/>
      <c r="ACP9" s="200"/>
      <c r="ACQ9" s="200"/>
      <c r="ACR9" s="200"/>
      <c r="ACS9" s="200"/>
      <c r="ACT9" s="200"/>
      <c r="ACU9" s="200"/>
      <c r="ACV9" s="200"/>
      <c r="ACW9" s="200"/>
      <c r="ACX9" s="200"/>
      <c r="ACY9" s="200"/>
      <c r="ACZ9" s="200"/>
      <c r="ADA9" s="200"/>
      <c r="ADB9" s="200"/>
      <c r="ADC9" s="200"/>
      <c r="ADD9" s="200"/>
      <c r="ADE9" s="200"/>
      <c r="ADF9" s="200"/>
      <c r="ADG9" s="200"/>
      <c r="ADH9" s="200"/>
      <c r="ADI9" s="200"/>
      <c r="ADJ9" s="200"/>
      <c r="ADK9" s="200"/>
      <c r="ADL9" s="200"/>
      <c r="ADM9" s="200"/>
      <c r="ADN9" s="200"/>
      <c r="ADO9" s="200"/>
      <c r="ADP9" s="200"/>
      <c r="ADQ9" s="200"/>
      <c r="ADR9" s="200"/>
      <c r="ADS9" s="200"/>
      <c r="ADT9" s="200"/>
      <c r="ADU9" s="200"/>
      <c r="ADV9" s="200"/>
      <c r="ADW9" s="200"/>
      <c r="ADX9" s="200"/>
      <c r="ADY9" s="200"/>
      <c r="ADZ9" s="200"/>
      <c r="AEA9" s="200"/>
      <c r="AEB9" s="200"/>
      <c r="AEC9" s="200"/>
      <c r="AED9" s="200"/>
      <c r="AEE9" s="200"/>
      <c r="AEF9" s="200"/>
      <c r="AEG9" s="200"/>
      <c r="AEH9" s="200"/>
      <c r="AEI9" s="200"/>
      <c r="AEJ9" s="200"/>
      <c r="AEK9" s="200"/>
      <c r="AEL9" s="200"/>
      <c r="AEM9" s="200"/>
      <c r="AEN9" s="200"/>
      <c r="AEO9" s="200"/>
      <c r="AEP9" s="200"/>
      <c r="AEQ9" s="200"/>
      <c r="AER9" s="200"/>
      <c r="AES9" s="200"/>
      <c r="AET9" s="200"/>
      <c r="AEU9" s="200"/>
      <c r="AEV9" s="200"/>
      <c r="AEW9" s="200"/>
      <c r="AEX9" s="200"/>
      <c r="AEY9" s="200"/>
      <c r="AEZ9" s="200"/>
      <c r="AFA9" s="200"/>
      <c r="AFB9" s="200"/>
      <c r="AFC9" s="200"/>
      <c r="AFD9" s="200"/>
      <c r="AFE9" s="200"/>
      <c r="AFF9" s="200"/>
      <c r="AFG9" s="200"/>
      <c r="AFH9" s="200"/>
      <c r="AFI9" s="200"/>
      <c r="AFJ9" s="200"/>
      <c r="AFK9" s="200"/>
      <c r="AFL9" s="200"/>
      <c r="AFM9" s="200"/>
      <c r="AFN9" s="200"/>
      <c r="AFO9" s="200"/>
      <c r="AFP9" s="200"/>
      <c r="AFQ9" s="200"/>
      <c r="AFR9" s="200"/>
      <c r="AFS9" s="200"/>
      <c r="AFT9" s="200"/>
      <c r="AFU9" s="200"/>
      <c r="AFV9" s="200"/>
      <c r="AFW9" s="200"/>
      <c r="AFX9" s="200"/>
      <c r="AFY9" s="200"/>
      <c r="AFZ9" s="200"/>
      <c r="AGA9" s="200"/>
      <c r="AGB9" s="200"/>
      <c r="AGC9" s="200"/>
      <c r="AGD9" s="200"/>
      <c r="AGE9" s="200"/>
      <c r="AGF9" s="200"/>
      <c r="AGG9" s="200"/>
      <c r="AGH9" s="200"/>
      <c r="AGI9" s="200"/>
      <c r="AGJ9" s="200"/>
      <c r="AGK9" s="200"/>
      <c r="AGL9" s="200"/>
      <c r="AGM9" s="200"/>
      <c r="AGN9" s="200"/>
      <c r="AGO9" s="200"/>
      <c r="AGP9" s="200"/>
      <c r="AGQ9" s="200"/>
      <c r="AGR9" s="200"/>
      <c r="AGS9" s="200"/>
      <c r="AGT9" s="200"/>
      <c r="AGU9" s="200"/>
      <c r="AGV9" s="200"/>
      <c r="AGW9" s="200"/>
      <c r="AGX9" s="200"/>
      <c r="AGY9" s="200"/>
      <c r="AGZ9" s="200"/>
      <c r="AHA9" s="200"/>
      <c r="AHB9" s="200"/>
      <c r="AHC9" s="200"/>
      <c r="AHD9" s="200"/>
      <c r="AHE9" s="200"/>
      <c r="AHF9" s="200"/>
      <c r="AHG9" s="200"/>
      <c r="AHH9" s="200"/>
      <c r="AHI9" s="200"/>
      <c r="AHJ9" s="200"/>
      <c r="AHK9" s="200"/>
      <c r="AHL9" s="200"/>
      <c r="AHM9" s="200"/>
      <c r="AHN9" s="200"/>
      <c r="AHO9" s="200"/>
      <c r="AHP9" s="200"/>
      <c r="AHQ9" s="200"/>
      <c r="AHR9" s="200"/>
      <c r="AHS9" s="200"/>
      <c r="AHT9" s="200"/>
      <c r="AHU9" s="200"/>
      <c r="AHV9" s="200"/>
      <c r="AHW9" s="200"/>
      <c r="AHX9" s="200"/>
      <c r="AHY9" s="200"/>
      <c r="AHZ9" s="200"/>
      <c r="AIA9" s="200"/>
      <c r="AIB9" s="200"/>
      <c r="AIC9" s="200"/>
      <c r="AID9" s="200"/>
      <c r="AIE9" s="200"/>
      <c r="AIF9" s="200"/>
      <c r="AIG9" s="200"/>
      <c r="AIH9" s="200"/>
      <c r="AII9" s="200"/>
      <c r="AIJ9" s="200"/>
      <c r="AIK9" s="200"/>
      <c r="AIL9" s="200"/>
      <c r="AIM9" s="200"/>
      <c r="AIN9" s="200"/>
      <c r="AIO9" s="200"/>
      <c r="AIP9" s="200"/>
      <c r="AIQ9" s="200"/>
      <c r="AIR9" s="200"/>
      <c r="AIS9" s="200"/>
      <c r="AIT9" s="200"/>
      <c r="AIU9" s="200"/>
      <c r="AIV9" s="200"/>
      <c r="AIW9" s="200"/>
      <c r="AIX9" s="200"/>
      <c r="AIY9" s="200"/>
      <c r="AIZ9" s="200"/>
      <c r="AJA9" s="200"/>
      <c r="AJB9" s="200"/>
      <c r="AJC9" s="200"/>
      <c r="AJD9" s="200"/>
      <c r="AJE9" s="200"/>
      <c r="AJF9" s="200"/>
      <c r="AJG9" s="200"/>
      <c r="AJH9" s="200"/>
      <c r="AJI9" s="200"/>
      <c r="AJJ9" s="200"/>
      <c r="AJK9" s="200"/>
      <c r="AJL9" s="200"/>
      <c r="AJM9" s="200"/>
      <c r="AJN9" s="200"/>
      <c r="AJO9" s="200"/>
      <c r="AJP9" s="200"/>
      <c r="AJQ9" s="200"/>
      <c r="AJR9" s="200"/>
      <c r="AJS9" s="200"/>
      <c r="AJT9" s="200"/>
      <c r="AJU9" s="200"/>
      <c r="AJV9" s="200"/>
      <c r="AJW9" s="200"/>
      <c r="AJX9" s="200"/>
      <c r="AJY9" s="200"/>
      <c r="AJZ9" s="200"/>
      <c r="AKA9" s="200"/>
      <c r="AKB9" s="200"/>
      <c r="AKC9" s="200"/>
      <c r="AKD9" s="200"/>
      <c r="AKE9" s="200"/>
      <c r="AKF9" s="200"/>
      <c r="AKG9" s="200"/>
      <c r="AKH9" s="200"/>
      <c r="AKI9" s="200"/>
      <c r="AKJ9" s="200"/>
      <c r="AKK9" s="200"/>
      <c r="AKL9" s="200"/>
      <c r="AKM9" s="200"/>
      <c r="AKN9" s="200"/>
      <c r="AKO9" s="200"/>
      <c r="AKP9" s="200"/>
      <c r="AKQ9" s="200"/>
      <c r="AKR9" s="200"/>
      <c r="AKS9" s="200"/>
      <c r="AKT9" s="200"/>
      <c r="AKU9" s="200"/>
      <c r="AKV9" s="200"/>
      <c r="AKW9" s="200"/>
      <c r="AKX9" s="200"/>
      <c r="AKY9" s="200"/>
      <c r="AKZ9" s="200"/>
      <c r="ALA9" s="200"/>
      <c r="ALB9" s="200"/>
      <c r="ALC9" s="200"/>
      <c r="ALD9" s="200"/>
      <c r="ALE9" s="200"/>
      <c r="ALF9" s="200"/>
      <c r="ALG9" s="200"/>
      <c r="ALH9" s="200"/>
      <c r="ALI9" s="200"/>
      <c r="ALJ9" s="200"/>
      <c r="ALK9" s="200"/>
      <c r="ALL9" s="200"/>
      <c r="ALM9" s="200"/>
      <c r="ALN9" s="200"/>
      <c r="ALO9" s="200"/>
      <c r="ALP9" s="200"/>
      <c r="ALQ9" s="200"/>
      <c r="ALR9" s="200"/>
      <c r="ALS9" s="200"/>
      <c r="ALT9" s="200"/>
      <c r="ALU9" s="200"/>
      <c r="ALV9" s="200"/>
      <c r="ALW9" s="200"/>
      <c r="ALX9" s="200"/>
      <c r="ALY9" s="200"/>
      <c r="ALZ9" s="200"/>
      <c r="AMA9" s="200"/>
      <c r="AMB9" s="200"/>
      <c r="AMC9" s="200"/>
      <c r="AMD9" s="200"/>
      <c r="AME9" s="200"/>
      <c r="AMF9" s="200"/>
      <c r="AMG9" s="200"/>
      <c r="AMH9" s="200"/>
      <c r="AMI9" s="200"/>
      <c r="AMJ9" s="200"/>
      <c r="AMK9" s="200"/>
    </row>
    <row r="10" spans="1:1025" s="93" customFormat="1" x14ac:dyDescent="0.25">
      <c r="A10" s="91" t="s">
        <v>384</v>
      </c>
      <c r="B10" s="92"/>
      <c r="C10" s="92"/>
      <c r="E10" s="92" t="s">
        <v>389</v>
      </c>
    </row>
    <row r="11" spans="1:1025" s="126" customFormat="1" x14ac:dyDescent="0.25">
      <c r="A11"/>
      <c r="B11" s="209" t="s">
        <v>569</v>
      </c>
      <c r="C11" s="172" t="s">
        <v>76</v>
      </c>
      <c r="E11" s="201"/>
    </row>
    <row r="12" spans="1:1025" s="126" customFormat="1" x14ac:dyDescent="0.25">
      <c r="A12" t="s">
        <v>495</v>
      </c>
      <c r="B12" s="126" t="s">
        <v>587</v>
      </c>
      <c r="C12" s="236">
        <f>B39</f>
        <v>42.883745825985727</v>
      </c>
      <c r="D12" s="126" t="s">
        <v>588</v>
      </c>
      <c r="E12" s="201"/>
    </row>
    <row r="13" spans="1:1025" s="126" customFormat="1" x14ac:dyDescent="0.25">
      <c r="A13" t="s">
        <v>84</v>
      </c>
      <c r="B13" s="126" t="s">
        <v>698</v>
      </c>
      <c r="C13" s="151">
        <v>0.01</v>
      </c>
      <c r="D13" s="126" t="s">
        <v>588</v>
      </c>
      <c r="E13" s="201"/>
    </row>
    <row r="14" spans="1:1025" s="126" customFormat="1" x14ac:dyDescent="0.25">
      <c r="A14" t="s">
        <v>87</v>
      </c>
      <c r="B14" s="126" t="s">
        <v>589</v>
      </c>
      <c r="C14" s="151">
        <v>0.02</v>
      </c>
      <c r="D14" s="126" t="s">
        <v>588</v>
      </c>
      <c r="E14" s="201"/>
    </row>
    <row r="15" spans="1:1025" s="126" customFormat="1" x14ac:dyDescent="0.25">
      <c r="A15" t="s">
        <v>477</v>
      </c>
      <c r="B15" s="126" t="s">
        <v>593</v>
      </c>
      <c r="C15" s="237">
        <v>0.03</v>
      </c>
      <c r="D15" s="224" t="s">
        <v>598</v>
      </c>
    </row>
    <row r="16" spans="1:1025" s="126" customFormat="1" x14ac:dyDescent="0.25">
      <c r="A16" s="230" t="s">
        <v>530</v>
      </c>
      <c r="B16" s="126" t="s">
        <v>590</v>
      </c>
      <c r="C16" s="218">
        <f>B84</f>
        <v>0.7479723109183557</v>
      </c>
      <c r="D16" s="224" t="s">
        <v>599</v>
      </c>
      <c r="E16" s="126" t="s">
        <v>700</v>
      </c>
    </row>
    <row r="17" spans="1:5" s="126" customFormat="1" x14ac:dyDescent="0.25">
      <c r="A17" s="233" t="s">
        <v>540</v>
      </c>
      <c r="B17" s="122" t="s">
        <v>591</v>
      </c>
      <c r="C17" s="234">
        <f>B89</f>
        <v>0.37398615545917785</v>
      </c>
      <c r="D17" s="122"/>
      <c r="E17" s="235" t="s">
        <v>594</v>
      </c>
    </row>
    <row r="18" spans="1:5" s="126" customFormat="1" x14ac:dyDescent="0.25">
      <c r="A18" s="230" t="s">
        <v>577</v>
      </c>
      <c r="B18" s="201" t="s">
        <v>592</v>
      </c>
      <c r="C18" s="232">
        <f>B94</f>
        <v>11.064006423104319</v>
      </c>
      <c r="E18" s="243" t="s">
        <v>594</v>
      </c>
    </row>
    <row r="19" spans="1:5" s="126" customFormat="1" x14ac:dyDescent="0.25">
      <c r="A19" t="s">
        <v>88</v>
      </c>
      <c r="C19" s="189">
        <f>D50</f>
        <v>0.27582095169290322</v>
      </c>
      <c r="E19" s="243" t="s">
        <v>594</v>
      </c>
    </row>
    <row r="20" spans="1:5" s="126" customFormat="1" x14ac:dyDescent="0.25">
      <c r="A20" t="s">
        <v>89</v>
      </c>
      <c r="C20" s="189">
        <f>D55</f>
        <v>0.66197028406296765</v>
      </c>
      <c r="E20" s="243" t="s">
        <v>594</v>
      </c>
    </row>
    <row r="21" spans="1:5" s="126" customFormat="1" x14ac:dyDescent="0.25">
      <c r="A21" t="s">
        <v>92</v>
      </c>
      <c r="C21" s="189">
        <f>D56</f>
        <v>0.48349790355579497</v>
      </c>
      <c r="E21" s="243" t="s">
        <v>594</v>
      </c>
    </row>
    <row r="22" spans="1:5" s="126" customFormat="1" x14ac:dyDescent="0.25">
      <c r="A22" t="s">
        <v>94</v>
      </c>
      <c r="C22" s="189">
        <f>D57+D58</f>
        <v>0.33747504677719919</v>
      </c>
      <c r="E22" s="243" t="s">
        <v>594</v>
      </c>
    </row>
    <row r="23" spans="1:5" s="204" customFormat="1" x14ac:dyDescent="0.25">
      <c r="A23" s="202"/>
      <c r="B23" s="203"/>
      <c r="C23" s="203"/>
      <c r="E23" s="203"/>
    </row>
    <row r="24" spans="1:5" s="93" customFormat="1" x14ac:dyDescent="0.25">
      <c r="A24" s="91" t="s">
        <v>486</v>
      </c>
      <c r="B24" s="92"/>
      <c r="C24" s="92"/>
      <c r="E24" s="92" t="s">
        <v>389</v>
      </c>
    </row>
    <row r="25" spans="1:5" s="126" customFormat="1" x14ac:dyDescent="0.25">
      <c r="A25" s="88"/>
      <c r="B25" s="220">
        <v>0.90718500000000002</v>
      </c>
      <c r="C25" s="220" t="s">
        <v>555</v>
      </c>
      <c r="E25" s="201"/>
    </row>
    <row r="26" spans="1:5" s="126" customFormat="1" x14ac:dyDescent="0.25">
      <c r="A26" s="88" t="s">
        <v>550</v>
      </c>
      <c r="B26" s="225">
        <v>884000000</v>
      </c>
      <c r="C26" s="126" t="s">
        <v>566</v>
      </c>
      <c r="E26" s="201"/>
    </row>
    <row r="27" spans="1:5" s="126" customFormat="1" x14ac:dyDescent="0.25">
      <c r="A27" s="88" t="s">
        <v>567</v>
      </c>
      <c r="B27" s="227">
        <f>B26*0.000453592</f>
        <v>400975.32799999998</v>
      </c>
      <c r="C27" s="126" t="s">
        <v>565</v>
      </c>
      <c r="E27" s="201"/>
    </row>
    <row r="28" spans="1:5" s="126" customFormat="1" x14ac:dyDescent="0.25">
      <c r="A28" s="88"/>
      <c r="B28" s="220"/>
      <c r="C28" s="220"/>
      <c r="E28" s="201"/>
    </row>
    <row r="29" spans="1:5" s="126" customFormat="1" x14ac:dyDescent="0.25">
      <c r="A29" s="88" t="s">
        <v>525</v>
      </c>
      <c r="B29" s="201">
        <v>3.7854000000000001</v>
      </c>
      <c r="C29" s="201" t="s">
        <v>556</v>
      </c>
      <c r="E29" s="201"/>
    </row>
    <row r="30" spans="1:5" s="126" customFormat="1" x14ac:dyDescent="0.25">
      <c r="A30" s="88" t="s">
        <v>552</v>
      </c>
      <c r="B30" s="1">
        <v>122</v>
      </c>
      <c r="C30" s="1" t="s">
        <v>212</v>
      </c>
      <c r="E30" s="201"/>
    </row>
    <row r="31" spans="1:5" s="126" customFormat="1" x14ac:dyDescent="0.25">
      <c r="A31" s="88" t="s">
        <v>553</v>
      </c>
      <c r="B31" s="201">
        <v>25</v>
      </c>
      <c r="C31" s="1" t="s">
        <v>212</v>
      </c>
      <c r="E31" s="201"/>
    </row>
    <row r="32" spans="1:5" s="126" customFormat="1" x14ac:dyDescent="0.25">
      <c r="A32" s="88" t="s">
        <v>552</v>
      </c>
      <c r="B32" s="12">
        <f>B30/B25*B29</f>
        <v>509.06794093817695</v>
      </c>
      <c r="C32" s="15" t="s">
        <v>557</v>
      </c>
      <c r="E32" s="201"/>
    </row>
    <row r="33" spans="1:16" s="126" customFormat="1" x14ac:dyDescent="0.25">
      <c r="A33" s="88" t="s">
        <v>553</v>
      </c>
      <c r="B33" s="221">
        <f>B31/B25*B29</f>
        <v>104.3172010119215</v>
      </c>
      <c r="C33" s="15" t="s">
        <v>557</v>
      </c>
      <c r="E33" s="201"/>
    </row>
    <row r="34" spans="1:16" s="126" customFormat="1" x14ac:dyDescent="0.25">
      <c r="A34" s="131" t="s">
        <v>559</v>
      </c>
      <c r="B34" s="220">
        <v>3.8600000000000002E-2</v>
      </c>
      <c r="C34" s="223" t="s">
        <v>558</v>
      </c>
      <c r="E34" s="201"/>
    </row>
    <row r="35" spans="1:16" s="126" customFormat="1" x14ac:dyDescent="0.25">
      <c r="B35" s="178">
        <f>B34*B32</f>
        <v>19.650022520213632</v>
      </c>
      <c r="C35" s="223" t="s">
        <v>310</v>
      </c>
      <c r="E35" s="201"/>
    </row>
    <row r="36" spans="1:16" s="126" customFormat="1" x14ac:dyDescent="0.25">
      <c r="A36" s="131" t="s">
        <v>560</v>
      </c>
      <c r="B36" s="201">
        <v>3.517E-2</v>
      </c>
      <c r="C36" s="201" t="s">
        <v>558</v>
      </c>
      <c r="E36" s="201"/>
    </row>
    <row r="37" spans="1:16" s="126" customFormat="1" x14ac:dyDescent="0.25">
      <c r="A37" s="88" t="s">
        <v>554</v>
      </c>
      <c r="B37" s="222">
        <f>B33*B36</f>
        <v>3.6688359595892792</v>
      </c>
      <c r="C37" s="220" t="s">
        <v>215</v>
      </c>
      <c r="E37" s="201"/>
    </row>
    <row r="38" spans="1:16" s="126" customFormat="1" x14ac:dyDescent="0.25">
      <c r="A38" s="209" t="s">
        <v>561</v>
      </c>
      <c r="B38" s="178">
        <f>B37+B35</f>
        <v>23.318858479802913</v>
      </c>
      <c r="C38" s="126" t="s">
        <v>310</v>
      </c>
      <c r="E38" s="24"/>
      <c r="F38" s="24"/>
    </row>
    <row r="39" spans="1:16" s="126" customFormat="1" x14ac:dyDescent="0.25">
      <c r="A39" s="209" t="s">
        <v>561</v>
      </c>
      <c r="B39" s="178">
        <f>1/B38*1000</f>
        <v>42.883745825985727</v>
      </c>
      <c r="C39" s="224" t="s">
        <v>218</v>
      </c>
      <c r="E39" s="24"/>
      <c r="F39" s="24"/>
    </row>
    <row r="40" spans="1:16" s="126" customFormat="1" x14ac:dyDescent="0.25">
      <c r="A40" s="1"/>
      <c r="B40" s="1"/>
      <c r="D40"/>
      <c r="E40" s="1"/>
      <c r="F40" s="1"/>
    </row>
    <row r="41" spans="1:16" s="126" customFormat="1" x14ac:dyDescent="0.25">
      <c r="A41" s="15" t="s">
        <v>562</v>
      </c>
      <c r="B41" s="239">
        <v>54000000</v>
      </c>
      <c r="C41" s="224" t="s">
        <v>563</v>
      </c>
      <c r="D41" s="226"/>
      <c r="E41" s="1"/>
      <c r="F41" s="1"/>
    </row>
    <row r="42" spans="1:16" s="126" customFormat="1" x14ac:dyDescent="0.25">
      <c r="A42" s="15" t="s">
        <v>564</v>
      </c>
      <c r="B42" s="239">
        <v>11000000</v>
      </c>
      <c r="C42" s="224" t="s">
        <v>563</v>
      </c>
      <c r="D42" s="226"/>
      <c r="E42" s="1"/>
      <c r="F42" s="1"/>
    </row>
    <row r="43" spans="1:16" s="126" customFormat="1" x14ac:dyDescent="0.25">
      <c r="A43" s="15" t="s">
        <v>562</v>
      </c>
      <c r="B43" s="239">
        <f>B41*B29*B34</f>
        <v>7890287.7600000007</v>
      </c>
      <c r="C43" s="224" t="s">
        <v>312</v>
      </c>
      <c r="D43" s="226"/>
      <c r="E43" s="1"/>
      <c r="F43" s="1"/>
    </row>
    <row r="44" spans="1:16" s="126" customFormat="1" x14ac:dyDescent="0.25">
      <c r="A44" s="15" t="s">
        <v>564</v>
      </c>
      <c r="B44" s="240">
        <f>B42*B29*B36</f>
        <v>1464457.6980000001</v>
      </c>
      <c r="C44" s="224" t="s">
        <v>312</v>
      </c>
      <c r="D44"/>
      <c r="E44" s="1"/>
      <c r="F44" s="1"/>
    </row>
    <row r="45" spans="1:16" s="126" customFormat="1" x14ac:dyDescent="0.25">
      <c r="A45" s="15" t="s">
        <v>568</v>
      </c>
      <c r="B45" s="240">
        <f>B44+B43</f>
        <v>9354745.4580000006</v>
      </c>
      <c r="C45" s="224" t="s">
        <v>312</v>
      </c>
      <c r="D45" s="228"/>
      <c r="E45" s="1"/>
      <c r="F45" s="1"/>
    </row>
    <row r="46" spans="1:16" x14ac:dyDescent="0.25">
      <c r="A46"/>
      <c r="B46"/>
      <c r="C46"/>
      <c r="D46"/>
      <c r="E46" s="5">
        <v>3.2942738452482598</v>
      </c>
      <c r="F46" s="1" t="s">
        <v>225</v>
      </c>
    </row>
    <row r="47" spans="1:16" x14ac:dyDescent="0.25">
      <c r="A47" s="181" t="s">
        <v>526</v>
      </c>
      <c r="B47" s="22" t="s">
        <v>527</v>
      </c>
      <c r="C47" s="22" t="s">
        <v>528</v>
      </c>
      <c r="D47" s="211" t="s">
        <v>226</v>
      </c>
      <c r="E47" s="219" t="s">
        <v>529</v>
      </c>
      <c r="F47" s="22" t="s">
        <v>604</v>
      </c>
      <c r="G47" s="210"/>
      <c r="H47" s="210"/>
      <c r="I47" s="210"/>
      <c r="J47" s="210"/>
      <c r="K47" s="210"/>
      <c r="L47" s="210"/>
      <c r="M47" s="210"/>
      <c r="N47" s="210"/>
      <c r="O47" s="210"/>
      <c r="P47" s="210"/>
    </row>
    <row r="48" spans="1:16" x14ac:dyDescent="0.25">
      <c r="A48" s="1" t="s">
        <v>214</v>
      </c>
      <c r="B48" s="167">
        <v>190000000</v>
      </c>
      <c r="C48" s="7">
        <v>20.310547288864562</v>
      </c>
      <c r="D48" s="151">
        <f>C48/$E$46</f>
        <v>6.1654095084296001</v>
      </c>
      <c r="E48" s="212" t="b">
        <v>1</v>
      </c>
      <c r="F48" s="15" t="s">
        <v>582</v>
      </c>
      <c r="J48" s="205"/>
      <c r="K48" s="229"/>
    </row>
    <row r="49" spans="1:11" x14ac:dyDescent="0.25">
      <c r="A49" s="1" t="s">
        <v>216</v>
      </c>
      <c r="B49" s="167">
        <v>6600000</v>
      </c>
      <c r="C49" s="7">
        <v>0.70552427424476905</v>
      </c>
      <c r="D49" s="151">
        <f t="shared" ref="D49:D59" si="0">C49/$E$46</f>
        <v>0.21416685660860718</v>
      </c>
      <c r="E49" s="212" t="b">
        <v>1</v>
      </c>
      <c r="F49" s="15" t="s">
        <v>583</v>
      </c>
      <c r="J49" s="205"/>
      <c r="K49" s="229"/>
    </row>
    <row r="50" spans="1:11" x14ac:dyDescent="0.25">
      <c r="A50" s="1" t="s">
        <v>217</v>
      </c>
      <c r="B50" s="167">
        <v>8500000</v>
      </c>
      <c r="C50" s="7">
        <v>0.90862974713341471</v>
      </c>
      <c r="D50" s="151">
        <f t="shared" si="0"/>
        <v>0.27582095169290322</v>
      </c>
      <c r="E50" s="212" t="b">
        <v>0</v>
      </c>
      <c r="F50"/>
      <c r="J50" s="205"/>
      <c r="K50" s="229"/>
    </row>
    <row r="51" spans="1:11" x14ac:dyDescent="0.25">
      <c r="A51" s="1" t="s">
        <v>219</v>
      </c>
      <c r="B51" s="167">
        <v>0</v>
      </c>
      <c r="C51" s="7">
        <v>0</v>
      </c>
      <c r="D51" s="151">
        <f t="shared" si="0"/>
        <v>0</v>
      </c>
      <c r="E51" s="212" t="b">
        <v>0</v>
      </c>
      <c r="F51"/>
      <c r="G51"/>
      <c r="H51"/>
      <c r="J51" s="205"/>
      <c r="K51" s="229"/>
    </row>
    <row r="52" spans="1:11" x14ac:dyDescent="0.25">
      <c r="A52" s="1" t="s">
        <v>220</v>
      </c>
      <c r="B52" s="167">
        <v>3000000</v>
      </c>
      <c r="C52" s="7">
        <v>0.32069285192944047</v>
      </c>
      <c r="D52" s="151">
        <f t="shared" si="0"/>
        <v>9.7348571185730537E-2</v>
      </c>
      <c r="E52" s="212" t="b">
        <v>1</v>
      </c>
      <c r="F52"/>
      <c r="G52"/>
      <c r="H52"/>
      <c r="J52" s="205"/>
      <c r="K52" s="229"/>
    </row>
    <row r="53" spans="1:11" x14ac:dyDescent="0.25">
      <c r="A53" s="1" t="s">
        <v>221</v>
      </c>
      <c r="B53" s="167">
        <v>-36300000</v>
      </c>
      <c r="C53" s="7">
        <v>-3.8803835083462297</v>
      </c>
      <c r="D53" s="151">
        <f t="shared" si="0"/>
        <v>-1.1779177113473394</v>
      </c>
      <c r="E53" s="212" t="b">
        <v>1</v>
      </c>
      <c r="F53" s="15" t="s">
        <v>584</v>
      </c>
      <c r="G53"/>
      <c r="H53"/>
      <c r="J53" s="205"/>
      <c r="K53" s="229"/>
    </row>
    <row r="54" spans="1:11" x14ac:dyDescent="0.25">
      <c r="A54" s="1" t="s">
        <v>222</v>
      </c>
      <c r="B54" s="167">
        <v>0</v>
      </c>
      <c r="C54" s="7">
        <v>0</v>
      </c>
      <c r="D54" s="151">
        <f t="shared" si="0"/>
        <v>0</v>
      </c>
      <c r="E54" s="212" t="b">
        <v>1</v>
      </c>
      <c r="F54" s="15" t="s">
        <v>585</v>
      </c>
      <c r="G54"/>
      <c r="H54"/>
      <c r="J54" s="205"/>
      <c r="K54" s="229"/>
    </row>
    <row r="55" spans="1:11" x14ac:dyDescent="0.25">
      <c r="A55" s="1" t="s">
        <v>57</v>
      </c>
      <c r="B55" s="167">
        <v>20400000</v>
      </c>
      <c r="C55" s="7">
        <v>2.1807113931201951</v>
      </c>
      <c r="D55" s="151">
        <f t="shared" si="0"/>
        <v>0.66197028406296765</v>
      </c>
      <c r="E55" s="215" t="b">
        <v>0</v>
      </c>
      <c r="F55"/>
      <c r="G55"/>
      <c r="H55"/>
      <c r="J55" s="205"/>
      <c r="K55" s="229"/>
    </row>
    <row r="56" spans="1:11" x14ac:dyDescent="0.25">
      <c r="A56" s="1" t="s">
        <v>59</v>
      </c>
      <c r="B56" s="167">
        <v>14900000</v>
      </c>
      <c r="C56" s="7">
        <v>1.5927744979162211</v>
      </c>
      <c r="D56" s="151">
        <f t="shared" si="0"/>
        <v>0.48349790355579497</v>
      </c>
      <c r="E56" s="212" t="b">
        <v>0</v>
      </c>
      <c r="F56"/>
      <c r="J56" s="205"/>
      <c r="K56" s="229"/>
    </row>
    <row r="57" spans="1:11" x14ac:dyDescent="0.25">
      <c r="A57" s="1" t="s">
        <v>223</v>
      </c>
      <c r="B57" s="167">
        <v>1800000</v>
      </c>
      <c r="C57" s="7">
        <v>0.19241571115766429</v>
      </c>
      <c r="D57" s="151">
        <f t="shared" si="0"/>
        <v>5.8409142711438322E-2</v>
      </c>
      <c r="E57" s="212" t="b">
        <v>0</v>
      </c>
      <c r="F57"/>
      <c r="J57" s="205"/>
      <c r="K57" s="229"/>
    </row>
    <row r="58" spans="1:11" x14ac:dyDescent="0.25">
      <c r="A58" s="210" t="s">
        <v>224</v>
      </c>
      <c r="B58" s="182">
        <v>8600000</v>
      </c>
      <c r="C58" s="213">
        <v>0.91931950886439606</v>
      </c>
      <c r="D58" s="214">
        <f t="shared" si="0"/>
        <v>0.27906590406576087</v>
      </c>
      <c r="E58" s="212" t="b">
        <v>0</v>
      </c>
      <c r="F58"/>
      <c r="J58" s="205"/>
      <c r="K58" s="229"/>
    </row>
    <row r="59" spans="1:11" x14ac:dyDescent="0.25">
      <c r="A59" s="1" t="s">
        <v>62</v>
      </c>
      <c r="B59" s="2">
        <f>SUM(B48:B58)</f>
        <v>217500000</v>
      </c>
      <c r="C59" s="2">
        <f>SUM(C48:C58)</f>
        <v>23.250231764884433</v>
      </c>
      <c r="D59" s="151">
        <f t="shared" si="0"/>
        <v>7.0577714109654632</v>
      </c>
      <c r="E59"/>
      <c r="F59"/>
    </row>
    <row r="60" spans="1:11" x14ac:dyDescent="0.25">
      <c r="A60"/>
      <c r="B60"/>
      <c r="C60"/>
      <c r="D60"/>
      <c r="F60"/>
    </row>
    <row r="61" spans="1:11" x14ac:dyDescent="0.25">
      <c r="A61" s="93"/>
      <c r="B61" s="22" t="s">
        <v>527</v>
      </c>
      <c r="C61" s="22" t="s">
        <v>528</v>
      </c>
      <c r="D61" s="211" t="s">
        <v>226</v>
      </c>
      <c r="F61"/>
    </row>
    <row r="62" spans="1:11" x14ac:dyDescent="0.25">
      <c r="A62" s="1" t="s">
        <v>67</v>
      </c>
      <c r="B62" s="2">
        <f>B59-SUMIFS(B48:B58,$E$48:$E$58,TRUE)</f>
        <v>54200000</v>
      </c>
      <c r="C62" s="2">
        <f>C59-SUMIFS(C48:C58,$E$48:$E$58,TRUE)</f>
        <v>5.7938508581918917</v>
      </c>
      <c r="D62" s="2">
        <f>D59-SUMIFS(D48:D58,$E$48:$E$58,TRUE)</f>
        <v>1.7587641860888645</v>
      </c>
      <c r="E62" s="9"/>
      <c r="F62"/>
    </row>
    <row r="63" spans="1:11" x14ac:dyDescent="0.25">
      <c r="A63"/>
      <c r="B63"/>
      <c r="F63"/>
    </row>
    <row r="64" spans="1:11" x14ac:dyDescent="0.25">
      <c r="A64" s="181" t="s">
        <v>544</v>
      </c>
      <c r="B64" s="93"/>
      <c r="C64" s="210"/>
      <c r="D64" s="210"/>
      <c r="E64" s="210"/>
      <c r="F64" s="93"/>
      <c r="G64" s="210"/>
      <c r="H64" s="210"/>
      <c r="I64" s="210"/>
      <c r="J64" s="210"/>
    </row>
    <row r="65" spans="1:10" x14ac:dyDescent="0.25">
      <c r="A65" t="s">
        <v>545</v>
      </c>
      <c r="B65" s="167">
        <v>6640000</v>
      </c>
      <c r="D65" s="15" t="s">
        <v>546</v>
      </c>
      <c r="F65"/>
    </row>
    <row r="66" spans="1:10" x14ac:dyDescent="0.25">
      <c r="A66" t="s">
        <v>547</v>
      </c>
      <c r="B66" s="1">
        <f>0.0051</f>
        <v>5.1000000000000004E-3</v>
      </c>
      <c r="C66" s="15" t="s">
        <v>541</v>
      </c>
      <c r="D66" s="15" t="s">
        <v>546</v>
      </c>
      <c r="F66"/>
    </row>
    <row r="67" spans="1:10" x14ac:dyDescent="0.25">
      <c r="A67" t="s">
        <v>341</v>
      </c>
      <c r="B67" s="1">
        <v>947.81709999999998</v>
      </c>
      <c r="C67" s="15" t="s">
        <v>542</v>
      </c>
      <c r="F67"/>
    </row>
    <row r="68" spans="1:10" x14ac:dyDescent="0.25">
      <c r="A68" t="s">
        <v>547</v>
      </c>
      <c r="B68" s="5">
        <f>B67*B66</f>
        <v>4.8338672100000002</v>
      </c>
      <c r="C68" s="15" t="s">
        <v>213</v>
      </c>
      <c r="F68"/>
    </row>
    <row r="69" spans="1:10" x14ac:dyDescent="0.25">
      <c r="A69" t="s">
        <v>548</v>
      </c>
      <c r="B69" s="241">
        <f>B65/B68</f>
        <v>1373641.3748113697</v>
      </c>
      <c r="C69" s="15" t="s">
        <v>312</v>
      </c>
      <c r="F69"/>
    </row>
    <row r="70" spans="1:10" x14ac:dyDescent="0.25">
      <c r="A70" t="s">
        <v>549</v>
      </c>
      <c r="B70" s="238">
        <f>B69/B45</f>
        <v>0.14683899000551187</v>
      </c>
      <c r="C70" s="15"/>
      <c r="F70"/>
    </row>
    <row r="71" spans="1:10" x14ac:dyDescent="0.25">
      <c r="A71"/>
      <c r="B71" s="238"/>
      <c r="C71" s="15"/>
      <c r="F71"/>
    </row>
    <row r="72" spans="1:10" x14ac:dyDescent="0.25">
      <c r="A72" s="181" t="s">
        <v>597</v>
      </c>
      <c r="B72" s="93"/>
      <c r="C72" s="210"/>
      <c r="D72" s="210"/>
      <c r="E72" s="210"/>
      <c r="F72" s="93"/>
      <c r="G72" s="210"/>
      <c r="H72" s="210"/>
      <c r="I72" s="210"/>
      <c r="J72" s="210"/>
    </row>
    <row r="73" spans="1:10" x14ac:dyDescent="0.25">
      <c r="A73" t="s">
        <v>545</v>
      </c>
      <c r="B73" s="167">
        <v>2970000</v>
      </c>
      <c r="D73" s="15" t="s">
        <v>546</v>
      </c>
      <c r="F73"/>
    </row>
    <row r="74" spans="1:10" x14ac:dyDescent="0.25">
      <c r="A74" t="s">
        <v>547</v>
      </c>
      <c r="B74" s="238">
        <v>6.8900000000000003E-2</v>
      </c>
      <c r="C74" s="15" t="s">
        <v>595</v>
      </c>
      <c r="D74" s="15" t="s">
        <v>546</v>
      </c>
      <c r="F74"/>
    </row>
    <row r="75" spans="1:10" x14ac:dyDescent="0.25">
      <c r="A75" t="s">
        <v>341</v>
      </c>
      <c r="B75" s="1">
        <v>3.5999999999999999E-3</v>
      </c>
      <c r="C75" s="15" t="s">
        <v>441</v>
      </c>
      <c r="F75"/>
    </row>
    <row r="76" spans="1:10" x14ac:dyDescent="0.25">
      <c r="A76" t="s">
        <v>547</v>
      </c>
      <c r="B76" s="238">
        <f>B74/B75</f>
        <v>19.138888888888889</v>
      </c>
      <c r="C76" s="15" t="s">
        <v>213</v>
      </c>
      <c r="F76"/>
    </row>
    <row r="77" spans="1:10" x14ac:dyDescent="0.25">
      <c r="A77" t="s">
        <v>596</v>
      </c>
      <c r="B77" s="241">
        <f>B73/B76</f>
        <v>155181.42235123366</v>
      </c>
      <c r="C77" s="15" t="s">
        <v>312</v>
      </c>
      <c r="F77"/>
    </row>
    <row r="78" spans="1:10" x14ac:dyDescent="0.25">
      <c r="A78" t="s">
        <v>549</v>
      </c>
      <c r="B78" s="238">
        <f>B77/B45</f>
        <v>1.6588524300094713E-2</v>
      </c>
      <c r="C78" s="15"/>
      <c r="F78"/>
    </row>
    <row r="79" spans="1:10" x14ac:dyDescent="0.25">
      <c r="A79"/>
      <c r="C79" s="5"/>
      <c r="F79"/>
    </row>
    <row r="80" spans="1:10" x14ac:dyDescent="0.25">
      <c r="A80" s="181" t="s">
        <v>543</v>
      </c>
      <c r="B80" s="210"/>
      <c r="C80" s="93"/>
      <c r="D80" s="210"/>
      <c r="E80" s="210"/>
      <c r="F80" s="93"/>
      <c r="G80" s="210"/>
      <c r="H80" s="210"/>
      <c r="I80" s="210"/>
      <c r="J80" s="210"/>
    </row>
    <row r="81" spans="1:6" x14ac:dyDescent="0.25">
      <c r="A81" s="231" t="s">
        <v>531</v>
      </c>
      <c r="B81" s="217">
        <v>0.9</v>
      </c>
      <c r="C81" s="216" t="s">
        <v>532</v>
      </c>
      <c r="F81"/>
    </row>
    <row r="82" spans="1:6" x14ac:dyDescent="0.25">
      <c r="A82" s="15" t="s">
        <v>533</v>
      </c>
      <c r="B82" s="6">
        <f>Algae_N_fertilizer</f>
        <v>1.937984496124031E-2</v>
      </c>
      <c r="C82" s="15" t="s">
        <v>534</v>
      </c>
      <c r="F82"/>
    </row>
    <row r="83" spans="1:6" x14ac:dyDescent="0.25">
      <c r="A83" s="15" t="s">
        <v>535</v>
      </c>
      <c r="B83" s="6">
        <f>B82*B81</f>
        <v>1.7441860465116279E-2</v>
      </c>
      <c r="C83" s="15" t="s">
        <v>699</v>
      </c>
    </row>
    <row r="84" spans="1:6" x14ac:dyDescent="0.25">
      <c r="A84" s="15" t="s">
        <v>537</v>
      </c>
      <c r="B84" s="6">
        <f>B83*B39</f>
        <v>0.7479723109183557</v>
      </c>
      <c r="C84" s="15" t="s">
        <v>536</v>
      </c>
      <c r="F84"/>
    </row>
    <row r="86" spans="1:6" x14ac:dyDescent="0.25">
      <c r="A86" s="231" t="s">
        <v>538</v>
      </c>
      <c r="B86" s="217">
        <v>0.9</v>
      </c>
      <c r="C86" s="216" t="s">
        <v>532</v>
      </c>
      <c r="D86" s="15" t="s">
        <v>539</v>
      </c>
    </row>
    <row r="87" spans="1:6" x14ac:dyDescent="0.25">
      <c r="A87" s="15" t="s">
        <v>533</v>
      </c>
      <c r="B87" s="11">
        <f>Algae_P_fertilizer</f>
        <v>9.6899224806201549E-3</v>
      </c>
      <c r="C87" s="15" t="s">
        <v>534</v>
      </c>
    </row>
    <row r="88" spans="1:6" x14ac:dyDescent="0.25">
      <c r="A88" s="15" t="s">
        <v>535</v>
      </c>
      <c r="B88" s="11">
        <f>B87*B86</f>
        <v>8.7209302325581394E-3</v>
      </c>
      <c r="C88" s="15"/>
    </row>
    <row r="89" spans="1:6" x14ac:dyDescent="0.25">
      <c r="A89" s="15" t="s">
        <v>537</v>
      </c>
      <c r="B89" s="11">
        <f>B88*B39</f>
        <v>0.37398615545917785</v>
      </c>
      <c r="C89" s="15" t="s">
        <v>536</v>
      </c>
    </row>
    <row r="91" spans="1:6" x14ac:dyDescent="0.25">
      <c r="A91" s="231" t="s">
        <v>578</v>
      </c>
      <c r="B91" s="217">
        <v>0.3</v>
      </c>
      <c r="C91" s="216" t="s">
        <v>579</v>
      </c>
    </row>
    <row r="92" spans="1:6" x14ac:dyDescent="0.25">
      <c r="A92" s="15" t="s">
        <v>580</v>
      </c>
      <c r="B92" s="11">
        <v>0.86</v>
      </c>
      <c r="C92" s="15" t="s">
        <v>581</v>
      </c>
    </row>
    <row r="93" spans="1:6" x14ac:dyDescent="0.25">
      <c r="A93" s="15" t="s">
        <v>535</v>
      </c>
      <c r="B93" s="11">
        <f>B92*B91</f>
        <v>0.25800000000000001</v>
      </c>
      <c r="C93" s="15"/>
    </row>
    <row r="94" spans="1:6" x14ac:dyDescent="0.25">
      <c r="A94" s="15" t="s">
        <v>537</v>
      </c>
      <c r="B94" s="13">
        <f>B93*B39</f>
        <v>11.064006423104319</v>
      </c>
      <c r="C94" s="15" t="s">
        <v>536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7"/>
  <sheetViews>
    <sheetView workbookViewId="0">
      <selection activeCell="K6" sqref="K6"/>
    </sheetView>
  </sheetViews>
  <sheetFormatPr defaultColWidth="8.85546875" defaultRowHeight="15" x14ac:dyDescent="0.25"/>
  <cols>
    <col min="1" max="1" width="8.85546875" style="1" customWidth="1"/>
    <col min="2" max="2" width="15" style="1" bestFit="1" customWidth="1"/>
    <col min="3" max="3" width="8.85546875" style="1"/>
    <col min="4" max="4" width="23.5703125" style="1" bestFit="1" customWidth="1"/>
    <col min="5" max="7" width="8.85546875" style="1"/>
    <col min="8" max="8" width="8.85546875" style="298"/>
    <col min="9" max="29" width="8.85546875" style="1"/>
    <col min="30" max="30" width="8.85546875" style="298"/>
    <col min="31" max="51" width="8.85546875" style="1"/>
    <col min="52" max="52" width="8.85546875" style="298"/>
    <col min="53" max="1024" width="8.85546875" style="1"/>
  </cols>
  <sheetData>
    <row r="1" spans="1:116" x14ac:dyDescent="0.25">
      <c r="B1"/>
      <c r="C1"/>
      <c r="D1"/>
      <c r="E1"/>
      <c r="F1"/>
      <c r="G1"/>
      <c r="H1" s="111">
        <f>40*365/1000</f>
        <v>14.6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 s="11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 s="11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</row>
    <row r="2" spans="1:116" x14ac:dyDescent="0.25">
      <c r="A2" s="172" t="s">
        <v>626</v>
      </c>
      <c r="B2" s="2">
        <v>10</v>
      </c>
      <c r="C2" s="3" t="s">
        <v>51</v>
      </c>
      <c r="E2" s="1">
        <f ca="1">RANDBETWEEN(900,1100)/1000*$B$2</f>
        <v>10.700000000000001</v>
      </c>
      <c r="G2" s="15" t="s">
        <v>679</v>
      </c>
      <c r="H2" s="11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s="111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s="111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</row>
    <row r="3" spans="1:116" x14ac:dyDescent="0.25">
      <c r="A3" s="263" t="s">
        <v>54</v>
      </c>
      <c r="B3" s="304">
        <f>Control!G14</f>
        <v>0</v>
      </c>
      <c r="C3" t="s">
        <v>627</v>
      </c>
      <c r="F3" s="1">
        <v>24.5</v>
      </c>
      <c r="G3" s="1">
        <v>0.5</v>
      </c>
      <c r="H3" s="111"/>
      <c r="I3"/>
      <c r="J3"/>
      <c r="L3" t="s">
        <v>873</v>
      </c>
      <c r="M3">
        <f>1+1/(1+EXP(-$B$4*(M$5-$S$5)))</f>
        <v>1.0474258731775667</v>
      </c>
      <c r="N3">
        <f t="shared" ref="N3:AC3" si="0">1+1/(1+EXP(-$B$4*(N$5-$S$5)))</f>
        <v>1.0758581800212434</v>
      </c>
      <c r="O3">
        <f t="shared" si="0"/>
        <v>1.1192029220221176</v>
      </c>
      <c r="P3">
        <f t="shared" si="0"/>
        <v>1.1824255238063563</v>
      </c>
      <c r="Q3">
        <f t="shared" si="0"/>
        <v>1.2689414213699952</v>
      </c>
      <c r="R3">
        <f t="shared" si="0"/>
        <v>1.3775406687981455</v>
      </c>
      <c r="S3">
        <f t="shared" si="0"/>
        <v>1.5</v>
      </c>
      <c r="T3">
        <f t="shared" si="0"/>
        <v>1.6224593312018545</v>
      </c>
      <c r="U3">
        <f t="shared" si="0"/>
        <v>1.7310585786300048</v>
      </c>
      <c r="V3">
        <f t="shared" si="0"/>
        <v>1.8175744761936437</v>
      </c>
      <c r="W3">
        <f t="shared" si="0"/>
        <v>1.8807970779778822</v>
      </c>
      <c r="X3">
        <f t="shared" si="0"/>
        <v>1.9241418199787566</v>
      </c>
      <c r="Y3">
        <f t="shared" si="0"/>
        <v>1.9525741268224333</v>
      </c>
      <c r="Z3">
        <f t="shared" si="0"/>
        <v>1.9706877692486438</v>
      </c>
      <c r="AA3">
        <f t="shared" si="0"/>
        <v>1.9820137900379085</v>
      </c>
      <c r="AB3">
        <f t="shared" si="0"/>
        <v>1.9890130573694069</v>
      </c>
      <c r="AC3">
        <f t="shared" si="0"/>
        <v>1.9933071490757153</v>
      </c>
      <c r="AD3" s="111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s="111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</row>
    <row r="4" spans="1:116" x14ac:dyDescent="0.25">
      <c r="A4" t="s">
        <v>872</v>
      </c>
      <c r="B4">
        <v>0.1</v>
      </c>
      <c r="C4"/>
      <c r="D4"/>
      <c r="E4" s="3" t="s">
        <v>51</v>
      </c>
      <c r="F4"/>
      <c r="G4"/>
      <c r="H4" s="295" t="s">
        <v>48</v>
      </c>
      <c r="I4" s="4"/>
      <c r="J4" s="4"/>
      <c r="K4" s="4"/>
      <c r="L4" s="4"/>
      <c r="M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74" t="s">
        <v>697</v>
      </c>
      <c r="AE4" s="4"/>
      <c r="AF4" s="4"/>
      <c r="AG4" s="4"/>
      <c r="AH4" s="4"/>
      <c r="AI4" s="4"/>
      <c r="AJ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295" t="s">
        <v>55</v>
      </c>
      <c r="BA4" s="4"/>
      <c r="BB4" s="4"/>
      <c r="BC4" s="4"/>
      <c r="BD4" s="4"/>
      <c r="BE4" s="4"/>
      <c r="BF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</row>
    <row r="5" spans="1:116" x14ac:dyDescent="0.25">
      <c r="A5" s="210" t="s">
        <v>0</v>
      </c>
      <c r="B5" s="210" t="s">
        <v>1</v>
      </c>
      <c r="C5" s="210" t="s">
        <v>2</v>
      </c>
      <c r="D5" s="210" t="s">
        <v>3</v>
      </c>
      <c r="E5" s="210" t="s">
        <v>48</v>
      </c>
      <c r="F5" s="93" t="s">
        <v>628</v>
      </c>
      <c r="G5" s="93" t="s">
        <v>629</v>
      </c>
      <c r="H5" s="296">
        <v>1975</v>
      </c>
      <c r="I5" s="210">
        <v>1990</v>
      </c>
      <c r="J5" s="210">
        <v>2005</v>
      </c>
      <c r="K5" s="210">
        <v>2010</v>
      </c>
      <c r="L5" s="210">
        <v>2015</v>
      </c>
      <c r="M5" s="210">
        <v>2020</v>
      </c>
      <c r="N5" s="210">
        <v>2025</v>
      </c>
      <c r="O5" s="210">
        <v>2030</v>
      </c>
      <c r="P5" s="210">
        <v>2035</v>
      </c>
      <c r="Q5" s="210">
        <v>2040</v>
      </c>
      <c r="R5" s="210">
        <v>2045</v>
      </c>
      <c r="S5" s="210">
        <v>2050</v>
      </c>
      <c r="T5" s="210">
        <v>2055</v>
      </c>
      <c r="U5" s="210">
        <v>2060</v>
      </c>
      <c r="V5" s="210">
        <v>2065</v>
      </c>
      <c r="W5" s="210">
        <v>2070</v>
      </c>
      <c r="X5" s="210">
        <v>2075</v>
      </c>
      <c r="Y5" s="210">
        <v>2080</v>
      </c>
      <c r="Z5" s="210">
        <v>2085</v>
      </c>
      <c r="AA5" s="210">
        <v>2090</v>
      </c>
      <c r="AB5" s="210">
        <v>2095</v>
      </c>
      <c r="AC5" s="210">
        <v>2100</v>
      </c>
      <c r="AD5" s="296">
        <v>1975</v>
      </c>
      <c r="AE5" s="210">
        <v>1990</v>
      </c>
      <c r="AF5" s="210">
        <v>2005</v>
      </c>
      <c r="AG5" s="210">
        <v>2010</v>
      </c>
      <c r="AH5" s="210">
        <v>2015</v>
      </c>
      <c r="AI5" s="210">
        <v>2020</v>
      </c>
      <c r="AJ5" s="210">
        <v>2025</v>
      </c>
      <c r="AK5" s="210">
        <v>2030</v>
      </c>
      <c r="AL5" s="210">
        <v>2035</v>
      </c>
      <c r="AM5" s="210">
        <v>2040</v>
      </c>
      <c r="AN5" s="210">
        <v>2045</v>
      </c>
      <c r="AO5" s="210">
        <v>2050</v>
      </c>
      <c r="AP5" s="210">
        <v>2055</v>
      </c>
      <c r="AQ5" s="210">
        <v>2060</v>
      </c>
      <c r="AR5" s="210">
        <v>2065</v>
      </c>
      <c r="AS5" s="210">
        <v>2070</v>
      </c>
      <c r="AT5" s="210">
        <v>2075</v>
      </c>
      <c r="AU5" s="210">
        <v>2080</v>
      </c>
      <c r="AV5" s="210">
        <v>2085</v>
      </c>
      <c r="AW5" s="210">
        <v>2090</v>
      </c>
      <c r="AX5" s="210">
        <v>2095</v>
      </c>
      <c r="AY5" s="210">
        <v>2100</v>
      </c>
      <c r="AZ5" s="296">
        <v>1975</v>
      </c>
      <c r="BA5" s="210">
        <v>1990</v>
      </c>
      <c r="BB5" s="210">
        <v>2005</v>
      </c>
      <c r="BC5" s="210">
        <v>2010</v>
      </c>
      <c r="BD5" s="210">
        <v>2015</v>
      </c>
      <c r="BE5" s="210">
        <v>2020</v>
      </c>
      <c r="BF5" s="210">
        <v>2025</v>
      </c>
      <c r="BG5" s="210">
        <v>2030</v>
      </c>
      <c r="BH5" s="210">
        <v>2035</v>
      </c>
      <c r="BI5" s="210">
        <v>2040</v>
      </c>
      <c r="BJ5" s="210">
        <v>2045</v>
      </c>
      <c r="BK5" s="210">
        <v>2050</v>
      </c>
      <c r="BL5" s="210">
        <v>2055</v>
      </c>
      <c r="BM5" s="210">
        <v>2060</v>
      </c>
      <c r="BN5" s="210">
        <v>2065</v>
      </c>
      <c r="BO5" s="210">
        <v>2070</v>
      </c>
      <c r="BP5" s="210">
        <v>2075</v>
      </c>
      <c r="BQ5" s="210">
        <v>2080</v>
      </c>
      <c r="BR5" s="210">
        <v>2085</v>
      </c>
      <c r="BS5" s="210">
        <v>2090</v>
      </c>
      <c r="BT5" s="210">
        <v>2095</v>
      </c>
      <c r="BU5" s="210">
        <v>2100</v>
      </c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</row>
    <row r="6" spans="1:116" x14ac:dyDescent="0.25">
      <c r="A6" s="1" t="s">
        <v>4</v>
      </c>
      <c r="B6" s="1" t="s">
        <v>5</v>
      </c>
      <c r="C6" s="1" t="s">
        <v>6</v>
      </c>
      <c r="D6" s="1" t="s">
        <v>6</v>
      </c>
      <c r="E6" s="5">
        <v>9</v>
      </c>
      <c r="F6" s="1">
        <f>E6/$B$2*$F$3/1000</f>
        <v>2.205E-2</v>
      </c>
      <c r="G6" s="1">
        <f>LOOKUP(RIGHT(D6,5),Ref!$C$4:$C$21,Ref!$E$4:$E$21)*$G$3</f>
        <v>3</v>
      </c>
      <c r="H6" s="297">
        <f t="shared" ref="H6:L21" si="1">$E6</f>
        <v>9</v>
      </c>
      <c r="I6" s="5">
        <f t="shared" si="1"/>
        <v>9</v>
      </c>
      <c r="J6" s="5">
        <f t="shared" si="1"/>
        <v>9</v>
      </c>
      <c r="K6" s="5">
        <f t="shared" si="1"/>
        <v>9</v>
      </c>
      <c r="L6" s="5">
        <f t="shared" si="1"/>
        <v>9</v>
      </c>
      <c r="M6" s="5">
        <f>M$3*$E6</f>
        <v>9.4268328585981003</v>
      </c>
      <c r="N6" s="5">
        <f t="shared" ref="N6:AC21" si="2">N$3*$E6</f>
        <v>9.6827236201911902</v>
      </c>
      <c r="O6" s="5">
        <f t="shared" si="2"/>
        <v>10.072826298199058</v>
      </c>
      <c r="P6" s="5">
        <f t="shared" si="2"/>
        <v>10.641829714257208</v>
      </c>
      <c r="Q6" s="5">
        <f t="shared" si="2"/>
        <v>11.420472792329956</v>
      </c>
      <c r="R6" s="5">
        <f t="shared" si="2"/>
        <v>12.39786601918331</v>
      </c>
      <c r="S6" s="5">
        <f t="shared" si="2"/>
        <v>13.5</v>
      </c>
      <c r="T6" s="5">
        <f t="shared" si="2"/>
        <v>14.60213398081669</v>
      </c>
      <c r="U6" s="5">
        <f t="shared" si="2"/>
        <v>15.579527207670044</v>
      </c>
      <c r="V6" s="5">
        <f t="shared" si="2"/>
        <v>16.358170285742794</v>
      </c>
      <c r="W6" s="5">
        <f t="shared" si="2"/>
        <v>16.927173701800939</v>
      </c>
      <c r="X6" s="5">
        <f t="shared" si="2"/>
        <v>17.31727637980881</v>
      </c>
      <c r="Y6" s="5">
        <f t="shared" si="2"/>
        <v>17.5731671414019</v>
      </c>
      <c r="Z6" s="5">
        <f t="shared" si="2"/>
        <v>17.736189923237795</v>
      </c>
      <c r="AA6" s="5">
        <f t="shared" si="2"/>
        <v>17.838124110341177</v>
      </c>
      <c r="AB6" s="5">
        <f t="shared" si="2"/>
        <v>17.901117516324661</v>
      </c>
      <c r="AC6" s="5">
        <f t="shared" si="2"/>
        <v>17.939764341681439</v>
      </c>
      <c r="AD6" s="300">
        <f t="shared" ref="AD6:AS21" si="3">Algae_electricity_factor/H6</f>
        <v>1.5270663448365843E-3</v>
      </c>
      <c r="AE6" s="299">
        <f t="shared" si="3"/>
        <v>1.5270663448365843E-3</v>
      </c>
      <c r="AF6" s="299">
        <f t="shared" si="3"/>
        <v>1.5270663448365843E-3</v>
      </c>
      <c r="AG6" s="299">
        <f t="shared" si="3"/>
        <v>1.5270663448365843E-3</v>
      </c>
      <c r="AH6" s="299">
        <f t="shared" si="3"/>
        <v>1.5270663448365843E-3</v>
      </c>
      <c r="AI6" s="299">
        <f t="shared" si="3"/>
        <v>1.4579230702063304E-3</v>
      </c>
      <c r="AJ6" s="299">
        <f t="shared" si="3"/>
        <v>1.4193937204682794E-3</v>
      </c>
      <c r="AK6" s="299">
        <f t="shared" si="3"/>
        <v>1.3644231218388535E-3</v>
      </c>
      <c r="AL6" s="299">
        <f t="shared" si="3"/>
        <v>1.2914693687605726E-3</v>
      </c>
      <c r="AM6" s="299">
        <f t="shared" si="3"/>
        <v>1.2034175251272893E-3</v>
      </c>
      <c r="AN6" s="299">
        <f t="shared" si="3"/>
        <v>1.108545380492392E-3</v>
      </c>
      <c r="AO6" s="299">
        <f t="shared" si="3"/>
        <v>1.0180442298910563E-3</v>
      </c>
      <c r="AP6" s="299">
        <f t="shared" si="3"/>
        <v>9.4120469799720242E-4</v>
      </c>
      <c r="AQ6" s="299">
        <f t="shared" si="3"/>
        <v>8.8215752123485959E-4</v>
      </c>
      <c r="AR6" s="299">
        <f t="shared" si="3"/>
        <v>8.4016713748894618E-4</v>
      </c>
      <c r="AS6" s="299">
        <f t="shared" si="3"/>
        <v>8.1192509426821987E-4</v>
      </c>
      <c r="AT6" s="299">
        <f t="shared" ref="AT6:AY48" si="4">Algae_electricity_factor/X6</f>
        <v>7.9363502678479487E-4</v>
      </c>
      <c r="AU6" s="299">
        <f t="shared" si="4"/>
        <v>7.820785515178833E-4</v>
      </c>
      <c r="AV6" s="299">
        <f t="shared" si="4"/>
        <v>7.7489005040042578E-4</v>
      </c>
      <c r="AW6" s="299">
        <f t="shared" si="4"/>
        <v>7.7046201823216239E-4</v>
      </c>
      <c r="AX6" s="299">
        <f t="shared" si="4"/>
        <v>7.6775078935692074E-4</v>
      </c>
      <c r="AY6" s="299">
        <f t="shared" si="4"/>
        <v>7.6609685845188279E-4</v>
      </c>
      <c r="AZ6" s="298">
        <f t="shared" ref="AZ6:BO21" si="5">Algae_yield_cost_factor/H6</f>
        <v>8.4538068809579758E-2</v>
      </c>
      <c r="BA6" s="1">
        <f t="shared" si="5"/>
        <v>8.4538068809579758E-2</v>
      </c>
      <c r="BB6" s="1">
        <f t="shared" si="5"/>
        <v>8.4538068809579758E-2</v>
      </c>
      <c r="BC6" s="1">
        <f t="shared" si="5"/>
        <v>8.4538068809579758E-2</v>
      </c>
      <c r="BD6" s="1">
        <f t="shared" si="5"/>
        <v>8.4538068809579758E-2</v>
      </c>
      <c r="BE6" s="1">
        <f t="shared" si="5"/>
        <v>8.0710311798120243E-2</v>
      </c>
      <c r="BF6" s="1">
        <f t="shared" si="5"/>
        <v>7.8577335172476462E-2</v>
      </c>
      <c r="BG6" s="1">
        <f t="shared" si="5"/>
        <v>7.5534174497007903E-2</v>
      </c>
      <c r="BH6" s="1">
        <f t="shared" si="5"/>
        <v>7.1495470207241896E-2</v>
      </c>
      <c r="BI6" s="1">
        <f t="shared" si="5"/>
        <v>6.6620938828137063E-2</v>
      </c>
      <c r="BJ6" s="1">
        <f t="shared" si="5"/>
        <v>6.1368837032837777E-2</v>
      </c>
      <c r="BK6" s="1">
        <f t="shared" si="5"/>
        <v>5.6358712539719837E-2</v>
      </c>
      <c r="BL6" s="1">
        <f t="shared" si="5"/>
        <v>5.2104892359278586E-2</v>
      </c>
      <c r="BM6" s="1">
        <f t="shared" si="5"/>
        <v>4.8836053183413879E-2</v>
      </c>
      <c r="BN6" s="1">
        <f t="shared" si="5"/>
        <v>4.6511474449519662E-2</v>
      </c>
      <c r="BO6" s="1">
        <f t="shared" si="5"/>
        <v>4.4948000929728109E-2</v>
      </c>
      <c r="BP6" s="1">
        <f t="shared" ref="BP6:BU48" si="6">Algae_yield_cost_factor/X6</f>
        <v>4.3935466674963224E-2</v>
      </c>
      <c r="BQ6" s="1">
        <f t="shared" si="6"/>
        <v>4.3295702656449074E-2</v>
      </c>
      <c r="BR6" s="1">
        <f t="shared" si="6"/>
        <v>4.289774875997289E-2</v>
      </c>
      <c r="BS6" s="1">
        <f t="shared" si="6"/>
        <v>4.2652613838757826E-2</v>
      </c>
      <c r="BT6" s="1">
        <f t="shared" si="6"/>
        <v>4.2502520783542067E-2</v>
      </c>
      <c r="BU6" s="1">
        <f t="shared" si="6"/>
        <v>4.2410959519600153E-2</v>
      </c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</row>
    <row r="7" spans="1:116" x14ac:dyDescent="0.25">
      <c r="A7" s="1" t="s">
        <v>4</v>
      </c>
      <c r="B7" s="1" t="s">
        <v>5</v>
      </c>
      <c r="C7" s="1" t="s">
        <v>7</v>
      </c>
      <c r="D7" s="1" t="s">
        <v>7</v>
      </c>
      <c r="E7" s="5">
        <v>8.91</v>
      </c>
      <c r="F7" s="1">
        <f t="shared" ref="F7:F70" si="7">E7/$B$2*$F$3/1000</f>
        <v>2.1829499999999998E-2</v>
      </c>
      <c r="G7" s="1">
        <f>LOOKUP(RIGHT(D7,5),Ref!$C$4:$C$21,Ref!$E$4:$E$21)*$G$3</f>
        <v>3.5</v>
      </c>
      <c r="H7" s="297">
        <f t="shared" si="1"/>
        <v>8.91</v>
      </c>
      <c r="I7" s="5">
        <f t="shared" si="1"/>
        <v>8.91</v>
      </c>
      <c r="J7" s="5">
        <f t="shared" si="1"/>
        <v>8.91</v>
      </c>
      <c r="K7" s="5">
        <f t="shared" si="1"/>
        <v>8.91</v>
      </c>
      <c r="L7" s="5">
        <f t="shared" si="1"/>
        <v>8.91</v>
      </c>
      <c r="M7" s="5">
        <f t="shared" ref="M7:AB36" si="8">M$3*$E7</f>
        <v>9.3325645300121192</v>
      </c>
      <c r="N7" s="5">
        <f t="shared" si="2"/>
        <v>9.5858963839892795</v>
      </c>
      <c r="O7" s="5">
        <f t="shared" si="2"/>
        <v>9.9720980352170674</v>
      </c>
      <c r="P7" s="5">
        <f t="shared" si="2"/>
        <v>10.535411417114636</v>
      </c>
      <c r="Q7" s="5">
        <f t="shared" si="2"/>
        <v>11.306268064406657</v>
      </c>
      <c r="R7" s="5">
        <f t="shared" si="2"/>
        <v>12.273887358991477</v>
      </c>
      <c r="S7" s="5">
        <f t="shared" si="2"/>
        <v>13.365</v>
      </c>
      <c r="T7" s="5">
        <f t="shared" si="2"/>
        <v>14.456112641008524</v>
      </c>
      <c r="U7" s="5">
        <f t="shared" si="2"/>
        <v>15.423731935593343</v>
      </c>
      <c r="V7" s="5">
        <f t="shared" si="2"/>
        <v>16.194588582885366</v>
      </c>
      <c r="W7" s="5">
        <f t="shared" si="2"/>
        <v>16.757901964782931</v>
      </c>
      <c r="X7" s="5">
        <f t="shared" si="2"/>
        <v>17.144103616010721</v>
      </c>
      <c r="Y7" s="5">
        <f t="shared" si="2"/>
        <v>17.397435469987879</v>
      </c>
      <c r="Z7" s="5">
        <f t="shared" si="2"/>
        <v>17.558828024005415</v>
      </c>
      <c r="AA7" s="5">
        <f t="shared" si="2"/>
        <v>17.659742869237764</v>
      </c>
      <c r="AB7" s="5">
        <f t="shared" si="2"/>
        <v>17.722106341161417</v>
      </c>
      <c r="AC7" s="5">
        <f t="shared" si="2"/>
        <v>17.760366698264622</v>
      </c>
      <c r="AD7" s="300">
        <f t="shared" si="3"/>
        <v>1.5424912574106913E-3</v>
      </c>
      <c r="AE7" s="299">
        <f t="shared" si="3"/>
        <v>1.5424912574106913E-3</v>
      </c>
      <c r="AF7" s="299">
        <f t="shared" si="3"/>
        <v>1.5424912574106913E-3</v>
      </c>
      <c r="AG7" s="299">
        <f t="shared" si="3"/>
        <v>1.5424912574106913E-3</v>
      </c>
      <c r="AH7" s="299">
        <f t="shared" si="3"/>
        <v>1.5424912574106913E-3</v>
      </c>
      <c r="AI7" s="299">
        <f t="shared" si="3"/>
        <v>1.4726495658649802E-3</v>
      </c>
      <c r="AJ7" s="299">
        <f t="shared" si="3"/>
        <v>1.4337310307760394E-3</v>
      </c>
      <c r="AK7" s="299">
        <f t="shared" si="3"/>
        <v>1.3782051735745993E-3</v>
      </c>
      <c r="AL7" s="299">
        <f t="shared" si="3"/>
        <v>1.3045145138995682E-3</v>
      </c>
      <c r="AM7" s="299">
        <f t="shared" si="3"/>
        <v>1.2155732577043327E-3</v>
      </c>
      <c r="AN7" s="299">
        <f t="shared" si="3"/>
        <v>1.1197428085781738E-3</v>
      </c>
      <c r="AO7" s="299">
        <f t="shared" si="3"/>
        <v>1.0283275049404609E-3</v>
      </c>
      <c r="AP7" s="299">
        <f t="shared" si="3"/>
        <v>9.5071181615879032E-4</v>
      </c>
      <c r="AQ7" s="299">
        <f t="shared" si="3"/>
        <v>8.9106820326753493E-4</v>
      </c>
      <c r="AR7" s="299">
        <f t="shared" si="3"/>
        <v>8.4865367423125871E-4</v>
      </c>
      <c r="AS7" s="299">
        <f t="shared" si="3"/>
        <v>8.2012635784668665E-4</v>
      </c>
      <c r="AT7" s="299">
        <f t="shared" si="4"/>
        <v>8.0165154220686351E-4</v>
      </c>
      <c r="AU7" s="299">
        <f t="shared" si="4"/>
        <v>7.8997833486654887E-4</v>
      </c>
      <c r="AV7" s="299">
        <f t="shared" si="4"/>
        <v>7.8271722262669284E-4</v>
      </c>
      <c r="AW7" s="299">
        <f t="shared" si="4"/>
        <v>7.782444628607702E-4</v>
      </c>
      <c r="AX7" s="299">
        <f t="shared" si="4"/>
        <v>7.7550584783527335E-4</v>
      </c>
      <c r="AY7" s="299">
        <f t="shared" si="4"/>
        <v>7.7383521055745749E-4</v>
      </c>
      <c r="AZ7" s="298">
        <f t="shared" si="5"/>
        <v>8.5391988696545199E-2</v>
      </c>
      <c r="BA7" s="1">
        <f t="shared" si="5"/>
        <v>8.5391988696545199E-2</v>
      </c>
      <c r="BB7" s="1">
        <f t="shared" si="5"/>
        <v>8.5391988696545199E-2</v>
      </c>
      <c r="BC7" s="1">
        <f t="shared" si="5"/>
        <v>8.5391988696545199E-2</v>
      </c>
      <c r="BD7" s="1">
        <f t="shared" si="5"/>
        <v>8.5391988696545199E-2</v>
      </c>
      <c r="BE7" s="1">
        <f t="shared" si="5"/>
        <v>8.1525567472848726E-2</v>
      </c>
      <c r="BF7" s="1">
        <f t="shared" si="5"/>
        <v>7.9371045628764084E-2</v>
      </c>
      <c r="BG7" s="1">
        <f t="shared" si="5"/>
        <v>7.6297145956573637E-2</v>
      </c>
      <c r="BH7" s="1">
        <f t="shared" si="5"/>
        <v>7.2217646673981714E-2</v>
      </c>
      <c r="BI7" s="1">
        <f t="shared" si="5"/>
        <v>6.7293877604178862E-2</v>
      </c>
      <c r="BJ7" s="1">
        <f t="shared" si="5"/>
        <v>6.1988724275593717E-2</v>
      </c>
      <c r="BK7" s="1">
        <f t="shared" si="5"/>
        <v>5.6927992464363468E-2</v>
      </c>
      <c r="BL7" s="1">
        <f t="shared" si="5"/>
        <v>5.2631204403311704E-2</v>
      </c>
      <c r="BM7" s="1">
        <f t="shared" si="5"/>
        <v>4.9329346649913008E-2</v>
      </c>
      <c r="BN7" s="1">
        <f t="shared" si="5"/>
        <v>4.6981287322747138E-2</v>
      </c>
      <c r="BO7" s="1">
        <f t="shared" si="5"/>
        <v>4.5402021141139497E-2</v>
      </c>
      <c r="BP7" s="1">
        <f t="shared" si="6"/>
        <v>4.4379259267639623E-2</v>
      </c>
      <c r="BQ7" s="1">
        <f t="shared" si="6"/>
        <v>4.3733032986312197E-2</v>
      </c>
      <c r="BR7" s="1">
        <f t="shared" si="6"/>
        <v>4.3331059353507978E-2</v>
      </c>
      <c r="BS7" s="1">
        <f t="shared" si="6"/>
        <v>4.3083448321977608E-2</v>
      </c>
      <c r="BT7" s="1">
        <f t="shared" si="6"/>
        <v>4.2931839175295007E-2</v>
      </c>
      <c r="BU7" s="1">
        <f t="shared" si="6"/>
        <v>4.283935305010117E-2</v>
      </c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</row>
    <row r="8" spans="1:116" x14ac:dyDescent="0.25">
      <c r="A8" s="1" t="s">
        <v>4</v>
      </c>
      <c r="B8" s="1" t="s">
        <v>5</v>
      </c>
      <c r="C8" s="1" t="s">
        <v>8</v>
      </c>
      <c r="D8" s="1" t="s">
        <v>8</v>
      </c>
      <c r="E8" s="5">
        <v>6</v>
      </c>
      <c r="F8" s="1">
        <f t="shared" si="7"/>
        <v>1.47E-2</v>
      </c>
      <c r="G8" s="1">
        <f>LOOKUP(RIGHT(D8,5),Ref!$C$4:$C$21,Ref!$E$4:$E$21)*$G$3</f>
        <v>4</v>
      </c>
      <c r="H8" s="297">
        <f t="shared" si="1"/>
        <v>6</v>
      </c>
      <c r="I8" s="5">
        <f t="shared" si="1"/>
        <v>6</v>
      </c>
      <c r="J8" s="5">
        <f t="shared" si="1"/>
        <v>6</v>
      </c>
      <c r="K8" s="5">
        <f t="shared" si="1"/>
        <v>6</v>
      </c>
      <c r="L8" s="5">
        <f t="shared" si="1"/>
        <v>6</v>
      </c>
      <c r="M8" s="5">
        <f t="shared" si="8"/>
        <v>6.2845552390654005</v>
      </c>
      <c r="N8" s="5">
        <f t="shared" si="2"/>
        <v>6.4551490801274607</v>
      </c>
      <c r="O8" s="5">
        <f t="shared" si="2"/>
        <v>6.715217532132705</v>
      </c>
      <c r="P8" s="5">
        <f t="shared" si="2"/>
        <v>7.0945531428381381</v>
      </c>
      <c r="Q8" s="5">
        <f t="shared" si="2"/>
        <v>7.6136485282199713</v>
      </c>
      <c r="R8" s="5">
        <f t="shared" si="2"/>
        <v>8.2652440127888731</v>
      </c>
      <c r="S8" s="5">
        <f t="shared" si="2"/>
        <v>9</v>
      </c>
      <c r="T8" s="5">
        <f t="shared" si="2"/>
        <v>9.7347559872111269</v>
      </c>
      <c r="U8" s="5">
        <f t="shared" si="2"/>
        <v>10.386351471780028</v>
      </c>
      <c r="V8" s="5">
        <f t="shared" si="2"/>
        <v>10.905446857161863</v>
      </c>
      <c r="W8" s="5">
        <f t="shared" si="2"/>
        <v>11.284782467867293</v>
      </c>
      <c r="X8" s="5">
        <f t="shared" si="2"/>
        <v>11.544850919872539</v>
      </c>
      <c r="Y8" s="5">
        <f t="shared" si="2"/>
        <v>11.715444760934599</v>
      </c>
      <c r="Z8" s="5">
        <f t="shared" si="2"/>
        <v>11.824126615491863</v>
      </c>
      <c r="AA8" s="5">
        <f t="shared" si="2"/>
        <v>11.892082740227451</v>
      </c>
      <c r="AB8" s="5">
        <f t="shared" si="2"/>
        <v>11.934078344216442</v>
      </c>
      <c r="AC8" s="5">
        <f t="shared" si="2"/>
        <v>11.959842894454292</v>
      </c>
      <c r="AD8" s="300">
        <f t="shared" si="3"/>
        <v>2.2905995172548765E-3</v>
      </c>
      <c r="AE8" s="299">
        <f t="shared" si="3"/>
        <v>2.2905995172548765E-3</v>
      </c>
      <c r="AF8" s="299">
        <f t="shared" si="3"/>
        <v>2.2905995172548765E-3</v>
      </c>
      <c r="AG8" s="299">
        <f t="shared" si="3"/>
        <v>2.2905995172548765E-3</v>
      </c>
      <c r="AH8" s="299">
        <f t="shared" si="3"/>
        <v>2.2905995172548765E-3</v>
      </c>
      <c r="AI8" s="299">
        <f t="shared" si="3"/>
        <v>2.1868846053094953E-3</v>
      </c>
      <c r="AJ8" s="299">
        <f t="shared" si="3"/>
        <v>2.1290905807024186E-3</v>
      </c>
      <c r="AK8" s="299">
        <f t="shared" si="3"/>
        <v>2.0466346827582803E-3</v>
      </c>
      <c r="AL8" s="299">
        <f t="shared" si="3"/>
        <v>1.9372040531408588E-3</v>
      </c>
      <c r="AM8" s="299">
        <f t="shared" si="3"/>
        <v>1.805126287690934E-3</v>
      </c>
      <c r="AN8" s="299">
        <f t="shared" si="3"/>
        <v>1.6628180707385881E-3</v>
      </c>
      <c r="AO8" s="299">
        <f t="shared" si="3"/>
        <v>1.5270663448365843E-3</v>
      </c>
      <c r="AP8" s="299">
        <f t="shared" si="3"/>
        <v>1.4118070469958035E-3</v>
      </c>
      <c r="AQ8" s="299">
        <f t="shared" si="3"/>
        <v>1.3232362818522895E-3</v>
      </c>
      <c r="AR8" s="299">
        <f t="shared" si="3"/>
        <v>1.2602507062334193E-3</v>
      </c>
      <c r="AS8" s="299">
        <f t="shared" si="3"/>
        <v>1.2178876414023296E-3</v>
      </c>
      <c r="AT8" s="299">
        <f t="shared" si="4"/>
        <v>1.1904525401771923E-3</v>
      </c>
      <c r="AU8" s="299">
        <f t="shared" si="4"/>
        <v>1.1731178272768252E-3</v>
      </c>
      <c r="AV8" s="299">
        <f t="shared" si="4"/>
        <v>1.1623350756006388E-3</v>
      </c>
      <c r="AW8" s="299">
        <f t="shared" si="4"/>
        <v>1.1556930273482436E-3</v>
      </c>
      <c r="AX8" s="299">
        <f t="shared" si="4"/>
        <v>1.1516261840353811E-3</v>
      </c>
      <c r="AY8" s="299">
        <f t="shared" si="4"/>
        <v>1.1491452876778243E-3</v>
      </c>
      <c r="AZ8" s="298">
        <f t="shared" si="5"/>
        <v>0.12680710321436964</v>
      </c>
      <c r="BA8" s="1">
        <f t="shared" si="5"/>
        <v>0.12680710321436964</v>
      </c>
      <c r="BB8" s="1">
        <f t="shared" si="5"/>
        <v>0.12680710321436964</v>
      </c>
      <c r="BC8" s="1">
        <f t="shared" si="5"/>
        <v>0.12680710321436964</v>
      </c>
      <c r="BD8" s="1">
        <f t="shared" si="5"/>
        <v>0.12680710321436964</v>
      </c>
      <c r="BE8" s="1">
        <f t="shared" si="5"/>
        <v>0.12106546769718035</v>
      </c>
      <c r="BF8" s="1">
        <f t="shared" si="5"/>
        <v>0.11786600275871467</v>
      </c>
      <c r="BG8" s="1">
        <f t="shared" si="5"/>
        <v>0.11330126174551186</v>
      </c>
      <c r="BH8" s="1">
        <f t="shared" si="5"/>
        <v>0.10724320531086286</v>
      </c>
      <c r="BI8" s="1">
        <f t="shared" si="5"/>
        <v>9.9931408242205602E-2</v>
      </c>
      <c r="BJ8" s="1">
        <f t="shared" si="5"/>
        <v>9.2053255549256668E-2</v>
      </c>
      <c r="BK8" s="1">
        <f t="shared" si="5"/>
        <v>8.4538068809579758E-2</v>
      </c>
      <c r="BL8" s="1">
        <f t="shared" si="5"/>
        <v>7.8157338538917875E-2</v>
      </c>
      <c r="BM8" s="1">
        <f t="shared" si="5"/>
        <v>7.3254079775120828E-2</v>
      </c>
      <c r="BN8" s="1">
        <f t="shared" si="5"/>
        <v>6.9767211674279503E-2</v>
      </c>
      <c r="BO8" s="1">
        <f t="shared" si="5"/>
        <v>6.742200139459216E-2</v>
      </c>
      <c r="BP8" s="1">
        <f t="shared" si="6"/>
        <v>6.5903200012444846E-2</v>
      </c>
      <c r="BQ8" s="1">
        <f t="shared" si="6"/>
        <v>6.4943553984673608E-2</v>
      </c>
      <c r="BR8" s="1">
        <f t="shared" si="6"/>
        <v>6.4346623139959327E-2</v>
      </c>
      <c r="BS8" s="1">
        <f t="shared" si="6"/>
        <v>6.3978920758136743E-2</v>
      </c>
      <c r="BT8" s="1">
        <f t="shared" si="6"/>
        <v>6.3753781175313093E-2</v>
      </c>
      <c r="BU8" s="1">
        <f t="shared" si="6"/>
        <v>6.3616439279400236E-2</v>
      </c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</row>
    <row r="9" spans="1:116" x14ac:dyDescent="0.25">
      <c r="A9" s="1" t="s">
        <v>4</v>
      </c>
      <c r="B9" s="1" t="s">
        <v>5</v>
      </c>
      <c r="C9" s="1" t="s">
        <v>9</v>
      </c>
      <c r="D9" s="1" t="s">
        <v>9</v>
      </c>
      <c r="E9" s="5">
        <v>6</v>
      </c>
      <c r="F9" s="1">
        <f t="shared" si="7"/>
        <v>1.47E-2</v>
      </c>
      <c r="G9" s="1">
        <f>LOOKUP(RIGHT(D9,5),Ref!$C$4:$C$21,Ref!$E$4:$E$21)*$G$3</f>
        <v>4.5</v>
      </c>
      <c r="H9" s="297">
        <f t="shared" si="1"/>
        <v>6</v>
      </c>
      <c r="I9" s="5">
        <f t="shared" si="1"/>
        <v>6</v>
      </c>
      <c r="J9" s="5">
        <f t="shared" si="1"/>
        <v>6</v>
      </c>
      <c r="K9" s="5">
        <f t="shared" si="1"/>
        <v>6</v>
      </c>
      <c r="L9" s="5">
        <f t="shared" si="1"/>
        <v>6</v>
      </c>
      <c r="M9" s="5">
        <f t="shared" si="8"/>
        <v>6.2845552390654005</v>
      </c>
      <c r="N9" s="5">
        <f t="shared" si="2"/>
        <v>6.4551490801274607</v>
      </c>
      <c r="O9" s="5">
        <f t="shared" si="2"/>
        <v>6.715217532132705</v>
      </c>
      <c r="P9" s="5">
        <f t="shared" si="2"/>
        <v>7.0945531428381381</v>
      </c>
      <c r="Q9" s="5">
        <f t="shared" si="2"/>
        <v>7.6136485282199713</v>
      </c>
      <c r="R9" s="5">
        <f t="shared" si="2"/>
        <v>8.2652440127888731</v>
      </c>
      <c r="S9" s="5">
        <f t="shared" si="2"/>
        <v>9</v>
      </c>
      <c r="T9" s="5">
        <f t="shared" si="2"/>
        <v>9.7347559872111269</v>
      </c>
      <c r="U9" s="5">
        <f t="shared" si="2"/>
        <v>10.386351471780028</v>
      </c>
      <c r="V9" s="5">
        <f t="shared" si="2"/>
        <v>10.905446857161863</v>
      </c>
      <c r="W9" s="5">
        <f t="shared" si="2"/>
        <v>11.284782467867293</v>
      </c>
      <c r="X9" s="5">
        <f t="shared" si="2"/>
        <v>11.544850919872539</v>
      </c>
      <c r="Y9" s="5">
        <f t="shared" si="2"/>
        <v>11.715444760934599</v>
      </c>
      <c r="Z9" s="5">
        <f t="shared" si="2"/>
        <v>11.824126615491863</v>
      </c>
      <c r="AA9" s="5">
        <f t="shared" si="2"/>
        <v>11.892082740227451</v>
      </c>
      <c r="AB9" s="5">
        <f t="shared" si="2"/>
        <v>11.934078344216442</v>
      </c>
      <c r="AC9" s="5">
        <f t="shared" si="2"/>
        <v>11.959842894454292</v>
      </c>
      <c r="AD9" s="300">
        <f t="shared" si="3"/>
        <v>2.2905995172548765E-3</v>
      </c>
      <c r="AE9" s="299">
        <f t="shared" si="3"/>
        <v>2.2905995172548765E-3</v>
      </c>
      <c r="AF9" s="299">
        <f t="shared" si="3"/>
        <v>2.2905995172548765E-3</v>
      </c>
      <c r="AG9" s="299">
        <f t="shared" si="3"/>
        <v>2.2905995172548765E-3</v>
      </c>
      <c r="AH9" s="299">
        <f t="shared" si="3"/>
        <v>2.2905995172548765E-3</v>
      </c>
      <c r="AI9" s="299">
        <f t="shared" si="3"/>
        <v>2.1868846053094953E-3</v>
      </c>
      <c r="AJ9" s="299">
        <f t="shared" si="3"/>
        <v>2.1290905807024186E-3</v>
      </c>
      <c r="AK9" s="299">
        <f t="shared" si="3"/>
        <v>2.0466346827582803E-3</v>
      </c>
      <c r="AL9" s="299">
        <f t="shared" si="3"/>
        <v>1.9372040531408588E-3</v>
      </c>
      <c r="AM9" s="299">
        <f t="shared" si="3"/>
        <v>1.805126287690934E-3</v>
      </c>
      <c r="AN9" s="299">
        <f t="shared" si="3"/>
        <v>1.6628180707385881E-3</v>
      </c>
      <c r="AO9" s="299">
        <f t="shared" si="3"/>
        <v>1.5270663448365843E-3</v>
      </c>
      <c r="AP9" s="299">
        <f t="shared" si="3"/>
        <v>1.4118070469958035E-3</v>
      </c>
      <c r="AQ9" s="299">
        <f t="shared" si="3"/>
        <v>1.3232362818522895E-3</v>
      </c>
      <c r="AR9" s="299">
        <f t="shared" si="3"/>
        <v>1.2602507062334193E-3</v>
      </c>
      <c r="AS9" s="299">
        <f t="shared" si="3"/>
        <v>1.2178876414023296E-3</v>
      </c>
      <c r="AT9" s="299">
        <f t="shared" si="4"/>
        <v>1.1904525401771923E-3</v>
      </c>
      <c r="AU9" s="299">
        <f t="shared" si="4"/>
        <v>1.1731178272768252E-3</v>
      </c>
      <c r="AV9" s="299">
        <f t="shared" si="4"/>
        <v>1.1623350756006388E-3</v>
      </c>
      <c r="AW9" s="299">
        <f t="shared" si="4"/>
        <v>1.1556930273482436E-3</v>
      </c>
      <c r="AX9" s="299">
        <f t="shared" si="4"/>
        <v>1.1516261840353811E-3</v>
      </c>
      <c r="AY9" s="299">
        <f t="shared" si="4"/>
        <v>1.1491452876778243E-3</v>
      </c>
      <c r="AZ9" s="298">
        <f t="shared" si="5"/>
        <v>0.12680710321436964</v>
      </c>
      <c r="BA9" s="1">
        <f t="shared" si="5"/>
        <v>0.12680710321436964</v>
      </c>
      <c r="BB9" s="1">
        <f t="shared" si="5"/>
        <v>0.12680710321436964</v>
      </c>
      <c r="BC9" s="1">
        <f t="shared" si="5"/>
        <v>0.12680710321436964</v>
      </c>
      <c r="BD9" s="1">
        <f t="shared" si="5"/>
        <v>0.12680710321436964</v>
      </c>
      <c r="BE9" s="1">
        <f t="shared" si="5"/>
        <v>0.12106546769718035</v>
      </c>
      <c r="BF9" s="1">
        <f t="shared" si="5"/>
        <v>0.11786600275871467</v>
      </c>
      <c r="BG9" s="1">
        <f t="shared" si="5"/>
        <v>0.11330126174551186</v>
      </c>
      <c r="BH9" s="1">
        <f t="shared" si="5"/>
        <v>0.10724320531086286</v>
      </c>
      <c r="BI9" s="1">
        <f t="shared" si="5"/>
        <v>9.9931408242205602E-2</v>
      </c>
      <c r="BJ9" s="1">
        <f t="shared" si="5"/>
        <v>9.2053255549256668E-2</v>
      </c>
      <c r="BK9" s="1">
        <f t="shared" si="5"/>
        <v>8.4538068809579758E-2</v>
      </c>
      <c r="BL9" s="1">
        <f t="shared" si="5"/>
        <v>7.8157338538917875E-2</v>
      </c>
      <c r="BM9" s="1">
        <f t="shared" si="5"/>
        <v>7.3254079775120828E-2</v>
      </c>
      <c r="BN9" s="1">
        <f t="shared" si="5"/>
        <v>6.9767211674279503E-2</v>
      </c>
      <c r="BO9" s="1">
        <f t="shared" si="5"/>
        <v>6.742200139459216E-2</v>
      </c>
      <c r="BP9" s="1">
        <f t="shared" si="6"/>
        <v>6.5903200012444846E-2</v>
      </c>
      <c r="BQ9" s="1">
        <f t="shared" si="6"/>
        <v>6.4943553984673608E-2</v>
      </c>
      <c r="BR9" s="1">
        <f t="shared" si="6"/>
        <v>6.4346623139959327E-2</v>
      </c>
      <c r="BS9" s="1">
        <f t="shared" si="6"/>
        <v>6.3978920758136743E-2</v>
      </c>
      <c r="BT9" s="1">
        <f t="shared" si="6"/>
        <v>6.3753781175313093E-2</v>
      </c>
      <c r="BU9" s="1">
        <f t="shared" si="6"/>
        <v>6.3616439279400236E-2</v>
      </c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</row>
    <row r="10" spans="1:116" x14ac:dyDescent="0.25">
      <c r="A10" s="1" t="s">
        <v>4</v>
      </c>
      <c r="B10" s="1" t="s">
        <v>5</v>
      </c>
      <c r="C10" s="1" t="s">
        <v>10</v>
      </c>
      <c r="D10" s="1" t="s">
        <v>10</v>
      </c>
      <c r="E10" s="5">
        <v>8.5222499999999997</v>
      </c>
      <c r="F10" s="1">
        <f t="shared" si="7"/>
        <v>2.0879512499999999E-2</v>
      </c>
      <c r="G10" s="1">
        <f>LOOKUP(RIGHT(D10,5),Ref!$C$4:$C$21,Ref!$E$4:$E$21)*$G$3</f>
        <v>4.5</v>
      </c>
      <c r="H10" s="297">
        <f t="shared" si="1"/>
        <v>8.5222499999999997</v>
      </c>
      <c r="I10" s="5">
        <f t="shared" si="1"/>
        <v>8.5222499999999997</v>
      </c>
      <c r="J10" s="5">
        <f t="shared" si="1"/>
        <v>8.5222499999999997</v>
      </c>
      <c r="K10" s="5">
        <f t="shared" si="1"/>
        <v>8.5222499999999997</v>
      </c>
      <c r="L10" s="5">
        <f t="shared" si="1"/>
        <v>8.5222499999999997</v>
      </c>
      <c r="M10" s="5">
        <f t="shared" si="8"/>
        <v>8.9264251476875174</v>
      </c>
      <c r="N10" s="5">
        <f t="shared" si="2"/>
        <v>9.1687323746860407</v>
      </c>
      <c r="O10" s="5">
        <f t="shared" si="2"/>
        <v>9.5381271022029903</v>
      </c>
      <c r="P10" s="5">
        <f t="shared" si="2"/>
        <v>10.07692592025872</v>
      </c>
      <c r="Q10" s="5">
        <f t="shared" si="2"/>
        <v>10.814236028270441</v>
      </c>
      <c r="R10" s="5">
        <f t="shared" si="2"/>
        <v>11.739745964664996</v>
      </c>
      <c r="S10" s="5">
        <f t="shared" si="2"/>
        <v>12.783374999999999</v>
      </c>
      <c r="T10" s="5">
        <f t="shared" si="2"/>
        <v>13.827004035335003</v>
      </c>
      <c r="U10" s="5">
        <f t="shared" si="2"/>
        <v>14.752513971729558</v>
      </c>
      <c r="V10" s="5">
        <f t="shared" si="2"/>
        <v>15.489824079741279</v>
      </c>
      <c r="W10" s="5">
        <f t="shared" si="2"/>
        <v>16.028622897797007</v>
      </c>
      <c r="X10" s="5">
        <f t="shared" si="2"/>
        <v>16.398017625313958</v>
      </c>
      <c r="Y10" s="5">
        <f t="shared" si="2"/>
        <v>16.640324852312482</v>
      </c>
      <c r="Z10" s="5">
        <f t="shared" si="2"/>
        <v>16.794693841479255</v>
      </c>
      <c r="AA10" s="5">
        <f t="shared" si="2"/>
        <v>16.891217022150563</v>
      </c>
      <c r="AB10" s="5">
        <f t="shared" si="2"/>
        <v>16.950866528166426</v>
      </c>
      <c r="AC10" s="5">
        <f t="shared" si="2"/>
        <v>16.987461851210515</v>
      </c>
      <c r="AD10" s="300">
        <f t="shared" si="3"/>
        <v>1.612672369800142E-3</v>
      </c>
      <c r="AE10" s="299">
        <f t="shared" si="3"/>
        <v>1.612672369800142E-3</v>
      </c>
      <c r="AF10" s="299">
        <f t="shared" si="3"/>
        <v>1.612672369800142E-3</v>
      </c>
      <c r="AG10" s="299">
        <f t="shared" si="3"/>
        <v>1.612672369800142E-3</v>
      </c>
      <c r="AH10" s="299">
        <f t="shared" si="3"/>
        <v>1.612672369800142E-3</v>
      </c>
      <c r="AI10" s="299">
        <f t="shared" si="3"/>
        <v>1.5396529827049164E-3</v>
      </c>
      <c r="AJ10" s="299">
        <f t="shared" si="3"/>
        <v>1.4989637107823068E-3</v>
      </c>
      <c r="AK10" s="299">
        <f t="shared" si="3"/>
        <v>1.4409115077062609E-3</v>
      </c>
      <c r="AL10" s="299">
        <f t="shared" si="3"/>
        <v>1.3638680300208459E-3</v>
      </c>
      <c r="AM10" s="299">
        <f t="shared" si="3"/>
        <v>1.2708800758186635E-3</v>
      </c>
      <c r="AN10" s="299">
        <f t="shared" si="3"/>
        <v>1.170689480410869E-3</v>
      </c>
      <c r="AO10" s="299">
        <f t="shared" si="3"/>
        <v>1.0751149132000946E-3</v>
      </c>
      <c r="AP10" s="299">
        <f t="shared" si="3"/>
        <v>9.9396782328314967E-4</v>
      </c>
      <c r="AQ10" s="299">
        <f t="shared" si="3"/>
        <v>9.3161051261271815E-4</v>
      </c>
      <c r="AR10" s="299">
        <f t="shared" si="3"/>
        <v>8.8726618409463651E-4</v>
      </c>
      <c r="AS10" s="299">
        <f t="shared" si="3"/>
        <v>8.5744091623854944E-4</v>
      </c>
      <c r="AT10" s="299">
        <f t="shared" si="4"/>
        <v>8.38125523314049E-4</v>
      </c>
      <c r="AU10" s="299">
        <f t="shared" si="4"/>
        <v>8.2592120199019624E-4</v>
      </c>
      <c r="AV10" s="299">
        <f t="shared" si="4"/>
        <v>8.1832971968715223E-4</v>
      </c>
      <c r="AW10" s="299">
        <f t="shared" si="4"/>
        <v>8.1365345584669103E-4</v>
      </c>
      <c r="AX10" s="299">
        <f t="shared" si="4"/>
        <v>8.1079023781422603E-4</v>
      </c>
      <c r="AY10" s="299">
        <f t="shared" si="4"/>
        <v>8.0904358896617039E-4</v>
      </c>
      <c r="AZ10" s="298">
        <f t="shared" si="5"/>
        <v>8.9277200186126643E-2</v>
      </c>
      <c r="BA10" s="1">
        <f t="shared" si="5"/>
        <v>8.9277200186126643E-2</v>
      </c>
      <c r="BB10" s="1">
        <f t="shared" si="5"/>
        <v>8.9277200186126643E-2</v>
      </c>
      <c r="BC10" s="1">
        <f t="shared" si="5"/>
        <v>8.9277200186126643E-2</v>
      </c>
      <c r="BD10" s="1">
        <f t="shared" si="5"/>
        <v>8.9277200186126643E-2</v>
      </c>
      <c r="BE10" s="1">
        <f t="shared" si="5"/>
        <v>8.5234862411110002E-2</v>
      </c>
      <c r="BF10" s="1">
        <f t="shared" si="5"/>
        <v>8.2982312951660434E-2</v>
      </c>
      <c r="BG10" s="1">
        <f t="shared" si="5"/>
        <v>7.9768555307937597E-2</v>
      </c>
      <c r="BH10" s="1">
        <f t="shared" si="5"/>
        <v>7.5503444731752425E-2</v>
      </c>
      <c r="BI10" s="1">
        <f t="shared" si="5"/>
        <v>7.0355651318986606E-2</v>
      </c>
      <c r="BJ10" s="1">
        <f t="shared" si="5"/>
        <v>6.4809121217464863E-2</v>
      </c>
      <c r="BK10" s="1">
        <f t="shared" si="5"/>
        <v>5.9518133457417764E-2</v>
      </c>
      <c r="BL10" s="1">
        <f t="shared" si="5"/>
        <v>5.5025847778873808E-2</v>
      </c>
      <c r="BM10" s="1">
        <f t="shared" si="5"/>
        <v>5.1573760292261427E-2</v>
      </c>
      <c r="BN10" s="1">
        <f t="shared" si="5"/>
        <v>4.911886767528259E-2</v>
      </c>
      <c r="BO10" s="1">
        <f t="shared" si="5"/>
        <v>4.7467747175634713E-2</v>
      </c>
      <c r="BP10" s="1">
        <f t="shared" si="6"/>
        <v>4.6398451122024002E-2</v>
      </c>
      <c r="BQ10" s="1">
        <f t="shared" si="6"/>
        <v>4.5722822483269282E-2</v>
      </c>
      <c r="BR10" s="1">
        <f t="shared" si="6"/>
        <v>4.5302559633870872E-2</v>
      </c>
      <c r="BS10" s="1">
        <f t="shared" si="6"/>
        <v>4.5043682659957229E-2</v>
      </c>
      <c r="BT10" s="1">
        <f t="shared" si="6"/>
        <v>4.4885175517249389E-2</v>
      </c>
      <c r="BU10" s="1">
        <f t="shared" si="6"/>
        <v>4.4788481407656594E-2</v>
      </c>
    </row>
    <row r="11" spans="1:116" x14ac:dyDescent="0.25">
      <c r="A11" s="1" t="s">
        <v>4</v>
      </c>
      <c r="B11" s="1" t="s">
        <v>5</v>
      </c>
      <c r="C11" s="1" t="s">
        <v>11</v>
      </c>
      <c r="D11" s="1" t="s">
        <v>11</v>
      </c>
      <c r="E11" s="5">
        <v>9</v>
      </c>
      <c r="F11" s="1">
        <f t="shared" si="7"/>
        <v>2.205E-2</v>
      </c>
      <c r="G11" s="1">
        <f>LOOKUP(RIGHT(D11,5),Ref!$C$4:$C$21,Ref!$E$4:$E$21)*$G$3</f>
        <v>4.5</v>
      </c>
      <c r="H11" s="297">
        <f t="shared" si="1"/>
        <v>9</v>
      </c>
      <c r="I11" s="5">
        <f t="shared" si="1"/>
        <v>9</v>
      </c>
      <c r="J11" s="5">
        <f t="shared" si="1"/>
        <v>9</v>
      </c>
      <c r="K11" s="5">
        <f t="shared" si="1"/>
        <v>9</v>
      </c>
      <c r="L11" s="5">
        <f t="shared" si="1"/>
        <v>9</v>
      </c>
      <c r="M11" s="5">
        <f t="shared" si="8"/>
        <v>9.4268328585981003</v>
      </c>
      <c r="N11" s="5">
        <f t="shared" si="2"/>
        <v>9.6827236201911902</v>
      </c>
      <c r="O11" s="5">
        <f t="shared" si="2"/>
        <v>10.072826298199058</v>
      </c>
      <c r="P11" s="5">
        <f t="shared" si="2"/>
        <v>10.641829714257208</v>
      </c>
      <c r="Q11" s="5">
        <f t="shared" si="2"/>
        <v>11.420472792329956</v>
      </c>
      <c r="R11" s="5">
        <f t="shared" si="2"/>
        <v>12.39786601918331</v>
      </c>
      <c r="S11" s="5">
        <f t="shared" si="2"/>
        <v>13.5</v>
      </c>
      <c r="T11" s="5">
        <f t="shared" si="2"/>
        <v>14.60213398081669</v>
      </c>
      <c r="U11" s="5">
        <f t="shared" si="2"/>
        <v>15.579527207670044</v>
      </c>
      <c r="V11" s="5">
        <f t="shared" si="2"/>
        <v>16.358170285742794</v>
      </c>
      <c r="W11" s="5">
        <f t="shared" si="2"/>
        <v>16.927173701800939</v>
      </c>
      <c r="X11" s="5">
        <f t="shared" si="2"/>
        <v>17.31727637980881</v>
      </c>
      <c r="Y11" s="5">
        <f t="shared" si="2"/>
        <v>17.5731671414019</v>
      </c>
      <c r="Z11" s="5">
        <f t="shared" si="2"/>
        <v>17.736189923237795</v>
      </c>
      <c r="AA11" s="5">
        <f t="shared" si="2"/>
        <v>17.838124110341177</v>
      </c>
      <c r="AB11" s="5">
        <f t="shared" si="2"/>
        <v>17.901117516324661</v>
      </c>
      <c r="AC11" s="5">
        <f t="shared" si="2"/>
        <v>17.939764341681439</v>
      </c>
      <c r="AD11" s="300">
        <f t="shared" si="3"/>
        <v>1.5270663448365843E-3</v>
      </c>
      <c r="AE11" s="299">
        <f t="shared" si="3"/>
        <v>1.5270663448365843E-3</v>
      </c>
      <c r="AF11" s="299">
        <f t="shared" si="3"/>
        <v>1.5270663448365843E-3</v>
      </c>
      <c r="AG11" s="299">
        <f t="shared" si="3"/>
        <v>1.5270663448365843E-3</v>
      </c>
      <c r="AH11" s="299">
        <f t="shared" si="3"/>
        <v>1.5270663448365843E-3</v>
      </c>
      <c r="AI11" s="299">
        <f t="shared" si="3"/>
        <v>1.4579230702063304E-3</v>
      </c>
      <c r="AJ11" s="299">
        <f t="shared" si="3"/>
        <v>1.4193937204682794E-3</v>
      </c>
      <c r="AK11" s="299">
        <f t="shared" si="3"/>
        <v>1.3644231218388535E-3</v>
      </c>
      <c r="AL11" s="299">
        <f t="shared" si="3"/>
        <v>1.2914693687605726E-3</v>
      </c>
      <c r="AM11" s="299">
        <f t="shared" si="3"/>
        <v>1.2034175251272893E-3</v>
      </c>
      <c r="AN11" s="299">
        <f t="shared" si="3"/>
        <v>1.108545380492392E-3</v>
      </c>
      <c r="AO11" s="299">
        <f t="shared" si="3"/>
        <v>1.0180442298910563E-3</v>
      </c>
      <c r="AP11" s="299">
        <f t="shared" si="3"/>
        <v>9.4120469799720242E-4</v>
      </c>
      <c r="AQ11" s="299">
        <f t="shared" si="3"/>
        <v>8.8215752123485959E-4</v>
      </c>
      <c r="AR11" s="299">
        <f t="shared" si="3"/>
        <v>8.4016713748894618E-4</v>
      </c>
      <c r="AS11" s="299">
        <f t="shared" si="3"/>
        <v>8.1192509426821987E-4</v>
      </c>
      <c r="AT11" s="299">
        <f t="shared" si="4"/>
        <v>7.9363502678479487E-4</v>
      </c>
      <c r="AU11" s="299">
        <f t="shared" si="4"/>
        <v>7.820785515178833E-4</v>
      </c>
      <c r="AV11" s="299">
        <f t="shared" si="4"/>
        <v>7.7489005040042578E-4</v>
      </c>
      <c r="AW11" s="299">
        <f t="shared" si="4"/>
        <v>7.7046201823216239E-4</v>
      </c>
      <c r="AX11" s="299">
        <f t="shared" si="4"/>
        <v>7.6775078935692074E-4</v>
      </c>
      <c r="AY11" s="299">
        <f t="shared" si="4"/>
        <v>7.6609685845188279E-4</v>
      </c>
      <c r="AZ11" s="298">
        <f t="shared" si="5"/>
        <v>8.4538068809579758E-2</v>
      </c>
      <c r="BA11" s="1">
        <f t="shared" si="5"/>
        <v>8.4538068809579758E-2</v>
      </c>
      <c r="BB11" s="1">
        <f t="shared" si="5"/>
        <v>8.4538068809579758E-2</v>
      </c>
      <c r="BC11" s="1">
        <f t="shared" si="5"/>
        <v>8.4538068809579758E-2</v>
      </c>
      <c r="BD11" s="1">
        <f t="shared" si="5"/>
        <v>8.4538068809579758E-2</v>
      </c>
      <c r="BE11" s="1">
        <f t="shared" si="5"/>
        <v>8.0710311798120243E-2</v>
      </c>
      <c r="BF11" s="1">
        <f t="shared" si="5"/>
        <v>7.8577335172476462E-2</v>
      </c>
      <c r="BG11" s="1">
        <f t="shared" si="5"/>
        <v>7.5534174497007903E-2</v>
      </c>
      <c r="BH11" s="1">
        <f t="shared" si="5"/>
        <v>7.1495470207241896E-2</v>
      </c>
      <c r="BI11" s="1">
        <f t="shared" si="5"/>
        <v>6.6620938828137063E-2</v>
      </c>
      <c r="BJ11" s="1">
        <f t="shared" si="5"/>
        <v>6.1368837032837777E-2</v>
      </c>
      <c r="BK11" s="1">
        <f t="shared" si="5"/>
        <v>5.6358712539719837E-2</v>
      </c>
      <c r="BL11" s="1">
        <f t="shared" si="5"/>
        <v>5.2104892359278586E-2</v>
      </c>
      <c r="BM11" s="1">
        <f t="shared" si="5"/>
        <v>4.8836053183413879E-2</v>
      </c>
      <c r="BN11" s="1">
        <f t="shared" si="5"/>
        <v>4.6511474449519662E-2</v>
      </c>
      <c r="BO11" s="1">
        <f t="shared" si="5"/>
        <v>4.4948000929728109E-2</v>
      </c>
      <c r="BP11" s="1">
        <f t="shared" si="6"/>
        <v>4.3935466674963224E-2</v>
      </c>
      <c r="BQ11" s="1">
        <f t="shared" si="6"/>
        <v>4.3295702656449074E-2</v>
      </c>
      <c r="BR11" s="1">
        <f t="shared" si="6"/>
        <v>4.289774875997289E-2</v>
      </c>
      <c r="BS11" s="1">
        <f t="shared" si="6"/>
        <v>4.2652613838757826E-2</v>
      </c>
      <c r="BT11" s="1">
        <f t="shared" si="6"/>
        <v>4.2502520783542067E-2</v>
      </c>
      <c r="BU11" s="1">
        <f t="shared" si="6"/>
        <v>4.2410959519600153E-2</v>
      </c>
    </row>
    <row r="12" spans="1:116" x14ac:dyDescent="0.25">
      <c r="A12" s="1" t="s">
        <v>12</v>
      </c>
      <c r="B12" s="1" t="s">
        <v>5</v>
      </c>
      <c r="C12" s="1" t="s">
        <v>13</v>
      </c>
      <c r="D12" s="1" t="s">
        <v>13</v>
      </c>
      <c r="E12" s="5">
        <v>8.7367499999999989</v>
      </c>
      <c r="F12" s="1">
        <f t="shared" si="7"/>
        <v>2.1405037499999995E-2</v>
      </c>
      <c r="G12" s="1">
        <f>LOOKUP(RIGHT(D12,5),Ref!$C$4:$C$21,Ref!$E$4:$E$21)*$G$3</f>
        <v>1.5</v>
      </c>
      <c r="H12" s="297">
        <f t="shared" si="1"/>
        <v>8.7367499999999989</v>
      </c>
      <c r="I12" s="5">
        <f t="shared" si="1"/>
        <v>8.7367499999999989</v>
      </c>
      <c r="J12" s="5">
        <f t="shared" si="1"/>
        <v>8.7367499999999989</v>
      </c>
      <c r="K12" s="5">
        <f t="shared" si="1"/>
        <v>8.7367499999999989</v>
      </c>
      <c r="L12" s="5">
        <f t="shared" si="1"/>
        <v>8.7367499999999989</v>
      </c>
      <c r="M12" s="5">
        <f t="shared" si="8"/>
        <v>9.1510979974841042</v>
      </c>
      <c r="N12" s="5">
        <f t="shared" si="2"/>
        <v>9.3995039543005969</v>
      </c>
      <c r="O12" s="5">
        <f t="shared" si="2"/>
        <v>9.7781961289767345</v>
      </c>
      <c r="P12" s="5">
        <f t="shared" si="2"/>
        <v>10.330556195115182</v>
      </c>
      <c r="Q12" s="5">
        <f t="shared" si="2"/>
        <v>11.086423963154305</v>
      </c>
      <c r="R12" s="5">
        <f t="shared" si="2"/>
        <v>12.035228438122196</v>
      </c>
      <c r="S12" s="5">
        <f t="shared" si="2"/>
        <v>13.105124999999997</v>
      </c>
      <c r="T12" s="5">
        <f t="shared" si="2"/>
        <v>14.1750215618778</v>
      </c>
      <c r="U12" s="5">
        <f t="shared" si="2"/>
        <v>15.123826036845692</v>
      </c>
      <c r="V12" s="5">
        <f t="shared" si="2"/>
        <v>15.879693804884814</v>
      </c>
      <c r="W12" s="5">
        <f t="shared" si="2"/>
        <v>16.43205387102326</v>
      </c>
      <c r="X12" s="5">
        <f t="shared" si="2"/>
        <v>16.8107460456994</v>
      </c>
      <c r="Y12" s="5">
        <f t="shared" si="2"/>
        <v>17.059152002515891</v>
      </c>
      <c r="Z12" s="5">
        <f t="shared" si="2"/>
        <v>17.217406367983084</v>
      </c>
      <c r="AA12" s="5">
        <f t="shared" si="2"/>
        <v>17.316358980113694</v>
      </c>
      <c r="AB12" s="5">
        <f t="shared" si="2"/>
        <v>17.377509828972165</v>
      </c>
      <c r="AC12" s="5">
        <f t="shared" si="2"/>
        <v>17.415026234687254</v>
      </c>
      <c r="AD12" s="300">
        <f t="shared" si="3"/>
        <v>1.5730789027417816E-3</v>
      </c>
      <c r="AE12" s="299">
        <f t="shared" si="3"/>
        <v>1.5730789027417816E-3</v>
      </c>
      <c r="AF12" s="299">
        <f t="shared" si="3"/>
        <v>1.5730789027417816E-3</v>
      </c>
      <c r="AG12" s="299">
        <f t="shared" si="3"/>
        <v>1.5730789027417816E-3</v>
      </c>
      <c r="AH12" s="299">
        <f t="shared" si="3"/>
        <v>1.5730789027417816E-3</v>
      </c>
      <c r="AI12" s="299">
        <f t="shared" si="3"/>
        <v>1.501852248474201E-3</v>
      </c>
      <c r="AJ12" s="299">
        <f t="shared" si="3"/>
        <v>1.4621619577319387E-3</v>
      </c>
      <c r="AK12" s="299">
        <f t="shared" si="3"/>
        <v>1.4055350212092233E-3</v>
      </c>
      <c r="AL12" s="299">
        <f t="shared" si="3"/>
        <v>1.3303830736652823E-3</v>
      </c>
      <c r="AM12" s="299">
        <f t="shared" si="3"/>
        <v>1.2396781098401126E-3</v>
      </c>
      <c r="AN12" s="299">
        <f t="shared" si="3"/>
        <v>1.1419473401930386E-3</v>
      </c>
      <c r="AO12" s="299">
        <f t="shared" si="3"/>
        <v>1.0487192684945211E-3</v>
      </c>
      <c r="AP12" s="299">
        <f t="shared" si="3"/>
        <v>9.6956445840556526E-4</v>
      </c>
      <c r="AQ12" s="299">
        <f t="shared" si="3"/>
        <v>9.087381109810557E-4</v>
      </c>
      <c r="AR12" s="299">
        <f t="shared" si="3"/>
        <v>8.6548250063244532E-4</v>
      </c>
      <c r="AS12" s="299">
        <f t="shared" si="3"/>
        <v>8.3638948675582791E-4</v>
      </c>
      <c r="AT12" s="299">
        <f t="shared" si="4"/>
        <v>8.1754831499850111E-4</v>
      </c>
      <c r="AU12" s="299">
        <f t="shared" si="4"/>
        <v>8.056436276259423E-4</v>
      </c>
      <c r="AV12" s="299">
        <f t="shared" si="4"/>
        <v>7.9823852732467269E-4</v>
      </c>
      <c r="AW12" s="299">
        <f t="shared" si="4"/>
        <v>7.9367707260588464E-4</v>
      </c>
      <c r="AX12" s="299">
        <f t="shared" si="4"/>
        <v>7.908841507668511E-4</v>
      </c>
      <c r="AY12" s="299">
        <f t="shared" si="4"/>
        <v>7.8918038470448919E-4</v>
      </c>
      <c r="AZ12" s="298">
        <f t="shared" si="5"/>
        <v>8.7085314251434218E-2</v>
      </c>
      <c r="BA12" s="1">
        <f t="shared" si="5"/>
        <v>8.7085314251434218E-2</v>
      </c>
      <c r="BB12" s="1">
        <f t="shared" si="5"/>
        <v>8.7085314251434218E-2</v>
      </c>
      <c r="BC12" s="1">
        <f t="shared" si="5"/>
        <v>8.7085314251434218E-2</v>
      </c>
      <c r="BD12" s="1">
        <f t="shared" si="5"/>
        <v>8.7085314251434218E-2</v>
      </c>
      <c r="BE12" s="1">
        <f t="shared" si="5"/>
        <v>8.3142221785341489E-2</v>
      </c>
      <c r="BF12" s="1">
        <f t="shared" si="5"/>
        <v>8.0944975712054043E-2</v>
      </c>
      <c r="BG12" s="1">
        <f t="shared" si="5"/>
        <v>7.781012052228474E-2</v>
      </c>
      <c r="BH12" s="1">
        <f t="shared" si="5"/>
        <v>7.3649724653352469E-2</v>
      </c>
      <c r="BI12" s="1">
        <f t="shared" si="5"/>
        <v>6.8628317103411871E-2</v>
      </c>
      <c r="BJ12" s="1">
        <f t="shared" si="5"/>
        <v>6.3217962434033256E-2</v>
      </c>
      <c r="BK12" s="1">
        <f t="shared" si="5"/>
        <v>5.8056876167622812E-2</v>
      </c>
      <c r="BL12" s="1">
        <f t="shared" si="5"/>
        <v>5.3674882677598346E-2</v>
      </c>
      <c r="BM12" s="1">
        <f t="shared" si="5"/>
        <v>5.0307548991412709E-2</v>
      </c>
      <c r="BN12" s="1">
        <f t="shared" si="5"/>
        <v>4.7912927581271879E-2</v>
      </c>
      <c r="BO12" s="1">
        <f t="shared" si="5"/>
        <v>4.6302344506544538E-2</v>
      </c>
      <c r="BP12" s="1">
        <f t="shared" si="6"/>
        <v>4.5259301236119737E-2</v>
      </c>
      <c r="BQ12" s="1">
        <f t="shared" si="6"/>
        <v>4.460026026932689E-2</v>
      </c>
      <c r="BR12" s="1">
        <f t="shared" si="6"/>
        <v>4.419031548799681E-2</v>
      </c>
      <c r="BS12" s="1">
        <f t="shared" si="6"/>
        <v>4.3937794322696719E-2</v>
      </c>
      <c r="BT12" s="1">
        <f t="shared" si="6"/>
        <v>4.3783178762340523E-2</v>
      </c>
      <c r="BU12" s="1">
        <f t="shared" si="6"/>
        <v>4.3688858634664082E-2</v>
      </c>
    </row>
    <row r="13" spans="1:116" x14ac:dyDescent="0.25">
      <c r="A13" s="1" t="s">
        <v>12</v>
      </c>
      <c r="B13" s="1" t="s">
        <v>5</v>
      </c>
      <c r="C13" s="1" t="s">
        <v>14</v>
      </c>
      <c r="D13" s="1" t="s">
        <v>14</v>
      </c>
      <c r="E13" s="5">
        <v>9.0585000000000004</v>
      </c>
      <c r="F13" s="1">
        <f t="shared" si="7"/>
        <v>2.2193325E-2</v>
      </c>
      <c r="G13" s="1">
        <f>LOOKUP(RIGHT(D13,5),Ref!$C$4:$C$21,Ref!$E$4:$E$21)*$G$3</f>
        <v>2</v>
      </c>
      <c r="H13" s="297">
        <f t="shared" si="1"/>
        <v>9.0585000000000004</v>
      </c>
      <c r="I13" s="5">
        <f t="shared" si="1"/>
        <v>9.0585000000000004</v>
      </c>
      <c r="J13" s="5">
        <f t="shared" si="1"/>
        <v>9.0585000000000004</v>
      </c>
      <c r="K13" s="5">
        <f t="shared" si="1"/>
        <v>9.0585000000000004</v>
      </c>
      <c r="L13" s="5">
        <f t="shared" si="1"/>
        <v>9.0585000000000004</v>
      </c>
      <c r="M13" s="5">
        <f t="shared" si="8"/>
        <v>9.4881072721789881</v>
      </c>
      <c r="N13" s="5">
        <f t="shared" si="2"/>
        <v>9.7456613237224339</v>
      </c>
      <c r="O13" s="5">
        <f t="shared" si="2"/>
        <v>10.138299669137352</v>
      </c>
      <c r="P13" s="5">
        <f t="shared" si="2"/>
        <v>10.711001607399879</v>
      </c>
      <c r="Q13" s="5">
        <f t="shared" si="2"/>
        <v>11.494705865480102</v>
      </c>
      <c r="R13" s="5">
        <f t="shared" si="2"/>
        <v>12.478452148308001</v>
      </c>
      <c r="S13" s="5">
        <f t="shared" si="2"/>
        <v>13.58775</v>
      </c>
      <c r="T13" s="5">
        <f t="shared" si="2"/>
        <v>14.697047851692</v>
      </c>
      <c r="U13" s="5">
        <f t="shared" si="2"/>
        <v>15.6807941345199</v>
      </c>
      <c r="V13" s="5">
        <f t="shared" si="2"/>
        <v>16.46449839260012</v>
      </c>
      <c r="W13" s="5">
        <f t="shared" si="2"/>
        <v>17.037200330862646</v>
      </c>
      <c r="X13" s="5">
        <f t="shared" si="2"/>
        <v>17.429838676277566</v>
      </c>
      <c r="Y13" s="5">
        <f t="shared" si="2"/>
        <v>17.687392727821013</v>
      </c>
      <c r="Z13" s="5">
        <f t="shared" si="2"/>
        <v>17.85147515773884</v>
      </c>
      <c r="AA13" s="5">
        <f t="shared" si="2"/>
        <v>17.954071917058396</v>
      </c>
      <c r="AB13" s="5">
        <f t="shared" si="2"/>
        <v>18.017474780180773</v>
      </c>
      <c r="AC13" s="5">
        <f t="shared" si="2"/>
        <v>18.056372809902367</v>
      </c>
      <c r="AD13" s="300">
        <f t="shared" si="3"/>
        <v>1.5172045154859257E-3</v>
      </c>
      <c r="AE13" s="299">
        <f t="shared" si="3"/>
        <v>1.5172045154859257E-3</v>
      </c>
      <c r="AF13" s="299">
        <f t="shared" si="3"/>
        <v>1.5172045154859257E-3</v>
      </c>
      <c r="AG13" s="299">
        <f t="shared" si="3"/>
        <v>1.5172045154859257E-3</v>
      </c>
      <c r="AH13" s="299">
        <f t="shared" si="3"/>
        <v>1.5172045154859257E-3</v>
      </c>
      <c r="AI13" s="299">
        <f t="shared" si="3"/>
        <v>1.4485077697032592E-3</v>
      </c>
      <c r="AJ13" s="299">
        <f t="shared" si="3"/>
        <v>1.4102272433862684E-3</v>
      </c>
      <c r="AK13" s="299">
        <f t="shared" si="3"/>
        <v>1.3556116461389501E-3</v>
      </c>
      <c r="AL13" s="299">
        <f t="shared" si="3"/>
        <v>1.283129030065149E-3</v>
      </c>
      <c r="AM13" s="299">
        <f t="shared" si="3"/>
        <v>1.1956458272501633E-3</v>
      </c>
      <c r="AN13" s="299">
        <f t="shared" si="3"/>
        <v>1.1013863690932857E-3</v>
      </c>
      <c r="AO13" s="299">
        <f t="shared" si="3"/>
        <v>1.0114696769906173E-3</v>
      </c>
      <c r="AP13" s="299">
        <f t="shared" si="3"/>
        <v>9.3512637654962968E-4</v>
      </c>
      <c r="AQ13" s="299">
        <f t="shared" si="3"/>
        <v>8.7646052780413267E-4</v>
      </c>
      <c r="AR13" s="299">
        <f t="shared" si="3"/>
        <v>8.3474131891599231E-4</v>
      </c>
      <c r="AS13" s="299">
        <f t="shared" si="3"/>
        <v>8.0668166345575741E-4</v>
      </c>
      <c r="AT13" s="299">
        <f t="shared" si="4"/>
        <v>7.885097136460953E-4</v>
      </c>
      <c r="AU13" s="299">
        <f t="shared" si="4"/>
        <v>7.7702787036053973E-4</v>
      </c>
      <c r="AV13" s="299">
        <f t="shared" si="4"/>
        <v>7.6988579274756669E-4</v>
      </c>
      <c r="AW13" s="299">
        <f t="shared" si="4"/>
        <v>7.6548635691223285E-4</v>
      </c>
      <c r="AX13" s="299">
        <f t="shared" si="4"/>
        <v>7.6279263721502303E-4</v>
      </c>
      <c r="AY13" s="299">
        <f t="shared" si="4"/>
        <v>7.6114938743356464E-4</v>
      </c>
      <c r="AZ13" s="298">
        <f t="shared" si="5"/>
        <v>8.3992120029388717E-2</v>
      </c>
      <c r="BA13" s="1">
        <f t="shared" si="5"/>
        <v>8.3992120029388717E-2</v>
      </c>
      <c r="BB13" s="1">
        <f t="shared" si="5"/>
        <v>8.3992120029388717E-2</v>
      </c>
      <c r="BC13" s="1">
        <f t="shared" si="5"/>
        <v>8.3992120029388717E-2</v>
      </c>
      <c r="BD13" s="1">
        <f t="shared" si="5"/>
        <v>8.3992120029388717E-2</v>
      </c>
      <c r="BE13" s="1">
        <f t="shared" si="5"/>
        <v>8.0189082760179067E-2</v>
      </c>
      <c r="BF13" s="1">
        <f t="shared" si="5"/>
        <v>7.8069880946325332E-2</v>
      </c>
      <c r="BG13" s="1">
        <f t="shared" si="5"/>
        <v>7.5046373072039638E-2</v>
      </c>
      <c r="BH13" s="1">
        <f t="shared" si="5"/>
        <v>7.1033750826867262E-2</v>
      </c>
      <c r="BI13" s="1">
        <f t="shared" si="5"/>
        <v>6.6190699282798873E-2</v>
      </c>
      <c r="BJ13" s="1">
        <f t="shared" si="5"/>
        <v>6.0972515680911853E-2</v>
      </c>
      <c r="BK13" s="1">
        <f t="shared" si="5"/>
        <v>5.5994746686259152E-2</v>
      </c>
      <c r="BL13" s="1">
        <f t="shared" si="5"/>
        <v>5.1768397773749211E-2</v>
      </c>
      <c r="BM13" s="1">
        <f t="shared" si="5"/>
        <v>4.8520668835980003E-2</v>
      </c>
      <c r="BN13" s="1">
        <f t="shared" si="5"/>
        <v>4.621110228466932E-2</v>
      </c>
      <c r="BO13" s="1">
        <f t="shared" si="5"/>
        <v>4.4657725712596227E-2</v>
      </c>
      <c r="BP13" s="1">
        <f t="shared" si="6"/>
        <v>4.3651730427186515E-2</v>
      </c>
      <c r="BQ13" s="1">
        <f t="shared" si="6"/>
        <v>4.3016098019323469E-2</v>
      </c>
      <c r="BR13" s="1">
        <f t="shared" si="6"/>
        <v>4.2620714118204561E-2</v>
      </c>
      <c r="BS13" s="1">
        <f t="shared" si="6"/>
        <v>4.2377162283912397E-2</v>
      </c>
      <c r="BT13" s="1">
        <f t="shared" si="6"/>
        <v>4.2228038533077057E-2</v>
      </c>
      <c r="BU13" s="1">
        <f t="shared" si="6"/>
        <v>4.213706857387E-2</v>
      </c>
    </row>
    <row r="14" spans="1:116" x14ac:dyDescent="0.25">
      <c r="A14" s="1" t="s">
        <v>12</v>
      </c>
      <c r="B14" s="1" t="s">
        <v>5</v>
      </c>
      <c r="C14" s="1" t="s">
        <v>15</v>
      </c>
      <c r="D14" s="1" t="s">
        <v>15</v>
      </c>
      <c r="E14" s="5">
        <v>8.8770000000000007</v>
      </c>
      <c r="F14" s="1">
        <f t="shared" si="7"/>
        <v>2.1748650000000001E-2</v>
      </c>
      <c r="G14" s="1">
        <f>LOOKUP(RIGHT(D14,5),Ref!$C$4:$C$21,Ref!$E$4:$E$21)*$G$3</f>
        <v>2.5</v>
      </c>
      <c r="H14" s="297">
        <f t="shared" si="1"/>
        <v>8.8770000000000007</v>
      </c>
      <c r="I14" s="5">
        <f t="shared" si="1"/>
        <v>8.8770000000000007</v>
      </c>
      <c r="J14" s="5">
        <f t="shared" si="1"/>
        <v>8.8770000000000007</v>
      </c>
      <c r="K14" s="5">
        <f t="shared" si="1"/>
        <v>8.8770000000000007</v>
      </c>
      <c r="L14" s="5">
        <f t="shared" si="1"/>
        <v>8.8770000000000007</v>
      </c>
      <c r="M14" s="5">
        <f t="shared" si="8"/>
        <v>9.2979994761972602</v>
      </c>
      <c r="N14" s="5">
        <f t="shared" si="2"/>
        <v>9.5503930640485795</v>
      </c>
      <c r="O14" s="5">
        <f t="shared" si="2"/>
        <v>9.9351643387903383</v>
      </c>
      <c r="P14" s="5">
        <f t="shared" si="2"/>
        <v>10.496391374829026</v>
      </c>
      <c r="Q14" s="5">
        <f t="shared" si="2"/>
        <v>11.264392997501448</v>
      </c>
      <c r="R14" s="5">
        <f t="shared" si="2"/>
        <v>12.228428516921138</v>
      </c>
      <c r="S14" s="5">
        <f t="shared" si="2"/>
        <v>13.3155</v>
      </c>
      <c r="T14" s="5">
        <f t="shared" si="2"/>
        <v>14.402571483078864</v>
      </c>
      <c r="U14" s="5">
        <f t="shared" si="2"/>
        <v>15.366607002498554</v>
      </c>
      <c r="V14" s="5">
        <f t="shared" si="2"/>
        <v>16.134608625170976</v>
      </c>
      <c r="W14" s="5">
        <f t="shared" si="2"/>
        <v>16.69583566120966</v>
      </c>
      <c r="X14" s="5">
        <f t="shared" si="2"/>
        <v>17.080606935951423</v>
      </c>
      <c r="Y14" s="5">
        <f t="shared" si="2"/>
        <v>17.333000523802742</v>
      </c>
      <c r="Z14" s="5">
        <f t="shared" si="2"/>
        <v>17.493795327620212</v>
      </c>
      <c r="AA14" s="5">
        <f t="shared" si="2"/>
        <v>17.594336414166516</v>
      </c>
      <c r="AB14" s="5">
        <f t="shared" si="2"/>
        <v>17.656468910268227</v>
      </c>
      <c r="AC14" s="5">
        <f t="shared" si="2"/>
        <v>17.694587562345127</v>
      </c>
      <c r="AD14" s="300">
        <f t="shared" si="3"/>
        <v>1.5482254256538536E-3</v>
      </c>
      <c r="AE14" s="299">
        <f t="shared" si="3"/>
        <v>1.5482254256538536E-3</v>
      </c>
      <c r="AF14" s="299">
        <f t="shared" si="3"/>
        <v>1.5482254256538536E-3</v>
      </c>
      <c r="AG14" s="299">
        <f t="shared" si="3"/>
        <v>1.5482254256538536E-3</v>
      </c>
      <c r="AH14" s="299">
        <f t="shared" si="3"/>
        <v>1.5482254256538536E-3</v>
      </c>
      <c r="AI14" s="299">
        <f t="shared" si="3"/>
        <v>1.4781240995670802E-3</v>
      </c>
      <c r="AJ14" s="299">
        <f t="shared" si="3"/>
        <v>1.4390608859090358E-3</v>
      </c>
      <c r="AK14" s="299">
        <f t="shared" si="3"/>
        <v>1.3833286128815681E-3</v>
      </c>
      <c r="AL14" s="299">
        <f t="shared" si="3"/>
        <v>1.3093640102337673E-3</v>
      </c>
      <c r="AM14" s="299">
        <f t="shared" si="3"/>
        <v>1.2200921173984008E-3</v>
      </c>
      <c r="AN14" s="299">
        <f t="shared" si="3"/>
        <v>1.1239054212494682E-3</v>
      </c>
      <c r="AO14" s="299">
        <f t="shared" si="3"/>
        <v>1.0321502837692359E-3</v>
      </c>
      <c r="AP14" s="299">
        <f t="shared" si="3"/>
        <v>9.5424606082852544E-4</v>
      </c>
      <c r="AQ14" s="299">
        <f t="shared" si="3"/>
        <v>8.9438072446927294E-4</v>
      </c>
      <c r="AR14" s="299">
        <f t="shared" si="3"/>
        <v>8.5180852060386559E-4</v>
      </c>
      <c r="AS14" s="299">
        <f t="shared" si="3"/>
        <v>8.2317515471600519E-4</v>
      </c>
      <c r="AT14" s="299">
        <f t="shared" si="4"/>
        <v>8.0463165946413802E-4</v>
      </c>
      <c r="AU14" s="299">
        <f t="shared" si="4"/>
        <v>7.9291505730099689E-4</v>
      </c>
      <c r="AV14" s="299">
        <f t="shared" si="4"/>
        <v>7.8562695207883655E-4</v>
      </c>
      <c r="AW14" s="299">
        <f t="shared" si="4"/>
        <v>7.8113756495318926E-4</v>
      </c>
      <c r="AX14" s="299">
        <f t="shared" si="4"/>
        <v>7.7838876920269078E-4</v>
      </c>
      <c r="AY14" s="299">
        <f t="shared" si="4"/>
        <v>7.7671192137737351E-4</v>
      </c>
      <c r="AZ14" s="298">
        <f t="shared" si="5"/>
        <v>8.5709431033707081E-2</v>
      </c>
      <c r="BA14" s="1">
        <f t="shared" si="5"/>
        <v>8.5709431033707081E-2</v>
      </c>
      <c r="BB14" s="1">
        <f t="shared" si="5"/>
        <v>8.5709431033707081E-2</v>
      </c>
      <c r="BC14" s="1">
        <f t="shared" si="5"/>
        <v>8.5709431033707081E-2</v>
      </c>
      <c r="BD14" s="1">
        <f t="shared" si="5"/>
        <v>8.5709431033707081E-2</v>
      </c>
      <c r="BE14" s="1">
        <f t="shared" si="5"/>
        <v>8.1828636496911356E-2</v>
      </c>
      <c r="BF14" s="1">
        <f t="shared" si="5"/>
        <v>7.9666105277941643E-2</v>
      </c>
      <c r="BG14" s="1">
        <f t="shared" si="5"/>
        <v>7.658077846942335E-2</v>
      </c>
      <c r="BH14" s="1">
        <f t="shared" si="5"/>
        <v>7.2486113761989088E-2</v>
      </c>
      <c r="BI14" s="1">
        <f t="shared" si="5"/>
        <v>6.7544040717949033E-2</v>
      </c>
      <c r="BJ14" s="1">
        <f t="shared" si="5"/>
        <v>6.2219165629778077E-2</v>
      </c>
      <c r="BK14" s="1">
        <f t="shared" si="5"/>
        <v>5.7139620689138054E-2</v>
      </c>
      <c r="BL14" s="1">
        <f t="shared" si="5"/>
        <v>5.2826859438268245E-2</v>
      </c>
      <c r="BM14" s="1">
        <f t="shared" si="5"/>
        <v>4.9512727120730522E-2</v>
      </c>
      <c r="BN14" s="1">
        <f t="shared" si="5"/>
        <v>4.7155938948482252E-2</v>
      </c>
      <c r="BO14" s="1">
        <f t="shared" si="5"/>
        <v>4.5570801888876078E-2</v>
      </c>
      <c r="BP14" s="1">
        <f t="shared" si="6"/>
        <v>4.454423792662713E-2</v>
      </c>
      <c r="BQ14" s="1">
        <f t="shared" si="6"/>
        <v>4.3895609317116321E-2</v>
      </c>
      <c r="BR14" s="1">
        <f t="shared" si="6"/>
        <v>4.3492141358539599E-2</v>
      </c>
      <c r="BS14" s="1">
        <f t="shared" si="6"/>
        <v>4.324360983990317E-2</v>
      </c>
      <c r="BT14" s="1">
        <f t="shared" si="6"/>
        <v>4.3091437090444801E-2</v>
      </c>
      <c r="BU14" s="1">
        <f t="shared" si="6"/>
        <v>4.299860715065916E-2</v>
      </c>
    </row>
    <row r="15" spans="1:116" x14ac:dyDescent="0.25">
      <c r="A15" s="1" t="s">
        <v>12</v>
      </c>
      <c r="B15" s="1" t="s">
        <v>5</v>
      </c>
      <c r="C15" s="1" t="s">
        <v>16</v>
      </c>
      <c r="D15" s="1" t="s">
        <v>16</v>
      </c>
      <c r="E15" s="5">
        <v>7.7714999999999996</v>
      </c>
      <c r="F15" s="1">
        <f t="shared" si="7"/>
        <v>1.9040175000000003E-2</v>
      </c>
      <c r="G15" s="1">
        <f>LOOKUP(RIGHT(D15,5),Ref!$C$4:$C$21,Ref!$E$4:$E$21)*$G$3</f>
        <v>3</v>
      </c>
      <c r="H15" s="297">
        <f t="shared" si="1"/>
        <v>7.7714999999999996</v>
      </c>
      <c r="I15" s="5">
        <f t="shared" si="1"/>
        <v>7.7714999999999996</v>
      </c>
      <c r="J15" s="5">
        <f t="shared" si="1"/>
        <v>7.7714999999999996</v>
      </c>
      <c r="K15" s="5">
        <f t="shared" si="1"/>
        <v>7.7714999999999996</v>
      </c>
      <c r="L15" s="5">
        <f t="shared" si="1"/>
        <v>7.7714999999999996</v>
      </c>
      <c r="M15" s="5">
        <f t="shared" si="8"/>
        <v>8.1400701733994598</v>
      </c>
      <c r="N15" s="5">
        <f t="shared" si="2"/>
        <v>8.3610318460350932</v>
      </c>
      <c r="O15" s="5">
        <f t="shared" si="2"/>
        <v>8.6978855084948865</v>
      </c>
      <c r="P15" s="5">
        <f t="shared" si="2"/>
        <v>9.1892199582610985</v>
      </c>
      <c r="Q15" s="5">
        <f t="shared" si="2"/>
        <v>9.8615782561769176</v>
      </c>
      <c r="R15" s="5">
        <f t="shared" si="2"/>
        <v>10.705557307564787</v>
      </c>
      <c r="S15" s="5">
        <f t="shared" si="2"/>
        <v>11.657249999999999</v>
      </c>
      <c r="T15" s="5">
        <f t="shared" si="2"/>
        <v>12.608942692435212</v>
      </c>
      <c r="U15" s="5">
        <f t="shared" si="2"/>
        <v>13.452921743823081</v>
      </c>
      <c r="V15" s="5">
        <f t="shared" si="2"/>
        <v>14.1252800417389</v>
      </c>
      <c r="W15" s="5">
        <f t="shared" si="2"/>
        <v>14.616614491505111</v>
      </c>
      <c r="X15" s="5">
        <f t="shared" si="2"/>
        <v>14.953468153964906</v>
      </c>
      <c r="Y15" s="5">
        <f t="shared" si="2"/>
        <v>15.174429826600539</v>
      </c>
      <c r="Z15" s="5">
        <f t="shared" si="2"/>
        <v>15.315199998715833</v>
      </c>
      <c r="AA15" s="5">
        <f t="shared" si="2"/>
        <v>15.403220169279605</v>
      </c>
      <c r="AB15" s="5">
        <f t="shared" si="2"/>
        <v>15.457614975346345</v>
      </c>
      <c r="AC15" s="5">
        <f t="shared" si="2"/>
        <v>15.490986509041921</v>
      </c>
      <c r="AD15" s="300">
        <f t="shared" si="3"/>
        <v>1.7684613142288181E-3</v>
      </c>
      <c r="AE15" s="299">
        <f t="shared" si="3"/>
        <v>1.7684613142288181E-3</v>
      </c>
      <c r="AF15" s="299">
        <f t="shared" si="3"/>
        <v>1.7684613142288181E-3</v>
      </c>
      <c r="AG15" s="299">
        <f t="shared" si="3"/>
        <v>1.7684613142288181E-3</v>
      </c>
      <c r="AH15" s="299">
        <f t="shared" si="3"/>
        <v>1.7684613142288181E-3</v>
      </c>
      <c r="AI15" s="299">
        <f t="shared" si="3"/>
        <v>1.6883880372974293E-3</v>
      </c>
      <c r="AJ15" s="299">
        <f t="shared" si="3"/>
        <v>1.6437680607623384E-3</v>
      </c>
      <c r="AK15" s="299">
        <f t="shared" si="3"/>
        <v>1.5801078423148273E-3</v>
      </c>
      <c r="AL15" s="299">
        <f t="shared" si="3"/>
        <v>1.4956217356810336E-3</v>
      </c>
      <c r="AM15" s="299">
        <f t="shared" si="3"/>
        <v>1.3936508687056044E-3</v>
      </c>
      <c r="AN15" s="299">
        <f t="shared" si="3"/>
        <v>1.2837815639749764E-3</v>
      </c>
      <c r="AO15" s="299">
        <f t="shared" si="3"/>
        <v>1.1789742094858787E-3</v>
      </c>
      <c r="AP15" s="299">
        <f t="shared" si="3"/>
        <v>1.0899880694814157E-3</v>
      </c>
      <c r="AQ15" s="299">
        <f t="shared" si="3"/>
        <v>1.0216068572494032E-3</v>
      </c>
      <c r="AR15" s="299">
        <f t="shared" si="3"/>
        <v>9.7297873478743055E-4</v>
      </c>
      <c r="AS15" s="299">
        <f t="shared" si="3"/>
        <v>9.4027225740384468E-4</v>
      </c>
      <c r="AT15" s="299">
        <f t="shared" si="4"/>
        <v>9.1909094010977986E-4</v>
      </c>
      <c r="AU15" s="299">
        <f t="shared" si="4"/>
        <v>9.0570764506992863E-4</v>
      </c>
      <c r="AV15" s="299">
        <f t="shared" si="4"/>
        <v>8.9738280301149503E-4</v>
      </c>
      <c r="AW15" s="299">
        <f t="shared" si="4"/>
        <v>8.9225479818432255E-4</v>
      </c>
      <c r="AX15" s="299">
        <f t="shared" si="4"/>
        <v>8.8911498477929445E-4</v>
      </c>
      <c r="AY15" s="299">
        <f t="shared" si="4"/>
        <v>8.8719960446077926E-4</v>
      </c>
      <c r="AZ15" s="298">
        <f t="shared" si="5"/>
        <v>9.790164309158049E-2</v>
      </c>
      <c r="BA15" s="1">
        <f t="shared" si="5"/>
        <v>9.790164309158049E-2</v>
      </c>
      <c r="BB15" s="1">
        <f t="shared" si="5"/>
        <v>9.790164309158049E-2</v>
      </c>
      <c r="BC15" s="1">
        <f t="shared" si="5"/>
        <v>9.790164309158049E-2</v>
      </c>
      <c r="BD15" s="1">
        <f t="shared" si="5"/>
        <v>9.790164309158049E-2</v>
      </c>
      <c r="BE15" s="1">
        <f t="shared" si="5"/>
        <v>9.3468803472055856E-2</v>
      </c>
      <c r="BF15" s="1">
        <f t="shared" si="5"/>
        <v>9.0998651039347372E-2</v>
      </c>
      <c r="BG15" s="1">
        <f t="shared" si="5"/>
        <v>8.7474434854670408E-2</v>
      </c>
      <c r="BH15" s="1">
        <f t="shared" si="5"/>
        <v>8.2797301919214708E-2</v>
      </c>
      <c r="BI15" s="1">
        <f t="shared" si="5"/>
        <v>7.715221636147894E-2</v>
      </c>
      <c r="BJ15" s="1">
        <f t="shared" si="5"/>
        <v>7.1069874965648858E-2</v>
      </c>
      <c r="BK15" s="1">
        <f t="shared" si="5"/>
        <v>6.5267762061053669E-2</v>
      </c>
      <c r="BL15" s="1">
        <f t="shared" si="5"/>
        <v>6.0341508233096218E-2</v>
      </c>
      <c r="BM15" s="1">
        <f t="shared" si="5"/>
        <v>5.6555938834295175E-2</v>
      </c>
      <c r="BN15" s="1">
        <f t="shared" si="5"/>
        <v>5.3863896293595455E-2</v>
      </c>
      <c r="BO15" s="1">
        <f t="shared" si="5"/>
        <v>5.2053272645892421E-2</v>
      </c>
      <c r="BP15" s="1">
        <f t="shared" si="6"/>
        <v>5.0880679415128235E-2</v>
      </c>
      <c r="BQ15" s="1">
        <f t="shared" si="6"/>
        <v>5.0139783041631816E-2</v>
      </c>
      <c r="BR15" s="1">
        <f t="shared" si="6"/>
        <v>4.9678921551792585E-2</v>
      </c>
      <c r="BS15" s="1">
        <f t="shared" si="6"/>
        <v>4.9395036292713183E-2</v>
      </c>
      <c r="BT15" s="1">
        <f t="shared" si="6"/>
        <v>4.9221216888873258E-2</v>
      </c>
      <c r="BU15" s="1">
        <f t="shared" si="6"/>
        <v>4.9115181840880318E-2</v>
      </c>
    </row>
    <row r="16" spans="1:116" x14ac:dyDescent="0.25">
      <c r="A16" s="1" t="s">
        <v>12</v>
      </c>
      <c r="B16" s="1" t="s">
        <v>5</v>
      </c>
      <c r="C16" s="1" t="s">
        <v>17</v>
      </c>
      <c r="D16" s="1" t="s">
        <v>17</v>
      </c>
      <c r="E16" s="5">
        <v>7.7549999999999999</v>
      </c>
      <c r="F16" s="1">
        <f t="shared" si="7"/>
        <v>1.8999749999999999E-2</v>
      </c>
      <c r="G16" s="1">
        <f>LOOKUP(RIGHT(D16,5),Ref!$C$4:$C$21,Ref!$E$4:$E$21)*$G$3</f>
        <v>3</v>
      </c>
      <c r="H16" s="297">
        <f t="shared" si="1"/>
        <v>7.7549999999999999</v>
      </c>
      <c r="I16" s="5">
        <f t="shared" si="1"/>
        <v>7.7549999999999999</v>
      </c>
      <c r="J16" s="5">
        <f t="shared" si="1"/>
        <v>7.7549999999999999</v>
      </c>
      <c r="K16" s="5">
        <f t="shared" si="1"/>
        <v>7.7549999999999999</v>
      </c>
      <c r="L16" s="5">
        <f t="shared" si="1"/>
        <v>7.7549999999999999</v>
      </c>
      <c r="M16" s="5">
        <f t="shared" si="8"/>
        <v>8.1227876464920303</v>
      </c>
      <c r="N16" s="5">
        <f t="shared" si="2"/>
        <v>8.3432801860647423</v>
      </c>
      <c r="O16" s="5">
        <f t="shared" si="2"/>
        <v>8.679418660281522</v>
      </c>
      <c r="P16" s="5">
        <f t="shared" si="2"/>
        <v>9.1697099371182933</v>
      </c>
      <c r="Q16" s="5">
        <f t="shared" si="2"/>
        <v>9.8406407227243129</v>
      </c>
      <c r="R16" s="5">
        <f t="shared" si="2"/>
        <v>10.682827886529619</v>
      </c>
      <c r="S16" s="5">
        <f t="shared" si="2"/>
        <v>11.6325</v>
      </c>
      <c r="T16" s="5">
        <f t="shared" si="2"/>
        <v>12.582172113470381</v>
      </c>
      <c r="U16" s="5">
        <f t="shared" si="2"/>
        <v>13.424359277275688</v>
      </c>
      <c r="V16" s="5">
        <f t="shared" si="2"/>
        <v>14.095290062881705</v>
      </c>
      <c r="W16" s="5">
        <f t="shared" si="2"/>
        <v>14.585581339718477</v>
      </c>
      <c r="X16" s="5">
        <f t="shared" si="2"/>
        <v>14.921719813935256</v>
      </c>
      <c r="Y16" s="5">
        <f t="shared" si="2"/>
        <v>15.14221235350797</v>
      </c>
      <c r="Z16" s="5">
        <f t="shared" si="2"/>
        <v>15.282683650523232</v>
      </c>
      <c r="AA16" s="5">
        <f t="shared" si="2"/>
        <v>15.370516941743979</v>
      </c>
      <c r="AB16" s="5">
        <f t="shared" si="2"/>
        <v>15.42479625989975</v>
      </c>
      <c r="AC16" s="5">
        <f t="shared" si="2"/>
        <v>15.458096941082172</v>
      </c>
      <c r="AD16" s="300">
        <f t="shared" si="3"/>
        <v>1.7722239978761134E-3</v>
      </c>
      <c r="AE16" s="299">
        <f t="shared" si="3"/>
        <v>1.7722239978761134E-3</v>
      </c>
      <c r="AF16" s="299">
        <f t="shared" si="3"/>
        <v>1.7722239978761134E-3</v>
      </c>
      <c r="AG16" s="299">
        <f t="shared" si="3"/>
        <v>1.7722239978761134E-3</v>
      </c>
      <c r="AH16" s="299">
        <f t="shared" si="3"/>
        <v>1.7722239978761134E-3</v>
      </c>
      <c r="AI16" s="299">
        <f t="shared" si="3"/>
        <v>1.6919803522704026E-3</v>
      </c>
      <c r="AJ16" s="299">
        <f t="shared" si="3"/>
        <v>1.6472654396150243E-3</v>
      </c>
      <c r="AK16" s="299">
        <f t="shared" si="3"/>
        <v>1.5834697738942205E-3</v>
      </c>
      <c r="AL16" s="299">
        <f t="shared" si="3"/>
        <v>1.4988039095867381E-3</v>
      </c>
      <c r="AM16" s="299">
        <f t="shared" si="3"/>
        <v>1.3966160833198714E-3</v>
      </c>
      <c r="AN16" s="299">
        <f t="shared" si="3"/>
        <v>1.2865130141110931E-3</v>
      </c>
      <c r="AO16" s="299">
        <f t="shared" si="3"/>
        <v>1.1814826652507423E-3</v>
      </c>
      <c r="AP16" s="299">
        <f t="shared" si="3"/>
        <v>1.0923071930335037E-3</v>
      </c>
      <c r="AQ16" s="299">
        <f t="shared" si="3"/>
        <v>1.023780488860572E-3</v>
      </c>
      <c r="AR16" s="299">
        <f t="shared" si="3"/>
        <v>9.7504890230825487E-4</v>
      </c>
      <c r="AS16" s="299">
        <f t="shared" si="3"/>
        <v>9.422728366749166E-4</v>
      </c>
      <c r="AT16" s="299">
        <f t="shared" si="4"/>
        <v>9.210464527483113E-4</v>
      </c>
      <c r="AU16" s="299">
        <f t="shared" si="4"/>
        <v>9.0763468261263053E-4</v>
      </c>
      <c r="AV16" s="299">
        <f t="shared" si="4"/>
        <v>8.9929212812428537E-4</v>
      </c>
      <c r="AW16" s="299">
        <f t="shared" si="4"/>
        <v>8.9415321264854446E-4</v>
      </c>
      <c r="AX16" s="299">
        <f t="shared" si="4"/>
        <v>8.9100671878946313E-4</v>
      </c>
      <c r="AY16" s="299">
        <f t="shared" si="4"/>
        <v>8.8908726319367453E-4</v>
      </c>
      <c r="AZ16" s="298">
        <f t="shared" si="5"/>
        <v>9.8109944459860446E-2</v>
      </c>
      <c r="BA16" s="1">
        <f t="shared" si="5"/>
        <v>9.8109944459860446E-2</v>
      </c>
      <c r="BB16" s="1">
        <f t="shared" si="5"/>
        <v>9.8109944459860446E-2</v>
      </c>
      <c r="BC16" s="1">
        <f t="shared" si="5"/>
        <v>9.8109944459860446E-2</v>
      </c>
      <c r="BD16" s="1">
        <f t="shared" si="5"/>
        <v>9.8109944459860446E-2</v>
      </c>
      <c r="BE16" s="1">
        <f t="shared" si="5"/>
        <v>9.3667673266677257E-2</v>
      </c>
      <c r="BF16" s="1">
        <f t="shared" si="5"/>
        <v>9.119226519049492E-2</v>
      </c>
      <c r="BG16" s="1">
        <f t="shared" si="5"/>
        <v>8.7660550673510126E-2</v>
      </c>
      <c r="BH16" s="1">
        <f t="shared" si="5"/>
        <v>8.2973466391383255E-2</v>
      </c>
      <c r="BI16" s="1">
        <f t="shared" si="5"/>
        <v>7.7316370013311875E-2</v>
      </c>
      <c r="BJ16" s="1">
        <f t="shared" si="5"/>
        <v>7.1221087465575747E-2</v>
      </c>
      <c r="BK16" s="1">
        <f t="shared" si="5"/>
        <v>6.5406629639906969E-2</v>
      </c>
      <c r="BL16" s="1">
        <f t="shared" si="5"/>
        <v>6.046989442082621E-2</v>
      </c>
      <c r="BM16" s="1">
        <f t="shared" si="5"/>
        <v>5.6676270619048986E-2</v>
      </c>
      <c r="BN16" s="1">
        <f t="shared" si="5"/>
        <v>5.3978500328262673E-2</v>
      </c>
      <c r="BO16" s="1">
        <f t="shared" si="5"/>
        <v>5.2164024289819852E-2</v>
      </c>
      <c r="BP16" s="1">
        <f t="shared" si="6"/>
        <v>5.0988936179841272E-2</v>
      </c>
      <c r="BQ16" s="1">
        <f t="shared" si="6"/>
        <v>5.0246463431082092E-2</v>
      </c>
      <c r="BR16" s="1">
        <f t="shared" si="6"/>
        <v>4.9784621384881503E-2</v>
      </c>
      <c r="BS16" s="1">
        <f t="shared" si="6"/>
        <v>4.9500132114612572E-2</v>
      </c>
      <c r="BT16" s="1">
        <f t="shared" si="6"/>
        <v>4.9325942882253844E-2</v>
      </c>
      <c r="BU16" s="1">
        <f t="shared" si="6"/>
        <v>4.9219682227775813E-2</v>
      </c>
    </row>
    <row r="17" spans="1:73" x14ac:dyDescent="0.25">
      <c r="A17" s="1" t="s">
        <v>12</v>
      </c>
      <c r="B17" s="1" t="s">
        <v>5</v>
      </c>
      <c r="C17" s="1" t="s">
        <v>18</v>
      </c>
      <c r="D17" s="1" t="s">
        <v>18</v>
      </c>
      <c r="E17" s="5">
        <v>7.8045</v>
      </c>
      <c r="F17" s="1">
        <f t="shared" si="7"/>
        <v>1.9121025E-2</v>
      </c>
      <c r="G17" s="1">
        <f>LOOKUP(RIGHT(D17,5),Ref!$C$4:$C$21,Ref!$E$4:$E$21)*$G$3</f>
        <v>3</v>
      </c>
      <c r="H17" s="297">
        <f t="shared" si="1"/>
        <v>7.8045</v>
      </c>
      <c r="I17" s="5">
        <f t="shared" si="1"/>
        <v>7.8045</v>
      </c>
      <c r="J17" s="5">
        <f t="shared" si="1"/>
        <v>7.8045</v>
      </c>
      <c r="K17" s="5">
        <f t="shared" si="1"/>
        <v>7.8045</v>
      </c>
      <c r="L17" s="5">
        <f t="shared" si="1"/>
        <v>7.8045</v>
      </c>
      <c r="M17" s="5">
        <f t="shared" si="8"/>
        <v>8.1746352272143188</v>
      </c>
      <c r="N17" s="5">
        <f t="shared" si="2"/>
        <v>8.396535165975795</v>
      </c>
      <c r="O17" s="5">
        <f t="shared" si="2"/>
        <v>8.7348192049216173</v>
      </c>
      <c r="P17" s="5">
        <f t="shared" si="2"/>
        <v>9.2282400005467089</v>
      </c>
      <c r="Q17" s="5">
        <f t="shared" si="2"/>
        <v>9.9034533230821271</v>
      </c>
      <c r="R17" s="5">
        <f t="shared" si="2"/>
        <v>10.751016149635127</v>
      </c>
      <c r="S17" s="5">
        <f t="shared" si="2"/>
        <v>11.70675</v>
      </c>
      <c r="T17" s="5">
        <f t="shared" si="2"/>
        <v>12.662483850364874</v>
      </c>
      <c r="U17" s="5">
        <f t="shared" si="2"/>
        <v>13.510046676917872</v>
      </c>
      <c r="V17" s="5">
        <f t="shared" si="2"/>
        <v>14.185259999453292</v>
      </c>
      <c r="W17" s="5">
        <f t="shared" si="2"/>
        <v>14.678680795078382</v>
      </c>
      <c r="X17" s="5">
        <f t="shared" si="2"/>
        <v>15.016964834024206</v>
      </c>
      <c r="Y17" s="5">
        <f t="shared" si="2"/>
        <v>15.23886477278568</v>
      </c>
      <c r="Z17" s="5">
        <f t="shared" si="2"/>
        <v>15.380232695101039</v>
      </c>
      <c r="AA17" s="5">
        <f t="shared" si="2"/>
        <v>15.468626624350856</v>
      </c>
      <c r="AB17" s="5">
        <f t="shared" si="2"/>
        <v>15.523252406239536</v>
      </c>
      <c r="AC17" s="5">
        <f t="shared" si="2"/>
        <v>15.55676564496142</v>
      </c>
      <c r="AD17" s="300">
        <f t="shared" si="3"/>
        <v>1.7609836765365187E-3</v>
      </c>
      <c r="AE17" s="299">
        <f t="shared" si="3"/>
        <v>1.7609836765365187E-3</v>
      </c>
      <c r="AF17" s="299">
        <f t="shared" si="3"/>
        <v>1.7609836765365187E-3</v>
      </c>
      <c r="AG17" s="299">
        <f t="shared" si="3"/>
        <v>1.7609836765365187E-3</v>
      </c>
      <c r="AH17" s="299">
        <f t="shared" si="3"/>
        <v>1.7609836765365187E-3</v>
      </c>
      <c r="AI17" s="299">
        <f t="shared" si="3"/>
        <v>1.6812489758289415E-3</v>
      </c>
      <c r="AJ17" s="299">
        <f t="shared" si="3"/>
        <v>1.6368176672707428E-3</v>
      </c>
      <c r="AK17" s="299">
        <f t="shared" si="3"/>
        <v>1.5734266252225868E-3</v>
      </c>
      <c r="AL17" s="299">
        <f t="shared" si="3"/>
        <v>1.4892977537119805E-3</v>
      </c>
      <c r="AM17" s="299">
        <f t="shared" si="3"/>
        <v>1.387758053193107E-3</v>
      </c>
      <c r="AN17" s="299">
        <f t="shared" si="3"/>
        <v>1.2783533121188452E-3</v>
      </c>
      <c r="AO17" s="299">
        <f t="shared" si="3"/>
        <v>1.1739891176910124E-3</v>
      </c>
      <c r="AP17" s="299">
        <f t="shared" si="3"/>
        <v>1.0853792404349825E-3</v>
      </c>
      <c r="AQ17" s="299">
        <f t="shared" si="3"/>
        <v>1.017287166521076E-3</v>
      </c>
      <c r="AR17" s="299">
        <f t="shared" si="3"/>
        <v>9.6886465979890014E-4</v>
      </c>
      <c r="AS17" s="299">
        <f t="shared" si="3"/>
        <v>9.3629647618860632E-4</v>
      </c>
      <c r="AT17" s="299">
        <f t="shared" si="4"/>
        <v>9.1520472048986533E-4</v>
      </c>
      <c r="AU17" s="299">
        <f t="shared" si="4"/>
        <v>9.0187801443538339E-4</v>
      </c>
      <c r="AV17" s="299">
        <f t="shared" si="4"/>
        <v>8.9358837255478678E-4</v>
      </c>
      <c r="AW17" s="299">
        <f t="shared" si="4"/>
        <v>8.8848205062328942E-4</v>
      </c>
      <c r="AX17" s="299">
        <f t="shared" si="4"/>
        <v>8.8535551338487888E-4</v>
      </c>
      <c r="AY17" s="299">
        <f t="shared" si="4"/>
        <v>8.8344823192606137E-4</v>
      </c>
      <c r="AZ17" s="298">
        <f t="shared" si="5"/>
        <v>9.7487682655675284E-2</v>
      </c>
      <c r="BA17" s="1">
        <f t="shared" si="5"/>
        <v>9.7487682655675284E-2</v>
      </c>
      <c r="BB17" s="1">
        <f t="shared" si="5"/>
        <v>9.7487682655675284E-2</v>
      </c>
      <c r="BC17" s="1">
        <f t="shared" si="5"/>
        <v>9.7487682655675284E-2</v>
      </c>
      <c r="BD17" s="1">
        <f t="shared" si="5"/>
        <v>9.7487682655675284E-2</v>
      </c>
      <c r="BE17" s="1">
        <f t="shared" si="5"/>
        <v>9.3073586544055634E-2</v>
      </c>
      <c r="BF17" s="1">
        <f t="shared" si="5"/>
        <v>9.0613878730512909E-2</v>
      </c>
      <c r="BG17" s="1">
        <f t="shared" si="5"/>
        <v>8.7104564094185544E-2</v>
      </c>
      <c r="BH17" s="1">
        <f t="shared" si="5"/>
        <v>8.2447207619344876E-2</v>
      </c>
      <c r="BI17" s="1">
        <f t="shared" si="5"/>
        <v>7.6825991345151334E-2</v>
      </c>
      <c r="BJ17" s="1">
        <f t="shared" si="5"/>
        <v>7.0769368094758145E-2</v>
      </c>
      <c r="BK17" s="1">
        <f t="shared" si="5"/>
        <v>6.4991788437116865E-2</v>
      </c>
      <c r="BL17" s="1">
        <f t="shared" si="5"/>
        <v>6.0086364435070441E-2</v>
      </c>
      <c r="BM17" s="1">
        <f t="shared" si="5"/>
        <v>5.6316801672205132E-2</v>
      </c>
      <c r="BN17" s="1">
        <f t="shared" si="5"/>
        <v>5.3636141975229291E-2</v>
      </c>
      <c r="BO17" s="1">
        <f t="shared" si="5"/>
        <v>5.1833174241470041E-2</v>
      </c>
      <c r="BP17" s="1">
        <f t="shared" si="6"/>
        <v>5.0665539121618176E-2</v>
      </c>
      <c r="BQ17" s="1">
        <f t="shared" si="6"/>
        <v>4.992777550234373E-2</v>
      </c>
      <c r="BR17" s="1">
        <f t="shared" si="6"/>
        <v>4.9468862686880138E-2</v>
      </c>
      <c r="BS17" s="1">
        <f t="shared" si="6"/>
        <v>4.9186177788304246E-2</v>
      </c>
      <c r="BT17" s="1">
        <f t="shared" si="6"/>
        <v>4.9013093350231088E-2</v>
      </c>
      <c r="BU17" s="1">
        <f t="shared" si="6"/>
        <v>4.8907506653392455E-2</v>
      </c>
    </row>
    <row r="18" spans="1:73" x14ac:dyDescent="0.25">
      <c r="A18" s="1" t="s">
        <v>12</v>
      </c>
      <c r="B18" s="1" t="s">
        <v>5</v>
      </c>
      <c r="C18" s="1" t="s">
        <v>6</v>
      </c>
      <c r="D18" s="1" t="s">
        <v>6</v>
      </c>
      <c r="E18" s="5">
        <v>9.066749999999999</v>
      </c>
      <c r="F18" s="1">
        <f t="shared" si="7"/>
        <v>2.2213537499999998E-2</v>
      </c>
      <c r="G18" s="1">
        <f>LOOKUP(RIGHT(D18,5),Ref!$C$4:$C$21,Ref!$E$4:$E$21)*$G$3</f>
        <v>3</v>
      </c>
      <c r="H18" s="297">
        <f t="shared" si="1"/>
        <v>9.066749999999999</v>
      </c>
      <c r="I18" s="5">
        <f t="shared" si="1"/>
        <v>9.066749999999999</v>
      </c>
      <c r="J18" s="5">
        <f t="shared" si="1"/>
        <v>9.066749999999999</v>
      </c>
      <c r="K18" s="5">
        <f t="shared" si="1"/>
        <v>9.066749999999999</v>
      </c>
      <c r="L18" s="5">
        <f t="shared" si="1"/>
        <v>9.066749999999999</v>
      </c>
      <c r="M18" s="5">
        <f t="shared" si="8"/>
        <v>9.4967485356327028</v>
      </c>
      <c r="N18" s="5">
        <f t="shared" si="2"/>
        <v>9.7545371537076075</v>
      </c>
      <c r="O18" s="5">
        <f t="shared" si="2"/>
        <v>10.147533093244034</v>
      </c>
      <c r="P18" s="5">
        <f t="shared" si="2"/>
        <v>10.720756617971281</v>
      </c>
      <c r="Q18" s="5">
        <f t="shared" si="2"/>
        <v>11.505174632206403</v>
      </c>
      <c r="R18" s="5">
        <f t="shared" si="2"/>
        <v>12.489816858825584</v>
      </c>
      <c r="S18" s="5">
        <f t="shared" si="2"/>
        <v>13.600124999999998</v>
      </c>
      <c r="T18" s="5">
        <f t="shared" si="2"/>
        <v>14.710433141174413</v>
      </c>
      <c r="U18" s="5">
        <f t="shared" si="2"/>
        <v>15.695075367793594</v>
      </c>
      <c r="V18" s="5">
        <f t="shared" si="2"/>
        <v>16.479493382028718</v>
      </c>
      <c r="W18" s="5">
        <f t="shared" si="2"/>
        <v>17.052716906755961</v>
      </c>
      <c r="X18" s="5">
        <f t="shared" si="2"/>
        <v>17.445712846292388</v>
      </c>
      <c r="Y18" s="5">
        <f t="shared" si="2"/>
        <v>17.703501464367296</v>
      </c>
      <c r="Z18" s="5">
        <f t="shared" si="2"/>
        <v>17.86773333183514</v>
      </c>
      <c r="AA18" s="5">
        <f t="shared" si="2"/>
        <v>17.970423530826203</v>
      </c>
      <c r="AB18" s="5">
        <f t="shared" si="2"/>
        <v>18.033884137904067</v>
      </c>
      <c r="AC18" s="5">
        <f t="shared" si="2"/>
        <v>18.072817593882238</v>
      </c>
      <c r="AD18" s="300">
        <f t="shared" si="3"/>
        <v>1.5158239836247013E-3</v>
      </c>
      <c r="AE18" s="299">
        <f t="shared" si="3"/>
        <v>1.5158239836247013E-3</v>
      </c>
      <c r="AF18" s="299">
        <f t="shared" si="3"/>
        <v>1.5158239836247013E-3</v>
      </c>
      <c r="AG18" s="299">
        <f t="shared" si="3"/>
        <v>1.5158239836247013E-3</v>
      </c>
      <c r="AH18" s="299">
        <f t="shared" si="3"/>
        <v>1.5158239836247013E-3</v>
      </c>
      <c r="AI18" s="299">
        <f t="shared" si="3"/>
        <v>1.4471897462549396E-3</v>
      </c>
      <c r="AJ18" s="299">
        <f t="shared" si="3"/>
        <v>1.4089440520820046E-3</v>
      </c>
      <c r="AK18" s="299">
        <f t="shared" si="3"/>
        <v>1.3543781505555663E-3</v>
      </c>
      <c r="AL18" s="299">
        <f t="shared" si="3"/>
        <v>1.2819614877266003E-3</v>
      </c>
      <c r="AM18" s="299">
        <f t="shared" si="3"/>
        <v>1.1945578874619465E-3</v>
      </c>
      <c r="AN18" s="299">
        <f t="shared" si="3"/>
        <v>1.100384197692837E-3</v>
      </c>
      <c r="AO18" s="299">
        <f t="shared" si="3"/>
        <v>1.0105493224164676E-3</v>
      </c>
      <c r="AP18" s="299">
        <f t="shared" si="3"/>
        <v>9.342754881269278E-4</v>
      </c>
      <c r="AQ18" s="299">
        <f t="shared" si="3"/>
        <v>8.7566302049948855E-4</v>
      </c>
      <c r="AR18" s="299">
        <f t="shared" si="3"/>
        <v>8.3398177267494044E-4</v>
      </c>
      <c r="AS18" s="299">
        <f t="shared" si="3"/>
        <v>8.0594764920329551E-4</v>
      </c>
      <c r="AT18" s="299">
        <f t="shared" si="4"/>
        <v>7.877922343798114E-4</v>
      </c>
      <c r="AU18" s="299">
        <f t="shared" si="4"/>
        <v>7.7632083863136741E-4</v>
      </c>
      <c r="AV18" s="299">
        <f t="shared" si="4"/>
        <v>7.6918525972413849E-4</v>
      </c>
      <c r="AW18" s="299">
        <f t="shared" si="4"/>
        <v>7.6478982701513366E-4</v>
      </c>
      <c r="AX18" s="299">
        <f t="shared" si="4"/>
        <v>7.6209855838225244E-4</v>
      </c>
      <c r="AY18" s="299">
        <f t="shared" si="4"/>
        <v>7.6045680382352517E-4</v>
      </c>
      <c r="AZ18" s="298">
        <f t="shared" si="5"/>
        <v>8.3915694078497569E-2</v>
      </c>
      <c r="BA18" s="1">
        <f t="shared" si="5"/>
        <v>8.3915694078497569E-2</v>
      </c>
      <c r="BB18" s="1">
        <f t="shared" si="5"/>
        <v>8.3915694078497569E-2</v>
      </c>
      <c r="BC18" s="1">
        <f t="shared" si="5"/>
        <v>8.3915694078497569E-2</v>
      </c>
      <c r="BD18" s="1">
        <f t="shared" si="5"/>
        <v>8.3915694078497569E-2</v>
      </c>
      <c r="BE18" s="1">
        <f t="shared" si="5"/>
        <v>8.0116117261762168E-2</v>
      </c>
      <c r="BF18" s="1">
        <f t="shared" si="5"/>
        <v>7.7998843748012039E-2</v>
      </c>
      <c r="BG18" s="1">
        <f t="shared" si="5"/>
        <v>7.4978087018288925E-2</v>
      </c>
      <c r="BH18" s="1">
        <f t="shared" si="5"/>
        <v>7.0969115930755472E-2</v>
      </c>
      <c r="BI18" s="1">
        <f t="shared" si="5"/>
        <v>6.6130471166981952E-2</v>
      </c>
      <c r="BJ18" s="1">
        <f t="shared" si="5"/>
        <v>6.0917035684841872E-2</v>
      </c>
      <c r="BK18" s="1">
        <f t="shared" si="5"/>
        <v>5.5943796052331712E-2</v>
      </c>
      <c r="BL18" s="1">
        <f t="shared" si="5"/>
        <v>5.1721292771225336E-2</v>
      </c>
      <c r="BM18" s="1">
        <f t="shared" si="5"/>
        <v>4.847651900082444E-2</v>
      </c>
      <c r="BN18" s="1">
        <f t="shared" si="5"/>
        <v>4.6169053965938955E-2</v>
      </c>
      <c r="BO18" s="1">
        <f t="shared" si="5"/>
        <v>4.4617090839336369E-2</v>
      </c>
      <c r="BP18" s="1">
        <f t="shared" si="6"/>
        <v>4.3612010927252781E-2</v>
      </c>
      <c r="BQ18" s="1">
        <f t="shared" si="6"/>
        <v>4.2976956892827274E-2</v>
      </c>
      <c r="BR18" s="1">
        <f t="shared" si="6"/>
        <v>4.2581932758679358E-2</v>
      </c>
      <c r="BS18" s="1">
        <f t="shared" si="6"/>
        <v>4.2338602536611307E-2</v>
      </c>
      <c r="BT18" s="1">
        <f t="shared" si="6"/>
        <v>4.2189614476177084E-2</v>
      </c>
      <c r="BU18" s="1">
        <f t="shared" si="6"/>
        <v>4.2098727292183141E-2</v>
      </c>
    </row>
    <row r="19" spans="1:73" x14ac:dyDescent="0.25">
      <c r="A19" s="1" t="s">
        <v>12</v>
      </c>
      <c r="B19" s="1" t="s">
        <v>5</v>
      </c>
      <c r="C19" s="1" t="s">
        <v>7</v>
      </c>
      <c r="D19" s="1" t="s">
        <v>7</v>
      </c>
      <c r="E19" s="5">
        <v>7.4744999999999999</v>
      </c>
      <c r="F19" s="1">
        <f t="shared" si="7"/>
        <v>1.8312524999999996E-2</v>
      </c>
      <c r="G19" s="1">
        <f>LOOKUP(RIGHT(D19,5),Ref!$C$4:$C$21,Ref!$E$4:$E$21)*$G$3</f>
        <v>3.5</v>
      </c>
      <c r="H19" s="297">
        <f t="shared" si="1"/>
        <v>7.4744999999999999</v>
      </c>
      <c r="I19" s="5">
        <f t="shared" si="1"/>
        <v>7.4744999999999999</v>
      </c>
      <c r="J19" s="5">
        <f t="shared" si="1"/>
        <v>7.4744999999999999</v>
      </c>
      <c r="K19" s="5">
        <f t="shared" si="1"/>
        <v>7.4744999999999999</v>
      </c>
      <c r="L19" s="5">
        <f t="shared" si="1"/>
        <v>7.4744999999999999</v>
      </c>
      <c r="M19" s="5">
        <f t="shared" si="8"/>
        <v>7.8289846890657229</v>
      </c>
      <c r="N19" s="5">
        <f t="shared" si="2"/>
        <v>8.0415019665687844</v>
      </c>
      <c r="O19" s="5">
        <f t="shared" si="2"/>
        <v>8.3654822406543179</v>
      </c>
      <c r="P19" s="5">
        <f t="shared" si="2"/>
        <v>8.8380395776906102</v>
      </c>
      <c r="Q19" s="5">
        <f t="shared" si="2"/>
        <v>9.4847026540300288</v>
      </c>
      <c r="R19" s="5">
        <f t="shared" si="2"/>
        <v>10.296427728931739</v>
      </c>
      <c r="S19" s="5">
        <f t="shared" si="2"/>
        <v>11.21175</v>
      </c>
      <c r="T19" s="5">
        <f t="shared" si="2"/>
        <v>12.127072271068261</v>
      </c>
      <c r="U19" s="5">
        <f t="shared" si="2"/>
        <v>12.93879734596997</v>
      </c>
      <c r="V19" s="5">
        <f t="shared" si="2"/>
        <v>13.585460422309389</v>
      </c>
      <c r="W19" s="5">
        <f t="shared" si="2"/>
        <v>14.058017759345681</v>
      </c>
      <c r="X19" s="5">
        <f t="shared" si="2"/>
        <v>14.381998033431216</v>
      </c>
      <c r="Y19" s="5">
        <f t="shared" si="2"/>
        <v>14.594515310934277</v>
      </c>
      <c r="Z19" s="5">
        <f t="shared" si="2"/>
        <v>14.729905731248987</v>
      </c>
      <c r="AA19" s="5">
        <f t="shared" si="2"/>
        <v>14.814562073638347</v>
      </c>
      <c r="AB19" s="5">
        <f t="shared" si="2"/>
        <v>14.866878097307632</v>
      </c>
      <c r="AC19" s="5">
        <f t="shared" si="2"/>
        <v>14.898974285766434</v>
      </c>
      <c r="AD19" s="300">
        <f t="shared" si="3"/>
        <v>1.8387313002246651E-3</v>
      </c>
      <c r="AE19" s="299">
        <f t="shared" si="3"/>
        <v>1.8387313002246651E-3</v>
      </c>
      <c r="AF19" s="299">
        <f t="shared" si="3"/>
        <v>1.8387313002246651E-3</v>
      </c>
      <c r="AG19" s="299">
        <f t="shared" si="3"/>
        <v>1.8387313002246651E-3</v>
      </c>
      <c r="AH19" s="299">
        <f t="shared" si="3"/>
        <v>1.8387313002246651E-3</v>
      </c>
      <c r="AI19" s="299">
        <f t="shared" si="3"/>
        <v>1.7554763036801086E-3</v>
      </c>
      <c r="AJ19" s="299">
        <f t="shared" si="3"/>
        <v>1.7090833479449477E-3</v>
      </c>
      <c r="AK19" s="299">
        <f t="shared" si="3"/>
        <v>1.6428935843935621E-3</v>
      </c>
      <c r="AL19" s="299">
        <f t="shared" si="3"/>
        <v>1.5550504139200151E-3</v>
      </c>
      <c r="AM19" s="299">
        <f t="shared" si="3"/>
        <v>1.4490277244157608E-3</v>
      </c>
      <c r="AN19" s="299">
        <f t="shared" si="3"/>
        <v>1.3347927519474917E-3</v>
      </c>
      <c r="AO19" s="299">
        <f t="shared" si="3"/>
        <v>1.2258208668164434E-3</v>
      </c>
      <c r="AP19" s="299">
        <f t="shared" si="3"/>
        <v>1.1332988536992203E-3</v>
      </c>
      <c r="AQ19" s="299">
        <f t="shared" si="3"/>
        <v>1.0622005072063333E-3</v>
      </c>
      <c r="AR19" s="299">
        <f t="shared" si="3"/>
        <v>1.0116401414677258E-3</v>
      </c>
      <c r="AS19" s="299">
        <f t="shared" si="3"/>
        <v>9.7763406895631528E-4</v>
      </c>
      <c r="AT19" s="299">
        <f t="shared" si="4"/>
        <v>9.5561110991546636E-4</v>
      </c>
      <c r="AU19" s="299">
        <f t="shared" si="4"/>
        <v>9.416960283177403E-4</v>
      </c>
      <c r="AV19" s="299">
        <f t="shared" si="4"/>
        <v>9.3304039783314381E-4</v>
      </c>
      <c r="AW19" s="299">
        <f t="shared" si="4"/>
        <v>9.2770863122475906E-4</v>
      </c>
      <c r="AX19" s="299">
        <f t="shared" si="4"/>
        <v>9.2444405702218023E-4</v>
      </c>
      <c r="AY19" s="299">
        <f t="shared" si="4"/>
        <v>9.2245256887643937E-4</v>
      </c>
      <c r="AZ19" s="298">
        <f t="shared" si="5"/>
        <v>0.10179177460515322</v>
      </c>
      <c r="BA19" s="1">
        <f t="shared" si="5"/>
        <v>0.10179177460515322</v>
      </c>
      <c r="BB19" s="1">
        <f t="shared" si="5"/>
        <v>0.10179177460515322</v>
      </c>
      <c r="BC19" s="1">
        <f t="shared" si="5"/>
        <v>0.10179177460515322</v>
      </c>
      <c r="BD19" s="1">
        <f t="shared" si="5"/>
        <v>0.10179177460515322</v>
      </c>
      <c r="BE19" s="1">
        <f t="shared" si="5"/>
        <v>9.7182795662998478E-2</v>
      </c>
      <c r="BF19" s="1">
        <f t="shared" si="5"/>
        <v>9.4614491477996929E-2</v>
      </c>
      <c r="BG19" s="1">
        <f t="shared" si="5"/>
        <v>9.0950240213134137E-2</v>
      </c>
      <c r="BH19" s="1">
        <f t="shared" si="5"/>
        <v>8.6087260935872253E-2</v>
      </c>
      <c r="BI19" s="1">
        <f t="shared" si="5"/>
        <v>8.0217867342729759E-2</v>
      </c>
      <c r="BJ19" s="1">
        <f t="shared" si="5"/>
        <v>7.3893843507330248E-2</v>
      </c>
      <c r="BK19" s="1">
        <f t="shared" si="5"/>
        <v>6.7861183070102152E-2</v>
      </c>
      <c r="BL19" s="1">
        <f t="shared" si="5"/>
        <v>6.2739184056927855E-2</v>
      </c>
      <c r="BM19" s="1">
        <f t="shared" si="5"/>
        <v>5.880319468201551E-2</v>
      </c>
      <c r="BN19" s="1">
        <f t="shared" si="5"/>
        <v>5.6004183563539638E-2</v>
      </c>
      <c r="BO19" s="1">
        <f t="shared" si="5"/>
        <v>5.4121614605331853E-2</v>
      </c>
      <c r="BP19" s="1">
        <f t="shared" si="6"/>
        <v>5.2902428266060474E-2</v>
      </c>
      <c r="BQ19" s="1">
        <f t="shared" si="6"/>
        <v>5.2132092301564209E-2</v>
      </c>
      <c r="BR19" s="1">
        <f t="shared" si="6"/>
        <v>5.1652918434645263E-2</v>
      </c>
      <c r="BS19" s="1">
        <f t="shared" si="6"/>
        <v>5.1357752966595824E-2</v>
      </c>
      <c r="BT19" s="1">
        <f t="shared" si="6"/>
        <v>5.1177026831477491E-2</v>
      </c>
      <c r="BU19" s="1">
        <f t="shared" si="6"/>
        <v>5.106677847031927E-2</v>
      </c>
    </row>
    <row r="20" spans="1:73" x14ac:dyDescent="0.25">
      <c r="A20" s="1" t="s">
        <v>12</v>
      </c>
      <c r="B20" s="1" t="s">
        <v>5</v>
      </c>
      <c r="C20" s="1" t="s">
        <v>8</v>
      </c>
      <c r="D20" s="1" t="s">
        <v>8</v>
      </c>
      <c r="E20" s="5">
        <v>7.6807500000000006</v>
      </c>
      <c r="F20" s="1">
        <f t="shared" si="7"/>
        <v>1.8817837500000004E-2</v>
      </c>
      <c r="G20" s="1">
        <f>LOOKUP(RIGHT(D20,5),Ref!$C$4:$C$21,Ref!$E$4:$E$21)*$G$3</f>
        <v>4</v>
      </c>
      <c r="H20" s="297">
        <f t="shared" si="1"/>
        <v>7.6807500000000006</v>
      </c>
      <c r="I20" s="5">
        <f t="shared" si="1"/>
        <v>7.6807500000000006</v>
      </c>
      <c r="J20" s="5">
        <f t="shared" si="1"/>
        <v>7.6807500000000006</v>
      </c>
      <c r="K20" s="5">
        <f t="shared" si="1"/>
        <v>7.6807500000000006</v>
      </c>
      <c r="L20" s="5">
        <f t="shared" si="1"/>
        <v>7.6807500000000006</v>
      </c>
      <c r="M20" s="5">
        <f t="shared" si="8"/>
        <v>8.0450162754085959</v>
      </c>
      <c r="N20" s="5">
        <f t="shared" si="2"/>
        <v>8.2633977161981669</v>
      </c>
      <c r="O20" s="5">
        <f t="shared" si="2"/>
        <v>8.5963178433213798</v>
      </c>
      <c r="P20" s="5">
        <f t="shared" si="2"/>
        <v>9.0819148419756726</v>
      </c>
      <c r="Q20" s="5">
        <f t="shared" si="2"/>
        <v>9.7464218221875907</v>
      </c>
      <c r="R20" s="5">
        <f t="shared" si="2"/>
        <v>10.580545491871357</v>
      </c>
      <c r="S20" s="5">
        <f t="shared" si="2"/>
        <v>11.521125000000001</v>
      </c>
      <c r="T20" s="5">
        <f t="shared" si="2"/>
        <v>12.461704508128644</v>
      </c>
      <c r="U20" s="5">
        <f t="shared" si="2"/>
        <v>13.29582817781241</v>
      </c>
      <c r="V20" s="5">
        <f t="shared" si="2"/>
        <v>13.96033515802433</v>
      </c>
      <c r="W20" s="5">
        <f t="shared" si="2"/>
        <v>14.445932156678619</v>
      </c>
      <c r="X20" s="5">
        <f t="shared" si="2"/>
        <v>14.778852283801836</v>
      </c>
      <c r="Y20" s="5">
        <f t="shared" si="2"/>
        <v>14.997233724591405</v>
      </c>
      <c r="Z20" s="5">
        <f t="shared" si="2"/>
        <v>15.136360083656522</v>
      </c>
      <c r="AA20" s="5">
        <f t="shared" si="2"/>
        <v>15.223352417833667</v>
      </c>
      <c r="AB20" s="5">
        <f t="shared" si="2"/>
        <v>15.277112040390074</v>
      </c>
      <c r="AC20" s="5">
        <f t="shared" si="2"/>
        <v>15.310093885263301</v>
      </c>
      <c r="AD20" s="300">
        <f t="shared" si="3"/>
        <v>1.7893561310456997E-3</v>
      </c>
      <c r="AE20" s="299">
        <f t="shared" si="3"/>
        <v>1.7893561310456997E-3</v>
      </c>
      <c r="AF20" s="299">
        <f t="shared" si="3"/>
        <v>1.7893561310456997E-3</v>
      </c>
      <c r="AG20" s="299">
        <f t="shared" si="3"/>
        <v>1.7893561310456997E-3</v>
      </c>
      <c r="AH20" s="299">
        <f t="shared" si="3"/>
        <v>1.7893561310456997E-3</v>
      </c>
      <c r="AI20" s="299">
        <f t="shared" si="3"/>
        <v>1.70833676813553E-3</v>
      </c>
      <c r="AJ20" s="299">
        <f t="shared" si="3"/>
        <v>1.6631895953148469E-3</v>
      </c>
      <c r="AK20" s="299">
        <f t="shared" si="3"/>
        <v>1.5987772153174728E-3</v>
      </c>
      <c r="AL20" s="299">
        <f t="shared" si="3"/>
        <v>1.5132928840080918E-3</v>
      </c>
      <c r="AM20" s="299">
        <f t="shared" si="3"/>
        <v>1.4101172055001926E-3</v>
      </c>
      <c r="AN20" s="299">
        <f t="shared" si="3"/>
        <v>1.2989497672013185E-3</v>
      </c>
      <c r="AO20" s="299">
        <f t="shared" si="3"/>
        <v>1.1929040873637998E-3</v>
      </c>
      <c r="AP20" s="299">
        <f t="shared" si="3"/>
        <v>1.1028665536535914E-3</v>
      </c>
      <c r="AQ20" s="299">
        <f t="shared" si="3"/>
        <v>1.0336774001384937E-3</v>
      </c>
      <c r="AR20" s="299">
        <f t="shared" si="3"/>
        <v>9.8447472413507996E-4</v>
      </c>
      <c r="AS20" s="299">
        <f t="shared" si="3"/>
        <v>9.5138181146554412E-4</v>
      </c>
      <c r="AT20" s="299">
        <f t="shared" si="4"/>
        <v>9.2995023156113054E-4</v>
      </c>
      <c r="AU20" s="299">
        <f t="shared" si="4"/>
        <v>9.1640880951221557E-4</v>
      </c>
      <c r="AV20" s="299">
        <f t="shared" si="4"/>
        <v>9.0798560734353185E-4</v>
      </c>
      <c r="AW20" s="299">
        <f t="shared" si="4"/>
        <v>9.0279701384493203E-4</v>
      </c>
      <c r="AX20" s="299">
        <f t="shared" si="4"/>
        <v>8.9962010275198201E-4</v>
      </c>
      <c r="AY20" s="299">
        <f t="shared" si="4"/>
        <v>8.9768209173152951E-4</v>
      </c>
      <c r="AZ20" s="298">
        <f t="shared" si="5"/>
        <v>9.9058375716722671E-2</v>
      </c>
      <c r="BA20" s="1">
        <f t="shared" si="5"/>
        <v>9.9058375716722671E-2</v>
      </c>
      <c r="BB20" s="1">
        <f t="shared" si="5"/>
        <v>9.9058375716722671E-2</v>
      </c>
      <c r="BC20" s="1">
        <f t="shared" si="5"/>
        <v>9.9058375716722671E-2</v>
      </c>
      <c r="BD20" s="1">
        <f t="shared" si="5"/>
        <v>9.9058375716722671E-2</v>
      </c>
      <c r="BE20" s="1">
        <f t="shared" si="5"/>
        <v>9.4573160978170367E-2</v>
      </c>
      <c r="BF20" s="1">
        <f t="shared" si="5"/>
        <v>9.2073823070961555E-2</v>
      </c>
      <c r="BG20" s="1">
        <f t="shared" si="5"/>
        <v>8.8507967382491434E-2</v>
      </c>
      <c r="BH20" s="1">
        <f t="shared" si="5"/>
        <v>8.3775572940816598E-2</v>
      </c>
      <c r="BI20" s="1">
        <f t="shared" si="5"/>
        <v>7.8063789272301995E-2</v>
      </c>
      <c r="BJ20" s="1">
        <f t="shared" si="5"/>
        <v>7.1909583477595282E-2</v>
      </c>
      <c r="BK20" s="1">
        <f t="shared" si="5"/>
        <v>6.6038917144481776E-2</v>
      </c>
      <c r="BL20" s="1">
        <f t="shared" si="5"/>
        <v>6.1054458384078018E-2</v>
      </c>
      <c r="BM20" s="1">
        <f t="shared" si="5"/>
        <v>5.7224161527288986E-2</v>
      </c>
      <c r="BN20" s="1">
        <f t="shared" si="5"/>
        <v>5.4500311824454251E-2</v>
      </c>
      <c r="BO20" s="1">
        <f t="shared" si="5"/>
        <v>5.2668295201321866E-2</v>
      </c>
      <c r="BP20" s="1">
        <f t="shared" si="6"/>
        <v>5.1481847485554018E-2</v>
      </c>
      <c r="BQ20" s="1">
        <f t="shared" si="6"/>
        <v>5.0732197234390083E-2</v>
      </c>
      <c r="BR20" s="1">
        <f t="shared" si="6"/>
        <v>5.0265890549719236E-2</v>
      </c>
      <c r="BS20" s="1">
        <f t="shared" si="6"/>
        <v>4.9978651114646416E-2</v>
      </c>
      <c r="BT20" s="1">
        <f t="shared" si="6"/>
        <v>4.9802777990675194E-2</v>
      </c>
      <c r="BU20" s="1">
        <f t="shared" si="6"/>
        <v>4.9695490111825197E-2</v>
      </c>
    </row>
    <row r="21" spans="1:73" x14ac:dyDescent="0.25">
      <c r="A21" s="1" t="s">
        <v>12</v>
      </c>
      <c r="B21" s="1" t="s">
        <v>5</v>
      </c>
      <c r="C21" s="1" t="s">
        <v>9</v>
      </c>
      <c r="D21" s="1" t="s">
        <v>9</v>
      </c>
      <c r="E21" s="5">
        <v>8.7037499999999994</v>
      </c>
      <c r="F21" s="1">
        <f t="shared" si="7"/>
        <v>2.1324187499999998E-2</v>
      </c>
      <c r="G21" s="1">
        <f>LOOKUP(RIGHT(D21,5),Ref!$C$4:$C$21,Ref!$E$4:$E$21)*$G$3</f>
        <v>4.5</v>
      </c>
      <c r="H21" s="297">
        <f t="shared" si="1"/>
        <v>8.7037499999999994</v>
      </c>
      <c r="I21" s="5">
        <f t="shared" si="1"/>
        <v>8.7037499999999994</v>
      </c>
      <c r="J21" s="5">
        <f t="shared" si="1"/>
        <v>8.7037499999999994</v>
      </c>
      <c r="K21" s="5">
        <f t="shared" si="1"/>
        <v>8.7037499999999994</v>
      </c>
      <c r="L21" s="5">
        <f t="shared" si="1"/>
        <v>8.7037499999999994</v>
      </c>
      <c r="M21" s="5">
        <f t="shared" si="8"/>
        <v>9.1165329436692453</v>
      </c>
      <c r="N21" s="5">
        <f t="shared" si="2"/>
        <v>9.3640006343598969</v>
      </c>
      <c r="O21" s="5">
        <f t="shared" si="2"/>
        <v>9.7412624325500055</v>
      </c>
      <c r="P21" s="5">
        <f t="shared" si="2"/>
        <v>10.291536152829574</v>
      </c>
      <c r="Q21" s="5">
        <f t="shared" si="2"/>
        <v>11.044548896249095</v>
      </c>
      <c r="R21" s="5">
        <f t="shared" si="2"/>
        <v>11.989769596051858</v>
      </c>
      <c r="S21" s="5">
        <f t="shared" si="2"/>
        <v>13.055624999999999</v>
      </c>
      <c r="T21" s="5">
        <f t="shared" si="2"/>
        <v>14.121480403948141</v>
      </c>
      <c r="U21" s="5">
        <f t="shared" si="2"/>
        <v>15.066701103750903</v>
      </c>
      <c r="V21" s="5">
        <f t="shared" si="2"/>
        <v>15.819713847170425</v>
      </c>
      <c r="W21" s="5">
        <f t="shared" si="2"/>
        <v>16.369987567449993</v>
      </c>
      <c r="X21" s="5">
        <f t="shared" si="2"/>
        <v>16.747249365640101</v>
      </c>
      <c r="Y21" s="5">
        <f t="shared" si="2"/>
        <v>16.994717056330753</v>
      </c>
      <c r="Z21" s="5">
        <f t="shared" si="2"/>
        <v>17.152373671597882</v>
      </c>
      <c r="AA21" s="5">
        <f t="shared" si="2"/>
        <v>17.250952525042443</v>
      </c>
      <c r="AB21" s="5">
        <f t="shared" si="2"/>
        <v>17.311872398078975</v>
      </c>
      <c r="AC21" s="5">
        <f t="shared" ref="AC21:AC37" si="9">AC$3*$E21</f>
        <v>17.349247098767755</v>
      </c>
      <c r="AD21" s="300">
        <f t="shared" si="3"/>
        <v>1.5790431829417505E-3</v>
      </c>
      <c r="AE21" s="299">
        <f t="shared" si="3"/>
        <v>1.5790431829417505E-3</v>
      </c>
      <c r="AF21" s="299">
        <f t="shared" si="3"/>
        <v>1.5790431829417505E-3</v>
      </c>
      <c r="AG21" s="299">
        <f t="shared" si="3"/>
        <v>1.5790431829417505E-3</v>
      </c>
      <c r="AH21" s="299">
        <f t="shared" si="3"/>
        <v>1.5790431829417505E-3</v>
      </c>
      <c r="AI21" s="299">
        <f t="shared" si="3"/>
        <v>1.5075464750087001E-3</v>
      </c>
      <c r="AJ21" s="299">
        <f t="shared" si="3"/>
        <v>1.4677056997517753E-3</v>
      </c>
      <c r="AK21" s="299">
        <f t="shared" si="3"/>
        <v>1.4108640639436656E-3</v>
      </c>
      <c r="AL21" s="299">
        <f t="shared" si="3"/>
        <v>1.3354271801057191E-3</v>
      </c>
      <c r="AM21" s="299">
        <f t="shared" si="3"/>
        <v>1.2443783112044355E-3</v>
      </c>
      <c r="AN21" s="299">
        <f t="shared" si="3"/>
        <v>1.146276998354908E-3</v>
      </c>
      <c r="AO21" s="299">
        <f t="shared" si="3"/>
        <v>1.0526954552945002E-3</v>
      </c>
      <c r="AP21" s="299">
        <f t="shared" si="3"/>
        <v>9.7324053218151045E-4</v>
      </c>
      <c r="AQ21" s="299">
        <f t="shared" si="3"/>
        <v>9.1218356353453827E-4</v>
      </c>
      <c r="AR21" s="299">
        <f t="shared" si="3"/>
        <v>8.6876395087181005E-4</v>
      </c>
      <c r="AS21" s="299">
        <f t="shared" ref="AS21:AV84" si="10">Algae_electricity_factor/W21</f>
        <v>8.3956063172930953E-4</v>
      </c>
      <c r="AT21" s="299">
        <f t="shared" si="4"/>
        <v>8.2064802424968017E-4</v>
      </c>
      <c r="AU21" s="299">
        <f t="shared" si="4"/>
        <v>8.0869820062168035E-4</v>
      </c>
      <c r="AV21" s="299">
        <f t="shared" si="4"/>
        <v>8.0126502411073772E-4</v>
      </c>
      <c r="AW21" s="299">
        <f t="shared" si="4"/>
        <v>7.966862747769023E-4</v>
      </c>
      <c r="AX21" s="299">
        <f t="shared" si="4"/>
        <v>7.9388276366075387E-4</v>
      </c>
      <c r="AY21" s="299">
        <f t="shared" si="4"/>
        <v>7.9217253782185222E-4</v>
      </c>
      <c r="AZ21" s="298">
        <f t="shared" si="5"/>
        <v>8.7415495537695564E-2</v>
      </c>
      <c r="BA21" s="1">
        <f t="shared" si="5"/>
        <v>8.7415495537695564E-2</v>
      </c>
      <c r="BB21" s="1">
        <f t="shared" si="5"/>
        <v>8.7415495537695564E-2</v>
      </c>
      <c r="BC21" s="1">
        <f t="shared" si="5"/>
        <v>8.7415495537695564E-2</v>
      </c>
      <c r="BD21" s="1">
        <f t="shared" si="5"/>
        <v>8.7415495537695564E-2</v>
      </c>
      <c r="BE21" s="1">
        <f t="shared" si="5"/>
        <v>8.345745295798733E-2</v>
      </c>
      <c r="BF21" s="1">
        <f t="shared" si="5"/>
        <v>8.125187609390068E-2</v>
      </c>
      <c r="BG21" s="1">
        <f t="shared" si="5"/>
        <v>7.8105135197250736E-2</v>
      </c>
      <c r="BH21" s="1">
        <f t="shared" si="5"/>
        <v>7.392896531554527E-2</v>
      </c>
      <c r="BI21" s="1">
        <f t="shared" si="5"/>
        <v>6.8888519253566982E-2</v>
      </c>
      <c r="BJ21" s="1">
        <f t="shared" si="5"/>
        <v>6.3457651391129119E-2</v>
      </c>
      <c r="BK21" s="1">
        <f t="shared" si="5"/>
        <v>5.8276997025130381E-2</v>
      </c>
      <c r="BL21" s="1">
        <f t="shared" si="5"/>
        <v>5.3878389341778805E-2</v>
      </c>
      <c r="BM21" s="1">
        <f t="shared" si="5"/>
        <v>5.0498288513655031E-2</v>
      </c>
      <c r="BN21" s="1">
        <f t="shared" si="5"/>
        <v>4.8094587970205604E-2</v>
      </c>
      <c r="BO21" s="1">
        <f t="shared" ref="BO21:BR84" si="11">Algae_yield_cost_factor/W21</f>
        <v>4.6477898419365553E-2</v>
      </c>
      <c r="BP21" s="1">
        <f t="shared" si="6"/>
        <v>4.5430900482512603E-2</v>
      </c>
      <c r="BQ21" s="1">
        <f t="shared" si="6"/>
        <v>4.4769360782196371E-2</v>
      </c>
      <c r="BR21" s="1">
        <f t="shared" si="6"/>
        <v>4.4357861707856501E-2</v>
      </c>
      <c r="BS21" s="1">
        <f t="shared" si="6"/>
        <v>4.410438311633727E-2</v>
      </c>
      <c r="BT21" s="1">
        <f t="shared" si="6"/>
        <v>4.3949181335847028E-2</v>
      </c>
      <c r="BU21" s="1">
        <f t="shared" si="6"/>
        <v>4.38545035963121E-2</v>
      </c>
    </row>
    <row r="22" spans="1:73" x14ac:dyDescent="0.25">
      <c r="A22" s="1" t="s">
        <v>12</v>
      </c>
      <c r="B22" s="1" t="s">
        <v>5</v>
      </c>
      <c r="C22" s="1" t="s">
        <v>10</v>
      </c>
      <c r="D22" s="1" t="s">
        <v>10</v>
      </c>
      <c r="E22" s="5">
        <v>7.82925</v>
      </c>
      <c r="F22" s="1">
        <f t="shared" si="7"/>
        <v>1.9181662499999998E-2</v>
      </c>
      <c r="G22" s="1">
        <f>LOOKUP(RIGHT(D22,5),Ref!$C$4:$C$21,Ref!$E$4:$E$21)*$G$3</f>
        <v>4.5</v>
      </c>
      <c r="H22" s="297">
        <f t="shared" ref="H22:L37" si="12">$E22</f>
        <v>7.82925</v>
      </c>
      <c r="I22" s="5">
        <f t="shared" si="12"/>
        <v>7.82925</v>
      </c>
      <c r="J22" s="5">
        <f t="shared" si="12"/>
        <v>7.82925</v>
      </c>
      <c r="K22" s="5">
        <f t="shared" si="12"/>
        <v>7.82925</v>
      </c>
      <c r="L22" s="5">
        <f t="shared" si="12"/>
        <v>7.82925</v>
      </c>
      <c r="M22" s="5">
        <f t="shared" si="8"/>
        <v>8.2005590175754648</v>
      </c>
      <c r="N22" s="5">
        <f t="shared" si="8"/>
        <v>8.4231626559313195</v>
      </c>
      <c r="O22" s="5">
        <f t="shared" si="8"/>
        <v>8.7625194772416641</v>
      </c>
      <c r="P22" s="5">
        <f t="shared" si="8"/>
        <v>9.2575050322609158</v>
      </c>
      <c r="Q22" s="5">
        <f t="shared" si="8"/>
        <v>9.9348596232610351</v>
      </c>
      <c r="R22" s="5">
        <f t="shared" si="8"/>
        <v>10.785110281187881</v>
      </c>
      <c r="S22" s="5">
        <f t="shared" si="8"/>
        <v>11.743874999999999</v>
      </c>
      <c r="T22" s="5">
        <f t="shared" si="8"/>
        <v>12.702639718812119</v>
      </c>
      <c r="U22" s="5">
        <f t="shared" si="8"/>
        <v>13.552890376738965</v>
      </c>
      <c r="V22" s="5">
        <f t="shared" si="8"/>
        <v>14.230244967739084</v>
      </c>
      <c r="W22" s="5">
        <f t="shared" si="8"/>
        <v>14.725230522758334</v>
      </c>
      <c r="X22" s="5">
        <f t="shared" si="8"/>
        <v>15.064587344068681</v>
      </c>
      <c r="Y22" s="5">
        <f t="shared" si="8"/>
        <v>15.287190982424535</v>
      </c>
      <c r="Z22" s="5">
        <f t="shared" si="8"/>
        <v>15.429007217389945</v>
      </c>
      <c r="AA22" s="5">
        <f t="shared" si="8"/>
        <v>15.517681465654295</v>
      </c>
      <c r="AB22" s="5">
        <f t="shared" si="8"/>
        <v>15.57248047940943</v>
      </c>
      <c r="AC22" s="5">
        <f t="shared" si="9"/>
        <v>15.606099996901044</v>
      </c>
      <c r="AD22" s="300">
        <f t="shared" ref="AD22:AR38" si="13">Algae_electricity_factor/H22</f>
        <v>1.7554168155991007E-3</v>
      </c>
      <c r="AE22" s="299">
        <f t="shared" si="13"/>
        <v>1.7554168155991007E-3</v>
      </c>
      <c r="AF22" s="299">
        <f t="shared" si="13"/>
        <v>1.7554168155991007E-3</v>
      </c>
      <c r="AG22" s="299">
        <f t="shared" si="13"/>
        <v>1.7554168155991007E-3</v>
      </c>
      <c r="AH22" s="299">
        <f t="shared" si="13"/>
        <v>1.7554168155991007E-3</v>
      </c>
      <c r="AI22" s="299">
        <f t="shared" si="13"/>
        <v>1.6759341740086179E-3</v>
      </c>
      <c r="AJ22" s="299">
        <f t="shared" si="13"/>
        <v>1.6316433226955984E-3</v>
      </c>
      <c r="AK22" s="299">
        <f t="shared" si="13"/>
        <v>1.5684526738256768E-3</v>
      </c>
      <c r="AL22" s="299">
        <f t="shared" si="13"/>
        <v>1.4845897523830703E-3</v>
      </c>
      <c r="AM22" s="299">
        <f t="shared" si="13"/>
        <v>1.3833710414338032E-3</v>
      </c>
      <c r="AN22" s="299">
        <f t="shared" si="13"/>
        <v>1.2743121530710512E-3</v>
      </c>
      <c r="AO22" s="299">
        <f t="shared" si="13"/>
        <v>1.1702778770660673E-3</v>
      </c>
      <c r="AP22" s="299">
        <f t="shared" si="13"/>
        <v>1.0819481153335022E-3</v>
      </c>
      <c r="AQ22" s="299">
        <f t="shared" si="13"/>
        <v>1.0140712956047816E-3</v>
      </c>
      <c r="AR22" s="299">
        <f t="shared" si="13"/>
        <v>9.6580186319258118E-4</v>
      </c>
      <c r="AS22" s="299">
        <f t="shared" si="10"/>
        <v>9.3333663485186682E-4</v>
      </c>
      <c r="AT22" s="299">
        <f t="shared" si="4"/>
        <v>9.1231155488241569E-4</v>
      </c>
      <c r="AU22" s="299">
        <f t="shared" si="4"/>
        <v>8.9902697750882273E-4</v>
      </c>
      <c r="AV22" s="299">
        <f t="shared" si="4"/>
        <v>8.907635410293237E-4</v>
      </c>
      <c r="AW22" s="299">
        <f t="shared" si="4"/>
        <v>8.8567336131678792E-4</v>
      </c>
      <c r="AX22" s="299">
        <f t="shared" si="4"/>
        <v>8.8255670775774005E-4</v>
      </c>
      <c r="AY22" s="299">
        <f t="shared" si="4"/>
        <v>8.8065545563967762E-4</v>
      </c>
      <c r="AZ22" s="298">
        <f t="shared" ref="AZ22:BN38" si="14">Algae_yield_cost_factor/H22</f>
        <v>9.7179502415457128E-2</v>
      </c>
      <c r="BA22" s="1">
        <f t="shared" si="14"/>
        <v>9.7179502415457128E-2</v>
      </c>
      <c r="BB22" s="1">
        <f t="shared" si="14"/>
        <v>9.7179502415457128E-2</v>
      </c>
      <c r="BC22" s="1">
        <f t="shared" si="14"/>
        <v>9.7179502415457128E-2</v>
      </c>
      <c r="BD22" s="1">
        <f t="shared" si="14"/>
        <v>9.7179502415457128E-2</v>
      </c>
      <c r="BE22" s="1">
        <f t="shared" si="14"/>
        <v>9.2779360243073358E-2</v>
      </c>
      <c r="BF22" s="1">
        <f t="shared" si="14"/>
        <v>9.0327428112818992E-2</v>
      </c>
      <c r="BG22" s="1">
        <f t="shared" si="14"/>
        <v>8.6829207200315617E-2</v>
      </c>
      <c r="BH22" s="1">
        <f t="shared" si="14"/>
        <v>8.2186573664805321E-2</v>
      </c>
      <c r="BI22" s="1">
        <f t="shared" si="14"/>
        <v>7.658312730507183E-2</v>
      </c>
      <c r="BJ22" s="1">
        <f t="shared" si="14"/>
        <v>7.0545650387398531E-2</v>
      </c>
      <c r="BK22" s="1">
        <f t="shared" si="14"/>
        <v>6.4786334943638099E-2</v>
      </c>
      <c r="BL22" s="1">
        <f t="shared" si="14"/>
        <v>5.9896418077530704E-2</v>
      </c>
      <c r="BM22" s="1">
        <f t="shared" si="14"/>
        <v>5.6138771740680771E-2</v>
      </c>
      <c r="BN22" s="1">
        <f t="shared" si="14"/>
        <v>5.3466586205023092E-2</v>
      </c>
      <c r="BO22" s="1">
        <f t="shared" si="11"/>
        <v>5.1669318053140845E-2</v>
      </c>
      <c r="BP22" s="1">
        <f t="shared" si="6"/>
        <v>5.0505374087514002E-2</v>
      </c>
      <c r="BQ22" s="1">
        <f t="shared" si="6"/>
        <v>4.9769942703073944E-2</v>
      </c>
      <c r="BR22" s="1">
        <f t="shared" si="6"/>
        <v>4.9312480613054384E-2</v>
      </c>
      <c r="BS22" s="1">
        <f t="shared" si="6"/>
        <v>4.9030689344294852E-2</v>
      </c>
      <c r="BT22" s="1">
        <f t="shared" si="6"/>
        <v>4.885815206461392E-2</v>
      </c>
      <c r="BU22" s="1">
        <f t="shared" si="6"/>
        <v>4.8752899150800062E-2</v>
      </c>
    </row>
    <row r="23" spans="1:73" x14ac:dyDescent="0.25">
      <c r="A23" s="1" t="s">
        <v>12</v>
      </c>
      <c r="B23" s="1" t="s">
        <v>5</v>
      </c>
      <c r="C23" s="1" t="s">
        <v>11</v>
      </c>
      <c r="D23" s="1" t="s">
        <v>11</v>
      </c>
      <c r="E23" s="5">
        <v>8.1592500000000001</v>
      </c>
      <c r="F23" s="1">
        <f t="shared" si="7"/>
        <v>1.9990162499999999E-2</v>
      </c>
      <c r="G23" s="1">
        <f>LOOKUP(RIGHT(D23,5),Ref!$C$4:$C$21,Ref!$E$4:$E$21)*$G$3</f>
        <v>4.5</v>
      </c>
      <c r="H23" s="297">
        <f t="shared" si="12"/>
        <v>8.1592500000000001</v>
      </c>
      <c r="I23" s="5">
        <f t="shared" si="12"/>
        <v>8.1592500000000001</v>
      </c>
      <c r="J23" s="5">
        <f t="shared" si="12"/>
        <v>8.1592500000000001</v>
      </c>
      <c r="K23" s="5">
        <f t="shared" si="12"/>
        <v>8.1592500000000001</v>
      </c>
      <c r="L23" s="5">
        <f t="shared" si="12"/>
        <v>8.1592500000000001</v>
      </c>
      <c r="M23" s="5">
        <f t="shared" si="8"/>
        <v>8.5462095557240616</v>
      </c>
      <c r="N23" s="5">
        <f t="shared" si="8"/>
        <v>8.7781958553383301</v>
      </c>
      <c r="O23" s="5">
        <f t="shared" si="8"/>
        <v>9.1318564415089636</v>
      </c>
      <c r="P23" s="5">
        <f t="shared" si="8"/>
        <v>9.6477054551170127</v>
      </c>
      <c r="Q23" s="5">
        <f t="shared" si="8"/>
        <v>10.353610292313133</v>
      </c>
      <c r="R23" s="5">
        <f t="shared" si="8"/>
        <v>11.239698701891269</v>
      </c>
      <c r="S23" s="5">
        <f t="shared" si="8"/>
        <v>12.238875</v>
      </c>
      <c r="T23" s="5">
        <f t="shared" si="8"/>
        <v>13.238051298108731</v>
      </c>
      <c r="U23" s="5">
        <f t="shared" si="8"/>
        <v>14.124139707686867</v>
      </c>
      <c r="V23" s="5">
        <f t="shared" si="8"/>
        <v>14.830044544882988</v>
      </c>
      <c r="W23" s="5">
        <f t="shared" si="8"/>
        <v>15.345893558491035</v>
      </c>
      <c r="X23" s="5">
        <f t="shared" si="8"/>
        <v>15.69955414466167</v>
      </c>
      <c r="Y23" s="5">
        <f t="shared" si="8"/>
        <v>15.931540444275939</v>
      </c>
      <c r="Z23" s="5">
        <f t="shared" si="8"/>
        <v>16.079334181241997</v>
      </c>
      <c r="AA23" s="5">
        <f t="shared" si="8"/>
        <v>16.171746016366804</v>
      </c>
      <c r="AB23" s="5">
        <f t="shared" si="8"/>
        <v>16.228854788341334</v>
      </c>
      <c r="AC23" s="5">
        <f t="shared" si="9"/>
        <v>16.263891356096028</v>
      </c>
      <c r="AD23" s="300">
        <f t="shared" si="13"/>
        <v>1.6844191688610178E-3</v>
      </c>
      <c r="AE23" s="299">
        <f t="shared" si="13"/>
        <v>1.6844191688610178E-3</v>
      </c>
      <c r="AF23" s="299">
        <f t="shared" si="13"/>
        <v>1.6844191688610178E-3</v>
      </c>
      <c r="AG23" s="299">
        <f t="shared" si="13"/>
        <v>1.6844191688610178E-3</v>
      </c>
      <c r="AH23" s="299">
        <f t="shared" si="13"/>
        <v>1.6844191688610178E-3</v>
      </c>
      <c r="AI23" s="299">
        <f t="shared" si="13"/>
        <v>1.6081511942711612E-3</v>
      </c>
      <c r="AJ23" s="299">
        <f t="shared" si="13"/>
        <v>1.5656516817372324E-3</v>
      </c>
      <c r="AK23" s="299">
        <f t="shared" si="13"/>
        <v>1.5050167719520395E-3</v>
      </c>
      <c r="AL23" s="299">
        <f t="shared" si="13"/>
        <v>1.4245456774636337E-3</v>
      </c>
      <c r="AM23" s="299">
        <f t="shared" si="13"/>
        <v>1.3274207465325371E-3</v>
      </c>
      <c r="AN23" s="299">
        <f t="shared" si="13"/>
        <v>1.2227727333310693E-3</v>
      </c>
      <c r="AO23" s="299">
        <f t="shared" si="13"/>
        <v>1.1229461125740118E-3</v>
      </c>
      <c r="AP23" s="299">
        <f t="shared" si="13"/>
        <v>1.0381888386769397E-3</v>
      </c>
      <c r="AQ23" s="299">
        <f t="shared" si="13"/>
        <v>9.7305728971581172E-4</v>
      </c>
      <c r="AR23" s="299">
        <f t="shared" si="13"/>
        <v>9.2674010937286093E-4</v>
      </c>
      <c r="AS23" s="299">
        <f t="shared" si="10"/>
        <v>8.9558793374562345E-4</v>
      </c>
      <c r="AT23" s="299">
        <f t="shared" si="4"/>
        <v>8.7541321090334938E-4</v>
      </c>
      <c r="AU23" s="299">
        <f t="shared" si="4"/>
        <v>8.6266592685123626E-4</v>
      </c>
      <c r="AV23" s="299">
        <f t="shared" si="4"/>
        <v>8.5473670418283946E-4</v>
      </c>
      <c r="AW23" s="299">
        <f t="shared" si="4"/>
        <v>8.4985239624836377E-4</v>
      </c>
      <c r="AX23" s="299">
        <f t="shared" si="4"/>
        <v>8.4686179541162314E-4</v>
      </c>
      <c r="AY23" s="299">
        <f t="shared" si="4"/>
        <v>8.4503743923362395E-4</v>
      </c>
      <c r="AZ23" s="298">
        <f t="shared" si="14"/>
        <v>9.3249087757602447E-2</v>
      </c>
      <c r="BA23" s="1">
        <f t="shared" si="14"/>
        <v>9.3249087757602447E-2</v>
      </c>
      <c r="BB23" s="1">
        <f t="shared" si="14"/>
        <v>9.3249087757602447E-2</v>
      </c>
      <c r="BC23" s="1">
        <f t="shared" si="14"/>
        <v>9.3249087757602447E-2</v>
      </c>
      <c r="BD23" s="1">
        <f t="shared" si="14"/>
        <v>9.3249087757602447E-2</v>
      </c>
      <c r="BE23" s="1">
        <f t="shared" si="14"/>
        <v>8.9026908868227117E-2</v>
      </c>
      <c r="BF23" s="1">
        <f t="shared" si="14"/>
        <v>8.6674144872664532E-2</v>
      </c>
      <c r="BG23" s="1">
        <f t="shared" si="14"/>
        <v>8.3317409133568776E-2</v>
      </c>
      <c r="BH23" s="1">
        <f t="shared" si="14"/>
        <v>7.8862546418503807E-2</v>
      </c>
      <c r="BI23" s="1">
        <f t="shared" si="14"/>
        <v>7.3485730851883882E-2</v>
      </c>
      <c r="BJ23" s="1">
        <f t="shared" si="14"/>
        <v>6.7692439047159964E-2</v>
      </c>
      <c r="BK23" s="1">
        <f t="shared" si="14"/>
        <v>6.2166058505068296E-2</v>
      </c>
      <c r="BL23" s="1">
        <f t="shared" si="14"/>
        <v>5.7473913807458685E-2</v>
      </c>
      <c r="BM23" s="1">
        <f t="shared" si="14"/>
        <v>5.3868245077761424E-2</v>
      </c>
      <c r="BN23" s="1">
        <f t="shared" si="14"/>
        <v>5.1304135802393236E-2</v>
      </c>
      <c r="BO23" s="1">
        <f t="shared" si="11"/>
        <v>4.957955797010178E-2</v>
      </c>
      <c r="BP23" s="1">
        <f t="shared" si="6"/>
        <v>4.8462689594591296E-2</v>
      </c>
      <c r="BQ23" s="1">
        <f t="shared" si="6"/>
        <v>4.7757002654415744E-2</v>
      </c>
      <c r="BR23" s="1">
        <f t="shared" si="6"/>
        <v>4.7318042570059261E-2</v>
      </c>
      <c r="BS23" s="1">
        <f t="shared" si="6"/>
        <v>4.7047648319247543E-2</v>
      </c>
      <c r="BT23" s="1">
        <f t="shared" si="6"/>
        <v>4.6882089291525389E-2</v>
      </c>
      <c r="BU23" s="1">
        <f t="shared" si="6"/>
        <v>4.6781093320636263E-2</v>
      </c>
    </row>
    <row r="24" spans="1:73" x14ac:dyDescent="0.25">
      <c r="A24" s="1" t="s">
        <v>19</v>
      </c>
      <c r="B24" s="1" t="s">
        <v>5</v>
      </c>
      <c r="C24" s="1" t="s">
        <v>13</v>
      </c>
      <c r="D24" s="1" t="s">
        <v>13</v>
      </c>
      <c r="E24" s="5">
        <v>8.3490000000000002</v>
      </c>
      <c r="F24" s="1">
        <f t="shared" si="7"/>
        <v>2.0455049999999999E-2</v>
      </c>
      <c r="G24" s="1">
        <f>LOOKUP(RIGHT(D24,5),Ref!$C$4:$C$21,Ref!$E$4:$E$21)*$G$3</f>
        <v>1.5</v>
      </c>
      <c r="H24" s="297">
        <f t="shared" si="12"/>
        <v>8.3490000000000002</v>
      </c>
      <c r="I24" s="5">
        <f t="shared" si="12"/>
        <v>8.3490000000000002</v>
      </c>
      <c r="J24" s="5">
        <f t="shared" si="12"/>
        <v>8.3490000000000002</v>
      </c>
      <c r="K24" s="5">
        <f t="shared" si="12"/>
        <v>8.3490000000000002</v>
      </c>
      <c r="L24" s="5">
        <f t="shared" si="12"/>
        <v>8.3490000000000002</v>
      </c>
      <c r="M24" s="5">
        <f t="shared" si="8"/>
        <v>8.7449586151595042</v>
      </c>
      <c r="N24" s="5">
        <f t="shared" si="8"/>
        <v>8.9823399449973618</v>
      </c>
      <c r="O24" s="5">
        <f t="shared" si="8"/>
        <v>9.3442251959626592</v>
      </c>
      <c r="P24" s="5">
        <f t="shared" si="8"/>
        <v>9.8720706982592699</v>
      </c>
      <c r="Q24" s="5">
        <f t="shared" si="8"/>
        <v>10.594391927018091</v>
      </c>
      <c r="R24" s="5">
        <f t="shared" si="8"/>
        <v>11.501087043795717</v>
      </c>
      <c r="S24" s="5">
        <f t="shared" si="8"/>
        <v>12.5235</v>
      </c>
      <c r="T24" s="5">
        <f t="shared" si="8"/>
        <v>13.545912956204283</v>
      </c>
      <c r="U24" s="5">
        <f t="shared" si="8"/>
        <v>14.45260807298191</v>
      </c>
      <c r="V24" s="5">
        <f t="shared" si="8"/>
        <v>15.174929301740731</v>
      </c>
      <c r="W24" s="5">
        <f t="shared" si="8"/>
        <v>15.70277480403734</v>
      </c>
      <c r="X24" s="5">
        <f t="shared" si="8"/>
        <v>16.064660055002641</v>
      </c>
      <c r="Y24" s="5">
        <f t="shared" si="8"/>
        <v>16.302041384840496</v>
      </c>
      <c r="Z24" s="5">
        <f t="shared" si="8"/>
        <v>16.453272185456928</v>
      </c>
      <c r="AA24" s="5">
        <f t="shared" si="8"/>
        <v>16.547833133026497</v>
      </c>
      <c r="AB24" s="5">
        <f t="shared" si="8"/>
        <v>16.606270015977177</v>
      </c>
      <c r="AC24" s="5">
        <f t="shared" si="9"/>
        <v>16.642121387633146</v>
      </c>
      <c r="AD24" s="300">
        <f t="shared" si="13"/>
        <v>1.6461369150232673E-3</v>
      </c>
      <c r="AE24" s="299">
        <f t="shared" si="13"/>
        <v>1.6461369150232673E-3</v>
      </c>
      <c r="AF24" s="299">
        <f t="shared" si="13"/>
        <v>1.6461369150232673E-3</v>
      </c>
      <c r="AG24" s="299">
        <f t="shared" si="13"/>
        <v>1.6461369150232673E-3</v>
      </c>
      <c r="AH24" s="299">
        <f t="shared" si="13"/>
        <v>1.6461369150232673E-3</v>
      </c>
      <c r="AI24" s="299">
        <f t="shared" si="13"/>
        <v>1.5716023034922713E-3</v>
      </c>
      <c r="AJ24" s="299">
        <f t="shared" si="13"/>
        <v>1.5300686889704769E-3</v>
      </c>
      <c r="AK24" s="299">
        <f t="shared" si="13"/>
        <v>1.4708118453167661E-3</v>
      </c>
      <c r="AL24" s="299">
        <f t="shared" si="13"/>
        <v>1.39216963933946E-3</v>
      </c>
      <c r="AM24" s="299">
        <f t="shared" si="13"/>
        <v>1.2972520932022522E-3</v>
      </c>
      <c r="AN24" s="299">
        <f t="shared" si="13"/>
        <v>1.1949824439371815E-3</v>
      </c>
      <c r="AO24" s="299">
        <f t="shared" si="13"/>
        <v>1.0974246100155117E-3</v>
      </c>
      <c r="AP24" s="299">
        <f t="shared" si="13"/>
        <v>1.0145936377979185E-3</v>
      </c>
      <c r="AQ24" s="299">
        <f t="shared" si="13"/>
        <v>9.5094235131317959E-4</v>
      </c>
      <c r="AR24" s="299">
        <f t="shared" si="13"/>
        <v>9.0567783415984138E-4</v>
      </c>
      <c r="AS24" s="299">
        <f t="shared" si="10"/>
        <v>8.7523366252413202E-4</v>
      </c>
      <c r="AT24" s="299">
        <f t="shared" si="4"/>
        <v>8.555174561100914E-4</v>
      </c>
      <c r="AU24" s="299">
        <f t="shared" si="4"/>
        <v>8.4305988305916275E-4</v>
      </c>
      <c r="AV24" s="299">
        <f t="shared" si="4"/>
        <v>8.3531086999686581E-4</v>
      </c>
      <c r="AW24" s="299">
        <f t="shared" si="4"/>
        <v>8.3053756906090095E-4</v>
      </c>
      <c r="AX24" s="299">
        <f t="shared" si="4"/>
        <v>8.2761493642499544E-4</v>
      </c>
      <c r="AY24" s="299">
        <f t="shared" si="4"/>
        <v>8.2583204288740519E-4</v>
      </c>
      <c r="AZ24" s="298">
        <f t="shared" si="14"/>
        <v>9.1129790308566022E-2</v>
      </c>
      <c r="BA24" s="1">
        <f t="shared" si="14"/>
        <v>9.1129790308566022E-2</v>
      </c>
      <c r="BB24" s="1">
        <f t="shared" si="14"/>
        <v>9.1129790308566022E-2</v>
      </c>
      <c r="BC24" s="1">
        <f t="shared" si="14"/>
        <v>9.1129790308566022E-2</v>
      </c>
      <c r="BD24" s="1">
        <f t="shared" si="14"/>
        <v>9.1129790308566022E-2</v>
      </c>
      <c r="BE24" s="1">
        <f t="shared" si="14"/>
        <v>8.7003570030312866E-2</v>
      </c>
      <c r="BF24" s="1">
        <f t="shared" si="14"/>
        <v>8.470427794374033E-2</v>
      </c>
      <c r="BG24" s="1">
        <f t="shared" si="14"/>
        <v>8.1423831653260406E-2</v>
      </c>
      <c r="BH24" s="1">
        <f t="shared" si="14"/>
        <v>7.7070215818083251E-2</v>
      </c>
      <c r="BI24" s="1">
        <f t="shared" si="14"/>
        <v>7.1815600605250163E-2</v>
      </c>
      <c r="BJ24" s="1">
        <f t="shared" si="14"/>
        <v>6.6153974523360873E-2</v>
      </c>
      <c r="BK24" s="1">
        <f t="shared" si="14"/>
        <v>6.0753193539044015E-2</v>
      </c>
      <c r="BL24" s="1">
        <f t="shared" si="14"/>
        <v>5.6167688493652806E-2</v>
      </c>
      <c r="BM24" s="1">
        <f t="shared" si="14"/>
        <v>5.2643966780539578E-2</v>
      </c>
      <c r="BN24" s="1">
        <f t="shared" si="14"/>
        <v>5.0138132715975212E-2</v>
      </c>
      <c r="BO24" s="1">
        <f t="shared" si="11"/>
        <v>4.8452749834417642E-2</v>
      </c>
      <c r="BP24" s="1">
        <f t="shared" si="6"/>
        <v>4.7361264831077853E-2</v>
      </c>
      <c r="BQ24" s="1">
        <f t="shared" si="6"/>
        <v>4.6671616230451747E-2</v>
      </c>
      <c r="BR24" s="1">
        <f t="shared" si="6"/>
        <v>4.6242632511648819E-2</v>
      </c>
      <c r="BS24" s="1">
        <f t="shared" si="6"/>
        <v>4.5978383584719187E-2</v>
      </c>
      <c r="BT24" s="1">
        <f t="shared" si="6"/>
        <v>4.581658726217254E-2</v>
      </c>
      <c r="BU24" s="1">
        <f t="shared" si="6"/>
        <v>4.5717886654258161E-2</v>
      </c>
    </row>
    <row r="25" spans="1:73" x14ac:dyDescent="0.25">
      <c r="A25" s="1" t="s">
        <v>19</v>
      </c>
      <c r="B25" s="1" t="s">
        <v>5</v>
      </c>
      <c r="C25" s="1" t="s">
        <v>14</v>
      </c>
      <c r="D25" s="1" t="s">
        <v>14</v>
      </c>
      <c r="E25" s="5">
        <v>7.7137500000000001</v>
      </c>
      <c r="F25" s="1">
        <f t="shared" si="7"/>
        <v>1.8898687500000001E-2</v>
      </c>
      <c r="G25" s="1">
        <f>LOOKUP(RIGHT(D25,5),Ref!$C$4:$C$21,Ref!$E$4:$E$21)*$G$3</f>
        <v>2</v>
      </c>
      <c r="H25" s="297">
        <f t="shared" si="12"/>
        <v>7.7137500000000001</v>
      </c>
      <c r="I25" s="5">
        <f t="shared" si="12"/>
        <v>7.7137500000000001</v>
      </c>
      <c r="J25" s="5">
        <f t="shared" si="12"/>
        <v>7.7137500000000001</v>
      </c>
      <c r="K25" s="5">
        <f t="shared" si="12"/>
        <v>7.7137500000000001</v>
      </c>
      <c r="L25" s="5">
        <f t="shared" si="12"/>
        <v>7.7137500000000001</v>
      </c>
      <c r="M25" s="5">
        <f t="shared" si="8"/>
        <v>8.0795813292234548</v>
      </c>
      <c r="N25" s="5">
        <f t="shared" si="8"/>
        <v>8.2989010361388669</v>
      </c>
      <c r="O25" s="5">
        <f t="shared" si="8"/>
        <v>8.6332515397481089</v>
      </c>
      <c r="P25" s="5">
        <f t="shared" si="8"/>
        <v>9.1209348842612812</v>
      </c>
      <c r="Q25" s="5">
        <f t="shared" si="8"/>
        <v>9.7882968890928002</v>
      </c>
      <c r="R25" s="5">
        <f t="shared" si="8"/>
        <v>10.626004333941696</v>
      </c>
      <c r="S25" s="5">
        <f t="shared" si="8"/>
        <v>11.570625</v>
      </c>
      <c r="T25" s="5">
        <f t="shared" si="8"/>
        <v>12.515245666058306</v>
      </c>
      <c r="U25" s="5">
        <f t="shared" si="8"/>
        <v>13.352953110907199</v>
      </c>
      <c r="V25" s="5">
        <f t="shared" si="8"/>
        <v>14.020315115738718</v>
      </c>
      <c r="W25" s="5">
        <f t="shared" si="8"/>
        <v>14.507998460251889</v>
      </c>
      <c r="X25" s="5">
        <f t="shared" si="8"/>
        <v>14.842348963861134</v>
      </c>
      <c r="Y25" s="5">
        <f t="shared" si="8"/>
        <v>15.061668670776545</v>
      </c>
      <c r="Z25" s="5">
        <f t="shared" si="8"/>
        <v>15.201392780041726</v>
      </c>
      <c r="AA25" s="5">
        <f t="shared" si="8"/>
        <v>15.288758872904916</v>
      </c>
      <c r="AB25" s="5">
        <f t="shared" si="8"/>
        <v>15.342749471283263</v>
      </c>
      <c r="AC25" s="5">
        <f t="shared" si="9"/>
        <v>15.375873021182798</v>
      </c>
      <c r="AD25" s="300">
        <f t="shared" si="13"/>
        <v>1.7817011315545952E-3</v>
      </c>
      <c r="AE25" s="299">
        <f t="shared" si="13"/>
        <v>1.7817011315545952E-3</v>
      </c>
      <c r="AF25" s="299">
        <f t="shared" si="13"/>
        <v>1.7817011315545952E-3</v>
      </c>
      <c r="AG25" s="299">
        <f t="shared" si="13"/>
        <v>1.7817011315545952E-3</v>
      </c>
      <c r="AH25" s="299">
        <f t="shared" si="13"/>
        <v>1.7817011315545952E-3</v>
      </c>
      <c r="AI25" s="299">
        <f t="shared" si="13"/>
        <v>1.701028375544576E-3</v>
      </c>
      <c r="AJ25" s="299">
        <f t="shared" si="13"/>
        <v>1.6560743457092221E-3</v>
      </c>
      <c r="AK25" s="299">
        <f t="shared" si="13"/>
        <v>1.591937526695794E-3</v>
      </c>
      <c r="AL25" s="299">
        <f t="shared" si="13"/>
        <v>1.5068189037556511E-3</v>
      </c>
      <c r="AM25" s="299">
        <f t="shared" si="13"/>
        <v>1.4040846185247907E-3</v>
      </c>
      <c r="AN25" s="299">
        <f t="shared" si="13"/>
        <v>1.2933927628496552E-3</v>
      </c>
      <c r="AO25" s="299">
        <f t="shared" si="13"/>
        <v>1.1878007543697302E-3</v>
      </c>
      <c r="AP25" s="299">
        <f t="shared" si="13"/>
        <v>1.0981484079695117E-3</v>
      </c>
      <c r="AQ25" s="299">
        <f t="shared" si="13"/>
        <v>1.0292552508330886E-3</v>
      </c>
      <c r="AR25" s="299">
        <f t="shared" si="13"/>
        <v>9.8026306756124012E-4</v>
      </c>
      <c r="AS25" s="299">
        <f t="shared" si="10"/>
        <v>9.4731172884964876E-4</v>
      </c>
      <c r="AT25" s="299">
        <f t="shared" si="4"/>
        <v>9.2597183484856955E-4</v>
      </c>
      <c r="AU25" s="299">
        <f t="shared" si="4"/>
        <v>9.1248834401697618E-4</v>
      </c>
      <c r="AV25" s="299">
        <f t="shared" si="4"/>
        <v>9.0410117693778423E-4</v>
      </c>
      <c r="AW25" s="299">
        <f t="shared" si="4"/>
        <v>8.9893478063062221E-4</v>
      </c>
      <c r="AX25" s="299">
        <f t="shared" si="4"/>
        <v>8.9577146060117153E-4</v>
      </c>
      <c r="AY25" s="299">
        <f t="shared" si="4"/>
        <v>8.9384174053695623E-4</v>
      </c>
      <c r="AZ25" s="298">
        <f t="shared" si="14"/>
        <v>9.8634596569271468E-2</v>
      </c>
      <c r="BA25" s="1">
        <f t="shared" si="14"/>
        <v>9.8634596569271468E-2</v>
      </c>
      <c r="BB25" s="1">
        <f t="shared" si="14"/>
        <v>9.8634596569271468E-2</v>
      </c>
      <c r="BC25" s="1">
        <f t="shared" si="14"/>
        <v>9.8634596569271468E-2</v>
      </c>
      <c r="BD25" s="1">
        <f t="shared" si="14"/>
        <v>9.8634596569271468E-2</v>
      </c>
      <c r="BE25" s="1">
        <f t="shared" si="14"/>
        <v>9.4168569915162162E-2</v>
      </c>
      <c r="BF25" s="1">
        <f t="shared" si="14"/>
        <v>9.1679924362636597E-2</v>
      </c>
      <c r="BG25" s="1">
        <f t="shared" si="14"/>
        <v>8.8129323671764209E-2</v>
      </c>
      <c r="BH25" s="1">
        <f t="shared" si="14"/>
        <v>8.3417174767807759E-2</v>
      </c>
      <c r="BI25" s="1">
        <f t="shared" si="14"/>
        <v>7.7729826537447241E-2</v>
      </c>
      <c r="BJ25" s="1">
        <f t="shared" si="14"/>
        <v>7.1601948895872944E-2</v>
      </c>
      <c r="BK25" s="1">
        <f t="shared" si="14"/>
        <v>6.575639771284765E-2</v>
      </c>
      <c r="BL25" s="1">
        <f t="shared" si="14"/>
        <v>6.0793262840188919E-2</v>
      </c>
      <c r="BM25" s="1">
        <f t="shared" si="14"/>
        <v>5.6979352280113423E-2</v>
      </c>
      <c r="BN25" s="1">
        <f t="shared" si="14"/>
        <v>5.4267155410231992E-2</v>
      </c>
      <c r="BO25" s="1">
        <f t="shared" si="11"/>
        <v>5.2442976291369688E-2</v>
      </c>
      <c r="BP25" s="1">
        <f t="shared" si="6"/>
        <v>5.1261604287754857E-2</v>
      </c>
      <c r="BQ25" s="1">
        <f t="shared" si="6"/>
        <v>5.0515161096488952E-2</v>
      </c>
      <c r="BR25" s="1">
        <f t="shared" si="6"/>
        <v>5.0050849306725785E-2</v>
      </c>
      <c r="BS25" s="1">
        <f t="shared" si="6"/>
        <v>4.9764838703460768E-2</v>
      </c>
      <c r="BT25" s="1">
        <f t="shared" si="6"/>
        <v>4.9589717977880865E-2</v>
      </c>
      <c r="BU25" s="1">
        <f t="shared" si="6"/>
        <v>4.9482889084608836E-2</v>
      </c>
    </row>
    <row r="26" spans="1:73" x14ac:dyDescent="0.25">
      <c r="A26" s="1" t="s">
        <v>19</v>
      </c>
      <c r="B26" s="1" t="s">
        <v>5</v>
      </c>
      <c r="C26" s="1" t="s">
        <v>15</v>
      </c>
      <c r="D26" s="1" t="s">
        <v>15</v>
      </c>
      <c r="E26" s="5">
        <v>8.0519999999999996</v>
      </c>
      <c r="F26" s="1">
        <f t="shared" si="7"/>
        <v>1.9727399999999999E-2</v>
      </c>
      <c r="G26" s="1">
        <f>LOOKUP(RIGHT(D26,5),Ref!$C$4:$C$21,Ref!$E$4:$E$21)*$G$3</f>
        <v>2.5</v>
      </c>
      <c r="H26" s="297">
        <f t="shared" si="12"/>
        <v>8.0519999999999996</v>
      </c>
      <c r="I26" s="5">
        <f t="shared" si="12"/>
        <v>8.0519999999999996</v>
      </c>
      <c r="J26" s="5">
        <f t="shared" si="12"/>
        <v>8.0519999999999996</v>
      </c>
      <c r="K26" s="5">
        <f t="shared" si="12"/>
        <v>8.0519999999999996</v>
      </c>
      <c r="L26" s="5">
        <f t="shared" si="12"/>
        <v>8.0519999999999996</v>
      </c>
      <c r="M26" s="5">
        <f t="shared" si="8"/>
        <v>8.4338731308257664</v>
      </c>
      <c r="N26" s="5">
        <f t="shared" si="8"/>
        <v>8.6628100655310512</v>
      </c>
      <c r="O26" s="5">
        <f t="shared" si="8"/>
        <v>9.0118219281220906</v>
      </c>
      <c r="P26" s="5">
        <f t="shared" si="8"/>
        <v>9.5208903176887816</v>
      </c>
      <c r="Q26" s="5">
        <f t="shared" si="8"/>
        <v>10.217516324871202</v>
      </c>
      <c r="R26" s="5">
        <f t="shared" si="8"/>
        <v>11.091957465162666</v>
      </c>
      <c r="S26" s="5">
        <f t="shared" si="8"/>
        <v>12.077999999999999</v>
      </c>
      <c r="T26" s="5">
        <f t="shared" si="8"/>
        <v>13.064042534837332</v>
      </c>
      <c r="U26" s="5">
        <f t="shared" si="8"/>
        <v>13.938483675128797</v>
      </c>
      <c r="V26" s="5">
        <f t="shared" si="8"/>
        <v>14.635109682311217</v>
      </c>
      <c r="W26" s="5">
        <f t="shared" si="8"/>
        <v>15.144178071877906</v>
      </c>
      <c r="X26" s="5">
        <f t="shared" si="8"/>
        <v>15.493189934468948</v>
      </c>
      <c r="Y26" s="5">
        <f t="shared" si="8"/>
        <v>15.722126869174232</v>
      </c>
      <c r="Z26" s="5">
        <f t="shared" si="8"/>
        <v>15.867977917990078</v>
      </c>
      <c r="AA26" s="5">
        <f t="shared" si="8"/>
        <v>15.959175037385238</v>
      </c>
      <c r="AB26" s="5">
        <f t="shared" si="8"/>
        <v>16.015533137938462</v>
      </c>
      <c r="AC26" s="5">
        <f t="shared" si="9"/>
        <v>16.050109164357657</v>
      </c>
      <c r="AD26" s="300">
        <f t="shared" si="13"/>
        <v>1.7068550799216667E-3</v>
      </c>
      <c r="AE26" s="299">
        <f t="shared" si="13"/>
        <v>1.7068550799216667E-3</v>
      </c>
      <c r="AF26" s="299">
        <f t="shared" si="13"/>
        <v>1.7068550799216667E-3</v>
      </c>
      <c r="AG26" s="299">
        <f t="shared" si="13"/>
        <v>1.7068550799216667E-3</v>
      </c>
      <c r="AH26" s="299">
        <f t="shared" si="13"/>
        <v>1.7068550799216667E-3</v>
      </c>
      <c r="AI26" s="299">
        <f t="shared" si="13"/>
        <v>1.6295712409161666E-3</v>
      </c>
      <c r="AJ26" s="299">
        <f t="shared" si="13"/>
        <v>1.5865056488095521E-3</v>
      </c>
      <c r="AK26" s="299">
        <f t="shared" si="13"/>
        <v>1.525063101906319E-3</v>
      </c>
      <c r="AL26" s="299">
        <f t="shared" si="13"/>
        <v>1.4435201588232926E-3</v>
      </c>
      <c r="AM26" s="299">
        <f t="shared" si="13"/>
        <v>1.3451015556564336E-3</v>
      </c>
      <c r="AN26" s="299">
        <f t="shared" si="13"/>
        <v>1.2390596652299465E-3</v>
      </c>
      <c r="AO26" s="299">
        <f t="shared" si="13"/>
        <v>1.1379033866144445E-3</v>
      </c>
      <c r="AP26" s="299">
        <f t="shared" si="13"/>
        <v>1.0520171736183334E-3</v>
      </c>
      <c r="AQ26" s="299">
        <f t="shared" si="13"/>
        <v>9.8601809377964937E-4</v>
      </c>
      <c r="AR26" s="299">
        <f t="shared" si="13"/>
        <v>9.3908398378049138E-4</v>
      </c>
      <c r="AS26" s="299">
        <f t="shared" si="10"/>
        <v>9.0751687138772709E-4</v>
      </c>
      <c r="AT26" s="299">
        <f t="shared" si="4"/>
        <v>8.8707342785185718E-4</v>
      </c>
      <c r="AU26" s="299">
        <f t="shared" si="4"/>
        <v>8.7415635415560725E-4</v>
      </c>
      <c r="AV26" s="299">
        <f t="shared" si="4"/>
        <v>8.6612151684101256E-4</v>
      </c>
      <c r="AW26" s="299">
        <f t="shared" si="4"/>
        <v>8.6117215152626213E-4</v>
      </c>
      <c r="AX26" s="299">
        <f t="shared" si="4"/>
        <v>8.5814171686690111E-4</v>
      </c>
      <c r="AY26" s="299">
        <f t="shared" si="4"/>
        <v>8.5629306086276041E-4</v>
      </c>
      <c r="AZ26" s="298">
        <f t="shared" si="14"/>
        <v>9.4491135033062321E-2</v>
      </c>
      <c r="BA26" s="1">
        <f t="shared" si="14"/>
        <v>9.4491135033062321E-2</v>
      </c>
      <c r="BB26" s="1">
        <f t="shared" si="14"/>
        <v>9.4491135033062321E-2</v>
      </c>
      <c r="BC26" s="1">
        <f t="shared" si="14"/>
        <v>9.4491135033062321E-2</v>
      </c>
      <c r="BD26" s="1">
        <f t="shared" si="14"/>
        <v>9.4491135033062321E-2</v>
      </c>
      <c r="BE26" s="1">
        <f t="shared" si="14"/>
        <v>9.021271810520147E-2</v>
      </c>
      <c r="BF26" s="1">
        <f t="shared" si="14"/>
        <v>8.7828616064616019E-2</v>
      </c>
      <c r="BG26" s="1">
        <f t="shared" si="14"/>
        <v>8.4427169706044594E-2</v>
      </c>
      <c r="BH26" s="1">
        <f t="shared" si="14"/>
        <v>7.9912969680225668E-2</v>
      </c>
      <c r="BI26" s="1">
        <f t="shared" si="14"/>
        <v>7.4464536693148731E-2</v>
      </c>
      <c r="BJ26" s="1">
        <f t="shared" si="14"/>
        <v>6.8594080141025845E-2</v>
      </c>
      <c r="BK26" s="1">
        <f t="shared" si="14"/>
        <v>6.2994090022041552E-2</v>
      </c>
      <c r="BL26" s="1">
        <f t="shared" si="14"/>
        <v>5.8239447495467868E-2</v>
      </c>
      <c r="BM26" s="1">
        <f t="shared" si="14"/>
        <v>5.4585752440477517E-2</v>
      </c>
      <c r="BN26" s="1">
        <f t="shared" si="14"/>
        <v>5.1987490070252988E-2</v>
      </c>
      <c r="BO26" s="1">
        <f t="shared" si="11"/>
        <v>5.0239941426670764E-2</v>
      </c>
      <c r="BP26" s="1">
        <f t="shared" si="6"/>
        <v>4.9108196730584829E-2</v>
      </c>
      <c r="BQ26" s="1">
        <f t="shared" si="6"/>
        <v>4.8393110271738905E-2</v>
      </c>
      <c r="BR26" s="1">
        <f t="shared" si="6"/>
        <v>4.7948303382980138E-2</v>
      </c>
      <c r="BS26" s="1">
        <f t="shared" si="6"/>
        <v>4.7674307569401456E-2</v>
      </c>
      <c r="BT26" s="1">
        <f t="shared" si="6"/>
        <v>4.7506543349711695E-2</v>
      </c>
      <c r="BU26" s="1">
        <f t="shared" si="6"/>
        <v>4.7404202145603758E-2</v>
      </c>
    </row>
    <row r="27" spans="1:73" x14ac:dyDescent="0.25">
      <c r="A27" s="1" t="s">
        <v>19</v>
      </c>
      <c r="B27" s="1" t="s">
        <v>5</v>
      </c>
      <c r="C27" s="1" t="s">
        <v>16</v>
      </c>
      <c r="D27" s="1" t="s">
        <v>16</v>
      </c>
      <c r="E27" s="5">
        <v>7.5075000000000003</v>
      </c>
      <c r="F27" s="1">
        <f t="shared" si="7"/>
        <v>1.8393375E-2</v>
      </c>
      <c r="G27" s="1">
        <f>LOOKUP(RIGHT(D27,5),Ref!$C$4:$C$21,Ref!$E$4:$E$21)*$G$3</f>
        <v>3</v>
      </c>
      <c r="H27" s="297">
        <f t="shared" si="12"/>
        <v>7.5075000000000003</v>
      </c>
      <c r="I27" s="5">
        <f t="shared" si="12"/>
        <v>7.5075000000000003</v>
      </c>
      <c r="J27" s="5">
        <f t="shared" si="12"/>
        <v>7.5075000000000003</v>
      </c>
      <c r="K27" s="5">
        <f t="shared" si="12"/>
        <v>7.5075000000000003</v>
      </c>
      <c r="L27" s="5">
        <f t="shared" si="12"/>
        <v>7.5075000000000003</v>
      </c>
      <c r="M27" s="5">
        <f t="shared" si="8"/>
        <v>7.8635497428805827</v>
      </c>
      <c r="N27" s="5">
        <f t="shared" si="8"/>
        <v>8.0770052865094861</v>
      </c>
      <c r="O27" s="5">
        <f t="shared" si="8"/>
        <v>8.4024159370810487</v>
      </c>
      <c r="P27" s="5">
        <f t="shared" si="8"/>
        <v>8.8770596199762206</v>
      </c>
      <c r="Q27" s="5">
        <f t="shared" si="8"/>
        <v>9.52657772093524</v>
      </c>
      <c r="R27" s="5">
        <f t="shared" si="8"/>
        <v>10.341886571002078</v>
      </c>
      <c r="S27" s="5">
        <f t="shared" si="8"/>
        <v>11.26125</v>
      </c>
      <c r="T27" s="5">
        <f t="shared" si="8"/>
        <v>12.180613428997923</v>
      </c>
      <c r="U27" s="5">
        <f t="shared" si="8"/>
        <v>12.995922279064761</v>
      </c>
      <c r="V27" s="5">
        <f t="shared" si="8"/>
        <v>13.64544038002378</v>
      </c>
      <c r="W27" s="5">
        <f t="shared" si="8"/>
        <v>14.12008406291895</v>
      </c>
      <c r="X27" s="5">
        <f t="shared" si="8"/>
        <v>14.445494713490515</v>
      </c>
      <c r="Y27" s="5">
        <f t="shared" si="8"/>
        <v>14.658950257119418</v>
      </c>
      <c r="Z27" s="5">
        <f t="shared" si="8"/>
        <v>14.794938427634193</v>
      </c>
      <c r="AA27" s="5">
        <f t="shared" si="8"/>
        <v>14.879968528709599</v>
      </c>
      <c r="AB27" s="5">
        <f t="shared" si="8"/>
        <v>14.932515528200822</v>
      </c>
      <c r="AC27" s="5">
        <f t="shared" si="9"/>
        <v>14.964753421685932</v>
      </c>
      <c r="AD27" s="300">
        <f t="shared" si="13"/>
        <v>1.8306489648390622E-3</v>
      </c>
      <c r="AE27" s="299">
        <f t="shared" si="13"/>
        <v>1.8306489648390622E-3</v>
      </c>
      <c r="AF27" s="299">
        <f t="shared" si="13"/>
        <v>1.8306489648390622E-3</v>
      </c>
      <c r="AG27" s="299">
        <f t="shared" si="13"/>
        <v>1.8306489648390622E-3</v>
      </c>
      <c r="AH27" s="299">
        <f t="shared" si="13"/>
        <v>1.8306489648390622E-3</v>
      </c>
      <c r="AI27" s="299">
        <f t="shared" si="13"/>
        <v>1.7477599243232729E-3</v>
      </c>
      <c r="AJ27" s="299">
        <f t="shared" si="13"/>
        <v>1.7015708936682665E-3</v>
      </c>
      <c r="AK27" s="299">
        <f t="shared" si="13"/>
        <v>1.6356720741324913E-3</v>
      </c>
      <c r="AL27" s="299">
        <f t="shared" si="13"/>
        <v>1.5482150274852018E-3</v>
      </c>
      <c r="AM27" s="299">
        <f t="shared" si="13"/>
        <v>1.4426583717809661E-3</v>
      </c>
      <c r="AN27" s="299">
        <f t="shared" si="13"/>
        <v>1.3289255310598106E-3</v>
      </c>
      <c r="AO27" s="299">
        <f t="shared" si="13"/>
        <v>1.2204326432260415E-3</v>
      </c>
      <c r="AP27" s="299">
        <f t="shared" si="13"/>
        <v>1.1283173202763664E-3</v>
      </c>
      <c r="AQ27" s="299">
        <f t="shared" si="13"/>
        <v>1.0575314939878437E-3</v>
      </c>
      <c r="AR27" s="299">
        <f t="shared" si="13"/>
        <v>1.0071933716151204E-3</v>
      </c>
      <c r="AS27" s="299">
        <f t="shared" si="10"/>
        <v>9.7333677634551825E-4</v>
      </c>
      <c r="AT27" s="299">
        <f t="shared" si="4"/>
        <v>9.5141062152023358E-4</v>
      </c>
      <c r="AU27" s="299">
        <f t="shared" si="4"/>
        <v>9.3755670511634366E-4</v>
      </c>
      <c r="AV27" s="299">
        <f t="shared" si="4"/>
        <v>9.2893912135915194E-4</v>
      </c>
      <c r="AW27" s="299">
        <f t="shared" si="4"/>
        <v>9.236307910875074E-4</v>
      </c>
      <c r="AX27" s="299">
        <f t="shared" si="4"/>
        <v>9.2038056666164322E-4</v>
      </c>
      <c r="AY27" s="299">
        <f t="shared" si="4"/>
        <v>9.1839783230994953E-4</v>
      </c>
      <c r="AZ27" s="298">
        <f t="shared" si="14"/>
        <v>0.10134433823326244</v>
      </c>
      <c r="BA27" s="1">
        <f t="shared" si="14"/>
        <v>0.10134433823326244</v>
      </c>
      <c r="BB27" s="1">
        <f t="shared" si="14"/>
        <v>0.10134433823326244</v>
      </c>
      <c r="BC27" s="1">
        <f t="shared" si="14"/>
        <v>0.10134433823326244</v>
      </c>
      <c r="BD27" s="1">
        <f t="shared" si="14"/>
        <v>0.10134433823326244</v>
      </c>
      <c r="BE27" s="1">
        <f t="shared" si="14"/>
        <v>9.6755618539205071E-2</v>
      </c>
      <c r="BF27" s="1">
        <f t="shared" si="14"/>
        <v>9.4198603603368361E-2</v>
      </c>
      <c r="BG27" s="1">
        <f t="shared" si="14"/>
        <v>9.0550458937471989E-2</v>
      </c>
      <c r="BH27" s="1">
        <f t="shared" si="14"/>
        <v>8.5708855393296979E-2</v>
      </c>
      <c r="BI27" s="1">
        <f t="shared" si="14"/>
        <v>7.9865261332432033E-2</v>
      </c>
      <c r="BJ27" s="1">
        <f t="shared" si="14"/>
        <v>7.3569035404001323E-2</v>
      </c>
      <c r="BK27" s="1">
        <f t="shared" si="14"/>
        <v>6.7562892155508286E-2</v>
      </c>
      <c r="BL27" s="1">
        <f t="shared" si="14"/>
        <v>6.2463407423710593E-2</v>
      </c>
      <c r="BM27" s="1">
        <f t="shared" si="14"/>
        <v>5.8544719100995658E-2</v>
      </c>
      <c r="BN27" s="1">
        <f t="shared" si="14"/>
        <v>5.5758011328095505E-2</v>
      </c>
      <c r="BO27" s="1">
        <f t="shared" si="11"/>
        <v>5.3883717398275452E-2</v>
      </c>
      <c r="BP27" s="1">
        <f t="shared" si="6"/>
        <v>5.2669890119836034E-2</v>
      </c>
      <c r="BQ27" s="1">
        <f t="shared" si="6"/>
        <v>5.1902940247491397E-2</v>
      </c>
      <c r="BR27" s="1">
        <f t="shared" si="6"/>
        <v>5.1425872639328143E-2</v>
      </c>
      <c r="BS27" s="1">
        <f t="shared" si="6"/>
        <v>5.1132004601907484E-2</v>
      </c>
      <c r="BT27" s="1">
        <f t="shared" si="6"/>
        <v>5.095207286738309E-2</v>
      </c>
      <c r="BU27" s="1">
        <f t="shared" si="6"/>
        <v>5.0842309114405779E-2</v>
      </c>
    </row>
    <row r="28" spans="1:73" x14ac:dyDescent="0.25">
      <c r="A28" s="1" t="s">
        <v>19</v>
      </c>
      <c r="B28" s="1" t="s">
        <v>5</v>
      </c>
      <c r="C28" s="1" t="s">
        <v>6</v>
      </c>
      <c r="D28" s="1" t="s">
        <v>6</v>
      </c>
      <c r="E28" s="5">
        <v>8.4727499999999996</v>
      </c>
      <c r="F28" s="1">
        <f t="shared" si="7"/>
        <v>2.0758237499999999E-2</v>
      </c>
      <c r="G28" s="1">
        <f>LOOKUP(RIGHT(D28,5),Ref!$C$4:$C$21,Ref!$E$4:$E$21)*$G$3</f>
        <v>3</v>
      </c>
      <c r="H28" s="297">
        <f t="shared" si="12"/>
        <v>8.4727499999999996</v>
      </c>
      <c r="I28" s="5">
        <f t="shared" si="12"/>
        <v>8.4727499999999996</v>
      </c>
      <c r="J28" s="5">
        <f t="shared" si="12"/>
        <v>8.4727499999999996</v>
      </c>
      <c r="K28" s="5">
        <f t="shared" si="12"/>
        <v>8.4727499999999996</v>
      </c>
      <c r="L28" s="5">
        <f t="shared" si="12"/>
        <v>8.4727499999999996</v>
      </c>
      <c r="M28" s="5">
        <f t="shared" si="8"/>
        <v>8.8745775669652289</v>
      </c>
      <c r="N28" s="5">
        <f t="shared" si="8"/>
        <v>9.1154773947749899</v>
      </c>
      <c r="O28" s="5">
        <f t="shared" si="8"/>
        <v>9.4827265575628967</v>
      </c>
      <c r="P28" s="5">
        <f t="shared" si="8"/>
        <v>10.018395856830304</v>
      </c>
      <c r="Q28" s="5">
        <f t="shared" si="8"/>
        <v>10.751423427912627</v>
      </c>
      <c r="R28" s="5">
        <f t="shared" si="8"/>
        <v>11.671557701559486</v>
      </c>
      <c r="S28" s="5">
        <f t="shared" si="8"/>
        <v>12.709125</v>
      </c>
      <c r="T28" s="5">
        <f t="shared" si="8"/>
        <v>13.746692298440513</v>
      </c>
      <c r="U28" s="5">
        <f t="shared" si="8"/>
        <v>14.666826572087372</v>
      </c>
      <c r="V28" s="5">
        <f t="shared" si="8"/>
        <v>15.399854143169694</v>
      </c>
      <c r="W28" s="5">
        <f t="shared" si="8"/>
        <v>15.9355234424371</v>
      </c>
      <c r="X28" s="5">
        <f t="shared" si="8"/>
        <v>16.302772605225009</v>
      </c>
      <c r="Y28" s="5">
        <f t="shared" si="8"/>
        <v>16.543672433034772</v>
      </c>
      <c r="Z28" s="5">
        <f t="shared" si="8"/>
        <v>16.697144796901444</v>
      </c>
      <c r="AA28" s="5">
        <f t="shared" si="8"/>
        <v>16.793107339543688</v>
      </c>
      <c r="AB28" s="5">
        <f t="shared" si="8"/>
        <v>16.85241038182664</v>
      </c>
      <c r="AC28" s="5">
        <f t="shared" si="9"/>
        <v>16.888793147331267</v>
      </c>
      <c r="AD28" s="300">
        <f t="shared" si="13"/>
        <v>1.6220940194776501E-3</v>
      </c>
      <c r="AE28" s="299">
        <f t="shared" si="13"/>
        <v>1.6220940194776501E-3</v>
      </c>
      <c r="AF28" s="299">
        <f t="shared" si="13"/>
        <v>1.6220940194776501E-3</v>
      </c>
      <c r="AG28" s="299">
        <f t="shared" si="13"/>
        <v>1.6220940194776501E-3</v>
      </c>
      <c r="AH28" s="299">
        <f t="shared" si="13"/>
        <v>1.6220940194776501E-3</v>
      </c>
      <c r="AI28" s="299">
        <f t="shared" si="13"/>
        <v>1.548648034210495E-3</v>
      </c>
      <c r="AJ28" s="299">
        <f t="shared" si="13"/>
        <v>1.5077210450225149E-3</v>
      </c>
      <c r="AK28" s="299">
        <f t="shared" si="13"/>
        <v>1.4493296859401823E-3</v>
      </c>
      <c r="AL28" s="299">
        <f t="shared" si="13"/>
        <v>1.3718361003033435E-3</v>
      </c>
      <c r="AM28" s="299">
        <f t="shared" si="13"/>
        <v>1.2783048863881979E-3</v>
      </c>
      <c r="AN28" s="299">
        <f t="shared" si="13"/>
        <v>1.1775289515719841E-3</v>
      </c>
      <c r="AO28" s="299">
        <f t="shared" si="13"/>
        <v>1.0813960129851001E-3</v>
      </c>
      <c r="AP28" s="299">
        <f t="shared" si="13"/>
        <v>9.9977484075121077E-4</v>
      </c>
      <c r="AQ28" s="299">
        <f t="shared" si="13"/>
        <v>9.3705322252087431E-4</v>
      </c>
      <c r="AR28" s="299">
        <f t="shared" si="13"/>
        <v>8.9244982295010663E-4</v>
      </c>
      <c r="AS28" s="299">
        <f t="shared" si="10"/>
        <v>8.6245030815425673E-4</v>
      </c>
      <c r="AT28" s="299">
        <f t="shared" si="4"/>
        <v>8.430220697014728E-4</v>
      </c>
      <c r="AU28" s="299">
        <f t="shared" si="4"/>
        <v>8.3074644757144371E-4</v>
      </c>
      <c r="AV28" s="299">
        <f t="shared" si="4"/>
        <v>8.2311061386253974E-4</v>
      </c>
      <c r="AW28" s="299">
        <f t="shared" si="4"/>
        <v>8.1840703007753828E-4</v>
      </c>
      <c r="AX28" s="299">
        <f t="shared" si="4"/>
        <v>8.1552708438373462E-4</v>
      </c>
      <c r="AY28" s="299">
        <f t="shared" si="4"/>
        <v>8.1377023116071471E-4</v>
      </c>
      <c r="AZ28" s="298">
        <f t="shared" si="14"/>
        <v>8.9798780713017362E-2</v>
      </c>
      <c r="BA28" s="1">
        <f t="shared" si="14"/>
        <v>8.9798780713017362E-2</v>
      </c>
      <c r="BB28" s="1">
        <f t="shared" si="14"/>
        <v>8.9798780713017362E-2</v>
      </c>
      <c r="BC28" s="1">
        <f t="shared" si="14"/>
        <v>8.9798780713017362E-2</v>
      </c>
      <c r="BD28" s="1">
        <f t="shared" si="14"/>
        <v>8.9798780713017362E-2</v>
      </c>
      <c r="BE28" s="1">
        <f t="shared" si="14"/>
        <v>8.5732826553726008E-2</v>
      </c>
      <c r="BF28" s="1">
        <f t="shared" si="14"/>
        <v>8.3467117116908685E-2</v>
      </c>
      <c r="BG28" s="1">
        <f t="shared" si="14"/>
        <v>8.0234583868646084E-2</v>
      </c>
      <c r="BH28" s="1">
        <f t="shared" si="14"/>
        <v>7.5944555411782147E-2</v>
      </c>
      <c r="BI28" s="1">
        <f t="shared" si="14"/>
        <v>7.0766687256585359E-2</v>
      </c>
      <c r="BJ28" s="1">
        <f t="shared" si="14"/>
        <v>6.5187752889621448E-2</v>
      </c>
      <c r="BK28" s="1">
        <f t="shared" si="14"/>
        <v>5.9865853808678232E-2</v>
      </c>
      <c r="BL28" s="1">
        <f t="shared" si="14"/>
        <v>5.5347323033667614E-2</v>
      </c>
      <c r="BM28" s="1">
        <f t="shared" si="14"/>
        <v>5.1875067557844261E-2</v>
      </c>
      <c r="BN28" s="1">
        <f t="shared" si="14"/>
        <v>4.9405832822363105E-2</v>
      </c>
      <c r="BO28" s="1">
        <f t="shared" si="11"/>
        <v>4.7745066049104834E-2</v>
      </c>
      <c r="BP28" s="1">
        <f t="shared" si="6"/>
        <v>4.6669522890993957E-2</v>
      </c>
      <c r="BQ28" s="1">
        <f t="shared" si="6"/>
        <v>4.5989947054739209E-2</v>
      </c>
      <c r="BR28" s="1">
        <f t="shared" si="6"/>
        <v>4.5567228920923679E-2</v>
      </c>
      <c r="BS28" s="1">
        <f t="shared" si="6"/>
        <v>4.5306839520677523E-2</v>
      </c>
      <c r="BT28" s="1">
        <f t="shared" si="6"/>
        <v>4.5147406338187555E-2</v>
      </c>
      <c r="BU28" s="1">
        <f t="shared" si="6"/>
        <v>4.5050147316562081E-2</v>
      </c>
    </row>
    <row r="29" spans="1:73" x14ac:dyDescent="0.25">
      <c r="A29" s="1" t="s">
        <v>19</v>
      </c>
      <c r="B29" s="1" t="s">
        <v>5</v>
      </c>
      <c r="C29" s="1" t="s">
        <v>7</v>
      </c>
      <c r="D29" s="1" t="s">
        <v>7</v>
      </c>
      <c r="E29" s="5">
        <v>8.2087500000000002</v>
      </c>
      <c r="F29" s="1">
        <f t="shared" si="7"/>
        <v>2.0111437500000003E-2</v>
      </c>
      <c r="G29" s="1">
        <f>LOOKUP(RIGHT(D29,5),Ref!$C$4:$C$21,Ref!$E$4:$E$21)*$G$3</f>
        <v>3.5</v>
      </c>
      <c r="H29" s="297">
        <f t="shared" si="12"/>
        <v>8.2087500000000002</v>
      </c>
      <c r="I29" s="5">
        <f t="shared" si="12"/>
        <v>8.2087500000000002</v>
      </c>
      <c r="J29" s="5">
        <f t="shared" si="12"/>
        <v>8.2087500000000002</v>
      </c>
      <c r="K29" s="5">
        <f t="shared" si="12"/>
        <v>8.2087500000000002</v>
      </c>
      <c r="L29" s="5">
        <f t="shared" si="12"/>
        <v>8.2087500000000002</v>
      </c>
      <c r="M29" s="5">
        <f t="shared" si="8"/>
        <v>8.5980571364463518</v>
      </c>
      <c r="N29" s="5">
        <f t="shared" si="8"/>
        <v>8.8314508352493828</v>
      </c>
      <c r="O29" s="5">
        <f t="shared" si="8"/>
        <v>9.1872569861490572</v>
      </c>
      <c r="P29" s="5">
        <f t="shared" si="8"/>
        <v>9.7062355185454283</v>
      </c>
      <c r="Q29" s="5">
        <f t="shared" si="8"/>
        <v>10.416422892670948</v>
      </c>
      <c r="R29" s="5">
        <f t="shared" si="8"/>
        <v>11.307886964996777</v>
      </c>
      <c r="S29" s="5">
        <f t="shared" si="8"/>
        <v>12.313124999999999</v>
      </c>
      <c r="T29" s="5">
        <f t="shared" si="8"/>
        <v>13.318363035003223</v>
      </c>
      <c r="U29" s="5">
        <f t="shared" si="8"/>
        <v>14.209827107329053</v>
      </c>
      <c r="V29" s="5">
        <f t="shared" si="8"/>
        <v>14.920014481454572</v>
      </c>
      <c r="W29" s="5">
        <f t="shared" si="8"/>
        <v>15.438993013850942</v>
      </c>
      <c r="X29" s="5">
        <f t="shared" si="8"/>
        <v>15.794799164750618</v>
      </c>
      <c r="Y29" s="5">
        <f t="shared" si="8"/>
        <v>16.028192863553649</v>
      </c>
      <c r="Z29" s="5">
        <f t="shared" si="8"/>
        <v>16.176883225819804</v>
      </c>
      <c r="AA29" s="5">
        <f t="shared" si="8"/>
        <v>16.269855698973682</v>
      </c>
      <c r="AB29" s="5">
        <f t="shared" si="8"/>
        <v>16.327310934681119</v>
      </c>
      <c r="AC29" s="5">
        <f t="shared" si="9"/>
        <v>16.362560059975277</v>
      </c>
      <c r="AD29" s="300">
        <f t="shared" si="13"/>
        <v>1.6742618673402478E-3</v>
      </c>
      <c r="AE29" s="299">
        <f t="shared" si="13"/>
        <v>1.6742618673402478E-3</v>
      </c>
      <c r="AF29" s="299">
        <f t="shared" si="13"/>
        <v>1.6742618673402478E-3</v>
      </c>
      <c r="AG29" s="299">
        <f t="shared" si="13"/>
        <v>1.6742618673402478E-3</v>
      </c>
      <c r="AH29" s="299">
        <f t="shared" si="13"/>
        <v>1.6742618673402478E-3</v>
      </c>
      <c r="AI29" s="299">
        <f t="shared" si="13"/>
        <v>1.5984538001348526E-3</v>
      </c>
      <c r="AJ29" s="299">
        <f t="shared" si="13"/>
        <v>1.556210566068465E-3</v>
      </c>
      <c r="AK29" s="299">
        <f t="shared" si="13"/>
        <v>1.4959412939302185E-3</v>
      </c>
      <c r="AL29" s="299">
        <f t="shared" si="13"/>
        <v>1.4159554522728982E-3</v>
      </c>
      <c r="AM29" s="299">
        <f t="shared" si="13"/>
        <v>1.3194161993172657E-3</v>
      </c>
      <c r="AN29" s="299">
        <f t="shared" si="13"/>
        <v>1.2153992294114851E-3</v>
      </c>
      <c r="AO29" s="299">
        <f t="shared" si="13"/>
        <v>1.116174578226832E-3</v>
      </c>
      <c r="AP29" s="299">
        <f t="shared" si="13"/>
        <v>1.0319284034688376E-3</v>
      </c>
      <c r="AQ29" s="299">
        <f t="shared" si="13"/>
        <v>9.6718960756677155E-4</v>
      </c>
      <c r="AR29" s="299">
        <f t="shared" si="13"/>
        <v>9.2115172680377845E-4</v>
      </c>
      <c r="AS29" s="299">
        <f t="shared" si="10"/>
        <v>8.9018740349188093E-4</v>
      </c>
      <c r="AT29" s="299">
        <f t="shared" si="4"/>
        <v>8.7013433726976144E-4</v>
      </c>
      <c r="AU29" s="299">
        <f t="shared" si="4"/>
        <v>8.5746392126218366E-4</v>
      </c>
      <c r="AV29" s="299">
        <f t="shared" si="4"/>
        <v>8.4958251300183739E-4</v>
      </c>
      <c r="AW29" s="299">
        <f t="shared" si="4"/>
        <v>8.4472765818053436E-4</v>
      </c>
      <c r="AX29" s="299">
        <f t="shared" si="4"/>
        <v>8.4175509111768373E-4</v>
      </c>
      <c r="AY29" s="299">
        <f t="shared" si="4"/>
        <v>8.3994173608246644E-4</v>
      </c>
      <c r="AZ29" s="298">
        <f t="shared" si="14"/>
        <v>9.2686781700772686E-2</v>
      </c>
      <c r="BA29" s="1">
        <f t="shared" si="14"/>
        <v>9.2686781700772686E-2</v>
      </c>
      <c r="BB29" s="1">
        <f t="shared" si="14"/>
        <v>9.2686781700772686E-2</v>
      </c>
      <c r="BC29" s="1">
        <f t="shared" si="14"/>
        <v>9.2686781700772686E-2</v>
      </c>
      <c r="BD29" s="1">
        <f t="shared" si="14"/>
        <v>9.2686781700772686E-2</v>
      </c>
      <c r="BE29" s="1">
        <f t="shared" si="14"/>
        <v>8.8490063186609652E-2</v>
      </c>
      <c r="BF29" s="1">
        <f t="shared" si="14"/>
        <v>8.6151486712628358E-2</v>
      </c>
      <c r="BG29" s="1">
        <f t="shared" si="14"/>
        <v>8.2814992596079925E-2</v>
      </c>
      <c r="BH29" s="1">
        <f t="shared" si="14"/>
        <v>7.838699337477413E-2</v>
      </c>
      <c r="BI29" s="1">
        <f t="shared" si="14"/>
        <v>7.3042600816596151E-2</v>
      </c>
      <c r="BJ29" s="1">
        <f t="shared" si="14"/>
        <v>6.7284243434815288E-2</v>
      </c>
      <c r="BK29" s="1">
        <f t="shared" si="14"/>
        <v>6.1791187800515124E-2</v>
      </c>
      <c r="BL29" s="1">
        <f t="shared" si="14"/>
        <v>5.7127337442790589E-2</v>
      </c>
      <c r="BM29" s="1">
        <f t="shared" si="14"/>
        <v>5.3543411439101553E-2</v>
      </c>
      <c r="BN29" s="1">
        <f t="shared" si="14"/>
        <v>5.0994764129212979E-2</v>
      </c>
      <c r="BO29" s="1">
        <f t="shared" si="11"/>
        <v>4.9280585761236839E-2</v>
      </c>
      <c r="BP29" s="1">
        <f t="shared" si="6"/>
        <v>4.8170452270402807E-2</v>
      </c>
      <c r="BQ29" s="1">
        <f t="shared" si="6"/>
        <v>4.7469020728861479E-2</v>
      </c>
      <c r="BR29" s="1">
        <f t="shared" si="6"/>
        <v>4.7032707639988555E-2</v>
      </c>
      <c r="BS29" s="1">
        <f t="shared" si="6"/>
        <v>4.6763943907272176E-2</v>
      </c>
      <c r="BT29" s="1">
        <f t="shared" si="6"/>
        <v>4.6599383225445837E-2</v>
      </c>
      <c r="BU29" s="1">
        <f t="shared" si="6"/>
        <v>4.6498996275486697E-2</v>
      </c>
    </row>
    <row r="30" spans="1:73" x14ac:dyDescent="0.25">
      <c r="A30" s="1" t="s">
        <v>19</v>
      </c>
      <c r="B30" s="1" t="s">
        <v>5</v>
      </c>
      <c r="C30" s="1" t="s">
        <v>8</v>
      </c>
      <c r="D30" s="1" t="s">
        <v>8</v>
      </c>
      <c r="E30" s="5">
        <v>8.4232499999999995</v>
      </c>
      <c r="F30" s="1">
        <f t="shared" si="7"/>
        <v>2.0636962499999998E-2</v>
      </c>
      <c r="G30" s="1">
        <f>LOOKUP(RIGHT(D30,5),Ref!$C$4:$C$21,Ref!$E$4:$E$21)*$G$3</f>
        <v>4</v>
      </c>
      <c r="H30" s="297">
        <f t="shared" si="12"/>
        <v>8.4232499999999995</v>
      </c>
      <c r="I30" s="5">
        <f t="shared" si="12"/>
        <v>8.4232499999999995</v>
      </c>
      <c r="J30" s="5">
        <f t="shared" si="12"/>
        <v>8.4232499999999995</v>
      </c>
      <c r="K30" s="5">
        <f t="shared" si="12"/>
        <v>8.4232499999999995</v>
      </c>
      <c r="L30" s="5">
        <f t="shared" si="12"/>
        <v>8.4232499999999995</v>
      </c>
      <c r="M30" s="5">
        <f t="shared" si="8"/>
        <v>8.8227299862429387</v>
      </c>
      <c r="N30" s="5">
        <f t="shared" si="8"/>
        <v>9.062222414863939</v>
      </c>
      <c r="O30" s="5">
        <f t="shared" si="8"/>
        <v>9.4273260129228014</v>
      </c>
      <c r="P30" s="5">
        <f t="shared" si="8"/>
        <v>9.9598657934018906</v>
      </c>
      <c r="Q30" s="5">
        <f t="shared" si="8"/>
        <v>10.688610827554811</v>
      </c>
      <c r="R30" s="5">
        <f t="shared" si="8"/>
        <v>11.603369438453978</v>
      </c>
      <c r="S30" s="5">
        <f t="shared" si="8"/>
        <v>12.634874999999999</v>
      </c>
      <c r="T30" s="5">
        <f t="shared" si="8"/>
        <v>13.666380561546021</v>
      </c>
      <c r="U30" s="5">
        <f t="shared" si="8"/>
        <v>14.581139172445187</v>
      </c>
      <c r="V30" s="5">
        <f t="shared" si="8"/>
        <v>15.309884206598108</v>
      </c>
      <c r="W30" s="5">
        <f t="shared" si="8"/>
        <v>15.842423987077195</v>
      </c>
      <c r="X30" s="5">
        <f t="shared" si="8"/>
        <v>16.207527585136059</v>
      </c>
      <c r="Y30" s="5">
        <f t="shared" si="8"/>
        <v>16.447020013757061</v>
      </c>
      <c r="Z30" s="5">
        <f t="shared" si="8"/>
        <v>16.599595752323637</v>
      </c>
      <c r="AA30" s="5">
        <f t="shared" si="8"/>
        <v>16.69499765693681</v>
      </c>
      <c r="AB30" s="5">
        <f t="shared" si="8"/>
        <v>16.753954235486855</v>
      </c>
      <c r="AC30" s="5">
        <f t="shared" si="9"/>
        <v>16.790124443452019</v>
      </c>
      <c r="AD30" s="300">
        <f t="shared" si="13"/>
        <v>1.6316264035294288E-3</v>
      </c>
      <c r="AE30" s="299">
        <f t="shared" si="13"/>
        <v>1.6316264035294288E-3</v>
      </c>
      <c r="AF30" s="299">
        <f t="shared" si="13"/>
        <v>1.6316264035294288E-3</v>
      </c>
      <c r="AG30" s="299">
        <f t="shared" si="13"/>
        <v>1.6316264035294288E-3</v>
      </c>
      <c r="AH30" s="299">
        <f t="shared" si="13"/>
        <v>1.6316264035294288E-3</v>
      </c>
      <c r="AI30" s="299">
        <f t="shared" si="13"/>
        <v>1.5577488062038967E-3</v>
      </c>
      <c r="AJ30" s="299">
        <f t="shared" si="13"/>
        <v>1.516581305815987E-3</v>
      </c>
      <c r="AK30" s="299">
        <f t="shared" si="13"/>
        <v>1.4578468045647085E-3</v>
      </c>
      <c r="AL30" s="299">
        <f t="shared" si="13"/>
        <v>1.3798978207752535E-3</v>
      </c>
      <c r="AM30" s="299">
        <f t="shared" si="13"/>
        <v>1.2858169621162384E-3</v>
      </c>
      <c r="AN30" s="299">
        <f t="shared" si="13"/>
        <v>1.1844488082903308E-3</v>
      </c>
      <c r="AO30" s="299">
        <f t="shared" si="13"/>
        <v>1.0877509356862858E-3</v>
      </c>
      <c r="AP30" s="299">
        <f t="shared" si="13"/>
        <v>1.0056501091591514E-3</v>
      </c>
      <c r="AQ30" s="299">
        <f t="shared" si="13"/>
        <v>9.4255990159543377E-4</v>
      </c>
      <c r="AR30" s="299">
        <f t="shared" si="13"/>
        <v>8.9769438606244817E-4</v>
      </c>
      <c r="AS30" s="299">
        <f t="shared" si="10"/>
        <v>8.6751857637063824E-4</v>
      </c>
      <c r="AT30" s="299">
        <f t="shared" si="4"/>
        <v>8.4797616609540909E-4</v>
      </c>
      <c r="AU30" s="299">
        <f t="shared" si="4"/>
        <v>8.3562840514776954E-4</v>
      </c>
      <c r="AV30" s="299">
        <f t="shared" si="4"/>
        <v>8.2794769876280933E-4</v>
      </c>
      <c r="AW30" s="299">
        <f t="shared" si="4"/>
        <v>8.2321647393695586E-4</v>
      </c>
      <c r="AX30" s="299">
        <f t="shared" si="4"/>
        <v>8.2031960397854591E-4</v>
      </c>
      <c r="AY30" s="299">
        <f t="shared" si="4"/>
        <v>8.1855242644667382E-4</v>
      </c>
      <c r="AZ30" s="298">
        <f t="shared" si="14"/>
        <v>9.0326491471370049E-2</v>
      </c>
      <c r="BA30" s="1">
        <f t="shared" si="14"/>
        <v>9.0326491471370049E-2</v>
      </c>
      <c r="BB30" s="1">
        <f t="shared" si="14"/>
        <v>9.0326491471370049E-2</v>
      </c>
      <c r="BC30" s="1">
        <f t="shared" si="14"/>
        <v>9.0326491471370049E-2</v>
      </c>
      <c r="BD30" s="1">
        <f t="shared" si="14"/>
        <v>9.0326491471370049E-2</v>
      </c>
      <c r="BE30" s="1">
        <f t="shared" si="14"/>
        <v>8.6236643360114218E-2</v>
      </c>
      <c r="BF30" s="1">
        <f t="shared" si="14"/>
        <v>8.3957619274304812E-2</v>
      </c>
      <c r="BG30" s="1">
        <f t="shared" si="14"/>
        <v>8.0706089748383475E-2</v>
      </c>
      <c r="BH30" s="1">
        <f t="shared" si="14"/>
        <v>7.6390850546425332E-2</v>
      </c>
      <c r="BI30" s="1">
        <f t="shared" si="14"/>
        <v>7.1182554174841497E-2</v>
      </c>
      <c r="BJ30" s="1">
        <f t="shared" si="14"/>
        <v>6.5570834689168675E-2</v>
      </c>
      <c r="BK30" s="1">
        <f t="shared" si="14"/>
        <v>6.0217660980913371E-2</v>
      </c>
      <c r="BL30" s="1">
        <f t="shared" si="14"/>
        <v>5.567257664601042E-2</v>
      </c>
      <c r="BM30" s="1">
        <f t="shared" si="14"/>
        <v>5.2179916142905049E-2</v>
      </c>
      <c r="BN30" s="1">
        <f t="shared" si="14"/>
        <v>4.9696170723376017E-2</v>
      </c>
      <c r="BO30" s="1">
        <f t="shared" si="11"/>
        <v>4.8025644302086841E-2</v>
      </c>
      <c r="BP30" s="1">
        <f t="shared" si="6"/>
        <v>4.6943780616112436E-2</v>
      </c>
      <c r="BQ30" s="1">
        <f t="shared" si="6"/>
        <v>4.6260211190222493E-2</v>
      </c>
      <c r="BR30" s="1">
        <f t="shared" si="6"/>
        <v>4.5835008914582386E-2</v>
      </c>
      <c r="BS30" s="1">
        <f t="shared" si="6"/>
        <v>4.5573089312180043E-2</v>
      </c>
      <c r="BT30" s="1">
        <f t="shared" si="6"/>
        <v>4.5412719205992769E-2</v>
      </c>
      <c r="BU30" s="1">
        <f t="shared" si="6"/>
        <v>4.5314888632820037E-2</v>
      </c>
    </row>
    <row r="31" spans="1:73" x14ac:dyDescent="0.25">
      <c r="A31" s="1" t="s">
        <v>19</v>
      </c>
      <c r="B31" s="1" t="s">
        <v>5</v>
      </c>
      <c r="C31" s="1" t="s">
        <v>9</v>
      </c>
      <c r="D31" s="1" t="s">
        <v>9</v>
      </c>
      <c r="E31" s="5">
        <v>8.1427499999999995</v>
      </c>
      <c r="F31" s="1">
        <f t="shared" si="7"/>
        <v>1.9949737499999998E-2</v>
      </c>
      <c r="G31" s="1">
        <f>LOOKUP(RIGHT(D31,5),Ref!$C$4:$C$21,Ref!$E$4:$E$21)*$G$3</f>
        <v>4.5</v>
      </c>
      <c r="H31" s="297">
        <f t="shared" si="12"/>
        <v>8.1427499999999995</v>
      </c>
      <c r="I31" s="5">
        <f t="shared" si="12"/>
        <v>8.1427499999999995</v>
      </c>
      <c r="J31" s="5">
        <f t="shared" si="12"/>
        <v>8.1427499999999995</v>
      </c>
      <c r="K31" s="5">
        <f t="shared" si="12"/>
        <v>8.1427499999999995</v>
      </c>
      <c r="L31" s="5">
        <f t="shared" si="12"/>
        <v>8.1427499999999995</v>
      </c>
      <c r="M31" s="5">
        <f t="shared" si="8"/>
        <v>8.5289270288166303</v>
      </c>
      <c r="N31" s="5">
        <f t="shared" si="8"/>
        <v>8.7604441953679792</v>
      </c>
      <c r="O31" s="5">
        <f t="shared" si="8"/>
        <v>9.1133895932955973</v>
      </c>
      <c r="P31" s="5">
        <f t="shared" si="8"/>
        <v>9.6281954339742075</v>
      </c>
      <c r="Q31" s="5">
        <f t="shared" si="8"/>
        <v>10.332672758860529</v>
      </c>
      <c r="R31" s="5">
        <f t="shared" si="8"/>
        <v>11.216969280856098</v>
      </c>
      <c r="S31" s="5">
        <f t="shared" si="8"/>
        <v>12.214124999999999</v>
      </c>
      <c r="T31" s="5">
        <f t="shared" si="8"/>
        <v>13.2112807191439</v>
      </c>
      <c r="U31" s="5">
        <f t="shared" si="8"/>
        <v>14.09557724113947</v>
      </c>
      <c r="V31" s="5">
        <f t="shared" si="8"/>
        <v>14.800054566025791</v>
      </c>
      <c r="W31" s="5">
        <f t="shared" si="8"/>
        <v>15.314860406704399</v>
      </c>
      <c r="X31" s="5">
        <f t="shared" si="8"/>
        <v>15.667805804632019</v>
      </c>
      <c r="Y31" s="5">
        <f t="shared" si="8"/>
        <v>15.899322971183368</v>
      </c>
      <c r="Z31" s="5">
        <f t="shared" si="8"/>
        <v>16.046817833049392</v>
      </c>
      <c r="AA31" s="5">
        <f t="shared" si="8"/>
        <v>16.139042788831176</v>
      </c>
      <c r="AB31" s="5">
        <f t="shared" si="8"/>
        <v>16.196036072894739</v>
      </c>
      <c r="AC31" s="5">
        <f t="shared" si="9"/>
        <v>16.231001788136279</v>
      </c>
      <c r="AD31" s="300">
        <f t="shared" si="13"/>
        <v>1.687832378929632E-3</v>
      </c>
      <c r="AE31" s="299">
        <f t="shared" si="13"/>
        <v>1.687832378929632E-3</v>
      </c>
      <c r="AF31" s="299">
        <f t="shared" si="13"/>
        <v>1.687832378929632E-3</v>
      </c>
      <c r="AG31" s="299">
        <f t="shared" si="13"/>
        <v>1.687832378929632E-3</v>
      </c>
      <c r="AH31" s="299">
        <f t="shared" si="13"/>
        <v>1.687832378929632E-3</v>
      </c>
      <c r="AI31" s="299">
        <f t="shared" si="13"/>
        <v>1.6114098593051455E-3</v>
      </c>
      <c r="AJ31" s="299">
        <f t="shared" si="13"/>
        <v>1.5688242282047851E-3</v>
      </c>
      <c r="AK31" s="299">
        <f t="shared" si="13"/>
        <v>1.5080664513278292E-3</v>
      </c>
      <c r="AL31" s="299">
        <f t="shared" si="13"/>
        <v>1.4274322948445125E-3</v>
      </c>
      <c r="AM31" s="299">
        <f t="shared" si="13"/>
        <v>1.3301105555427347E-3</v>
      </c>
      <c r="AN31" s="299">
        <f t="shared" si="13"/>
        <v>1.2252504896296127E-3</v>
      </c>
      <c r="AO31" s="299">
        <f t="shared" si="13"/>
        <v>1.125221585953088E-3</v>
      </c>
      <c r="AP31" s="299">
        <f t="shared" si="13"/>
        <v>1.040292564793813E-3</v>
      </c>
      <c r="AQ31" s="299">
        <f t="shared" si="13"/>
        <v>9.7502903701006882E-4</v>
      </c>
      <c r="AR31" s="299">
        <f t="shared" si="13"/>
        <v>9.2861800219833795E-4</v>
      </c>
      <c r="AS31" s="299">
        <f t="shared" si="10"/>
        <v>8.9740270159515876E-4</v>
      </c>
      <c r="AT31" s="299">
        <f t="shared" si="4"/>
        <v>8.7718709785553452E-4</v>
      </c>
      <c r="AU31" s="299">
        <f t="shared" si="4"/>
        <v>8.6441398344060051E-4</v>
      </c>
      <c r="AV31" s="299">
        <f t="shared" si="4"/>
        <v>8.5646869345170045E-4</v>
      </c>
      <c r="AW31" s="299">
        <f t="shared" si="4"/>
        <v>8.5157448823670911E-4</v>
      </c>
      <c r="AX31" s="299">
        <f t="shared" si="4"/>
        <v>8.4857782741853624E-4</v>
      </c>
      <c r="AY31" s="299">
        <f t="shared" si="4"/>
        <v>8.4674977447016621E-4</v>
      </c>
      <c r="AZ31" s="298">
        <f t="shared" si="14"/>
        <v>9.3438042342724237E-2</v>
      </c>
      <c r="BA31" s="1">
        <f t="shared" si="14"/>
        <v>9.3438042342724237E-2</v>
      </c>
      <c r="BB31" s="1">
        <f t="shared" si="14"/>
        <v>9.3438042342724237E-2</v>
      </c>
      <c r="BC31" s="1">
        <f t="shared" si="14"/>
        <v>9.3438042342724237E-2</v>
      </c>
      <c r="BD31" s="1">
        <f t="shared" si="14"/>
        <v>9.3438042342724237E-2</v>
      </c>
      <c r="BE31" s="1">
        <f t="shared" si="14"/>
        <v>8.9207307873025971E-2</v>
      </c>
      <c r="BF31" s="1">
        <f t="shared" si="14"/>
        <v>8.6849776371899931E-2</v>
      </c>
      <c r="BG31" s="1">
        <f t="shared" si="14"/>
        <v>8.3486238736676321E-2</v>
      </c>
      <c r="BH31" s="1">
        <f t="shared" si="14"/>
        <v>7.9022348944174536E-2</v>
      </c>
      <c r="BI31" s="1">
        <f t="shared" si="14"/>
        <v>7.3634638107916067E-2</v>
      </c>
      <c r="BJ31" s="1">
        <f t="shared" si="14"/>
        <v>6.782960711007216E-2</v>
      </c>
      <c r="BK31" s="1">
        <f t="shared" si="14"/>
        <v>6.2292028228482829E-2</v>
      </c>
      <c r="BL31" s="1">
        <f t="shared" si="14"/>
        <v>5.7590375638882106E-2</v>
      </c>
      <c r="BM31" s="1">
        <f t="shared" si="14"/>
        <v>5.3977400589570471E-2</v>
      </c>
      <c r="BN31" s="1">
        <f t="shared" si="14"/>
        <v>5.1408095550726354E-2</v>
      </c>
      <c r="BO31" s="1">
        <f t="shared" si="11"/>
        <v>4.9680023133161763E-2</v>
      </c>
      <c r="BP31" s="1">
        <f t="shared" si="6"/>
        <v>4.8560891599848832E-2</v>
      </c>
      <c r="BQ31" s="1">
        <f t="shared" si="6"/>
        <v>4.7853774696268662E-2</v>
      </c>
      <c r="BR31" s="1">
        <f t="shared" si="6"/>
        <v>4.741392512845858E-2</v>
      </c>
      <c r="BS31" s="1">
        <f t="shared" si="6"/>
        <v>4.7142982966297695E-2</v>
      </c>
      <c r="BT31" s="1">
        <f t="shared" si="6"/>
        <v>4.6977088459289371E-2</v>
      </c>
      <c r="BU31" s="1">
        <f t="shared" si="6"/>
        <v>4.6875887835976966E-2</v>
      </c>
    </row>
    <row r="32" spans="1:73" x14ac:dyDescent="0.25">
      <c r="A32" s="1" t="s">
        <v>20</v>
      </c>
      <c r="B32" s="1" t="s">
        <v>5</v>
      </c>
      <c r="C32" s="1" t="s">
        <v>13</v>
      </c>
      <c r="D32" s="1" t="s">
        <v>13</v>
      </c>
      <c r="E32" s="5">
        <v>8.4480000000000004</v>
      </c>
      <c r="F32" s="1">
        <f t="shared" si="7"/>
        <v>2.06976E-2</v>
      </c>
      <c r="G32" s="1">
        <f>LOOKUP(RIGHT(D32,5),Ref!$C$4:$C$21,Ref!$E$4:$E$21)*$G$3</f>
        <v>1.5</v>
      </c>
      <c r="H32" s="297">
        <f t="shared" si="12"/>
        <v>8.4480000000000004</v>
      </c>
      <c r="I32" s="5">
        <f t="shared" si="12"/>
        <v>8.4480000000000004</v>
      </c>
      <c r="J32" s="5">
        <f t="shared" si="12"/>
        <v>8.4480000000000004</v>
      </c>
      <c r="K32" s="5">
        <f t="shared" si="12"/>
        <v>8.4480000000000004</v>
      </c>
      <c r="L32" s="5">
        <f t="shared" si="12"/>
        <v>8.4480000000000004</v>
      </c>
      <c r="M32" s="5">
        <f t="shared" si="8"/>
        <v>8.8486537766040847</v>
      </c>
      <c r="N32" s="5">
        <f t="shared" si="8"/>
        <v>9.0888499048194653</v>
      </c>
      <c r="O32" s="5">
        <f t="shared" si="8"/>
        <v>9.4550262852428499</v>
      </c>
      <c r="P32" s="5">
        <f t="shared" si="8"/>
        <v>9.9891308251160993</v>
      </c>
      <c r="Q32" s="5">
        <f t="shared" si="8"/>
        <v>10.720017127733721</v>
      </c>
      <c r="R32" s="5">
        <f t="shared" si="8"/>
        <v>11.637463570006734</v>
      </c>
      <c r="S32" s="5">
        <f t="shared" si="8"/>
        <v>12.672000000000001</v>
      </c>
      <c r="T32" s="5">
        <f t="shared" si="8"/>
        <v>13.706536429993267</v>
      </c>
      <c r="U32" s="5">
        <f t="shared" si="8"/>
        <v>14.62398287226628</v>
      </c>
      <c r="V32" s="5">
        <f t="shared" si="8"/>
        <v>15.354869174883902</v>
      </c>
      <c r="W32" s="5">
        <f t="shared" si="8"/>
        <v>15.888973714757149</v>
      </c>
      <c r="X32" s="5">
        <f t="shared" si="8"/>
        <v>16.255150095180536</v>
      </c>
      <c r="Y32" s="5">
        <f t="shared" si="8"/>
        <v>16.495346223395916</v>
      </c>
      <c r="Z32" s="5">
        <f t="shared" si="8"/>
        <v>16.648370274612542</v>
      </c>
      <c r="AA32" s="5">
        <f t="shared" si="8"/>
        <v>16.744052498240251</v>
      </c>
      <c r="AB32" s="5">
        <f t="shared" si="8"/>
        <v>16.803182308656751</v>
      </c>
      <c r="AC32" s="5">
        <f t="shared" si="9"/>
        <v>16.839458795391643</v>
      </c>
      <c r="AD32" s="300">
        <f t="shared" si="13"/>
        <v>1.6268462480503385E-3</v>
      </c>
      <c r="AE32" s="299">
        <f t="shared" si="13"/>
        <v>1.6268462480503385E-3</v>
      </c>
      <c r="AF32" s="299">
        <f t="shared" si="13"/>
        <v>1.6268462480503385E-3</v>
      </c>
      <c r="AG32" s="299">
        <f t="shared" si="13"/>
        <v>1.6268462480503385E-3</v>
      </c>
      <c r="AH32" s="299">
        <f t="shared" si="13"/>
        <v>1.6268462480503385E-3</v>
      </c>
      <c r="AI32" s="299">
        <f t="shared" si="13"/>
        <v>1.553185088998221E-3</v>
      </c>
      <c r="AJ32" s="299">
        <f t="shared" si="13"/>
        <v>1.5121381965216042E-3</v>
      </c>
      <c r="AK32" s="299">
        <f t="shared" si="13"/>
        <v>1.4535757690044601E-3</v>
      </c>
      <c r="AL32" s="299">
        <f t="shared" si="13"/>
        <v>1.3758551513784508E-3</v>
      </c>
      <c r="AM32" s="299">
        <f t="shared" si="13"/>
        <v>1.2820499202350381E-3</v>
      </c>
      <c r="AN32" s="299">
        <f t="shared" si="13"/>
        <v>1.1809787434222925E-3</v>
      </c>
      <c r="AO32" s="299">
        <f t="shared" si="13"/>
        <v>1.0845641653668924E-3</v>
      </c>
      <c r="AP32" s="299">
        <f t="shared" si="13"/>
        <v>1.0027038686049742E-3</v>
      </c>
      <c r="AQ32" s="299">
        <f t="shared" si="13"/>
        <v>9.3979849563372833E-4</v>
      </c>
      <c r="AR32" s="299">
        <f t="shared" si="13"/>
        <v>8.9506442204078079E-4</v>
      </c>
      <c r="AS32" s="299">
        <f t="shared" si="10"/>
        <v>8.6497701804142736E-4</v>
      </c>
      <c r="AT32" s="299">
        <f t="shared" si="4"/>
        <v>8.4549186092130134E-4</v>
      </c>
      <c r="AU32" s="299">
        <f t="shared" si="4"/>
        <v>8.3318027505456321E-4</v>
      </c>
      <c r="AV32" s="299">
        <f t="shared" si="4"/>
        <v>8.2552207073909002E-4</v>
      </c>
      <c r="AW32" s="299">
        <f t="shared" si="4"/>
        <v>8.208047069234685E-4</v>
      </c>
      <c r="AX32" s="299">
        <f t="shared" si="4"/>
        <v>8.179163238887649E-4</v>
      </c>
      <c r="AY32" s="299">
        <f t="shared" si="4"/>
        <v>8.1615432363481841E-4</v>
      </c>
      <c r="AZ32" s="298">
        <f t="shared" si="14"/>
        <v>9.0061863078387511E-2</v>
      </c>
      <c r="BA32" s="1">
        <f t="shared" si="14"/>
        <v>9.0061863078387511E-2</v>
      </c>
      <c r="BB32" s="1">
        <f t="shared" si="14"/>
        <v>9.0061863078387511E-2</v>
      </c>
      <c r="BC32" s="1">
        <f t="shared" si="14"/>
        <v>9.0061863078387511E-2</v>
      </c>
      <c r="BD32" s="1">
        <f t="shared" si="14"/>
        <v>9.0061863078387511E-2</v>
      </c>
      <c r="BE32" s="1">
        <f t="shared" si="14"/>
        <v>8.5983996944020133E-2</v>
      </c>
      <c r="BF32" s="1">
        <f t="shared" si="14"/>
        <v>8.371164968658712E-2</v>
      </c>
      <c r="BG32" s="1">
        <f t="shared" si="14"/>
        <v>8.0469646126073754E-2</v>
      </c>
      <c r="BH32" s="1">
        <f t="shared" si="14"/>
        <v>7.6167049226465083E-2</v>
      </c>
      <c r="BI32" s="1">
        <f t="shared" si="14"/>
        <v>7.0974011535657383E-2</v>
      </c>
      <c r="BJ32" s="1">
        <f t="shared" si="14"/>
        <v>6.5378732634415238E-2</v>
      </c>
      <c r="BK32" s="1">
        <f t="shared" si="14"/>
        <v>6.0041242052258345E-2</v>
      </c>
      <c r="BL32" s="1">
        <f t="shared" si="14"/>
        <v>5.5509473394117811E-2</v>
      </c>
      <c r="BM32" s="1">
        <f t="shared" si="14"/>
        <v>5.2027045294830127E-2</v>
      </c>
      <c r="BN32" s="1">
        <f t="shared" si="14"/>
        <v>4.9550576473209873E-2</v>
      </c>
      <c r="BO32" s="1">
        <f t="shared" si="11"/>
        <v>4.7884944172295565E-2</v>
      </c>
      <c r="BP32" s="1">
        <f t="shared" si="6"/>
        <v>4.6806250008838667E-2</v>
      </c>
      <c r="BQ32" s="1">
        <f t="shared" si="6"/>
        <v>4.6124683227751144E-2</v>
      </c>
      <c r="BR32" s="1">
        <f t="shared" si="6"/>
        <v>4.5700726661902939E-2</v>
      </c>
      <c r="BS32" s="1">
        <f t="shared" si="6"/>
        <v>4.5439574402085757E-2</v>
      </c>
      <c r="BT32" s="1">
        <f t="shared" si="6"/>
        <v>4.5279674130193952E-2</v>
      </c>
      <c r="BU32" s="1">
        <f t="shared" si="6"/>
        <v>4.5182130170028575E-2</v>
      </c>
    </row>
    <row r="33" spans="1:73" x14ac:dyDescent="0.25">
      <c r="A33" s="1" t="s">
        <v>20</v>
      </c>
      <c r="B33" s="1" t="s">
        <v>5</v>
      </c>
      <c r="C33" s="1" t="s">
        <v>14</v>
      </c>
      <c r="D33" s="1" t="s">
        <v>14</v>
      </c>
      <c r="E33" s="5">
        <v>7.5817500000000004</v>
      </c>
      <c r="F33" s="1">
        <f t="shared" si="7"/>
        <v>1.8575287500000003E-2</v>
      </c>
      <c r="G33" s="1">
        <f>LOOKUP(RIGHT(D33,5),Ref!$C$4:$C$21,Ref!$E$4:$E$21)*$G$3</f>
        <v>2</v>
      </c>
      <c r="H33" s="297">
        <f t="shared" si="12"/>
        <v>7.5817500000000004</v>
      </c>
      <c r="I33" s="5">
        <f t="shared" si="12"/>
        <v>7.5817500000000004</v>
      </c>
      <c r="J33" s="5">
        <f t="shared" si="12"/>
        <v>7.5817500000000004</v>
      </c>
      <c r="K33" s="5">
        <f t="shared" si="12"/>
        <v>7.5817500000000004</v>
      </c>
      <c r="L33" s="5">
        <f t="shared" si="12"/>
        <v>7.5817500000000004</v>
      </c>
      <c r="M33" s="5">
        <f t="shared" si="8"/>
        <v>7.9413211139640172</v>
      </c>
      <c r="N33" s="5">
        <f t="shared" si="8"/>
        <v>8.1568877563760633</v>
      </c>
      <c r="O33" s="5">
        <f t="shared" si="8"/>
        <v>8.4855167540411909</v>
      </c>
      <c r="P33" s="5">
        <f t="shared" si="8"/>
        <v>8.9648547151188431</v>
      </c>
      <c r="Q33" s="5">
        <f t="shared" si="8"/>
        <v>9.6207966214719622</v>
      </c>
      <c r="R33" s="5">
        <f t="shared" si="8"/>
        <v>10.44416896566034</v>
      </c>
      <c r="S33" s="5">
        <f t="shared" si="8"/>
        <v>11.372625000000001</v>
      </c>
      <c r="T33" s="5">
        <f t="shared" si="8"/>
        <v>12.301081034339662</v>
      </c>
      <c r="U33" s="5">
        <f t="shared" si="8"/>
        <v>13.12445337852804</v>
      </c>
      <c r="V33" s="5">
        <f t="shared" si="8"/>
        <v>13.780395284881159</v>
      </c>
      <c r="W33" s="5">
        <f t="shared" si="8"/>
        <v>14.25973324595881</v>
      </c>
      <c r="X33" s="5">
        <f t="shared" si="8"/>
        <v>14.588362243623939</v>
      </c>
      <c r="Y33" s="5">
        <f t="shared" si="8"/>
        <v>14.803928886035985</v>
      </c>
      <c r="Z33" s="5">
        <f t="shared" si="8"/>
        <v>14.941261994500906</v>
      </c>
      <c r="AA33" s="5">
        <f t="shared" si="8"/>
        <v>15.027133052619913</v>
      </c>
      <c r="AB33" s="5">
        <f t="shared" si="8"/>
        <v>15.080199747710502</v>
      </c>
      <c r="AC33" s="5">
        <f t="shared" si="9"/>
        <v>15.112756477504805</v>
      </c>
      <c r="AD33" s="300">
        <f t="shared" si="13"/>
        <v>1.8127209553901486E-3</v>
      </c>
      <c r="AE33" s="299">
        <f t="shared" si="13"/>
        <v>1.8127209553901486E-3</v>
      </c>
      <c r="AF33" s="299">
        <f t="shared" si="13"/>
        <v>1.8127209553901486E-3</v>
      </c>
      <c r="AG33" s="299">
        <f t="shared" si="13"/>
        <v>1.8127209553901486E-3</v>
      </c>
      <c r="AH33" s="299">
        <f t="shared" si="13"/>
        <v>1.8127209553901486E-3</v>
      </c>
      <c r="AI33" s="299">
        <f t="shared" si="13"/>
        <v>1.7306436682635238E-3</v>
      </c>
      <c r="AJ33" s="299">
        <f t="shared" si="13"/>
        <v>1.6849069784963249E-3</v>
      </c>
      <c r="AK33" s="299">
        <f t="shared" si="13"/>
        <v>1.6196535228080165E-3</v>
      </c>
      <c r="AL33" s="299">
        <f t="shared" si="13"/>
        <v>1.5330529651920932E-3</v>
      </c>
      <c r="AM33" s="299">
        <f t="shared" si="13"/>
        <v>1.4285300525796291E-3</v>
      </c>
      <c r="AN33" s="299">
        <f t="shared" si="13"/>
        <v>1.3159110264030769E-3</v>
      </c>
      <c r="AO33" s="299">
        <f t="shared" si="13"/>
        <v>1.2084806369267657E-3</v>
      </c>
      <c r="AP33" s="299">
        <f t="shared" si="13"/>
        <v>1.117267422689329E-3</v>
      </c>
      <c r="AQ33" s="299">
        <f t="shared" si="13"/>
        <v>1.0471748199444371E-3</v>
      </c>
      <c r="AR33" s="299">
        <f t="shared" si="13"/>
        <v>9.9732967156665876E-4</v>
      </c>
      <c r="AS33" s="299">
        <f t="shared" si="10"/>
        <v>9.63804642518413E-4</v>
      </c>
      <c r="AT33" s="299">
        <f t="shared" si="4"/>
        <v>9.4209321608641186E-4</v>
      </c>
      <c r="AU33" s="299">
        <f t="shared" si="4"/>
        <v>9.2837497459833794E-4</v>
      </c>
      <c r="AV33" s="299">
        <f t="shared" si="4"/>
        <v>9.1984178502375208E-4</v>
      </c>
      <c r="AW33" s="299">
        <f t="shared" si="4"/>
        <v>9.1458544057631305E-4</v>
      </c>
      <c r="AX33" s="299">
        <f t="shared" si="4"/>
        <v>9.1136704642230172E-4</v>
      </c>
      <c r="AY33" s="299">
        <f t="shared" si="4"/>
        <v>9.0940372949080959E-4</v>
      </c>
      <c r="AZ33" s="298">
        <f t="shared" si="14"/>
        <v>0.10035184743446009</v>
      </c>
      <c r="BA33" s="1">
        <f t="shared" si="14"/>
        <v>0.10035184743446009</v>
      </c>
      <c r="BB33" s="1">
        <f t="shared" si="14"/>
        <v>0.10035184743446009</v>
      </c>
      <c r="BC33" s="1">
        <f t="shared" si="14"/>
        <v>0.10035184743446009</v>
      </c>
      <c r="BD33" s="1">
        <f t="shared" si="14"/>
        <v>0.10035184743446009</v>
      </c>
      <c r="BE33" s="1">
        <f t="shared" si="14"/>
        <v>9.5808066235774328E-2</v>
      </c>
      <c r="BF33" s="1">
        <f t="shared" si="14"/>
        <v>9.3276092795500767E-2</v>
      </c>
      <c r="BG33" s="1">
        <f t="shared" si="14"/>
        <v>8.9663675335255183E-2</v>
      </c>
      <c r="BH33" s="1">
        <f t="shared" si="14"/>
        <v>8.4869486842111264E-2</v>
      </c>
      <c r="BI33" s="1">
        <f t="shared" si="14"/>
        <v>7.9083120579448482E-2</v>
      </c>
      <c r="BJ33" s="1">
        <f t="shared" si="14"/>
        <v>7.2848555187857683E-2</v>
      </c>
      <c r="BK33" s="1">
        <f t="shared" si="14"/>
        <v>6.6901231622973387E-2</v>
      </c>
      <c r="BL33" s="1">
        <f t="shared" si="14"/>
        <v>6.1851687438059445E-2</v>
      </c>
      <c r="BM33" s="1">
        <f t="shared" si="14"/>
        <v>5.7971375823619199E-2</v>
      </c>
      <c r="BN33" s="1">
        <f t="shared" si="14"/>
        <v>5.5211958986471063E-2</v>
      </c>
      <c r="BO33" s="1">
        <f t="shared" si="11"/>
        <v>5.3356020492307567E-2</v>
      </c>
      <c r="BP33" s="1">
        <f t="shared" si="6"/>
        <v>5.2154080532155374E-2</v>
      </c>
      <c r="BQ33" s="1">
        <f t="shared" si="6"/>
        <v>5.139464159436035E-2</v>
      </c>
      <c r="BR33" s="1">
        <f t="shared" si="6"/>
        <v>5.0922246030237872E-2</v>
      </c>
      <c r="BS33" s="1">
        <f t="shared" si="6"/>
        <v>5.0631255917013944E-2</v>
      </c>
      <c r="BT33" s="1">
        <f t="shared" si="6"/>
        <v>5.045308629958499E-2</v>
      </c>
      <c r="BU33" s="1">
        <f t="shared" si="6"/>
        <v>5.0344397490869705E-2</v>
      </c>
    </row>
    <row r="34" spans="1:73" x14ac:dyDescent="0.25">
      <c r="A34" s="1" t="s">
        <v>20</v>
      </c>
      <c r="B34" s="1" t="s">
        <v>5</v>
      </c>
      <c r="C34" s="1" t="s">
        <v>15</v>
      </c>
      <c r="D34" s="1" t="s">
        <v>15</v>
      </c>
      <c r="E34" s="5">
        <v>7.8622499999999995</v>
      </c>
      <c r="F34" s="1">
        <f t="shared" si="7"/>
        <v>1.9262512499999999E-2</v>
      </c>
      <c r="G34" s="1">
        <f>LOOKUP(RIGHT(D34,5),Ref!$C$4:$C$21,Ref!$E$4:$E$21)*$G$3</f>
        <v>2.5</v>
      </c>
      <c r="H34" s="297">
        <f t="shared" si="12"/>
        <v>7.8622499999999995</v>
      </c>
      <c r="I34" s="5">
        <f t="shared" si="12"/>
        <v>7.8622499999999995</v>
      </c>
      <c r="J34" s="5">
        <f t="shared" si="12"/>
        <v>7.8622499999999995</v>
      </c>
      <c r="K34" s="5">
        <f t="shared" si="12"/>
        <v>7.8622499999999995</v>
      </c>
      <c r="L34" s="5">
        <f t="shared" si="12"/>
        <v>7.8622499999999995</v>
      </c>
      <c r="M34" s="5">
        <f t="shared" si="8"/>
        <v>8.2351240713903238</v>
      </c>
      <c r="N34" s="5">
        <f t="shared" si="8"/>
        <v>8.4586659758720213</v>
      </c>
      <c r="O34" s="5">
        <f t="shared" si="8"/>
        <v>8.7994531736683932</v>
      </c>
      <c r="P34" s="5">
        <f t="shared" si="8"/>
        <v>9.2965250745465244</v>
      </c>
      <c r="Q34" s="5">
        <f t="shared" si="8"/>
        <v>9.9767346901662446</v>
      </c>
      <c r="R34" s="5">
        <f t="shared" si="8"/>
        <v>10.830569123258218</v>
      </c>
      <c r="S34" s="5">
        <f t="shared" si="8"/>
        <v>11.793374999999999</v>
      </c>
      <c r="T34" s="5">
        <f t="shared" si="8"/>
        <v>12.75618087674178</v>
      </c>
      <c r="U34" s="5">
        <f t="shared" si="8"/>
        <v>13.610015309833754</v>
      </c>
      <c r="V34" s="5">
        <f t="shared" si="8"/>
        <v>14.290224925453474</v>
      </c>
      <c r="W34" s="5">
        <f t="shared" si="8"/>
        <v>14.787296826331604</v>
      </c>
      <c r="X34" s="5">
        <f t="shared" si="8"/>
        <v>15.128084024127977</v>
      </c>
      <c r="Y34" s="5">
        <f t="shared" si="8"/>
        <v>15.351625928609675</v>
      </c>
      <c r="Z34" s="5">
        <f t="shared" si="8"/>
        <v>15.494039913775149</v>
      </c>
      <c r="AA34" s="5">
        <f t="shared" si="8"/>
        <v>15.583087920725545</v>
      </c>
      <c r="AB34" s="5">
        <f t="shared" si="8"/>
        <v>15.638117910302618</v>
      </c>
      <c r="AC34" s="5">
        <f t="shared" si="9"/>
        <v>15.671879132820541</v>
      </c>
      <c r="AD34" s="300">
        <f t="shared" si="13"/>
        <v>1.7480488541485276E-3</v>
      </c>
      <c r="AE34" s="299">
        <f t="shared" si="13"/>
        <v>1.7480488541485276E-3</v>
      </c>
      <c r="AF34" s="299">
        <f t="shared" si="13"/>
        <v>1.7480488541485276E-3</v>
      </c>
      <c r="AG34" s="299">
        <f t="shared" si="13"/>
        <v>1.7480488541485276E-3</v>
      </c>
      <c r="AH34" s="299">
        <f t="shared" si="13"/>
        <v>1.7480488541485276E-3</v>
      </c>
      <c r="AI34" s="299">
        <f t="shared" si="13"/>
        <v>1.6688998228060635E-3</v>
      </c>
      <c r="AJ34" s="299">
        <f t="shared" si="13"/>
        <v>1.6247948722330774E-3</v>
      </c>
      <c r="AK34" s="299">
        <f t="shared" si="13"/>
        <v>1.5618694516899973E-3</v>
      </c>
      <c r="AL34" s="299">
        <f t="shared" si="13"/>
        <v>1.4783585257203923E-3</v>
      </c>
      <c r="AM34" s="299">
        <f t="shared" si="13"/>
        <v>1.377564657209527E-3</v>
      </c>
      <c r="AN34" s="299">
        <f t="shared" si="13"/>
        <v>1.2689635186405328E-3</v>
      </c>
      <c r="AO34" s="299">
        <f t="shared" si="13"/>
        <v>1.1653659027656849E-3</v>
      </c>
      <c r="AP34" s="299">
        <f t="shared" si="13"/>
        <v>1.0774068850487866E-3</v>
      </c>
      <c r="AQ34" s="299">
        <f t="shared" si="13"/>
        <v>1.009814962779578E-3</v>
      </c>
      <c r="AR34" s="299">
        <f t="shared" si="13"/>
        <v>9.6174813029355666E-4</v>
      </c>
      <c r="AS34" s="299">
        <f t="shared" si="10"/>
        <v>9.2941916733937219E-4</v>
      </c>
      <c r="AT34" s="299">
        <f t="shared" si="4"/>
        <v>9.0848233534460935E-4</v>
      </c>
      <c r="AU34" s="299">
        <f t="shared" si="4"/>
        <v>8.9525351695264718E-4</v>
      </c>
      <c r="AV34" s="299">
        <f t="shared" si="4"/>
        <v>8.870247643618345E-4</v>
      </c>
      <c r="AW34" s="299">
        <f t="shared" si="4"/>
        <v>8.8195594951692735E-4</v>
      </c>
      <c r="AX34" s="299">
        <f t="shared" si="4"/>
        <v>8.7885237739989026E-4</v>
      </c>
      <c r="AY34" s="299">
        <f t="shared" si="4"/>
        <v>8.7695910535367692E-4</v>
      </c>
      <c r="AZ34" s="298">
        <f t="shared" si="14"/>
        <v>9.6771613633020809E-2</v>
      </c>
      <c r="BA34" s="1">
        <f t="shared" si="14"/>
        <v>9.6771613633020809E-2</v>
      </c>
      <c r="BB34" s="1">
        <f t="shared" si="14"/>
        <v>9.6771613633020809E-2</v>
      </c>
      <c r="BC34" s="1">
        <f t="shared" si="14"/>
        <v>9.6771613633020809E-2</v>
      </c>
      <c r="BD34" s="1">
        <f t="shared" si="14"/>
        <v>9.6771613633020809E-2</v>
      </c>
      <c r="BE34" s="1">
        <f t="shared" si="14"/>
        <v>9.2389940053175884E-2</v>
      </c>
      <c r="BF34" s="1">
        <f t="shared" si="14"/>
        <v>8.9948299348441993E-2</v>
      </c>
      <c r="BG34" s="1">
        <f t="shared" si="14"/>
        <v>8.6464761419831615E-2</v>
      </c>
      <c r="BH34" s="1">
        <f t="shared" si="14"/>
        <v>8.1841614279013916E-2</v>
      </c>
      <c r="BI34" s="1">
        <f t="shared" si="14"/>
        <v>7.6261687106519579E-2</v>
      </c>
      <c r="BJ34" s="1">
        <f t="shared" si="14"/>
        <v>7.0249551120295087E-2</v>
      </c>
      <c r="BK34" s="1">
        <f t="shared" si="14"/>
        <v>6.451440908868053E-2</v>
      </c>
      <c r="BL34" s="1">
        <f t="shared" si="14"/>
        <v>5.9645016532609278E-2</v>
      </c>
      <c r="BM34" s="1">
        <f t="shared" si="14"/>
        <v>5.590314205866323E-2</v>
      </c>
      <c r="BN34" s="1">
        <f t="shared" si="14"/>
        <v>5.3242172411927503E-2</v>
      </c>
      <c r="BO34" s="1">
        <f t="shared" si="11"/>
        <v>5.1452447882928291E-2</v>
      </c>
      <c r="BP34" s="1">
        <f t="shared" si="6"/>
        <v>5.0293389306454141E-2</v>
      </c>
      <c r="BQ34" s="1">
        <f t="shared" si="6"/>
        <v>4.9561044727405218E-2</v>
      </c>
      <c r="BR34" s="1">
        <f t="shared" si="6"/>
        <v>4.9105502730103473E-2</v>
      </c>
      <c r="BS34" s="1">
        <f t="shared" si="6"/>
        <v>4.8824894215882285E-2</v>
      </c>
      <c r="BT34" s="1">
        <f t="shared" si="6"/>
        <v>4.8653081122055207E-2</v>
      </c>
      <c r="BU34" s="1">
        <f t="shared" si="6"/>
        <v>4.8548269983325565E-2</v>
      </c>
    </row>
    <row r="35" spans="1:73" x14ac:dyDescent="0.25">
      <c r="A35" s="1" t="s">
        <v>20</v>
      </c>
      <c r="B35" s="1" t="s">
        <v>5</v>
      </c>
      <c r="C35" s="1" t="s">
        <v>16</v>
      </c>
      <c r="D35" s="1" t="s">
        <v>16</v>
      </c>
      <c r="E35" s="5">
        <v>9.025500000000001</v>
      </c>
      <c r="F35" s="1">
        <f t="shared" si="7"/>
        <v>2.2112475000000003E-2</v>
      </c>
      <c r="G35" s="1">
        <f>LOOKUP(RIGHT(D35,5),Ref!$C$4:$C$21,Ref!$E$4:$E$21)*$G$3</f>
        <v>3</v>
      </c>
      <c r="H35" s="297">
        <f t="shared" si="12"/>
        <v>9.025500000000001</v>
      </c>
      <c r="I35" s="5">
        <f t="shared" si="12"/>
        <v>9.025500000000001</v>
      </c>
      <c r="J35" s="5">
        <f t="shared" si="12"/>
        <v>9.025500000000001</v>
      </c>
      <c r="K35" s="5">
        <f t="shared" si="12"/>
        <v>9.025500000000001</v>
      </c>
      <c r="L35" s="5">
        <f t="shared" si="12"/>
        <v>9.025500000000001</v>
      </c>
      <c r="M35" s="5">
        <f t="shared" si="8"/>
        <v>9.4535422183641291</v>
      </c>
      <c r="N35" s="5">
        <f t="shared" si="8"/>
        <v>9.7101580037817339</v>
      </c>
      <c r="O35" s="5">
        <f t="shared" si="8"/>
        <v>10.101365972710623</v>
      </c>
      <c r="P35" s="5">
        <f t="shared" si="8"/>
        <v>10.671981565114271</v>
      </c>
      <c r="Q35" s="5">
        <f t="shared" si="8"/>
        <v>11.452830798574894</v>
      </c>
      <c r="R35" s="5">
        <f t="shared" si="8"/>
        <v>12.432993306237664</v>
      </c>
      <c r="S35" s="5">
        <f t="shared" si="8"/>
        <v>13.538250000000001</v>
      </c>
      <c r="T35" s="5">
        <f t="shared" si="8"/>
        <v>14.643506693762339</v>
      </c>
      <c r="U35" s="5">
        <f t="shared" si="8"/>
        <v>15.623669201425109</v>
      </c>
      <c r="V35" s="5">
        <f t="shared" si="8"/>
        <v>16.404518434885734</v>
      </c>
      <c r="W35" s="5">
        <f t="shared" si="8"/>
        <v>16.975134027289378</v>
      </c>
      <c r="X35" s="5">
        <f t="shared" si="8"/>
        <v>17.366341996218271</v>
      </c>
      <c r="Y35" s="5">
        <f t="shared" si="8"/>
        <v>17.622957781635872</v>
      </c>
      <c r="Z35" s="5">
        <f t="shared" si="8"/>
        <v>17.786442461353637</v>
      </c>
      <c r="AA35" s="5">
        <f t="shared" si="8"/>
        <v>17.888665461987145</v>
      </c>
      <c r="AB35" s="5">
        <f t="shared" si="8"/>
        <v>17.951837349287583</v>
      </c>
      <c r="AC35" s="5">
        <f t="shared" si="9"/>
        <v>17.990593673982872</v>
      </c>
      <c r="AD35" s="300">
        <f t="shared" si="13"/>
        <v>1.5227518811732599E-3</v>
      </c>
      <c r="AE35" s="299">
        <f t="shared" si="13"/>
        <v>1.5227518811732599E-3</v>
      </c>
      <c r="AF35" s="299">
        <f t="shared" si="13"/>
        <v>1.5227518811732599E-3</v>
      </c>
      <c r="AG35" s="299">
        <f t="shared" si="13"/>
        <v>1.5227518811732599E-3</v>
      </c>
      <c r="AH35" s="299">
        <f t="shared" si="13"/>
        <v>1.5227518811732599E-3</v>
      </c>
      <c r="AI35" s="299">
        <f t="shared" si="13"/>
        <v>1.4538039589891941E-3</v>
      </c>
      <c r="AJ35" s="299">
        <f t="shared" si="13"/>
        <v>1.4153834673108982E-3</v>
      </c>
      <c r="AK35" s="299">
        <f t="shared" si="13"/>
        <v>1.3605681786659663E-3</v>
      </c>
      <c r="AL35" s="299">
        <f t="shared" si="13"/>
        <v>1.287820543886228E-3</v>
      </c>
      <c r="AM35" s="299">
        <f t="shared" si="13"/>
        <v>1.200017475613052E-3</v>
      </c>
      <c r="AN35" s="299">
        <f t="shared" si="13"/>
        <v>1.1054133759272645E-3</v>
      </c>
      <c r="AO35" s="299">
        <f t="shared" si="13"/>
        <v>1.0151679207821734E-3</v>
      </c>
      <c r="AP35" s="299">
        <f t="shared" si="13"/>
        <v>9.3854548578747117E-4</v>
      </c>
      <c r="AQ35" s="299">
        <f t="shared" si="13"/>
        <v>8.7966513668093032E-4</v>
      </c>
      <c r="AR35" s="299">
        <f t="shared" si="13"/>
        <v>8.3779338955188238E-4</v>
      </c>
      <c r="AS35" s="299">
        <f t="shared" si="10"/>
        <v>8.0963113937332863E-4</v>
      </c>
      <c r="AT35" s="299">
        <f t="shared" si="4"/>
        <v>7.9139274733401501E-4</v>
      </c>
      <c r="AU35" s="299">
        <f t="shared" si="4"/>
        <v>7.7986892290299152E-4</v>
      </c>
      <c r="AV35" s="299">
        <f t="shared" si="4"/>
        <v>7.7270073166072037E-4</v>
      </c>
      <c r="AW35" s="299">
        <f t="shared" si="4"/>
        <v>7.682852101367748E-4</v>
      </c>
      <c r="AX35" s="299">
        <f t="shared" si="4"/>
        <v>7.6558164137303041E-4</v>
      </c>
      <c r="AY35" s="299">
        <f t="shared" si="4"/>
        <v>7.6393238336567996E-4</v>
      </c>
      <c r="AZ35" s="298">
        <f t="shared" si="14"/>
        <v>8.4299221016699094E-2</v>
      </c>
      <c r="BA35" s="1">
        <f t="shared" si="14"/>
        <v>8.4299221016699094E-2</v>
      </c>
      <c r="BB35" s="1">
        <f t="shared" si="14"/>
        <v>8.4299221016699094E-2</v>
      </c>
      <c r="BC35" s="1">
        <f t="shared" si="14"/>
        <v>8.4299221016699094E-2</v>
      </c>
      <c r="BD35" s="1">
        <f t="shared" si="14"/>
        <v>8.4299221016699094E-2</v>
      </c>
      <c r="BE35" s="1">
        <f t="shared" si="14"/>
        <v>8.0482278675207145E-2</v>
      </c>
      <c r="BF35" s="1">
        <f t="shared" si="14"/>
        <v>7.835532840865192E-2</v>
      </c>
      <c r="BG35" s="1">
        <f t="shared" si="14"/>
        <v>7.5320765660968486E-2</v>
      </c>
      <c r="BH35" s="1">
        <f t="shared" si="14"/>
        <v>7.1293472036471892E-2</v>
      </c>
      <c r="BI35" s="1">
        <f t="shared" si="14"/>
        <v>6.6432712808512928E-2</v>
      </c>
      <c r="BJ35" s="1">
        <f t="shared" si="14"/>
        <v>6.1195449924717732E-2</v>
      </c>
      <c r="BK35" s="1">
        <f t="shared" si="14"/>
        <v>5.6199480677799396E-2</v>
      </c>
      <c r="BL35" s="1">
        <f t="shared" si="14"/>
        <v>5.1957678935627638E-2</v>
      </c>
      <c r="BM35" s="1">
        <f t="shared" si="14"/>
        <v>4.8698075303387614E-2</v>
      </c>
      <c r="BN35" s="1">
        <f t="shared" si="14"/>
        <v>4.6380064267428613E-2</v>
      </c>
      <c r="BO35" s="1">
        <f t="shared" si="11"/>
        <v>4.482100807351979E-2</v>
      </c>
      <c r="BP35" s="1">
        <f t="shared" si="6"/>
        <v>4.3811334560375489E-2</v>
      </c>
      <c r="BQ35" s="1">
        <f t="shared" si="6"/>
        <v>4.3173378085207652E-2</v>
      </c>
      <c r="BR35" s="1">
        <f t="shared" si="6"/>
        <v>4.2776548539112065E-2</v>
      </c>
      <c r="BS35" s="1">
        <f t="shared" si="6"/>
        <v>4.2532106204511706E-2</v>
      </c>
      <c r="BT35" s="1">
        <f t="shared" si="6"/>
        <v>4.2382437211442969E-2</v>
      </c>
      <c r="BU35" s="1">
        <f t="shared" si="6"/>
        <v>4.2291134638125456E-2</v>
      </c>
    </row>
    <row r="36" spans="1:73" x14ac:dyDescent="0.25">
      <c r="A36" s="1" t="s">
        <v>20</v>
      </c>
      <c r="B36" s="1" t="s">
        <v>5</v>
      </c>
      <c r="C36" s="1" t="s">
        <v>17</v>
      </c>
      <c r="D36" s="1" t="s">
        <v>17</v>
      </c>
      <c r="E36" s="5">
        <v>7.6807500000000006</v>
      </c>
      <c r="F36" s="1">
        <f t="shared" si="7"/>
        <v>1.8817837500000004E-2</v>
      </c>
      <c r="G36" s="1">
        <f>LOOKUP(RIGHT(D36,5),Ref!$C$4:$C$21,Ref!$E$4:$E$21)*$G$3</f>
        <v>3</v>
      </c>
      <c r="H36" s="297">
        <f t="shared" si="12"/>
        <v>7.6807500000000006</v>
      </c>
      <c r="I36" s="5">
        <f t="shared" si="12"/>
        <v>7.6807500000000006</v>
      </c>
      <c r="J36" s="5">
        <f t="shared" si="12"/>
        <v>7.6807500000000006</v>
      </c>
      <c r="K36" s="5">
        <f t="shared" si="12"/>
        <v>7.6807500000000006</v>
      </c>
      <c r="L36" s="5">
        <f t="shared" si="12"/>
        <v>7.6807500000000006</v>
      </c>
      <c r="M36" s="5">
        <f t="shared" si="8"/>
        <v>8.0450162754085959</v>
      </c>
      <c r="N36" s="5">
        <f t="shared" si="8"/>
        <v>8.2633977161981669</v>
      </c>
      <c r="O36" s="5">
        <f t="shared" si="8"/>
        <v>8.5963178433213798</v>
      </c>
      <c r="P36" s="5">
        <f t="shared" si="8"/>
        <v>9.0819148419756726</v>
      </c>
      <c r="Q36" s="5">
        <f t="shared" si="8"/>
        <v>9.7464218221875907</v>
      </c>
      <c r="R36" s="5">
        <f t="shared" si="8"/>
        <v>10.580545491871357</v>
      </c>
      <c r="S36" s="5">
        <f t="shared" si="8"/>
        <v>11.521125000000001</v>
      </c>
      <c r="T36" s="5">
        <f t="shared" si="8"/>
        <v>12.461704508128644</v>
      </c>
      <c r="U36" s="5">
        <f t="shared" si="8"/>
        <v>13.29582817781241</v>
      </c>
      <c r="V36" s="5">
        <f t="shared" si="8"/>
        <v>13.96033515802433</v>
      </c>
      <c r="W36" s="5">
        <f t="shared" si="8"/>
        <v>14.445932156678619</v>
      </c>
      <c r="X36" s="5">
        <f t="shared" si="8"/>
        <v>14.778852283801836</v>
      </c>
      <c r="Y36" s="5">
        <f t="shared" si="8"/>
        <v>14.997233724591405</v>
      </c>
      <c r="Z36" s="5">
        <f t="shared" si="8"/>
        <v>15.136360083656522</v>
      </c>
      <c r="AA36" s="5">
        <f t="shared" si="8"/>
        <v>15.223352417833667</v>
      </c>
      <c r="AB36" s="5">
        <f t="shared" si="8"/>
        <v>15.277112040390074</v>
      </c>
      <c r="AC36" s="5">
        <f t="shared" si="9"/>
        <v>15.310093885263301</v>
      </c>
      <c r="AD36" s="300">
        <f t="shared" si="13"/>
        <v>1.7893561310456997E-3</v>
      </c>
      <c r="AE36" s="299">
        <f t="shared" si="13"/>
        <v>1.7893561310456997E-3</v>
      </c>
      <c r="AF36" s="299">
        <f t="shared" si="13"/>
        <v>1.7893561310456997E-3</v>
      </c>
      <c r="AG36" s="299">
        <f t="shared" si="13"/>
        <v>1.7893561310456997E-3</v>
      </c>
      <c r="AH36" s="299">
        <f t="shared" si="13"/>
        <v>1.7893561310456997E-3</v>
      </c>
      <c r="AI36" s="299">
        <f t="shared" si="13"/>
        <v>1.70833676813553E-3</v>
      </c>
      <c r="AJ36" s="299">
        <f t="shared" si="13"/>
        <v>1.6631895953148469E-3</v>
      </c>
      <c r="AK36" s="299">
        <f t="shared" si="13"/>
        <v>1.5987772153174728E-3</v>
      </c>
      <c r="AL36" s="299">
        <f t="shared" si="13"/>
        <v>1.5132928840080918E-3</v>
      </c>
      <c r="AM36" s="299">
        <f t="shared" si="13"/>
        <v>1.4101172055001926E-3</v>
      </c>
      <c r="AN36" s="299">
        <f t="shared" si="13"/>
        <v>1.2989497672013185E-3</v>
      </c>
      <c r="AO36" s="299">
        <f t="shared" si="13"/>
        <v>1.1929040873637998E-3</v>
      </c>
      <c r="AP36" s="299">
        <f t="shared" si="13"/>
        <v>1.1028665536535914E-3</v>
      </c>
      <c r="AQ36" s="299">
        <f t="shared" si="13"/>
        <v>1.0336774001384937E-3</v>
      </c>
      <c r="AR36" s="299">
        <f t="shared" si="13"/>
        <v>9.8447472413507996E-4</v>
      </c>
      <c r="AS36" s="299">
        <f t="shared" si="10"/>
        <v>9.5138181146554412E-4</v>
      </c>
      <c r="AT36" s="299">
        <f t="shared" si="4"/>
        <v>9.2995023156113054E-4</v>
      </c>
      <c r="AU36" s="299">
        <f t="shared" si="4"/>
        <v>9.1640880951221557E-4</v>
      </c>
      <c r="AV36" s="299">
        <f t="shared" si="4"/>
        <v>9.0798560734353185E-4</v>
      </c>
      <c r="AW36" s="299">
        <f t="shared" si="4"/>
        <v>9.0279701384493203E-4</v>
      </c>
      <c r="AX36" s="299">
        <f t="shared" si="4"/>
        <v>8.9962010275198201E-4</v>
      </c>
      <c r="AY36" s="299">
        <f t="shared" si="4"/>
        <v>8.9768209173152951E-4</v>
      </c>
      <c r="AZ36" s="298">
        <f t="shared" si="14"/>
        <v>9.9058375716722671E-2</v>
      </c>
      <c r="BA36" s="1">
        <f t="shared" si="14"/>
        <v>9.9058375716722671E-2</v>
      </c>
      <c r="BB36" s="1">
        <f t="shared" si="14"/>
        <v>9.9058375716722671E-2</v>
      </c>
      <c r="BC36" s="1">
        <f t="shared" si="14"/>
        <v>9.9058375716722671E-2</v>
      </c>
      <c r="BD36" s="1">
        <f t="shared" si="14"/>
        <v>9.9058375716722671E-2</v>
      </c>
      <c r="BE36" s="1">
        <f t="shared" si="14"/>
        <v>9.4573160978170367E-2</v>
      </c>
      <c r="BF36" s="1">
        <f t="shared" si="14"/>
        <v>9.2073823070961555E-2</v>
      </c>
      <c r="BG36" s="1">
        <f t="shared" si="14"/>
        <v>8.8507967382491434E-2</v>
      </c>
      <c r="BH36" s="1">
        <f t="shared" si="14"/>
        <v>8.3775572940816598E-2</v>
      </c>
      <c r="BI36" s="1">
        <f t="shared" si="14"/>
        <v>7.8063789272301995E-2</v>
      </c>
      <c r="BJ36" s="1">
        <f t="shared" si="14"/>
        <v>7.1909583477595282E-2</v>
      </c>
      <c r="BK36" s="1">
        <f t="shared" si="14"/>
        <v>6.6038917144481776E-2</v>
      </c>
      <c r="BL36" s="1">
        <f t="shared" si="14"/>
        <v>6.1054458384078018E-2</v>
      </c>
      <c r="BM36" s="1">
        <f t="shared" si="14"/>
        <v>5.7224161527288986E-2</v>
      </c>
      <c r="BN36" s="1">
        <f t="shared" si="14"/>
        <v>5.4500311824454251E-2</v>
      </c>
      <c r="BO36" s="1">
        <f t="shared" si="11"/>
        <v>5.2668295201321866E-2</v>
      </c>
      <c r="BP36" s="1">
        <f t="shared" si="6"/>
        <v>5.1481847485554018E-2</v>
      </c>
      <c r="BQ36" s="1">
        <f t="shared" si="6"/>
        <v>5.0732197234390083E-2</v>
      </c>
      <c r="BR36" s="1">
        <f t="shared" si="6"/>
        <v>5.0265890549719236E-2</v>
      </c>
      <c r="BS36" s="1">
        <f t="shared" si="6"/>
        <v>4.9978651114646416E-2</v>
      </c>
      <c r="BT36" s="1">
        <f t="shared" si="6"/>
        <v>4.9802777990675194E-2</v>
      </c>
      <c r="BU36" s="1">
        <f t="shared" si="6"/>
        <v>4.9695490111825197E-2</v>
      </c>
    </row>
    <row r="37" spans="1:73" x14ac:dyDescent="0.25">
      <c r="A37" s="1" t="s">
        <v>20</v>
      </c>
      <c r="B37" s="1" t="s">
        <v>5</v>
      </c>
      <c r="C37" s="1" t="s">
        <v>18</v>
      </c>
      <c r="D37" s="1" t="s">
        <v>18</v>
      </c>
      <c r="E37" s="5">
        <v>7.9777499999999995</v>
      </c>
      <c r="F37" s="1">
        <f t="shared" si="7"/>
        <v>1.9545487499999997E-2</v>
      </c>
      <c r="G37" s="1">
        <f>LOOKUP(RIGHT(D37,5),Ref!$C$4:$C$21,Ref!$E$4:$E$21)*$G$3</f>
        <v>3</v>
      </c>
      <c r="H37" s="297">
        <f t="shared" si="12"/>
        <v>7.9777499999999995</v>
      </c>
      <c r="I37" s="5">
        <f t="shared" si="12"/>
        <v>7.9777499999999995</v>
      </c>
      <c r="J37" s="5">
        <f t="shared" si="12"/>
        <v>7.9777499999999995</v>
      </c>
      <c r="K37" s="5">
        <f t="shared" si="12"/>
        <v>7.9777499999999995</v>
      </c>
      <c r="L37" s="5">
        <f t="shared" si="12"/>
        <v>7.9777499999999995</v>
      </c>
      <c r="M37" s="5">
        <f t="shared" ref="M37:AB52" si="15">M$3*$E37</f>
        <v>8.3561017597423319</v>
      </c>
      <c r="N37" s="5">
        <f t="shared" si="15"/>
        <v>8.5829275956644739</v>
      </c>
      <c r="O37" s="5">
        <f t="shared" si="15"/>
        <v>8.9287211111619484</v>
      </c>
      <c r="P37" s="5">
        <f t="shared" si="15"/>
        <v>9.4330952225461591</v>
      </c>
      <c r="Q37" s="5">
        <f t="shared" si="15"/>
        <v>10.123297424334478</v>
      </c>
      <c r="R37" s="5">
        <f t="shared" si="15"/>
        <v>10.989675070504404</v>
      </c>
      <c r="S37" s="5">
        <f t="shared" si="15"/>
        <v>11.966624999999999</v>
      </c>
      <c r="T37" s="5">
        <f t="shared" si="15"/>
        <v>12.943574929495593</v>
      </c>
      <c r="U37" s="5">
        <f t="shared" si="15"/>
        <v>13.80995257566552</v>
      </c>
      <c r="V37" s="5">
        <f t="shared" si="15"/>
        <v>14.50015477745384</v>
      </c>
      <c r="W37" s="5">
        <f t="shared" si="15"/>
        <v>15.004528888838049</v>
      </c>
      <c r="X37" s="5">
        <f t="shared" si="15"/>
        <v>15.350322404335524</v>
      </c>
      <c r="Y37" s="5">
        <f t="shared" si="15"/>
        <v>15.577148240257666</v>
      </c>
      <c r="Z37" s="5">
        <f t="shared" si="15"/>
        <v>15.721654351123366</v>
      </c>
      <c r="AA37" s="5">
        <f t="shared" si="15"/>
        <v>15.812010513474924</v>
      </c>
      <c r="AB37" s="5">
        <f t="shared" si="15"/>
        <v>15.867848918428786</v>
      </c>
      <c r="AC37" s="5">
        <f t="shared" si="9"/>
        <v>15.902106108538787</v>
      </c>
      <c r="AD37" s="300">
        <f t="shared" si="13"/>
        <v>1.7227410113790555E-3</v>
      </c>
      <c r="AE37" s="299">
        <f t="shared" si="13"/>
        <v>1.7227410113790555E-3</v>
      </c>
      <c r="AF37" s="299">
        <f t="shared" si="13"/>
        <v>1.7227410113790555E-3</v>
      </c>
      <c r="AG37" s="299">
        <f t="shared" si="13"/>
        <v>1.7227410113790555E-3</v>
      </c>
      <c r="AH37" s="299">
        <f t="shared" si="13"/>
        <v>1.7227410113790555E-3</v>
      </c>
      <c r="AI37" s="299">
        <f t="shared" si="13"/>
        <v>1.6447378812142488E-3</v>
      </c>
      <c r="AJ37" s="299">
        <f t="shared" si="13"/>
        <v>1.6012714718077797E-3</v>
      </c>
      <c r="AK37" s="299">
        <f t="shared" si="13"/>
        <v>1.5392570707968639E-3</v>
      </c>
      <c r="AL37" s="299">
        <f t="shared" si="13"/>
        <v>1.4569551964958983E-3</v>
      </c>
      <c r="AM37" s="299">
        <f t="shared" si="13"/>
        <v>1.3576205980565454E-3</v>
      </c>
      <c r="AN37" s="299">
        <f t="shared" si="13"/>
        <v>1.2505917613903079E-3</v>
      </c>
      <c r="AO37" s="299">
        <f t="shared" si="13"/>
        <v>1.1484940075860372E-3</v>
      </c>
      <c r="AP37" s="299">
        <f t="shared" si="13"/>
        <v>1.0618084399705208E-3</v>
      </c>
      <c r="AQ37" s="299">
        <f t="shared" si="13"/>
        <v>9.9519509775484777E-4</v>
      </c>
      <c r="AR37" s="299">
        <f t="shared" si="13"/>
        <v>9.4782416563573895E-4</v>
      </c>
      <c r="AS37" s="299">
        <f t="shared" si="10"/>
        <v>9.1596325385152194E-4</v>
      </c>
      <c r="AT37" s="299">
        <f t="shared" si="4"/>
        <v>8.9532954041717959E-4</v>
      </c>
      <c r="AU37" s="299">
        <f t="shared" si="4"/>
        <v>8.8229224576615592E-4</v>
      </c>
      <c r="AV37" s="299">
        <f t="shared" si="4"/>
        <v>8.7418262713219062E-4</v>
      </c>
      <c r="AW37" s="299">
        <f t="shared" si="4"/>
        <v>8.6918719740396253E-4</v>
      </c>
      <c r="AX37" s="299">
        <f t="shared" si="4"/>
        <v>8.6612855807869217E-4</v>
      </c>
      <c r="AY37" s="299">
        <f t="shared" si="4"/>
        <v>8.6426269638268261E-4</v>
      </c>
      <c r="AZ37" s="298">
        <f t="shared" si="14"/>
        <v>9.5370576827578935E-2</v>
      </c>
      <c r="BA37" s="1">
        <f t="shared" si="14"/>
        <v>9.5370576827578935E-2</v>
      </c>
      <c r="BB37" s="1">
        <f t="shared" si="14"/>
        <v>9.5370576827578935E-2</v>
      </c>
      <c r="BC37" s="1">
        <f t="shared" si="14"/>
        <v>9.5370576827578935E-2</v>
      </c>
      <c r="BD37" s="1">
        <f t="shared" si="14"/>
        <v>9.5370576827578935E-2</v>
      </c>
      <c r="BE37" s="1">
        <f t="shared" si="14"/>
        <v>9.105234009377107E-2</v>
      </c>
      <c r="BF37" s="1">
        <f t="shared" si="14"/>
        <v>8.8646048892518328E-2</v>
      </c>
      <c r="BG37" s="1">
        <f t="shared" si="14"/>
        <v>8.5212944811891955E-2</v>
      </c>
      <c r="BH37" s="1">
        <f t="shared" si="14"/>
        <v>8.0656730514891681E-2</v>
      </c>
      <c r="BI37" s="1">
        <f t="shared" si="14"/>
        <v>7.5157588223901936E-2</v>
      </c>
      <c r="BJ37" s="1">
        <f t="shared" si="14"/>
        <v>6.9232494537374581E-2</v>
      </c>
      <c r="BK37" s="1">
        <f t="shared" si="14"/>
        <v>6.3580384551719285E-2</v>
      </c>
      <c r="BL37" s="1">
        <f t="shared" si="14"/>
        <v>5.8781489923036861E-2</v>
      </c>
      <c r="BM37" s="1">
        <f t="shared" si="14"/>
        <v>5.5093789433201715E-2</v>
      </c>
      <c r="BN37" s="1">
        <f t="shared" si="14"/>
        <v>5.247134468310953E-2</v>
      </c>
      <c r="BO37" s="1">
        <f t="shared" si="11"/>
        <v>5.0707531367560149E-2</v>
      </c>
      <c r="BP37" s="1">
        <f t="shared" si="6"/>
        <v>4.95652533702697E-2</v>
      </c>
      <c r="BQ37" s="1">
        <f t="shared" si="6"/>
        <v>4.8843511504878152E-2</v>
      </c>
      <c r="BR37" s="1">
        <f t="shared" si="6"/>
        <v>4.8394564738147482E-2</v>
      </c>
      <c r="BS37" s="1">
        <f t="shared" si="6"/>
        <v>4.811801880841346E-2</v>
      </c>
      <c r="BT37" s="1">
        <f t="shared" si="6"/>
        <v>4.7948693184403944E-2</v>
      </c>
      <c r="BU37" s="1">
        <f t="shared" si="6"/>
        <v>4.784539947684515E-2</v>
      </c>
    </row>
    <row r="38" spans="1:73" x14ac:dyDescent="0.25">
      <c r="A38" s="1" t="s">
        <v>20</v>
      </c>
      <c r="B38" s="1" t="s">
        <v>5</v>
      </c>
      <c r="C38" s="1" t="s">
        <v>6</v>
      </c>
      <c r="D38" s="1" t="s">
        <v>6</v>
      </c>
      <c r="E38" s="5">
        <v>8.9512499999999999</v>
      </c>
      <c r="F38" s="1">
        <f t="shared" si="7"/>
        <v>2.1930562499999997E-2</v>
      </c>
      <c r="G38" s="1">
        <f>LOOKUP(RIGHT(D38,5),Ref!$C$4:$C$21,Ref!$E$4:$E$21)*$G$3</f>
        <v>3</v>
      </c>
      <c r="H38" s="297">
        <f t="shared" ref="H38:L53" si="16">$E38</f>
        <v>8.9512499999999999</v>
      </c>
      <c r="I38" s="5">
        <f t="shared" si="16"/>
        <v>8.9512499999999999</v>
      </c>
      <c r="J38" s="5">
        <f t="shared" si="16"/>
        <v>8.9512499999999999</v>
      </c>
      <c r="K38" s="5">
        <f t="shared" si="16"/>
        <v>8.9512499999999999</v>
      </c>
      <c r="L38" s="5">
        <f t="shared" si="16"/>
        <v>8.9512499999999999</v>
      </c>
      <c r="M38" s="5">
        <f t="shared" si="15"/>
        <v>9.3757708472806947</v>
      </c>
      <c r="N38" s="5">
        <f t="shared" si="15"/>
        <v>9.6302755339151549</v>
      </c>
      <c r="O38" s="5">
        <f t="shared" si="15"/>
        <v>10.01826515575048</v>
      </c>
      <c r="P38" s="5">
        <f t="shared" si="15"/>
        <v>10.584186469971646</v>
      </c>
      <c r="Q38" s="5">
        <f t="shared" si="15"/>
        <v>11.35861189803817</v>
      </c>
      <c r="R38" s="5">
        <f t="shared" si="15"/>
        <v>12.3307109115794</v>
      </c>
      <c r="S38" s="5">
        <f t="shared" si="15"/>
        <v>13.426874999999999</v>
      </c>
      <c r="T38" s="5">
        <f t="shared" si="15"/>
        <v>14.5230390884206</v>
      </c>
      <c r="U38" s="5">
        <f t="shared" si="15"/>
        <v>15.49513810196183</v>
      </c>
      <c r="V38" s="5">
        <f t="shared" si="15"/>
        <v>16.269563530028353</v>
      </c>
      <c r="W38" s="5">
        <f t="shared" si="15"/>
        <v>16.835484844249518</v>
      </c>
      <c r="X38" s="5">
        <f t="shared" si="15"/>
        <v>17.223474466084845</v>
      </c>
      <c r="Y38" s="5">
        <f t="shared" si="15"/>
        <v>17.477979152719307</v>
      </c>
      <c r="Z38" s="5">
        <f t="shared" si="15"/>
        <v>17.640118894486921</v>
      </c>
      <c r="AA38" s="5">
        <f t="shared" si="15"/>
        <v>17.741500938076829</v>
      </c>
      <c r="AB38" s="5">
        <f t="shared" si="15"/>
        <v>17.804153129777905</v>
      </c>
      <c r="AC38" s="5">
        <f t="shared" ref="AC38:AC51" si="17">AC$3*$E38</f>
        <v>17.842590618163996</v>
      </c>
      <c r="AD38" s="300">
        <f t="shared" si="13"/>
        <v>1.5353830027682457E-3</v>
      </c>
      <c r="AE38" s="299">
        <f t="shared" si="13"/>
        <v>1.5353830027682457E-3</v>
      </c>
      <c r="AF38" s="299">
        <f t="shared" si="13"/>
        <v>1.5353830027682457E-3</v>
      </c>
      <c r="AG38" s="299">
        <f t="shared" si="13"/>
        <v>1.5353830027682457E-3</v>
      </c>
      <c r="AH38" s="299">
        <f t="shared" si="13"/>
        <v>1.5353830027682457E-3</v>
      </c>
      <c r="AI38" s="299">
        <f t="shared" si="13"/>
        <v>1.4658631623356484E-3</v>
      </c>
      <c r="AJ38" s="299">
        <f t="shared" si="13"/>
        <v>1.4271239753346754E-3</v>
      </c>
      <c r="AK38" s="299">
        <f t="shared" si="13"/>
        <v>1.371853997659509E-3</v>
      </c>
      <c r="AL38" s="299">
        <f t="shared" si="13"/>
        <v>1.2985029262779114E-3</v>
      </c>
      <c r="AM38" s="299">
        <f t="shared" si="13"/>
        <v>1.2099715376227458E-3</v>
      </c>
      <c r="AN38" s="299">
        <f t="shared" si="13"/>
        <v>1.1145827034695186E-3</v>
      </c>
      <c r="AO38" s="299">
        <f t="shared" si="13"/>
        <v>1.023588668512164E-3</v>
      </c>
      <c r="AP38" s="299">
        <f t="shared" si="13"/>
        <v>9.4633065571566222E-4</v>
      </c>
      <c r="AQ38" s="299">
        <f t="shared" si="13"/>
        <v>8.869618981833528E-4</v>
      </c>
      <c r="AR38" s="299">
        <f t="shared" si="13"/>
        <v>8.4474282780622992E-4</v>
      </c>
      <c r="AS38" s="299">
        <f t="shared" si="10"/>
        <v>8.1634697370914437E-4</v>
      </c>
      <c r="AT38" s="299">
        <f t="shared" si="4"/>
        <v>7.9795729546858305E-4</v>
      </c>
      <c r="AU38" s="299">
        <f t="shared" si="4"/>
        <v>7.8633788171048166E-4</v>
      </c>
      <c r="AV38" s="299">
        <f t="shared" si="4"/>
        <v>7.7911023081735325E-4</v>
      </c>
      <c r="AW38" s="299">
        <f t="shared" si="4"/>
        <v>7.7465808284758687E-4</v>
      </c>
      <c r="AX38" s="299">
        <f t="shared" si="4"/>
        <v>7.7193208816782972E-4</v>
      </c>
      <c r="AY38" s="299">
        <f t="shared" si="4"/>
        <v>7.7026914967931253E-4</v>
      </c>
      <c r="AZ38" s="298">
        <f t="shared" si="14"/>
        <v>8.4998477227897537E-2</v>
      </c>
      <c r="BA38" s="1">
        <f t="shared" si="14"/>
        <v>8.4998477227897537E-2</v>
      </c>
      <c r="BB38" s="1">
        <f t="shared" si="14"/>
        <v>8.4998477227897537E-2</v>
      </c>
      <c r="BC38" s="1">
        <f t="shared" si="14"/>
        <v>8.4998477227897537E-2</v>
      </c>
      <c r="BD38" s="1">
        <f t="shared" si="14"/>
        <v>8.4998477227897537E-2</v>
      </c>
      <c r="BE38" s="1">
        <f t="shared" si="14"/>
        <v>8.1149873613526838E-2</v>
      </c>
      <c r="BF38" s="1">
        <f t="shared" si="14"/>
        <v>7.9005280441534764E-2</v>
      </c>
      <c r="BG38" s="1">
        <f t="shared" si="14"/>
        <v>7.5945546205621675E-2</v>
      </c>
      <c r="BH38" s="1">
        <f t="shared" si="14"/>
        <v>7.1884846458894258E-2</v>
      </c>
      <c r="BI38" s="1">
        <f t="shared" si="14"/>
        <v>6.6983767569136557E-2</v>
      </c>
      <c r="BJ38" s="1">
        <f t="shared" si="14"/>
        <v>6.1703061951743049E-2</v>
      </c>
      <c r="BK38" s="1">
        <f t="shared" si="14"/>
        <v>5.6665651485265027E-2</v>
      </c>
      <c r="BL38" s="1">
        <f t="shared" si="14"/>
        <v>5.2388664290854044E-2</v>
      </c>
      <c r="BM38" s="1">
        <f t="shared" si="14"/>
        <v>4.9102022471802814E-2</v>
      </c>
      <c r="BN38" s="1">
        <f t="shared" si="14"/>
        <v>4.6764783694531714E-2</v>
      </c>
      <c r="BO38" s="1">
        <f t="shared" si="11"/>
        <v>4.5192795237263279E-2</v>
      </c>
      <c r="BP38" s="1">
        <f t="shared" si="6"/>
        <v>4.4174746552120545E-2</v>
      </c>
      <c r="BQ38" s="1">
        <f t="shared" si="6"/>
        <v>4.3531498272089554E-2</v>
      </c>
      <c r="BR38" s="1">
        <f t="shared" si="6"/>
        <v>4.3131377052339735E-2</v>
      </c>
      <c r="BS38" s="1">
        <f t="shared" si="6"/>
        <v>4.2884907085470797E-2</v>
      </c>
      <c r="BT38" s="1">
        <f t="shared" si="6"/>
        <v>4.2733996598450327E-2</v>
      </c>
      <c r="BU38" s="1">
        <f t="shared" si="6"/>
        <v>4.2641936676598401E-2</v>
      </c>
    </row>
    <row r="39" spans="1:73" x14ac:dyDescent="0.25">
      <c r="A39" s="1" t="s">
        <v>20</v>
      </c>
      <c r="B39" s="1" t="s">
        <v>5</v>
      </c>
      <c r="C39" s="1" t="s">
        <v>7</v>
      </c>
      <c r="D39" s="1" t="s">
        <v>7</v>
      </c>
      <c r="E39" s="5">
        <v>8.0849999999999991</v>
      </c>
      <c r="F39" s="1">
        <f t="shared" si="7"/>
        <v>1.9808249999999996E-2</v>
      </c>
      <c r="G39" s="1">
        <f>LOOKUP(RIGHT(D39,5),Ref!$C$4:$C$21,Ref!$E$4:$E$21)*$G$3</f>
        <v>3.5</v>
      </c>
      <c r="H39" s="297">
        <f t="shared" si="16"/>
        <v>8.0849999999999991</v>
      </c>
      <c r="I39" s="5">
        <f t="shared" si="16"/>
        <v>8.0849999999999991</v>
      </c>
      <c r="J39" s="5">
        <f t="shared" si="16"/>
        <v>8.0849999999999991</v>
      </c>
      <c r="K39" s="5">
        <f t="shared" si="16"/>
        <v>8.0849999999999991</v>
      </c>
      <c r="L39" s="5">
        <f t="shared" si="16"/>
        <v>8.0849999999999991</v>
      </c>
      <c r="M39" s="5">
        <f t="shared" si="15"/>
        <v>8.4684381846406254</v>
      </c>
      <c r="N39" s="5">
        <f t="shared" si="15"/>
        <v>8.6983133854717529</v>
      </c>
      <c r="O39" s="5">
        <f t="shared" si="15"/>
        <v>9.0487556245488197</v>
      </c>
      <c r="P39" s="5">
        <f t="shared" si="15"/>
        <v>9.5599103599743902</v>
      </c>
      <c r="Q39" s="5">
        <f t="shared" si="15"/>
        <v>10.259391391776409</v>
      </c>
      <c r="R39" s="5">
        <f t="shared" si="15"/>
        <v>11.137416307233005</v>
      </c>
      <c r="S39" s="5">
        <f t="shared" si="15"/>
        <v>12.127499999999998</v>
      </c>
      <c r="T39" s="5">
        <f t="shared" si="15"/>
        <v>13.117583692766992</v>
      </c>
      <c r="U39" s="5">
        <f t="shared" si="15"/>
        <v>13.995608608223588</v>
      </c>
      <c r="V39" s="5">
        <f t="shared" si="15"/>
        <v>14.695089640025607</v>
      </c>
      <c r="W39" s="5">
        <f t="shared" si="15"/>
        <v>15.206244375451176</v>
      </c>
      <c r="X39" s="5">
        <f t="shared" si="15"/>
        <v>15.556686614528244</v>
      </c>
      <c r="Y39" s="5">
        <f t="shared" si="15"/>
        <v>15.786561815359372</v>
      </c>
      <c r="Z39" s="5">
        <f t="shared" si="15"/>
        <v>15.933010614375283</v>
      </c>
      <c r="AA39" s="5">
        <f t="shared" si="15"/>
        <v>16.024581492456488</v>
      </c>
      <c r="AB39" s="5">
        <f t="shared" si="15"/>
        <v>16.081170568831652</v>
      </c>
      <c r="AC39" s="5">
        <f t="shared" si="17"/>
        <v>16.115888300277156</v>
      </c>
      <c r="AD39" s="300">
        <f t="shared" ref="AD39:AR55" si="18">Algae_electricity_factor/H39</f>
        <v>1.6998883244934151E-3</v>
      </c>
      <c r="AE39" s="299">
        <f t="shared" si="18"/>
        <v>1.6998883244934151E-3</v>
      </c>
      <c r="AF39" s="299">
        <f t="shared" si="18"/>
        <v>1.6998883244934151E-3</v>
      </c>
      <c r="AG39" s="299">
        <f t="shared" si="18"/>
        <v>1.6998883244934151E-3</v>
      </c>
      <c r="AH39" s="299">
        <f t="shared" si="18"/>
        <v>1.6998883244934151E-3</v>
      </c>
      <c r="AI39" s="299">
        <f t="shared" si="18"/>
        <v>1.6229199297287538E-3</v>
      </c>
      <c r="AJ39" s="299">
        <f t="shared" si="18"/>
        <v>1.5800301155491049E-3</v>
      </c>
      <c r="AK39" s="299">
        <f t="shared" si="18"/>
        <v>1.5188383545515995E-3</v>
      </c>
      <c r="AL39" s="299">
        <f t="shared" si="18"/>
        <v>1.4376282398076876E-3</v>
      </c>
      <c r="AM39" s="299">
        <f t="shared" si="18"/>
        <v>1.3396113452251832E-3</v>
      </c>
      <c r="AN39" s="299">
        <f t="shared" si="18"/>
        <v>1.2340022788412529E-3</v>
      </c>
      <c r="AO39" s="299">
        <f t="shared" si="18"/>
        <v>1.1332588829956101E-3</v>
      </c>
      <c r="AP39" s="299">
        <f t="shared" si="18"/>
        <v>1.0477232259709119E-3</v>
      </c>
      <c r="AQ39" s="299">
        <f t="shared" si="18"/>
        <v>9.819935301315693E-4</v>
      </c>
      <c r="AR39" s="299">
        <f t="shared" si="18"/>
        <v>9.3525098792832616E-4</v>
      </c>
      <c r="AS39" s="299">
        <f t="shared" si="10"/>
        <v>9.0381272089226704E-4</v>
      </c>
      <c r="AT39" s="299">
        <f t="shared" si="4"/>
        <v>8.834527199830742E-4</v>
      </c>
      <c r="AU39" s="299">
        <f t="shared" si="4"/>
        <v>8.7058836903660482E-4</v>
      </c>
      <c r="AV39" s="299">
        <f t="shared" si="4"/>
        <v>8.6258632697635543E-4</v>
      </c>
      <c r="AW39" s="299">
        <f t="shared" si="4"/>
        <v>8.5765716315268554E-4</v>
      </c>
      <c r="AX39" s="299">
        <f t="shared" si="4"/>
        <v>8.5463909761438318E-4</v>
      </c>
      <c r="AY39" s="299">
        <f t="shared" si="4"/>
        <v>8.5279798714495321E-4</v>
      </c>
      <c r="AZ39" s="298">
        <f t="shared" ref="AZ39:BN55" si="19">Algae_yield_cost_factor/H39</f>
        <v>9.4105456930886566E-2</v>
      </c>
      <c r="BA39" s="1">
        <f t="shared" si="19"/>
        <v>9.4105456930886566E-2</v>
      </c>
      <c r="BB39" s="1">
        <f t="shared" si="19"/>
        <v>9.4105456930886566E-2</v>
      </c>
      <c r="BC39" s="1">
        <f t="shared" si="19"/>
        <v>9.4105456930886566E-2</v>
      </c>
      <c r="BD39" s="1">
        <f t="shared" si="19"/>
        <v>9.4105456930886566E-2</v>
      </c>
      <c r="BE39" s="1">
        <f t="shared" si="19"/>
        <v>8.9844502929261869E-2</v>
      </c>
      <c r="BF39" s="1">
        <f t="shared" si="19"/>
        <v>8.7470131917413485E-2</v>
      </c>
      <c r="BG39" s="1">
        <f t="shared" si="19"/>
        <v>8.4082569013366873E-2</v>
      </c>
      <c r="BH39" s="1">
        <f t="shared" si="19"/>
        <v>7.9586794293775784E-2</v>
      </c>
      <c r="BI39" s="1">
        <f t="shared" si="19"/>
        <v>7.4160599808686917E-2</v>
      </c>
      <c r="BJ39" s="1">
        <f t="shared" si="19"/>
        <v>6.8314104303715525E-2</v>
      </c>
      <c r="BK39" s="1">
        <f t="shared" si="19"/>
        <v>6.2736971287257706E-2</v>
      </c>
      <c r="BL39" s="1">
        <f t="shared" si="19"/>
        <v>5.8001735464874131E-2</v>
      </c>
      <c r="BM39" s="1">
        <f t="shared" si="19"/>
        <v>5.4362953450924546E-2</v>
      </c>
      <c r="BN39" s="1">
        <f t="shared" si="19"/>
        <v>5.1775296233231551E-2</v>
      </c>
      <c r="BO39" s="1">
        <f t="shared" si="11"/>
        <v>5.0034880441255779E-2</v>
      </c>
      <c r="BP39" s="1">
        <f t="shared" si="6"/>
        <v>4.8907755111276326E-2</v>
      </c>
      <c r="BQ39" s="1">
        <f t="shared" si="6"/>
        <v>4.8195587372670587E-2</v>
      </c>
      <c r="BR39" s="1">
        <f t="shared" si="6"/>
        <v>4.7752596022233279E-2</v>
      </c>
      <c r="BS39" s="1">
        <f t="shared" si="6"/>
        <v>4.7479718558914107E-2</v>
      </c>
      <c r="BT39" s="1">
        <f t="shared" si="6"/>
        <v>4.7312639091141445E-2</v>
      </c>
      <c r="BU39" s="1">
        <f t="shared" si="6"/>
        <v>4.7210715606233945E-2</v>
      </c>
    </row>
    <row r="40" spans="1:73" x14ac:dyDescent="0.25">
      <c r="A40" s="1" t="s">
        <v>20</v>
      </c>
      <c r="B40" s="1" t="s">
        <v>5</v>
      </c>
      <c r="C40" s="1" t="s">
        <v>8</v>
      </c>
      <c r="D40" s="1" t="s">
        <v>8</v>
      </c>
      <c r="E40" s="5">
        <v>7.6725000000000003</v>
      </c>
      <c r="F40" s="1">
        <f t="shared" si="7"/>
        <v>1.8797624999999998E-2</v>
      </c>
      <c r="G40" s="1">
        <f>LOOKUP(RIGHT(D40,5),Ref!$C$4:$C$21,Ref!$E$4:$E$21)*$G$3</f>
        <v>4</v>
      </c>
      <c r="H40" s="297">
        <f t="shared" si="16"/>
        <v>7.6725000000000003</v>
      </c>
      <c r="I40" s="5">
        <f t="shared" si="16"/>
        <v>7.6725000000000003</v>
      </c>
      <c r="J40" s="5">
        <f t="shared" si="16"/>
        <v>7.6725000000000003</v>
      </c>
      <c r="K40" s="5">
        <f t="shared" si="16"/>
        <v>7.6725000000000003</v>
      </c>
      <c r="L40" s="5">
        <f t="shared" si="16"/>
        <v>7.6725000000000003</v>
      </c>
      <c r="M40" s="5">
        <f t="shared" si="15"/>
        <v>8.0363750119548811</v>
      </c>
      <c r="N40" s="5">
        <f t="shared" si="15"/>
        <v>8.2545218862129914</v>
      </c>
      <c r="O40" s="5">
        <f t="shared" si="15"/>
        <v>8.5870844192146976</v>
      </c>
      <c r="P40" s="5">
        <f t="shared" si="15"/>
        <v>9.0721598314042691</v>
      </c>
      <c r="Q40" s="5">
        <f t="shared" si="15"/>
        <v>9.7359530554612892</v>
      </c>
      <c r="R40" s="5">
        <f t="shared" si="15"/>
        <v>10.569180781353772</v>
      </c>
      <c r="S40" s="5">
        <f t="shared" si="15"/>
        <v>11.508750000000001</v>
      </c>
      <c r="T40" s="5">
        <f t="shared" si="15"/>
        <v>12.44831921864623</v>
      </c>
      <c r="U40" s="5">
        <f t="shared" si="15"/>
        <v>13.281546944538713</v>
      </c>
      <c r="V40" s="5">
        <f t="shared" si="15"/>
        <v>13.945340168595731</v>
      </c>
      <c r="W40" s="5">
        <f t="shared" si="15"/>
        <v>14.430415580785303</v>
      </c>
      <c r="X40" s="5">
        <f t="shared" si="15"/>
        <v>14.76297811378701</v>
      </c>
      <c r="Y40" s="5">
        <f t="shared" si="15"/>
        <v>14.981124988045119</v>
      </c>
      <c r="Z40" s="5">
        <f t="shared" si="15"/>
        <v>15.120101909560219</v>
      </c>
      <c r="AA40" s="5">
        <f t="shared" si="15"/>
        <v>15.207000804065853</v>
      </c>
      <c r="AB40" s="5">
        <f t="shared" si="15"/>
        <v>15.260702682666775</v>
      </c>
      <c r="AC40" s="5">
        <f t="shared" si="17"/>
        <v>15.293649101283426</v>
      </c>
      <c r="AD40" s="300">
        <f t="shared" si="18"/>
        <v>1.7912801698962866E-3</v>
      </c>
      <c r="AE40" s="299">
        <f t="shared" si="18"/>
        <v>1.7912801698962866E-3</v>
      </c>
      <c r="AF40" s="299">
        <f t="shared" si="18"/>
        <v>1.7912801698962866E-3</v>
      </c>
      <c r="AG40" s="299">
        <f t="shared" si="18"/>
        <v>1.7912801698962866E-3</v>
      </c>
      <c r="AH40" s="299">
        <f t="shared" si="18"/>
        <v>1.7912801698962866E-3</v>
      </c>
      <c r="AI40" s="299">
        <f t="shared" si="18"/>
        <v>1.7101736893915898E-3</v>
      </c>
      <c r="AJ40" s="299">
        <f t="shared" si="18"/>
        <v>1.6649779712237876E-3</v>
      </c>
      <c r="AK40" s="299">
        <f t="shared" si="18"/>
        <v>1.6004963306027605E-3</v>
      </c>
      <c r="AL40" s="299">
        <f t="shared" si="18"/>
        <v>1.5149200806575632E-3</v>
      </c>
      <c r="AM40" s="299">
        <f t="shared" si="18"/>
        <v>1.41163346055987E-3</v>
      </c>
      <c r="AN40" s="299">
        <f t="shared" si="18"/>
        <v>1.3003464873811048E-3</v>
      </c>
      <c r="AO40" s="299">
        <f t="shared" si="18"/>
        <v>1.1941867799308576E-3</v>
      </c>
      <c r="AP40" s="299">
        <f t="shared" si="18"/>
        <v>1.1040524316682724E-3</v>
      </c>
      <c r="AQ40" s="299">
        <f t="shared" si="18"/>
        <v>1.0347888812139115E-3</v>
      </c>
      <c r="AR40" s="299">
        <f t="shared" si="18"/>
        <v>9.8553329910726828E-4</v>
      </c>
      <c r="AS40" s="299">
        <f t="shared" si="10"/>
        <v>9.524048026606683E-4</v>
      </c>
      <c r="AT40" s="299">
        <f t="shared" si="4"/>
        <v>9.309501780466801E-4</v>
      </c>
      <c r="AU40" s="299">
        <f t="shared" si="4"/>
        <v>9.173941953288954E-4</v>
      </c>
      <c r="AV40" s="299">
        <f t="shared" si="4"/>
        <v>9.0896193595357876E-4</v>
      </c>
      <c r="AW40" s="299">
        <f t="shared" si="4"/>
        <v>9.0376776332218463E-4</v>
      </c>
      <c r="AX40" s="299">
        <f t="shared" si="4"/>
        <v>9.0058743619580138E-4</v>
      </c>
      <c r="AY40" s="299">
        <f t="shared" si="4"/>
        <v>8.9864734129253116E-4</v>
      </c>
      <c r="AZ40" s="298">
        <f t="shared" si="19"/>
        <v>9.9164890099213782E-2</v>
      </c>
      <c r="BA40" s="1">
        <f t="shared" si="19"/>
        <v>9.9164890099213782E-2</v>
      </c>
      <c r="BB40" s="1">
        <f t="shared" si="19"/>
        <v>9.9164890099213782E-2</v>
      </c>
      <c r="BC40" s="1">
        <f t="shared" si="19"/>
        <v>9.9164890099213782E-2</v>
      </c>
      <c r="BD40" s="1">
        <f t="shared" si="19"/>
        <v>9.9164890099213782E-2</v>
      </c>
      <c r="BE40" s="1">
        <f t="shared" si="19"/>
        <v>9.4674852549114646E-2</v>
      </c>
      <c r="BF40" s="1">
        <f t="shared" si="19"/>
        <v>9.217282718179054E-2</v>
      </c>
      <c r="BG40" s="1">
        <f t="shared" si="19"/>
        <v>8.8603137239891952E-2</v>
      </c>
      <c r="BH40" s="1">
        <f t="shared" si="19"/>
        <v>8.3865654202043283E-2</v>
      </c>
      <c r="BI40" s="1">
        <f t="shared" si="19"/>
        <v>7.8147728830659305E-2</v>
      </c>
      <c r="BJ40" s="1">
        <f t="shared" si="19"/>
        <v>7.1986905610366886E-2</v>
      </c>
      <c r="BK40" s="1">
        <f t="shared" si="19"/>
        <v>6.6109926732809188E-2</v>
      </c>
      <c r="BL40" s="1">
        <f t="shared" si="19"/>
        <v>6.1120108339329716E-2</v>
      </c>
      <c r="BM40" s="1">
        <f t="shared" si="19"/>
        <v>5.7285692883769945E-2</v>
      </c>
      <c r="BN40" s="1">
        <f t="shared" si="19"/>
        <v>5.4558914310287004E-2</v>
      </c>
      <c r="BO40" s="1">
        <f t="shared" si="11"/>
        <v>5.2724927776807158E-2</v>
      </c>
      <c r="BP40" s="1">
        <f t="shared" si="6"/>
        <v>5.15372043108073E-2</v>
      </c>
      <c r="BQ40" s="1">
        <f t="shared" si="6"/>
        <v>5.0786747984104486E-2</v>
      </c>
      <c r="BR40" s="1">
        <f t="shared" si="6"/>
        <v>5.0319939894396357E-2</v>
      </c>
      <c r="BS40" s="1">
        <f t="shared" si="6"/>
        <v>5.0032391599715932E-2</v>
      </c>
      <c r="BT40" s="1">
        <f t="shared" si="6"/>
        <v>4.9856329364858717E-2</v>
      </c>
      <c r="BU40" s="1">
        <f t="shared" si="6"/>
        <v>4.9748926122698128E-2</v>
      </c>
    </row>
    <row r="41" spans="1:73" x14ac:dyDescent="0.25">
      <c r="A41" s="1" t="s">
        <v>20</v>
      </c>
      <c r="B41" s="1" t="s">
        <v>5</v>
      </c>
      <c r="C41" s="1" t="s">
        <v>9</v>
      </c>
      <c r="D41" s="1" t="s">
        <v>9</v>
      </c>
      <c r="E41" s="5">
        <v>8.2004999999999999</v>
      </c>
      <c r="F41" s="1">
        <f t="shared" si="7"/>
        <v>2.0091224999999997E-2</v>
      </c>
      <c r="G41" s="1">
        <f>LOOKUP(RIGHT(D41,5),Ref!$C$4:$C$21,Ref!$E$4:$E$21)*$G$3</f>
        <v>4.5</v>
      </c>
      <c r="H41" s="297">
        <f t="shared" si="16"/>
        <v>8.2004999999999999</v>
      </c>
      <c r="I41" s="5">
        <f t="shared" si="16"/>
        <v>8.2004999999999999</v>
      </c>
      <c r="J41" s="5">
        <f t="shared" si="16"/>
        <v>8.2004999999999999</v>
      </c>
      <c r="K41" s="5">
        <f t="shared" si="16"/>
        <v>8.2004999999999999</v>
      </c>
      <c r="L41" s="5">
        <f t="shared" si="16"/>
        <v>8.2004999999999999</v>
      </c>
      <c r="M41" s="5">
        <f t="shared" si="15"/>
        <v>8.5894158729926353</v>
      </c>
      <c r="N41" s="5">
        <f t="shared" si="15"/>
        <v>8.8225750052642073</v>
      </c>
      <c r="O41" s="5">
        <f t="shared" si="15"/>
        <v>9.1780235620423749</v>
      </c>
      <c r="P41" s="5">
        <f t="shared" si="15"/>
        <v>9.6964805079740248</v>
      </c>
      <c r="Q41" s="5">
        <f t="shared" si="15"/>
        <v>10.405954125944646</v>
      </c>
      <c r="R41" s="5">
        <f t="shared" si="15"/>
        <v>11.296522254479193</v>
      </c>
      <c r="S41" s="5">
        <f t="shared" si="15"/>
        <v>12.300750000000001</v>
      </c>
      <c r="T41" s="5">
        <f t="shared" si="15"/>
        <v>13.304977745520807</v>
      </c>
      <c r="U41" s="5">
        <f t="shared" si="15"/>
        <v>14.195545874055354</v>
      </c>
      <c r="V41" s="5">
        <f t="shared" si="15"/>
        <v>14.905019492025975</v>
      </c>
      <c r="W41" s="5">
        <f t="shared" si="15"/>
        <v>15.423476437957623</v>
      </c>
      <c r="X41" s="5">
        <f t="shared" si="15"/>
        <v>15.778924994735792</v>
      </c>
      <c r="Y41" s="5">
        <f t="shared" si="15"/>
        <v>16.012084127007363</v>
      </c>
      <c r="Z41" s="5">
        <f t="shared" si="15"/>
        <v>16.160625051723503</v>
      </c>
      <c r="AA41" s="5">
        <f t="shared" si="15"/>
        <v>16.253504085205869</v>
      </c>
      <c r="AB41" s="5">
        <f t="shared" si="15"/>
        <v>16.310901576957821</v>
      </c>
      <c r="AC41" s="5">
        <f t="shared" si="17"/>
        <v>16.346115275995402</v>
      </c>
      <c r="AD41" s="300">
        <f t="shared" si="18"/>
        <v>1.675946235416043E-3</v>
      </c>
      <c r="AE41" s="299">
        <f t="shared" si="18"/>
        <v>1.675946235416043E-3</v>
      </c>
      <c r="AF41" s="299">
        <f t="shared" si="18"/>
        <v>1.675946235416043E-3</v>
      </c>
      <c r="AG41" s="299">
        <f t="shared" si="18"/>
        <v>1.675946235416043E-3</v>
      </c>
      <c r="AH41" s="299">
        <f t="shared" si="18"/>
        <v>1.675946235416043E-3</v>
      </c>
      <c r="AI41" s="299">
        <f t="shared" si="18"/>
        <v>1.6000619025494755E-3</v>
      </c>
      <c r="AJ41" s="299">
        <f t="shared" si="18"/>
        <v>1.5577761702596808E-3</v>
      </c>
      <c r="AK41" s="299">
        <f t="shared" si="18"/>
        <v>1.4974462650508725E-3</v>
      </c>
      <c r="AL41" s="299">
        <f t="shared" si="18"/>
        <v>1.4173799547399736E-3</v>
      </c>
      <c r="AM41" s="299">
        <f t="shared" si="18"/>
        <v>1.3207435797994761E-3</v>
      </c>
      <c r="AN41" s="299">
        <f t="shared" si="18"/>
        <v>1.2166219650547561E-3</v>
      </c>
      <c r="AO41" s="299">
        <f t="shared" si="18"/>
        <v>1.1172974902773618E-3</v>
      </c>
      <c r="AP41" s="299">
        <f t="shared" si="18"/>
        <v>1.032966560816392E-3</v>
      </c>
      <c r="AQ41" s="299">
        <f t="shared" si="18"/>
        <v>9.6816263534098377E-4</v>
      </c>
      <c r="AR41" s="299">
        <f t="shared" si="18"/>
        <v>9.220784388025749E-4</v>
      </c>
      <c r="AS41" s="299">
        <f t="shared" si="10"/>
        <v>8.910829642599815E-4</v>
      </c>
      <c r="AT41" s="299">
        <f t="shared" si="4"/>
        <v>8.7100972392697442E-4</v>
      </c>
      <c r="AU41" s="299">
        <f t="shared" si="4"/>
        <v>8.5832656102200475E-4</v>
      </c>
      <c r="AV41" s="299">
        <f t="shared" si="4"/>
        <v>8.5043722377950524E-4</v>
      </c>
      <c r="AW41" s="299">
        <f t="shared" si="4"/>
        <v>8.4557748479842224E-4</v>
      </c>
      <c r="AX41" s="299">
        <f t="shared" si="4"/>
        <v>8.4260192722544801E-4</v>
      </c>
      <c r="AY41" s="299">
        <f t="shared" si="4"/>
        <v>8.4078674788939044E-4</v>
      </c>
      <c r="AZ41" s="298">
        <f t="shared" si="19"/>
        <v>9.2780027960029002E-2</v>
      </c>
      <c r="BA41" s="1">
        <f t="shared" si="19"/>
        <v>9.2780027960029002E-2</v>
      </c>
      <c r="BB41" s="1">
        <f t="shared" si="19"/>
        <v>9.2780027960029002E-2</v>
      </c>
      <c r="BC41" s="1">
        <f t="shared" si="19"/>
        <v>9.2780027960029002E-2</v>
      </c>
      <c r="BD41" s="1">
        <f t="shared" si="19"/>
        <v>9.2780027960029002E-2</v>
      </c>
      <c r="BE41" s="1">
        <f t="shared" si="19"/>
        <v>8.8579087395046913E-2</v>
      </c>
      <c r="BF41" s="1">
        <f t="shared" si="19"/>
        <v>8.6238158228435821E-2</v>
      </c>
      <c r="BG41" s="1">
        <f t="shared" si="19"/>
        <v>8.2898307477967337E-2</v>
      </c>
      <c r="BH41" s="1">
        <f t="shared" si="19"/>
        <v>7.8465853529074703E-2</v>
      </c>
      <c r="BI41" s="1">
        <f t="shared" si="19"/>
        <v>7.3116084318423702E-2</v>
      </c>
      <c r="BJ41" s="1">
        <f t="shared" si="19"/>
        <v>6.7351933820564591E-2</v>
      </c>
      <c r="BK41" s="1">
        <f t="shared" si="19"/>
        <v>6.1853351973352656E-2</v>
      </c>
      <c r="BL41" s="1">
        <f t="shared" si="19"/>
        <v>5.7184809613256178E-2</v>
      </c>
      <c r="BM41" s="1">
        <f t="shared" si="19"/>
        <v>5.3597278050207295E-2</v>
      </c>
      <c r="BN41" s="1">
        <f t="shared" si="19"/>
        <v>5.104606670881983E-2</v>
      </c>
      <c r="BO41" s="1">
        <f t="shared" si="11"/>
        <v>4.9330163815322597E-2</v>
      </c>
      <c r="BP41" s="1">
        <f t="shared" si="6"/>
        <v>4.8218913489990738E-2</v>
      </c>
      <c r="BQ41" s="1">
        <f t="shared" si="6"/>
        <v>4.7516776282914661E-2</v>
      </c>
      <c r="BR41" s="1">
        <f t="shared" si="6"/>
        <v>4.7080024247272242E-2</v>
      </c>
      <c r="BS41" s="1">
        <f t="shared" si="6"/>
        <v>4.6810990128506855E-2</v>
      </c>
      <c r="BT41" s="1">
        <f t="shared" si="6"/>
        <v>4.6646263892674657E-2</v>
      </c>
      <c r="BU41" s="1">
        <f t="shared" si="6"/>
        <v>4.6545775949808112E-2</v>
      </c>
    </row>
    <row r="42" spans="1:73" x14ac:dyDescent="0.25">
      <c r="A42" s="1" t="s">
        <v>20</v>
      </c>
      <c r="B42" s="1" t="s">
        <v>5</v>
      </c>
      <c r="C42" s="1" t="s">
        <v>10</v>
      </c>
      <c r="D42" s="1" t="s">
        <v>10</v>
      </c>
      <c r="E42" s="5">
        <v>7.5982500000000002</v>
      </c>
      <c r="F42" s="1">
        <f t="shared" si="7"/>
        <v>1.8615712499999999E-2</v>
      </c>
      <c r="G42" s="1">
        <f>LOOKUP(RIGHT(D42,5),Ref!$C$4:$C$21,Ref!$E$4:$E$21)*$G$3</f>
        <v>4.5</v>
      </c>
      <c r="H42" s="297">
        <f t="shared" si="16"/>
        <v>7.5982500000000002</v>
      </c>
      <c r="I42" s="5">
        <f t="shared" si="16"/>
        <v>7.5982500000000002</v>
      </c>
      <c r="J42" s="5">
        <f t="shared" si="16"/>
        <v>7.5982500000000002</v>
      </c>
      <c r="K42" s="5">
        <f t="shared" si="16"/>
        <v>7.5982500000000002</v>
      </c>
      <c r="L42" s="5">
        <f t="shared" si="16"/>
        <v>7.5982500000000002</v>
      </c>
      <c r="M42" s="5">
        <f t="shared" si="15"/>
        <v>7.9586036408714467</v>
      </c>
      <c r="N42" s="5">
        <f t="shared" si="15"/>
        <v>8.1746394163464124</v>
      </c>
      <c r="O42" s="5">
        <f t="shared" si="15"/>
        <v>8.5039836022545554</v>
      </c>
      <c r="P42" s="5">
        <f t="shared" si="15"/>
        <v>8.9843647362616466</v>
      </c>
      <c r="Q42" s="5">
        <f t="shared" si="15"/>
        <v>9.641734154924567</v>
      </c>
      <c r="R42" s="5">
        <f t="shared" si="15"/>
        <v>10.46689838669551</v>
      </c>
      <c r="S42" s="5">
        <f t="shared" si="15"/>
        <v>11.397375</v>
      </c>
      <c r="T42" s="5">
        <f t="shared" si="15"/>
        <v>12.327851613304491</v>
      </c>
      <c r="U42" s="5">
        <f t="shared" si="15"/>
        <v>13.153015845075434</v>
      </c>
      <c r="V42" s="5">
        <f t="shared" si="15"/>
        <v>13.810385263738354</v>
      </c>
      <c r="W42" s="5">
        <f t="shared" si="15"/>
        <v>14.290766397745443</v>
      </c>
      <c r="X42" s="5">
        <f t="shared" si="15"/>
        <v>14.620110583653588</v>
      </c>
      <c r="Y42" s="5">
        <f t="shared" si="15"/>
        <v>14.836146359128554</v>
      </c>
      <c r="Z42" s="5">
        <f t="shared" si="15"/>
        <v>14.973778342693508</v>
      </c>
      <c r="AA42" s="5">
        <f t="shared" si="15"/>
        <v>15.059836280155539</v>
      </c>
      <c r="AB42" s="5">
        <f t="shared" si="15"/>
        <v>15.113018463157097</v>
      </c>
      <c r="AC42" s="5">
        <f t="shared" si="17"/>
        <v>15.145646045464554</v>
      </c>
      <c r="AD42" s="300">
        <f t="shared" si="18"/>
        <v>1.8087845363773578E-3</v>
      </c>
      <c r="AE42" s="299">
        <f t="shared" si="18"/>
        <v>1.8087845363773578E-3</v>
      </c>
      <c r="AF42" s="299">
        <f t="shared" si="18"/>
        <v>1.8087845363773578E-3</v>
      </c>
      <c r="AG42" s="299">
        <f t="shared" si="18"/>
        <v>1.8087845363773578E-3</v>
      </c>
      <c r="AH42" s="299">
        <f t="shared" si="18"/>
        <v>1.8087845363773578E-3</v>
      </c>
      <c r="AI42" s="299">
        <f t="shared" si="18"/>
        <v>1.7268854844019309E-3</v>
      </c>
      <c r="AJ42" s="299">
        <f t="shared" si="18"/>
        <v>1.6812481142650629E-3</v>
      </c>
      <c r="AK42" s="299">
        <f t="shared" si="18"/>
        <v>1.6161363598920383E-3</v>
      </c>
      <c r="AL42" s="299">
        <f t="shared" si="18"/>
        <v>1.5297238599473765E-3</v>
      </c>
      <c r="AM42" s="299">
        <f t="shared" si="18"/>
        <v>1.4254279243438427E-3</v>
      </c>
      <c r="AN42" s="299">
        <f t="shared" si="18"/>
        <v>1.3130534563131678E-3</v>
      </c>
      <c r="AO42" s="299">
        <f t="shared" si="18"/>
        <v>1.2058563575849052E-3</v>
      </c>
      <c r="AP42" s="299">
        <f t="shared" si="18"/>
        <v>1.114841217645487E-3</v>
      </c>
      <c r="AQ42" s="299">
        <f t="shared" si="18"/>
        <v>1.0449008246785428E-3</v>
      </c>
      <c r="AR42" s="299">
        <f t="shared" si="18"/>
        <v>9.9516391766531968E-4</v>
      </c>
      <c r="AS42" s="299">
        <f t="shared" si="10"/>
        <v>9.6171168998308539E-4</v>
      </c>
      <c r="AT42" s="299">
        <f t="shared" si="4"/>
        <v>9.400474110569083E-4</v>
      </c>
      <c r="AU42" s="299">
        <f t="shared" si="4"/>
        <v>9.2635895945263047E-4</v>
      </c>
      <c r="AV42" s="299">
        <f t="shared" si="4"/>
        <v>9.1784430014856476E-4</v>
      </c>
      <c r="AW42" s="299">
        <f t="shared" si="4"/>
        <v>9.1259937012989326E-4</v>
      </c>
      <c r="AX42" s="299">
        <f t="shared" si="4"/>
        <v>9.0938796488826846E-4</v>
      </c>
      <c r="AY42" s="299">
        <f t="shared" si="4"/>
        <v>9.074289114028816E-4</v>
      </c>
      <c r="AZ42" s="298">
        <f t="shared" si="19"/>
        <v>0.10013392811321262</v>
      </c>
      <c r="BA42" s="1">
        <f t="shared" si="19"/>
        <v>0.10013392811321262</v>
      </c>
      <c r="BB42" s="1">
        <f t="shared" si="19"/>
        <v>0.10013392811321262</v>
      </c>
      <c r="BC42" s="1">
        <f t="shared" si="19"/>
        <v>0.10013392811321262</v>
      </c>
      <c r="BD42" s="1">
        <f t="shared" si="19"/>
        <v>0.10013392811321262</v>
      </c>
      <c r="BE42" s="1">
        <f t="shared" si="19"/>
        <v>9.5600013974676018E-2</v>
      </c>
      <c r="BF42" s="1">
        <f t="shared" si="19"/>
        <v>9.3073538848062132E-2</v>
      </c>
      <c r="BG42" s="1">
        <f t="shared" si="19"/>
        <v>8.9468965942561915E-2</v>
      </c>
      <c r="BH42" s="1">
        <f t="shared" si="19"/>
        <v>8.4685188282193555E-2</v>
      </c>
      <c r="BI42" s="1">
        <f t="shared" si="19"/>
        <v>7.8911387418581058E-2</v>
      </c>
      <c r="BJ42" s="1">
        <f t="shared" si="19"/>
        <v>7.2690360714051258E-2</v>
      </c>
      <c r="BK42" s="1">
        <f t="shared" si="19"/>
        <v>6.6755952075475078E-2</v>
      </c>
      <c r="BL42" s="1">
        <f t="shared" si="19"/>
        <v>6.1717373241668448E-2</v>
      </c>
      <c r="BM42" s="1">
        <f t="shared" si="19"/>
        <v>5.7845487928236759E-2</v>
      </c>
      <c r="BN42" s="1">
        <f t="shared" si="19"/>
        <v>5.5092063310061785E-2</v>
      </c>
      <c r="BO42" s="1">
        <f t="shared" si="11"/>
        <v>5.3240155084072378E-2</v>
      </c>
      <c r="BP42" s="1">
        <f t="shared" si="6"/>
        <v>5.2040825199837992E-2</v>
      </c>
      <c r="BQ42" s="1">
        <f t="shared" si="6"/>
        <v>5.1283035423688568E-2</v>
      </c>
      <c r="BR42" s="1">
        <f t="shared" si="6"/>
        <v>5.0811665691409998E-2</v>
      </c>
      <c r="BS42" s="1">
        <f t="shared" si="6"/>
        <v>5.0521307478540514E-2</v>
      </c>
      <c r="BT42" s="1">
        <f t="shared" si="6"/>
        <v>5.034352476581825E-2</v>
      </c>
      <c r="BU42" s="1">
        <f t="shared" si="6"/>
        <v>5.0235071980574655E-2</v>
      </c>
    </row>
    <row r="43" spans="1:73" x14ac:dyDescent="0.25">
      <c r="A43" s="1" t="s">
        <v>21</v>
      </c>
      <c r="B43" s="1" t="s">
        <v>5</v>
      </c>
      <c r="C43" s="1" t="s">
        <v>13</v>
      </c>
      <c r="D43" s="1" t="s">
        <v>13</v>
      </c>
      <c r="E43" s="5">
        <v>8.5305</v>
      </c>
      <c r="F43" s="1">
        <f t="shared" si="7"/>
        <v>2.0899725000000001E-2</v>
      </c>
      <c r="G43" s="1">
        <f>LOOKUP(RIGHT(D43,5),Ref!$C$4:$C$21,Ref!$E$4:$E$21)*$G$3</f>
        <v>1.5</v>
      </c>
      <c r="H43" s="297">
        <f t="shared" si="16"/>
        <v>8.5305</v>
      </c>
      <c r="I43" s="5">
        <f t="shared" si="16"/>
        <v>8.5305</v>
      </c>
      <c r="J43" s="5">
        <f t="shared" si="16"/>
        <v>8.5305</v>
      </c>
      <c r="K43" s="5">
        <f t="shared" si="16"/>
        <v>8.5305</v>
      </c>
      <c r="L43" s="5">
        <f t="shared" si="16"/>
        <v>8.5305</v>
      </c>
      <c r="M43" s="5">
        <f t="shared" si="15"/>
        <v>8.9350664111412339</v>
      </c>
      <c r="N43" s="5">
        <f t="shared" si="15"/>
        <v>9.177608204671218</v>
      </c>
      <c r="O43" s="5">
        <f t="shared" si="15"/>
        <v>9.5473605263096744</v>
      </c>
      <c r="P43" s="5">
        <f t="shared" si="15"/>
        <v>10.086680930830124</v>
      </c>
      <c r="Q43" s="5">
        <f t="shared" si="15"/>
        <v>10.824704794996745</v>
      </c>
      <c r="R43" s="5">
        <f t="shared" si="15"/>
        <v>11.751110675182581</v>
      </c>
      <c r="S43" s="5">
        <f t="shared" si="15"/>
        <v>12.79575</v>
      </c>
      <c r="T43" s="5">
        <f t="shared" si="15"/>
        <v>13.840389324817419</v>
      </c>
      <c r="U43" s="5">
        <f t="shared" si="15"/>
        <v>14.766795205003255</v>
      </c>
      <c r="V43" s="5">
        <f t="shared" si="15"/>
        <v>15.504819069169876</v>
      </c>
      <c r="W43" s="5">
        <f t="shared" si="15"/>
        <v>16.044139473690326</v>
      </c>
      <c r="X43" s="5">
        <f t="shared" si="15"/>
        <v>16.413891795328784</v>
      </c>
      <c r="Y43" s="5">
        <f t="shared" si="15"/>
        <v>16.656433588858768</v>
      </c>
      <c r="Z43" s="5">
        <f t="shared" si="15"/>
        <v>16.810952015575555</v>
      </c>
      <c r="AA43" s="5">
        <f t="shared" si="15"/>
        <v>16.907568635918377</v>
      </c>
      <c r="AB43" s="5">
        <f t="shared" si="15"/>
        <v>16.967275885889727</v>
      </c>
      <c r="AC43" s="5">
        <f t="shared" si="17"/>
        <v>17.00390663519039</v>
      </c>
      <c r="AD43" s="300">
        <f t="shared" si="18"/>
        <v>1.6111127253419213E-3</v>
      </c>
      <c r="AE43" s="299">
        <f t="shared" si="18"/>
        <v>1.6111127253419213E-3</v>
      </c>
      <c r="AF43" s="299">
        <f t="shared" si="18"/>
        <v>1.6111127253419213E-3</v>
      </c>
      <c r="AG43" s="299">
        <f t="shared" si="18"/>
        <v>1.6111127253419213E-3</v>
      </c>
      <c r="AH43" s="299">
        <f t="shared" si="18"/>
        <v>1.6111127253419213E-3</v>
      </c>
      <c r="AI43" s="299">
        <f t="shared" si="18"/>
        <v>1.5381639566094567E-3</v>
      </c>
      <c r="AJ43" s="299">
        <f t="shared" si="18"/>
        <v>1.4975140360136583E-3</v>
      </c>
      <c r="AK43" s="299">
        <f t="shared" si="18"/>
        <v>1.4395179762674731E-3</v>
      </c>
      <c r="AL43" s="299">
        <f t="shared" si="18"/>
        <v>1.3625490087152163E-3</v>
      </c>
      <c r="AM43" s="299">
        <f t="shared" si="18"/>
        <v>1.2696509848362468E-3</v>
      </c>
      <c r="AN43" s="299">
        <f t="shared" si="18"/>
        <v>1.1695572855555394E-3</v>
      </c>
      <c r="AO43" s="299">
        <f t="shared" si="18"/>
        <v>1.0740751502279476E-3</v>
      </c>
      <c r="AP43" s="299">
        <f t="shared" si="18"/>
        <v>9.9300653912136696E-4</v>
      </c>
      <c r="AQ43" s="299">
        <f t="shared" si="18"/>
        <v>9.3070953532779289E-4</v>
      </c>
      <c r="AR43" s="299">
        <f t="shared" si="18"/>
        <v>8.8640809300750436E-4</v>
      </c>
      <c r="AS43" s="299">
        <f t="shared" si="10"/>
        <v>8.5661166970446958E-4</v>
      </c>
      <c r="AT43" s="299">
        <f t="shared" si="4"/>
        <v>8.3731495704391929E-4</v>
      </c>
      <c r="AU43" s="299">
        <f t="shared" si="4"/>
        <v>8.2512243873875504E-4</v>
      </c>
      <c r="AV43" s="299">
        <f t="shared" si="4"/>
        <v>8.175382982948049E-4</v>
      </c>
      <c r="AW43" s="299">
        <f t="shared" si="4"/>
        <v>8.1286655695322224E-4</v>
      </c>
      <c r="AX43" s="299">
        <f t="shared" si="4"/>
        <v>8.1000610799042102E-4</v>
      </c>
      <c r="AY43" s="299">
        <f t="shared" si="4"/>
        <v>8.0826114835788588E-4</v>
      </c>
      <c r="AZ43" s="298">
        <f t="shared" si="19"/>
        <v>8.9190858599873135E-2</v>
      </c>
      <c r="BA43" s="1">
        <f t="shared" si="19"/>
        <v>8.9190858599873135E-2</v>
      </c>
      <c r="BB43" s="1">
        <f t="shared" si="19"/>
        <v>8.9190858599873135E-2</v>
      </c>
      <c r="BC43" s="1">
        <f t="shared" si="19"/>
        <v>8.9190858599873135E-2</v>
      </c>
      <c r="BD43" s="1">
        <f t="shared" si="19"/>
        <v>8.9190858599873135E-2</v>
      </c>
      <c r="BE43" s="1">
        <f t="shared" si="19"/>
        <v>8.5152430242433866E-2</v>
      </c>
      <c r="BF43" s="1">
        <f t="shared" si="19"/>
        <v>8.2902059264086281E-2</v>
      </c>
      <c r="BG43" s="1">
        <f t="shared" si="19"/>
        <v>7.9691409703191024E-2</v>
      </c>
      <c r="BH43" s="1">
        <f t="shared" si="19"/>
        <v>7.5430423992166595E-2</v>
      </c>
      <c r="BI43" s="1">
        <f t="shared" si="19"/>
        <v>7.0287609103010795E-2</v>
      </c>
      <c r="BJ43" s="1">
        <f t="shared" si="19"/>
        <v>6.4746443150523414E-2</v>
      </c>
      <c r="BK43" s="1">
        <f t="shared" si="19"/>
        <v>5.9460572399915423E-2</v>
      </c>
      <c r="BL43" s="1">
        <f t="shared" si="19"/>
        <v>5.4972631291660197E-2</v>
      </c>
      <c r="BM43" s="1">
        <f t="shared" si="19"/>
        <v>5.152388238095363E-2</v>
      </c>
      <c r="BN43" s="1">
        <f t="shared" si="19"/>
        <v>4.907136393478425E-2</v>
      </c>
      <c r="BO43" s="1">
        <f t="shared" si="11"/>
        <v>4.7421840263472591E-2</v>
      </c>
      <c r="BP43" s="1">
        <f t="shared" si="6"/>
        <v>4.6353578345310245E-2</v>
      </c>
      <c r="BQ43" s="1">
        <f t="shared" si="6"/>
        <v>4.5678603119165537E-2</v>
      </c>
      <c r="BR43" s="1">
        <f t="shared" si="6"/>
        <v>4.5258746713528634E-2</v>
      </c>
      <c r="BS43" s="1">
        <f t="shared" si="6"/>
        <v>4.5000120104193249E-2</v>
      </c>
      <c r="BT43" s="1">
        <f t="shared" si="6"/>
        <v>4.4841766256594397E-2</v>
      </c>
      <c r="BU43" s="1">
        <f t="shared" si="6"/>
        <v>4.4745165661614371E-2</v>
      </c>
    </row>
    <row r="44" spans="1:73" x14ac:dyDescent="0.25">
      <c r="A44" s="1" t="s">
        <v>21</v>
      </c>
      <c r="B44" s="1" t="s">
        <v>5</v>
      </c>
      <c r="C44" s="1" t="s">
        <v>14</v>
      </c>
      <c r="D44" s="1" t="s">
        <v>14</v>
      </c>
      <c r="E44" s="5">
        <v>8.1509999999999998</v>
      </c>
      <c r="F44" s="1">
        <f t="shared" si="7"/>
        <v>1.9969949999999997E-2</v>
      </c>
      <c r="G44" s="1">
        <f>LOOKUP(RIGHT(D44,5),Ref!$C$4:$C$21,Ref!$E$4:$E$21)*$G$3</f>
        <v>2</v>
      </c>
      <c r="H44" s="297">
        <f t="shared" si="16"/>
        <v>8.1509999999999998</v>
      </c>
      <c r="I44" s="5">
        <f t="shared" si="16"/>
        <v>8.1509999999999998</v>
      </c>
      <c r="J44" s="5">
        <f t="shared" si="16"/>
        <v>8.1509999999999998</v>
      </c>
      <c r="K44" s="5">
        <f t="shared" si="16"/>
        <v>8.1509999999999998</v>
      </c>
      <c r="L44" s="5">
        <f t="shared" si="16"/>
        <v>8.1509999999999998</v>
      </c>
      <c r="M44" s="5">
        <f t="shared" si="15"/>
        <v>8.5375682922703469</v>
      </c>
      <c r="N44" s="5">
        <f t="shared" si="15"/>
        <v>8.7693200253531547</v>
      </c>
      <c r="O44" s="5">
        <f t="shared" si="15"/>
        <v>9.1226230174022795</v>
      </c>
      <c r="P44" s="5">
        <f t="shared" si="15"/>
        <v>9.637950444545611</v>
      </c>
      <c r="Q44" s="5">
        <f t="shared" si="15"/>
        <v>10.34314152558683</v>
      </c>
      <c r="R44" s="5">
        <f t="shared" si="15"/>
        <v>11.228333991373685</v>
      </c>
      <c r="S44" s="5">
        <f t="shared" si="15"/>
        <v>12.2265</v>
      </c>
      <c r="T44" s="5">
        <f t="shared" si="15"/>
        <v>13.224666008626315</v>
      </c>
      <c r="U44" s="5">
        <f t="shared" si="15"/>
        <v>14.109858474413169</v>
      </c>
      <c r="V44" s="5">
        <f t="shared" si="15"/>
        <v>14.815049555454388</v>
      </c>
      <c r="W44" s="5">
        <f t="shared" si="15"/>
        <v>15.330376982597718</v>
      </c>
      <c r="X44" s="5">
        <f t="shared" si="15"/>
        <v>15.683679974646845</v>
      </c>
      <c r="Y44" s="5">
        <f t="shared" si="15"/>
        <v>15.915431707729653</v>
      </c>
      <c r="Z44" s="5">
        <f t="shared" si="15"/>
        <v>16.063076007145696</v>
      </c>
      <c r="AA44" s="5">
        <f t="shared" si="15"/>
        <v>16.15539440259899</v>
      </c>
      <c r="AB44" s="5">
        <f t="shared" si="15"/>
        <v>16.212445430618036</v>
      </c>
      <c r="AC44" s="5">
        <f t="shared" si="17"/>
        <v>16.247446572116154</v>
      </c>
      <c r="AD44" s="300">
        <f t="shared" si="18"/>
        <v>1.6861240465622942E-3</v>
      </c>
      <c r="AE44" s="299">
        <f t="shared" si="18"/>
        <v>1.6861240465622942E-3</v>
      </c>
      <c r="AF44" s="299">
        <f t="shared" si="18"/>
        <v>1.6861240465622942E-3</v>
      </c>
      <c r="AG44" s="299">
        <f t="shared" si="18"/>
        <v>1.6861240465622942E-3</v>
      </c>
      <c r="AH44" s="299">
        <f t="shared" si="18"/>
        <v>1.6861240465622942E-3</v>
      </c>
      <c r="AI44" s="299">
        <f t="shared" si="18"/>
        <v>1.6097788776661725E-3</v>
      </c>
      <c r="AJ44" s="299">
        <f t="shared" si="18"/>
        <v>1.5672363494312984E-3</v>
      </c>
      <c r="AK44" s="299">
        <f t="shared" si="18"/>
        <v>1.5065400682799264E-3</v>
      </c>
      <c r="AL44" s="299">
        <f t="shared" si="18"/>
        <v>1.4259875253153174E-3</v>
      </c>
      <c r="AM44" s="299">
        <f t="shared" si="18"/>
        <v>1.3287642897982584E-3</v>
      </c>
      <c r="AN44" s="299">
        <f t="shared" si="18"/>
        <v>1.2240103575550886E-3</v>
      </c>
      <c r="AO44" s="299">
        <f t="shared" si="18"/>
        <v>1.1240826977081961E-3</v>
      </c>
      <c r="AP44" s="299">
        <f t="shared" si="18"/>
        <v>1.0392396370966534E-3</v>
      </c>
      <c r="AQ44" s="299">
        <f t="shared" si="18"/>
        <v>9.7404216551511924E-4</v>
      </c>
      <c r="AR44" s="299">
        <f t="shared" si="18"/>
        <v>9.2767810543497935E-4</v>
      </c>
      <c r="AS44" s="299">
        <f t="shared" si="10"/>
        <v>8.9649439926560892E-4</v>
      </c>
      <c r="AT44" s="299">
        <f t="shared" si="4"/>
        <v>8.7629925666337304E-4</v>
      </c>
      <c r="AU44" s="299">
        <f t="shared" si="4"/>
        <v>8.6353907050189553E-4</v>
      </c>
      <c r="AV44" s="299">
        <f t="shared" si="4"/>
        <v>8.5560182230448199E-4</v>
      </c>
      <c r="AW44" s="299">
        <f t="shared" si="4"/>
        <v>8.5071257073849379E-4</v>
      </c>
      <c r="AX44" s="299">
        <f t="shared" si="4"/>
        <v>8.477189429778293E-4</v>
      </c>
      <c r="AY44" s="299">
        <f t="shared" si="4"/>
        <v>8.4589274028547983E-4</v>
      </c>
      <c r="AZ44" s="298">
        <f t="shared" si="19"/>
        <v>9.3343469425373304E-2</v>
      </c>
      <c r="BA44" s="1">
        <f t="shared" si="19"/>
        <v>9.3343469425373304E-2</v>
      </c>
      <c r="BB44" s="1">
        <f t="shared" si="19"/>
        <v>9.3343469425373304E-2</v>
      </c>
      <c r="BC44" s="1">
        <f t="shared" si="19"/>
        <v>9.3343469425373304E-2</v>
      </c>
      <c r="BD44" s="1">
        <f t="shared" si="19"/>
        <v>9.3343469425373304E-2</v>
      </c>
      <c r="BE44" s="1">
        <f t="shared" si="19"/>
        <v>8.9117017075583616E-2</v>
      </c>
      <c r="BF44" s="1">
        <f t="shared" si="19"/>
        <v>8.6761871739944554E-2</v>
      </c>
      <c r="BG44" s="1">
        <f t="shared" si="19"/>
        <v>8.3401738495040012E-2</v>
      </c>
      <c r="BH44" s="1">
        <f t="shared" si="19"/>
        <v>7.8942366809615638E-2</v>
      </c>
      <c r="BI44" s="1">
        <f t="shared" si="19"/>
        <v>7.3560109121976885E-2</v>
      </c>
      <c r="BJ44" s="1">
        <f t="shared" si="19"/>
        <v>6.7760953661580164E-2</v>
      </c>
      <c r="BK44" s="1">
        <f t="shared" si="19"/>
        <v>6.2228979616915536E-2</v>
      </c>
      <c r="BL44" s="1">
        <f t="shared" si="19"/>
        <v>5.7532085784996606E-2</v>
      </c>
      <c r="BM44" s="1">
        <f t="shared" si="19"/>
        <v>5.3922767593022315E-2</v>
      </c>
      <c r="BN44" s="1">
        <f t="shared" si="19"/>
        <v>5.1356063065351128E-2</v>
      </c>
      <c r="BO44" s="1">
        <f t="shared" si="11"/>
        <v>4.9629739708937914E-2</v>
      </c>
      <c r="BP44" s="1">
        <f t="shared" si="6"/>
        <v>4.8511740899848985E-2</v>
      </c>
      <c r="BQ44" s="1">
        <f t="shared" si="6"/>
        <v>4.7805339701636813E-2</v>
      </c>
      <c r="BR44" s="1">
        <f t="shared" si="6"/>
        <v>4.7365935325696967E-2</v>
      </c>
      <c r="BS44" s="1">
        <f t="shared" si="6"/>
        <v>4.7095267396493744E-2</v>
      </c>
      <c r="BT44" s="1">
        <f t="shared" si="6"/>
        <v>4.6929540798905475E-2</v>
      </c>
      <c r="BU44" s="1">
        <f t="shared" si="6"/>
        <v>4.6828442605373749E-2</v>
      </c>
    </row>
    <row r="45" spans="1:73" x14ac:dyDescent="0.25">
      <c r="A45" s="1" t="s">
        <v>21</v>
      </c>
      <c r="B45" s="1" t="s">
        <v>5</v>
      </c>
      <c r="C45" s="1" t="s">
        <v>15</v>
      </c>
      <c r="D45" s="1" t="s">
        <v>15</v>
      </c>
      <c r="E45" s="5">
        <v>8.2747499999999992</v>
      </c>
      <c r="F45" s="1">
        <f t="shared" si="7"/>
        <v>2.02731375E-2</v>
      </c>
      <c r="G45" s="1">
        <f>LOOKUP(RIGHT(D45,5),Ref!$C$4:$C$21,Ref!$E$4:$E$21)*$G$3</f>
        <v>2.5</v>
      </c>
      <c r="H45" s="297">
        <f t="shared" si="16"/>
        <v>8.2747499999999992</v>
      </c>
      <c r="I45" s="5">
        <f t="shared" si="16"/>
        <v>8.2747499999999992</v>
      </c>
      <c r="J45" s="5">
        <f t="shared" si="16"/>
        <v>8.2747499999999992</v>
      </c>
      <c r="K45" s="5">
        <f t="shared" si="16"/>
        <v>8.2747499999999992</v>
      </c>
      <c r="L45" s="5">
        <f t="shared" si="16"/>
        <v>8.2747499999999992</v>
      </c>
      <c r="M45" s="5">
        <f t="shared" si="15"/>
        <v>8.6671872440760698</v>
      </c>
      <c r="N45" s="5">
        <f t="shared" si="15"/>
        <v>8.9024574751307828</v>
      </c>
      <c r="O45" s="5">
        <f t="shared" si="15"/>
        <v>9.2611243790025171</v>
      </c>
      <c r="P45" s="5">
        <f t="shared" si="15"/>
        <v>9.7842756031166456</v>
      </c>
      <c r="Q45" s="5">
        <f t="shared" si="15"/>
        <v>10.500173026481367</v>
      </c>
      <c r="R45" s="5">
        <f t="shared" si="15"/>
        <v>11.398804649137453</v>
      </c>
      <c r="S45" s="5">
        <f t="shared" si="15"/>
        <v>12.412125</v>
      </c>
      <c r="T45" s="5">
        <f t="shared" si="15"/>
        <v>13.425445350862544</v>
      </c>
      <c r="U45" s="5">
        <f t="shared" si="15"/>
        <v>14.324076973518631</v>
      </c>
      <c r="V45" s="5">
        <f t="shared" si="15"/>
        <v>15.039974396883352</v>
      </c>
      <c r="W45" s="5">
        <f t="shared" si="15"/>
        <v>15.563125620997479</v>
      </c>
      <c r="X45" s="5">
        <f t="shared" si="15"/>
        <v>15.921792524869215</v>
      </c>
      <c r="Y45" s="5">
        <f t="shared" si="15"/>
        <v>16.157062755923928</v>
      </c>
      <c r="Z45" s="5">
        <f t="shared" si="15"/>
        <v>16.306948618590212</v>
      </c>
      <c r="AA45" s="5">
        <f t="shared" si="15"/>
        <v>16.400668609116181</v>
      </c>
      <c r="AB45" s="5">
        <f t="shared" si="15"/>
        <v>16.458585796467499</v>
      </c>
      <c r="AC45" s="5">
        <f t="shared" si="17"/>
        <v>16.494118331814274</v>
      </c>
      <c r="AD45" s="300">
        <f t="shared" si="18"/>
        <v>1.6609078345000466E-3</v>
      </c>
      <c r="AE45" s="299">
        <f t="shared" si="18"/>
        <v>1.6609078345000466E-3</v>
      </c>
      <c r="AF45" s="299">
        <f t="shared" si="18"/>
        <v>1.6609078345000466E-3</v>
      </c>
      <c r="AG45" s="299">
        <f t="shared" si="18"/>
        <v>1.6609078345000466E-3</v>
      </c>
      <c r="AH45" s="299">
        <f t="shared" si="18"/>
        <v>1.6609078345000466E-3</v>
      </c>
      <c r="AI45" s="299">
        <f t="shared" si="18"/>
        <v>1.5857044178805369E-3</v>
      </c>
      <c r="AJ45" s="299">
        <f t="shared" si="18"/>
        <v>1.5437981188814785E-3</v>
      </c>
      <c r="AK45" s="299">
        <f t="shared" si="18"/>
        <v>1.4840095587842148E-3</v>
      </c>
      <c r="AL45" s="299">
        <f t="shared" si="18"/>
        <v>1.4046616899417088E-3</v>
      </c>
      <c r="AM45" s="299">
        <f t="shared" si="18"/>
        <v>1.3088924409976864E-3</v>
      </c>
      <c r="AN45" s="299">
        <f t="shared" si="18"/>
        <v>1.2057051179106958E-3</v>
      </c>
      <c r="AO45" s="299">
        <f t="shared" si="18"/>
        <v>1.1072718896666977E-3</v>
      </c>
      <c r="AP45" s="299">
        <f t="shared" si="18"/>
        <v>1.023697668446155E-3</v>
      </c>
      <c r="AQ45" s="299">
        <f t="shared" si="18"/>
        <v>9.5947523382745555E-4</v>
      </c>
      <c r="AR45" s="299">
        <f t="shared" si="18"/>
        <v>9.1380455450624089E-4</v>
      </c>
      <c r="AS45" s="299">
        <f t="shared" si="10"/>
        <v>8.8308720485984226E-4</v>
      </c>
      <c r="AT45" s="299">
        <f t="shared" si="4"/>
        <v>8.631940833334124E-4</v>
      </c>
      <c r="AU45" s="299">
        <f t="shared" si="4"/>
        <v>8.5062472747345248E-4</v>
      </c>
      <c r="AV45" s="299">
        <f t="shared" si="4"/>
        <v>8.428061818911549E-4</v>
      </c>
      <c r="AW45" s="299">
        <f t="shared" si="4"/>
        <v>8.3799004974041062E-4</v>
      </c>
      <c r="AX45" s="299">
        <f t="shared" si="4"/>
        <v>8.3504119208583781E-4</v>
      </c>
      <c r="AY45" s="299">
        <f t="shared" si="4"/>
        <v>8.3324230050055238E-4</v>
      </c>
      <c r="AZ45" s="298">
        <f t="shared" si="19"/>
        <v>9.1947505276439509E-2</v>
      </c>
      <c r="BA45" s="1">
        <f t="shared" si="19"/>
        <v>9.1947505276439509E-2</v>
      </c>
      <c r="BB45" s="1">
        <f t="shared" si="19"/>
        <v>9.1947505276439509E-2</v>
      </c>
      <c r="BC45" s="1">
        <f t="shared" si="19"/>
        <v>9.1947505276439509E-2</v>
      </c>
      <c r="BD45" s="1">
        <f t="shared" si="19"/>
        <v>9.1947505276439509E-2</v>
      </c>
      <c r="BE45" s="1">
        <f t="shared" si="19"/>
        <v>8.7784260090405408E-2</v>
      </c>
      <c r="BF45" s="1">
        <f t="shared" si="19"/>
        <v>8.5464336270254473E-2</v>
      </c>
      <c r="BG45" s="1">
        <f t="shared" si="19"/>
        <v>8.2154454270288668E-2</v>
      </c>
      <c r="BH45" s="1">
        <f t="shared" si="19"/>
        <v>7.776177308863437E-2</v>
      </c>
      <c r="BI45" s="1">
        <f t="shared" si="19"/>
        <v>7.2460007789145728E-2</v>
      </c>
      <c r="BJ45" s="1">
        <f t="shared" si="19"/>
        <v>6.6747579479203609E-2</v>
      </c>
      <c r="BK45" s="1">
        <f t="shared" si="19"/>
        <v>6.1298336850959673E-2</v>
      </c>
      <c r="BL45" s="1">
        <f t="shared" si="19"/>
        <v>5.6671685698481203E-2</v>
      </c>
      <c r="BM45" s="1">
        <f t="shared" si="19"/>
        <v>5.3116345345868447E-2</v>
      </c>
      <c r="BN45" s="1">
        <f t="shared" si="19"/>
        <v>5.0588026229877285E-2</v>
      </c>
      <c r="BO45" s="1">
        <f t="shared" si="11"/>
        <v>4.8887520271615817E-2</v>
      </c>
      <c r="BP45" s="1">
        <f t="shared" si="6"/>
        <v>4.7786241285195208E-2</v>
      </c>
      <c r="BQ45" s="1">
        <f t="shared" si="6"/>
        <v>4.7090404411981229E-2</v>
      </c>
      <c r="BR45" s="1">
        <f t="shared" si="6"/>
        <v>4.6657571387625739E-2</v>
      </c>
      <c r="BS45" s="1">
        <f t="shared" si="6"/>
        <v>4.6390951333734616E-2</v>
      </c>
      <c r="BT45" s="1">
        <f t="shared" si="6"/>
        <v>4.6227703199719451E-2</v>
      </c>
      <c r="BU45" s="1">
        <f t="shared" si="6"/>
        <v>4.6128116943279424E-2</v>
      </c>
    </row>
    <row r="46" spans="1:73" x14ac:dyDescent="0.25">
      <c r="A46" s="1" t="s">
        <v>21</v>
      </c>
      <c r="B46" s="1" t="s">
        <v>5</v>
      </c>
      <c r="C46" s="1" t="s">
        <v>16</v>
      </c>
      <c r="D46" s="1" t="s">
        <v>16</v>
      </c>
      <c r="E46" s="5">
        <v>8.2995000000000001</v>
      </c>
      <c r="F46" s="1">
        <f t="shared" si="7"/>
        <v>2.0333774999999998E-2</v>
      </c>
      <c r="G46" s="1">
        <f>LOOKUP(RIGHT(D46,5),Ref!$C$4:$C$21,Ref!$E$4:$E$21)*$G$3</f>
        <v>3</v>
      </c>
      <c r="H46" s="297">
        <f t="shared" si="16"/>
        <v>8.2995000000000001</v>
      </c>
      <c r="I46" s="5">
        <f t="shared" si="16"/>
        <v>8.2995000000000001</v>
      </c>
      <c r="J46" s="5">
        <f t="shared" si="16"/>
        <v>8.2995000000000001</v>
      </c>
      <c r="K46" s="5">
        <f t="shared" si="16"/>
        <v>8.2995000000000001</v>
      </c>
      <c r="L46" s="5">
        <f t="shared" si="16"/>
        <v>8.2995000000000001</v>
      </c>
      <c r="M46" s="5">
        <f t="shared" si="15"/>
        <v>8.6931110344372158</v>
      </c>
      <c r="N46" s="5">
        <f t="shared" si="15"/>
        <v>8.9290849650863109</v>
      </c>
      <c r="O46" s="5">
        <f t="shared" si="15"/>
        <v>9.2888246513225656</v>
      </c>
      <c r="P46" s="5">
        <f t="shared" si="15"/>
        <v>9.8135406348308543</v>
      </c>
      <c r="Q46" s="5">
        <f t="shared" si="15"/>
        <v>10.531579326660275</v>
      </c>
      <c r="R46" s="5">
        <f t="shared" si="15"/>
        <v>11.432898780690209</v>
      </c>
      <c r="S46" s="5">
        <f t="shared" si="15"/>
        <v>12.449249999999999</v>
      </c>
      <c r="T46" s="5">
        <f t="shared" si="15"/>
        <v>13.465601219309791</v>
      </c>
      <c r="U46" s="5">
        <f t="shared" si="15"/>
        <v>14.366920673339726</v>
      </c>
      <c r="V46" s="5">
        <f t="shared" si="15"/>
        <v>15.084959365169146</v>
      </c>
      <c r="W46" s="5">
        <f t="shared" si="15"/>
        <v>15.609675348677433</v>
      </c>
      <c r="X46" s="5">
        <f t="shared" si="15"/>
        <v>15.969415034913689</v>
      </c>
      <c r="Y46" s="5">
        <f t="shared" si="15"/>
        <v>16.205388965562786</v>
      </c>
      <c r="Z46" s="5">
        <f t="shared" si="15"/>
        <v>16.355723140879117</v>
      </c>
      <c r="AA46" s="5">
        <f t="shared" si="15"/>
        <v>16.449723450419622</v>
      </c>
      <c r="AB46" s="5">
        <f t="shared" si="15"/>
        <v>16.507813869637392</v>
      </c>
      <c r="AC46" s="5">
        <f t="shared" si="17"/>
        <v>16.543452683753898</v>
      </c>
      <c r="AD46" s="300">
        <f t="shared" si="18"/>
        <v>1.6559548290293704E-3</v>
      </c>
      <c r="AE46" s="299">
        <f t="shared" si="18"/>
        <v>1.6559548290293704E-3</v>
      </c>
      <c r="AF46" s="299">
        <f t="shared" si="18"/>
        <v>1.6559548290293704E-3</v>
      </c>
      <c r="AG46" s="299">
        <f t="shared" si="18"/>
        <v>1.6559548290293704E-3</v>
      </c>
      <c r="AH46" s="299">
        <f t="shared" si="18"/>
        <v>1.6559548290293704E-3</v>
      </c>
      <c r="AI46" s="299">
        <f t="shared" si="18"/>
        <v>1.5809756770717479E-3</v>
      </c>
      <c r="AJ46" s="299">
        <f t="shared" si="18"/>
        <v>1.5391943471551913E-3</v>
      </c>
      <c r="AK46" s="299">
        <f t="shared" si="18"/>
        <v>1.4795840829627904E-3</v>
      </c>
      <c r="AL46" s="299">
        <f t="shared" si="18"/>
        <v>1.400472837983632E-3</v>
      </c>
      <c r="AM46" s="299">
        <f t="shared" si="18"/>
        <v>1.3049891832213512E-3</v>
      </c>
      <c r="AN46" s="299">
        <f t="shared" si="18"/>
        <v>1.2021095758095702E-3</v>
      </c>
      <c r="AO46" s="299">
        <f t="shared" si="18"/>
        <v>1.1039698860195804E-3</v>
      </c>
      <c r="AP46" s="299">
        <f t="shared" si="18"/>
        <v>1.0206448920989002E-3</v>
      </c>
      <c r="AQ46" s="299">
        <f t="shared" si="18"/>
        <v>9.5661397567488836E-4</v>
      </c>
      <c r="AR46" s="299">
        <f t="shared" si="18"/>
        <v>9.110794912224249E-4</v>
      </c>
      <c r="AS46" s="299">
        <f t="shared" si="10"/>
        <v>8.8045374401035951E-4</v>
      </c>
      <c r="AT46" s="299">
        <f t="shared" si="4"/>
        <v>8.6061994590796477E-4</v>
      </c>
      <c r="AU46" s="299">
        <f t="shared" si="4"/>
        <v>8.480880732165732E-4</v>
      </c>
      <c r="AV46" s="299">
        <f t="shared" si="4"/>
        <v>8.4029284337656886E-4</v>
      </c>
      <c r="AW46" s="299">
        <f t="shared" si="4"/>
        <v>8.3549107344893807E-4</v>
      </c>
      <c r="AX46" s="299">
        <f t="shared" si="4"/>
        <v>8.3255100960446854E-4</v>
      </c>
      <c r="AY46" s="299">
        <f t="shared" si="4"/>
        <v>8.3075748250701199E-4</v>
      </c>
      <c r="AZ46" s="298">
        <f t="shared" si="19"/>
        <v>9.1673307944601212E-2</v>
      </c>
      <c r="BA46" s="1">
        <f t="shared" si="19"/>
        <v>9.1673307944601212E-2</v>
      </c>
      <c r="BB46" s="1">
        <f t="shared" si="19"/>
        <v>9.1673307944601212E-2</v>
      </c>
      <c r="BC46" s="1">
        <f t="shared" si="19"/>
        <v>9.1673307944601212E-2</v>
      </c>
      <c r="BD46" s="1">
        <f t="shared" si="19"/>
        <v>9.1673307944601212E-2</v>
      </c>
      <c r="BE46" s="1">
        <f t="shared" si="19"/>
        <v>8.752247800266065E-2</v>
      </c>
      <c r="BF46" s="1">
        <f t="shared" si="19"/>
        <v>8.5209472444398818E-2</v>
      </c>
      <c r="BG46" s="1">
        <f t="shared" si="19"/>
        <v>8.1909460867892164E-2</v>
      </c>
      <c r="BH46" s="1">
        <f t="shared" si="19"/>
        <v>7.7529879133101651E-2</v>
      </c>
      <c r="BI46" s="1">
        <f t="shared" si="19"/>
        <v>7.2243924266911702E-2</v>
      </c>
      <c r="BJ46" s="1">
        <f t="shared" si="19"/>
        <v>6.6548531031452487E-2</v>
      </c>
      <c r="BK46" s="1">
        <f t="shared" si="19"/>
        <v>6.1115538629734144E-2</v>
      </c>
      <c r="BL46" s="1">
        <f t="shared" si="19"/>
        <v>5.6502684647690496E-2</v>
      </c>
      <c r="BM46" s="1">
        <f t="shared" si="19"/>
        <v>5.2957946701695874E-2</v>
      </c>
      <c r="BN46" s="1">
        <f t="shared" si="19"/>
        <v>5.0437167304738476E-2</v>
      </c>
      <c r="BO46" s="1">
        <f t="shared" si="11"/>
        <v>4.8741732437803838E-2</v>
      </c>
      <c r="BP46" s="1">
        <f t="shared" si="6"/>
        <v>4.7643737583549499E-2</v>
      </c>
      <c r="BQ46" s="1">
        <f t="shared" si="6"/>
        <v>4.6949975770593608E-2</v>
      </c>
      <c r="BR46" s="1">
        <f t="shared" si="6"/>
        <v>4.6518433500783912E-2</v>
      </c>
      <c r="BS46" s="1">
        <f t="shared" si="6"/>
        <v>4.6252608536516714E-2</v>
      </c>
      <c r="BT46" s="1">
        <f t="shared" si="6"/>
        <v>4.6089847225962835E-2</v>
      </c>
      <c r="BU46" s="1">
        <f t="shared" si="6"/>
        <v>4.5990557946430678E-2</v>
      </c>
    </row>
    <row r="47" spans="1:73" x14ac:dyDescent="0.25">
      <c r="A47" s="1" t="s">
        <v>21</v>
      </c>
      <c r="B47" s="1" t="s">
        <v>5</v>
      </c>
      <c r="C47" s="1" t="s">
        <v>17</v>
      </c>
      <c r="D47" s="1" t="s">
        <v>17</v>
      </c>
      <c r="E47" s="5">
        <v>7.6477500000000003</v>
      </c>
      <c r="F47" s="1">
        <f t="shared" si="7"/>
        <v>1.8736987499999996E-2</v>
      </c>
      <c r="G47" s="1">
        <f>LOOKUP(RIGHT(D47,5),Ref!$C$4:$C$21,Ref!$E$4:$E$21)*$G$3</f>
        <v>3</v>
      </c>
      <c r="H47" s="297">
        <f t="shared" si="16"/>
        <v>7.6477500000000003</v>
      </c>
      <c r="I47" s="5">
        <f t="shared" si="16"/>
        <v>7.6477500000000003</v>
      </c>
      <c r="J47" s="5">
        <f t="shared" si="16"/>
        <v>7.6477500000000003</v>
      </c>
      <c r="K47" s="5">
        <f t="shared" si="16"/>
        <v>7.6477500000000003</v>
      </c>
      <c r="L47" s="5">
        <f t="shared" si="16"/>
        <v>7.6477500000000003</v>
      </c>
      <c r="M47" s="5">
        <f t="shared" si="15"/>
        <v>8.0104512215937369</v>
      </c>
      <c r="N47" s="5">
        <f t="shared" si="15"/>
        <v>8.2278943962574651</v>
      </c>
      <c r="O47" s="5">
        <f t="shared" si="15"/>
        <v>8.5593841468946508</v>
      </c>
      <c r="P47" s="5">
        <f t="shared" si="15"/>
        <v>9.0428947996900622</v>
      </c>
      <c r="Q47" s="5">
        <f t="shared" si="15"/>
        <v>9.7045467552823812</v>
      </c>
      <c r="R47" s="5">
        <f t="shared" si="15"/>
        <v>10.535086649801018</v>
      </c>
      <c r="S47" s="5">
        <f t="shared" si="15"/>
        <v>11.471625</v>
      </c>
      <c r="T47" s="5">
        <f t="shared" si="15"/>
        <v>12.408163350198983</v>
      </c>
      <c r="U47" s="5">
        <f t="shared" si="15"/>
        <v>13.23870324471762</v>
      </c>
      <c r="V47" s="5">
        <f t="shared" si="15"/>
        <v>13.900355200309939</v>
      </c>
      <c r="W47" s="5">
        <f t="shared" si="15"/>
        <v>14.383865853105348</v>
      </c>
      <c r="X47" s="5">
        <f t="shared" si="15"/>
        <v>14.715355603742536</v>
      </c>
      <c r="Y47" s="5">
        <f t="shared" si="15"/>
        <v>14.932798778406264</v>
      </c>
      <c r="Z47" s="5">
        <f t="shared" si="15"/>
        <v>15.071327387271316</v>
      </c>
      <c r="AA47" s="5">
        <f t="shared" si="15"/>
        <v>15.157945962762415</v>
      </c>
      <c r="AB47" s="5">
        <f t="shared" si="15"/>
        <v>15.211474609496882</v>
      </c>
      <c r="AC47" s="5">
        <f t="shared" si="17"/>
        <v>15.244314749343802</v>
      </c>
      <c r="AD47" s="300">
        <f t="shared" si="18"/>
        <v>1.7970771930998345E-3</v>
      </c>
      <c r="AE47" s="299">
        <f t="shared" si="18"/>
        <v>1.7970771930998345E-3</v>
      </c>
      <c r="AF47" s="299">
        <f t="shared" si="18"/>
        <v>1.7970771930998345E-3</v>
      </c>
      <c r="AG47" s="299">
        <f t="shared" si="18"/>
        <v>1.7970771930998345E-3</v>
      </c>
      <c r="AH47" s="299">
        <f t="shared" si="18"/>
        <v>1.7970771930998345E-3</v>
      </c>
      <c r="AI47" s="299">
        <f t="shared" si="18"/>
        <v>1.7157082320757048E-3</v>
      </c>
      <c r="AJ47" s="299">
        <f t="shared" si="18"/>
        <v>1.6703662494478131E-3</v>
      </c>
      <c r="AK47" s="299">
        <f t="shared" si="18"/>
        <v>1.6056759303781738E-3</v>
      </c>
      <c r="AL47" s="299">
        <f t="shared" si="18"/>
        <v>1.5198227346402736E-3</v>
      </c>
      <c r="AM47" s="299">
        <f t="shared" si="18"/>
        <v>1.4162018536361155E-3</v>
      </c>
      <c r="AN47" s="299">
        <f t="shared" si="18"/>
        <v>1.3045547284405907E-3</v>
      </c>
      <c r="AO47" s="299">
        <f t="shared" si="18"/>
        <v>1.1980514620665563E-3</v>
      </c>
      <c r="AP47" s="299">
        <f t="shared" si="18"/>
        <v>1.1076254168840274E-3</v>
      </c>
      <c r="AQ47" s="299">
        <f t="shared" si="18"/>
        <v>1.0381377125447009E-3</v>
      </c>
      <c r="AR47" s="299">
        <f t="shared" si="18"/>
        <v>9.8872272725971906E-4</v>
      </c>
      <c r="AS47" s="299">
        <f t="shared" si="10"/>
        <v>9.5548701885050881E-4</v>
      </c>
      <c r="AT47" s="299">
        <f t="shared" si="4"/>
        <v>9.3396296179440409E-4</v>
      </c>
      <c r="AU47" s="299">
        <f t="shared" si="4"/>
        <v>9.20363108582387E-4</v>
      </c>
      <c r="AV47" s="299">
        <f t="shared" si="4"/>
        <v>9.1190356034177801E-4</v>
      </c>
      <c r="AW47" s="299">
        <f t="shared" si="4"/>
        <v>9.0669257809021758E-4</v>
      </c>
      <c r="AX47" s="299">
        <f t="shared" si="4"/>
        <v>9.0350195864303704E-4</v>
      </c>
      <c r="AY47" s="299">
        <f t="shared" si="4"/>
        <v>9.0155558511548434E-4</v>
      </c>
      <c r="AZ47" s="298">
        <f t="shared" si="19"/>
        <v>9.9485812073644889E-2</v>
      </c>
      <c r="BA47" s="1">
        <f t="shared" si="19"/>
        <v>9.9485812073644889E-2</v>
      </c>
      <c r="BB47" s="1">
        <f t="shared" si="19"/>
        <v>9.9485812073644889E-2</v>
      </c>
      <c r="BC47" s="1">
        <f t="shared" si="19"/>
        <v>9.9485812073644889E-2</v>
      </c>
      <c r="BD47" s="1">
        <f t="shared" si="19"/>
        <v>9.9485812073644889E-2</v>
      </c>
      <c r="BE47" s="1">
        <f t="shared" si="19"/>
        <v>9.4981243657687814E-2</v>
      </c>
      <c r="BF47" s="1">
        <f t="shared" si="19"/>
        <v>9.247112112089019E-2</v>
      </c>
      <c r="BG47" s="1">
        <f t="shared" si="19"/>
        <v>8.8889878784357626E-2</v>
      </c>
      <c r="BH47" s="1">
        <f t="shared" si="19"/>
        <v>8.4137064086192287E-2</v>
      </c>
      <c r="BI47" s="1">
        <f t="shared" si="19"/>
        <v>7.8400634101955941E-2</v>
      </c>
      <c r="BJ47" s="1">
        <f t="shared" si="19"/>
        <v>7.221987294243927E-2</v>
      </c>
      <c r="BK47" s="1">
        <f t="shared" si="19"/>
        <v>6.6323874715763273E-2</v>
      </c>
      <c r="BL47" s="1">
        <f t="shared" si="19"/>
        <v>6.1317908042693242E-2</v>
      </c>
      <c r="BM47" s="1">
        <f t="shared" si="19"/>
        <v>5.7471083475626808E-2</v>
      </c>
      <c r="BN47" s="1">
        <f t="shared" si="19"/>
        <v>5.4735480376016082E-2</v>
      </c>
      <c r="BO47" s="1">
        <f t="shared" si="11"/>
        <v>5.2895558611036314E-2</v>
      </c>
      <c r="BP47" s="1">
        <f t="shared" si="6"/>
        <v>5.1703991379774321E-2</v>
      </c>
      <c r="BQ47" s="1">
        <f t="shared" si="6"/>
        <v>5.0951106391820031E-2</v>
      </c>
      <c r="BR47" s="1">
        <f t="shared" si="6"/>
        <v>5.0482787596319967E-2</v>
      </c>
      <c r="BS47" s="1">
        <f t="shared" si="6"/>
        <v>5.0194308724634103E-2</v>
      </c>
      <c r="BT47" s="1">
        <f t="shared" si="6"/>
        <v>5.0017676709081561E-2</v>
      </c>
      <c r="BU47" s="1">
        <f t="shared" si="6"/>
        <v>4.990992588361301E-2</v>
      </c>
    </row>
    <row r="48" spans="1:73" x14ac:dyDescent="0.25">
      <c r="A48" s="1" t="s">
        <v>21</v>
      </c>
      <c r="B48" s="1" t="s">
        <v>5</v>
      </c>
      <c r="C48" s="1" t="s">
        <v>18</v>
      </c>
      <c r="D48" s="1" t="s">
        <v>18</v>
      </c>
      <c r="E48" s="5">
        <v>8.7202500000000001</v>
      </c>
      <c r="F48" s="1">
        <f t="shared" si="7"/>
        <v>2.1364612500000001E-2</v>
      </c>
      <c r="G48" s="1">
        <f>LOOKUP(RIGHT(D48,5),Ref!$C$4:$C$21,Ref!$E$4:$E$21)*$G$3</f>
        <v>3</v>
      </c>
      <c r="H48" s="297">
        <f t="shared" si="16"/>
        <v>8.7202500000000001</v>
      </c>
      <c r="I48" s="5">
        <f t="shared" si="16"/>
        <v>8.7202500000000001</v>
      </c>
      <c r="J48" s="5">
        <f t="shared" si="16"/>
        <v>8.7202500000000001</v>
      </c>
      <c r="K48" s="5">
        <f t="shared" si="16"/>
        <v>8.7202500000000001</v>
      </c>
      <c r="L48" s="5">
        <f t="shared" si="16"/>
        <v>8.7202500000000001</v>
      </c>
      <c r="M48" s="5">
        <f t="shared" si="15"/>
        <v>9.1338154705766765</v>
      </c>
      <c r="N48" s="5">
        <f t="shared" si="15"/>
        <v>9.3817522943302478</v>
      </c>
      <c r="O48" s="5">
        <f t="shared" si="15"/>
        <v>9.75972928076337</v>
      </c>
      <c r="P48" s="5">
        <f t="shared" si="15"/>
        <v>10.311046173972379</v>
      </c>
      <c r="Q48" s="5">
        <f t="shared" si="15"/>
        <v>11.065486429701702</v>
      </c>
      <c r="R48" s="5">
        <f t="shared" si="15"/>
        <v>12.012499017087029</v>
      </c>
      <c r="S48" s="5">
        <f t="shared" si="15"/>
        <v>13.080375</v>
      </c>
      <c r="T48" s="5">
        <f t="shared" si="15"/>
        <v>14.148250982912971</v>
      </c>
      <c r="U48" s="5">
        <f t="shared" si="15"/>
        <v>15.095263570298298</v>
      </c>
      <c r="V48" s="5">
        <f t="shared" si="15"/>
        <v>15.849703826027621</v>
      </c>
      <c r="W48" s="5">
        <f t="shared" si="15"/>
        <v>16.401020719236627</v>
      </c>
      <c r="X48" s="5">
        <f t="shared" si="15"/>
        <v>16.778997705669752</v>
      </c>
      <c r="Y48" s="5">
        <f t="shared" si="15"/>
        <v>17.026934529423325</v>
      </c>
      <c r="Z48" s="5">
        <f t="shared" si="15"/>
        <v>17.184890019790487</v>
      </c>
      <c r="AA48" s="5">
        <f t="shared" si="15"/>
        <v>17.283655752578071</v>
      </c>
      <c r="AB48" s="5">
        <f t="shared" si="15"/>
        <v>17.34469111352557</v>
      </c>
      <c r="AC48" s="5">
        <f t="shared" si="17"/>
        <v>17.382136666727508</v>
      </c>
      <c r="AD48" s="300">
        <f t="shared" si="18"/>
        <v>1.5760554001925701E-3</v>
      </c>
      <c r="AE48" s="299">
        <f t="shared" si="18"/>
        <v>1.5760554001925701E-3</v>
      </c>
      <c r="AF48" s="299">
        <f t="shared" si="18"/>
        <v>1.5760554001925701E-3</v>
      </c>
      <c r="AG48" s="299">
        <f t="shared" si="18"/>
        <v>1.5760554001925701E-3</v>
      </c>
      <c r="AH48" s="299">
        <f t="shared" si="18"/>
        <v>1.5760554001925701E-3</v>
      </c>
      <c r="AI48" s="299">
        <f t="shared" si="18"/>
        <v>1.5046939745829502E-3</v>
      </c>
      <c r="AJ48" s="299">
        <f t="shared" si="18"/>
        <v>1.4649285839528124E-3</v>
      </c>
      <c r="AK48" s="299">
        <f t="shared" si="18"/>
        <v>1.4081945009087676E-3</v>
      </c>
      <c r="AL48" s="299">
        <f t="shared" si="18"/>
        <v>1.3329003547885845E-3</v>
      </c>
      <c r="AM48" s="299">
        <f t="shared" si="18"/>
        <v>1.2420237637849377E-3</v>
      </c>
      <c r="AN48" s="299">
        <f t="shared" si="18"/>
        <v>1.1441080730978503E-3</v>
      </c>
      <c r="AO48" s="299">
        <f t="shared" si="18"/>
        <v>1.05070360012838E-3</v>
      </c>
      <c r="AP48" s="299">
        <f t="shared" si="18"/>
        <v>9.7139901745647449E-4</v>
      </c>
      <c r="AQ48" s="299">
        <f t="shared" si="18"/>
        <v>9.1045757760542837E-4</v>
      </c>
      <c r="AR48" s="299">
        <f t="shared" si="18"/>
        <v>8.6712012125805056E-4</v>
      </c>
      <c r="AS48" s="299">
        <f t="shared" si="10"/>
        <v>8.3797205910541314E-4</v>
      </c>
      <c r="AT48" s="299">
        <f t="shared" si="4"/>
        <v>8.1909523707039981E-4</v>
      </c>
      <c r="AU48" s="299">
        <f t="shared" si="4"/>
        <v>8.0716802427234871E-4</v>
      </c>
      <c r="AV48" s="299">
        <f t="shared" si="4"/>
        <v>7.9974891242840884E-4</v>
      </c>
      <c r="AW48" s="299">
        <f t="shared" ref="AW48:AY111" si="20">Algae_electricity_factor/AA48</f>
        <v>7.951788267640793E-4</v>
      </c>
      <c r="AX48" s="299">
        <f t="shared" si="20"/>
        <v>7.9238062030472596E-4</v>
      </c>
      <c r="AY48" s="299">
        <f t="shared" si="20"/>
        <v>7.9067363046551929E-4</v>
      </c>
      <c r="AZ48" s="298">
        <f t="shared" si="19"/>
        <v>8.7250092518702763E-2</v>
      </c>
      <c r="BA48" s="1">
        <f t="shared" si="19"/>
        <v>8.7250092518702763E-2</v>
      </c>
      <c r="BB48" s="1">
        <f t="shared" si="19"/>
        <v>8.7250092518702763E-2</v>
      </c>
      <c r="BC48" s="1">
        <f t="shared" si="19"/>
        <v>8.7250092518702763E-2</v>
      </c>
      <c r="BD48" s="1">
        <f t="shared" si="19"/>
        <v>8.7250092518702763E-2</v>
      </c>
      <c r="BE48" s="1">
        <f t="shared" si="19"/>
        <v>8.3299539139712983E-2</v>
      </c>
      <c r="BF48" s="1">
        <f t="shared" si="19"/>
        <v>8.1098135552568798E-2</v>
      </c>
      <c r="BG48" s="1">
        <f t="shared" si="19"/>
        <v>7.7957348754114975E-2</v>
      </c>
      <c r="BH48" s="1">
        <f t="shared" si="19"/>
        <v>7.3789080802176221E-2</v>
      </c>
      <c r="BI48" s="1">
        <f t="shared" si="19"/>
        <v>6.8758172008054078E-2</v>
      </c>
      <c r="BJ48" s="1">
        <f t="shared" si="19"/>
        <v>6.3337580149140218E-2</v>
      </c>
      <c r="BK48" s="1">
        <f t="shared" si="19"/>
        <v>5.8166728345801839E-2</v>
      </c>
      <c r="BL48" s="1">
        <f t="shared" si="19"/>
        <v>5.3776443477366737E-2</v>
      </c>
      <c r="BM48" s="1">
        <f t="shared" si="19"/>
        <v>5.0402738298870438E-2</v>
      </c>
      <c r="BN48" s="1">
        <f t="shared" si="19"/>
        <v>4.8003585911605404E-2</v>
      </c>
      <c r="BO48" s="1">
        <f t="shared" si="11"/>
        <v>4.6389955375998736E-2</v>
      </c>
      <c r="BP48" s="1">
        <f t="shared" si="6"/>
        <v>4.5344938513766121E-2</v>
      </c>
      <c r="BQ48" s="1">
        <f t="shared" si="6"/>
        <v>4.4684650544197888E-2</v>
      </c>
      <c r="BR48" s="1">
        <f t="shared" si="6"/>
        <v>4.4273930086838796E-2</v>
      </c>
      <c r="BS48" s="1">
        <f t="shared" ref="BS48:BU111" si="21">Algae_yield_cost_factor/AA48</f>
        <v>4.402093111422499E-2</v>
      </c>
      <c r="BT48" s="1">
        <f t="shared" si="21"/>
        <v>4.3866022998409283E-2</v>
      </c>
      <c r="BU48" s="1">
        <f t="shared" si="21"/>
        <v>4.3771524403130799E-2</v>
      </c>
    </row>
    <row r="49" spans="1:73" x14ac:dyDescent="0.25">
      <c r="A49" s="1" t="s">
        <v>21</v>
      </c>
      <c r="B49" s="1" t="s">
        <v>5</v>
      </c>
      <c r="C49" s="1" t="s">
        <v>6</v>
      </c>
      <c r="D49" s="1" t="s">
        <v>6</v>
      </c>
      <c r="E49" s="5">
        <v>8.0849999999999991</v>
      </c>
      <c r="F49" s="1">
        <f t="shared" si="7"/>
        <v>1.9808249999999996E-2</v>
      </c>
      <c r="G49" s="1">
        <f>LOOKUP(RIGHT(D49,5),Ref!$C$4:$C$21,Ref!$E$4:$E$21)*$G$3</f>
        <v>3</v>
      </c>
      <c r="H49" s="297">
        <f t="shared" si="16"/>
        <v>8.0849999999999991</v>
      </c>
      <c r="I49" s="5">
        <f t="shared" si="16"/>
        <v>8.0849999999999991</v>
      </c>
      <c r="J49" s="5">
        <f t="shared" si="16"/>
        <v>8.0849999999999991</v>
      </c>
      <c r="K49" s="5">
        <f t="shared" si="16"/>
        <v>8.0849999999999991</v>
      </c>
      <c r="L49" s="5">
        <f t="shared" si="16"/>
        <v>8.0849999999999991</v>
      </c>
      <c r="M49" s="5">
        <f t="shared" si="15"/>
        <v>8.4684381846406254</v>
      </c>
      <c r="N49" s="5">
        <f t="shared" si="15"/>
        <v>8.6983133854717529</v>
      </c>
      <c r="O49" s="5">
        <f t="shared" si="15"/>
        <v>9.0487556245488197</v>
      </c>
      <c r="P49" s="5">
        <f t="shared" si="15"/>
        <v>9.5599103599743902</v>
      </c>
      <c r="Q49" s="5">
        <f t="shared" si="15"/>
        <v>10.259391391776409</v>
      </c>
      <c r="R49" s="5">
        <f t="shared" si="15"/>
        <v>11.137416307233005</v>
      </c>
      <c r="S49" s="5">
        <f t="shared" si="15"/>
        <v>12.127499999999998</v>
      </c>
      <c r="T49" s="5">
        <f t="shared" si="15"/>
        <v>13.117583692766992</v>
      </c>
      <c r="U49" s="5">
        <f t="shared" si="15"/>
        <v>13.995608608223588</v>
      </c>
      <c r="V49" s="5">
        <f t="shared" si="15"/>
        <v>14.695089640025607</v>
      </c>
      <c r="W49" s="5">
        <f t="shared" si="15"/>
        <v>15.206244375451176</v>
      </c>
      <c r="X49" s="5">
        <f t="shared" si="15"/>
        <v>15.556686614528244</v>
      </c>
      <c r="Y49" s="5">
        <f t="shared" si="15"/>
        <v>15.786561815359372</v>
      </c>
      <c r="Z49" s="5">
        <f t="shared" si="15"/>
        <v>15.933010614375283</v>
      </c>
      <c r="AA49" s="5">
        <f t="shared" si="15"/>
        <v>16.024581492456488</v>
      </c>
      <c r="AB49" s="5">
        <f t="shared" si="15"/>
        <v>16.081170568831652</v>
      </c>
      <c r="AC49" s="5">
        <f t="shared" si="17"/>
        <v>16.115888300277156</v>
      </c>
      <c r="AD49" s="300">
        <f t="shared" si="18"/>
        <v>1.6998883244934151E-3</v>
      </c>
      <c r="AE49" s="299">
        <f t="shared" si="18"/>
        <v>1.6998883244934151E-3</v>
      </c>
      <c r="AF49" s="299">
        <f t="shared" si="18"/>
        <v>1.6998883244934151E-3</v>
      </c>
      <c r="AG49" s="299">
        <f t="shared" si="18"/>
        <v>1.6998883244934151E-3</v>
      </c>
      <c r="AH49" s="299">
        <f t="shared" si="18"/>
        <v>1.6998883244934151E-3</v>
      </c>
      <c r="AI49" s="299">
        <f t="shared" si="18"/>
        <v>1.6229199297287538E-3</v>
      </c>
      <c r="AJ49" s="299">
        <f t="shared" si="18"/>
        <v>1.5800301155491049E-3</v>
      </c>
      <c r="AK49" s="299">
        <f t="shared" si="18"/>
        <v>1.5188383545515995E-3</v>
      </c>
      <c r="AL49" s="299">
        <f t="shared" si="18"/>
        <v>1.4376282398076876E-3</v>
      </c>
      <c r="AM49" s="299">
        <f t="shared" si="18"/>
        <v>1.3396113452251832E-3</v>
      </c>
      <c r="AN49" s="299">
        <f t="shared" si="18"/>
        <v>1.2340022788412529E-3</v>
      </c>
      <c r="AO49" s="299">
        <f t="shared" si="18"/>
        <v>1.1332588829956101E-3</v>
      </c>
      <c r="AP49" s="299">
        <f t="shared" si="18"/>
        <v>1.0477232259709119E-3</v>
      </c>
      <c r="AQ49" s="299">
        <f t="shared" si="18"/>
        <v>9.819935301315693E-4</v>
      </c>
      <c r="AR49" s="299">
        <f t="shared" si="18"/>
        <v>9.3525098792832616E-4</v>
      </c>
      <c r="AS49" s="299">
        <f t="shared" si="10"/>
        <v>9.0381272089226704E-4</v>
      </c>
      <c r="AT49" s="299">
        <f t="shared" si="10"/>
        <v>8.834527199830742E-4</v>
      </c>
      <c r="AU49" s="299">
        <f t="shared" si="10"/>
        <v>8.7058836903660482E-4</v>
      </c>
      <c r="AV49" s="299">
        <f t="shared" si="10"/>
        <v>8.6258632697635543E-4</v>
      </c>
      <c r="AW49" s="299">
        <f t="shared" si="20"/>
        <v>8.5765716315268554E-4</v>
      </c>
      <c r="AX49" s="299">
        <f t="shared" si="20"/>
        <v>8.5463909761438318E-4</v>
      </c>
      <c r="AY49" s="299">
        <f t="shared" si="20"/>
        <v>8.5279798714495321E-4</v>
      </c>
      <c r="AZ49" s="298">
        <f t="shared" si="19"/>
        <v>9.4105456930886566E-2</v>
      </c>
      <c r="BA49" s="1">
        <f t="shared" si="19"/>
        <v>9.4105456930886566E-2</v>
      </c>
      <c r="BB49" s="1">
        <f t="shared" si="19"/>
        <v>9.4105456930886566E-2</v>
      </c>
      <c r="BC49" s="1">
        <f t="shared" si="19"/>
        <v>9.4105456930886566E-2</v>
      </c>
      <c r="BD49" s="1">
        <f t="shared" si="19"/>
        <v>9.4105456930886566E-2</v>
      </c>
      <c r="BE49" s="1">
        <f t="shared" si="19"/>
        <v>8.9844502929261869E-2</v>
      </c>
      <c r="BF49" s="1">
        <f t="shared" si="19"/>
        <v>8.7470131917413485E-2</v>
      </c>
      <c r="BG49" s="1">
        <f t="shared" si="19"/>
        <v>8.4082569013366873E-2</v>
      </c>
      <c r="BH49" s="1">
        <f t="shared" si="19"/>
        <v>7.9586794293775784E-2</v>
      </c>
      <c r="BI49" s="1">
        <f t="shared" si="19"/>
        <v>7.4160599808686917E-2</v>
      </c>
      <c r="BJ49" s="1">
        <f t="shared" si="19"/>
        <v>6.8314104303715525E-2</v>
      </c>
      <c r="BK49" s="1">
        <f t="shared" si="19"/>
        <v>6.2736971287257706E-2</v>
      </c>
      <c r="BL49" s="1">
        <f t="shared" si="19"/>
        <v>5.8001735464874131E-2</v>
      </c>
      <c r="BM49" s="1">
        <f t="shared" si="19"/>
        <v>5.4362953450924546E-2</v>
      </c>
      <c r="BN49" s="1">
        <f t="shared" si="19"/>
        <v>5.1775296233231551E-2</v>
      </c>
      <c r="BO49" s="1">
        <f t="shared" si="11"/>
        <v>5.0034880441255779E-2</v>
      </c>
      <c r="BP49" s="1">
        <f t="shared" si="11"/>
        <v>4.8907755111276326E-2</v>
      </c>
      <c r="BQ49" s="1">
        <f t="shared" si="11"/>
        <v>4.8195587372670587E-2</v>
      </c>
      <c r="BR49" s="1">
        <f t="shared" si="11"/>
        <v>4.7752596022233279E-2</v>
      </c>
      <c r="BS49" s="1">
        <f t="shared" si="21"/>
        <v>4.7479718558914107E-2</v>
      </c>
      <c r="BT49" s="1">
        <f t="shared" si="21"/>
        <v>4.7312639091141445E-2</v>
      </c>
      <c r="BU49" s="1">
        <f t="shared" si="21"/>
        <v>4.7210715606233945E-2</v>
      </c>
    </row>
    <row r="50" spans="1:73" x14ac:dyDescent="0.25">
      <c r="A50" s="1" t="s">
        <v>21</v>
      </c>
      <c r="B50" s="1" t="s">
        <v>5</v>
      </c>
      <c r="C50" s="1" t="s">
        <v>8</v>
      </c>
      <c r="D50" s="1" t="s">
        <v>8</v>
      </c>
      <c r="E50" s="5">
        <v>8.8440000000000012</v>
      </c>
      <c r="F50" s="1">
        <f t="shared" si="7"/>
        <v>2.1667800000000004E-2</v>
      </c>
      <c r="G50" s="1">
        <f>LOOKUP(RIGHT(D50,5),Ref!$C$4:$C$21,Ref!$E$4:$E$21)*$G$3</f>
        <v>4</v>
      </c>
      <c r="H50" s="297">
        <f t="shared" si="16"/>
        <v>8.8440000000000012</v>
      </c>
      <c r="I50" s="5">
        <f t="shared" si="16"/>
        <v>8.8440000000000012</v>
      </c>
      <c r="J50" s="5">
        <f t="shared" si="16"/>
        <v>8.8440000000000012</v>
      </c>
      <c r="K50" s="5">
        <f t="shared" si="16"/>
        <v>8.8440000000000012</v>
      </c>
      <c r="L50" s="5">
        <f t="shared" si="16"/>
        <v>8.8440000000000012</v>
      </c>
      <c r="M50" s="5">
        <f t="shared" si="15"/>
        <v>9.2634344223824012</v>
      </c>
      <c r="N50" s="5">
        <f t="shared" si="15"/>
        <v>9.5148897441078777</v>
      </c>
      <c r="O50" s="5">
        <f t="shared" si="15"/>
        <v>9.8982306423636093</v>
      </c>
      <c r="P50" s="5">
        <f t="shared" si="15"/>
        <v>10.457371332543417</v>
      </c>
      <c r="Q50" s="5">
        <f t="shared" si="15"/>
        <v>11.22251793059624</v>
      </c>
      <c r="R50" s="5">
        <f t="shared" si="15"/>
        <v>12.182969674850801</v>
      </c>
      <c r="S50" s="5">
        <f t="shared" si="15"/>
        <v>13.266000000000002</v>
      </c>
      <c r="T50" s="5">
        <f t="shared" si="15"/>
        <v>14.349030325149203</v>
      </c>
      <c r="U50" s="5">
        <f t="shared" si="15"/>
        <v>15.309482069403764</v>
      </c>
      <c r="V50" s="5">
        <f t="shared" si="15"/>
        <v>16.074628667456587</v>
      </c>
      <c r="W50" s="5">
        <f t="shared" si="15"/>
        <v>16.633769357636393</v>
      </c>
      <c r="X50" s="5">
        <f t="shared" si="15"/>
        <v>17.017110255892124</v>
      </c>
      <c r="Y50" s="5">
        <f t="shared" si="15"/>
        <v>17.268565577617601</v>
      </c>
      <c r="Z50" s="5">
        <f t="shared" si="15"/>
        <v>17.428762631235006</v>
      </c>
      <c r="AA50" s="5">
        <f t="shared" si="15"/>
        <v>17.528929959095265</v>
      </c>
      <c r="AB50" s="5">
        <f t="shared" si="15"/>
        <v>17.590831479375037</v>
      </c>
      <c r="AC50" s="5">
        <f t="shared" si="17"/>
        <v>17.628808426425628</v>
      </c>
      <c r="AD50" s="300">
        <f t="shared" si="18"/>
        <v>1.5540023861973381E-3</v>
      </c>
      <c r="AE50" s="299">
        <f t="shared" si="18"/>
        <v>1.5540023861973381E-3</v>
      </c>
      <c r="AF50" s="299">
        <f t="shared" si="18"/>
        <v>1.5540023861973381E-3</v>
      </c>
      <c r="AG50" s="299">
        <f t="shared" si="18"/>
        <v>1.5540023861973381E-3</v>
      </c>
      <c r="AH50" s="299">
        <f t="shared" si="18"/>
        <v>1.5540023861973381E-3</v>
      </c>
      <c r="AI50" s="299">
        <f t="shared" si="18"/>
        <v>1.4836394879983005E-3</v>
      </c>
      <c r="AJ50" s="299">
        <f t="shared" si="18"/>
        <v>1.4444305160803382E-3</v>
      </c>
      <c r="AK50" s="299">
        <f t="shared" si="18"/>
        <v>1.3884902868102305E-3</v>
      </c>
      <c r="AL50" s="299">
        <f t="shared" si="18"/>
        <v>1.314249696839117E-3</v>
      </c>
      <c r="AM50" s="299">
        <f t="shared" si="18"/>
        <v>1.2246446999260065E-3</v>
      </c>
      <c r="AN50" s="299">
        <f t="shared" si="18"/>
        <v>1.1280990981944285E-3</v>
      </c>
      <c r="AO50" s="299">
        <f t="shared" si="18"/>
        <v>1.0360015907982254E-3</v>
      </c>
      <c r="AP50" s="299">
        <f t="shared" si="18"/>
        <v>9.5780668045848259E-4</v>
      </c>
      <c r="AQ50" s="299">
        <f t="shared" si="18"/>
        <v>8.9771796597848668E-4</v>
      </c>
      <c r="AR50" s="299">
        <f t="shared" si="18"/>
        <v>8.5498691060611879E-4</v>
      </c>
      <c r="AS50" s="299">
        <f t="shared" si="10"/>
        <v>8.2624670380076635E-4</v>
      </c>
      <c r="AT50" s="299">
        <f t="shared" si="10"/>
        <v>8.0763401640243703E-4</v>
      </c>
      <c r="AU50" s="299">
        <f t="shared" si="10"/>
        <v>7.9587369557450804E-4</v>
      </c>
      <c r="AV50" s="299">
        <f t="shared" si="10"/>
        <v>7.8855839592987707E-4</v>
      </c>
      <c r="AW50" s="299">
        <f t="shared" si="20"/>
        <v>7.84052257359731E-4</v>
      </c>
      <c r="AX50" s="299">
        <f t="shared" si="20"/>
        <v>7.8129320490867094E-4</v>
      </c>
      <c r="AY50" s="299">
        <f t="shared" si="20"/>
        <v>7.7961010018848308E-4</v>
      </c>
      <c r="AZ50" s="298">
        <f t="shared" si="19"/>
        <v>8.6029242343534332E-2</v>
      </c>
      <c r="BA50" s="1">
        <f t="shared" si="19"/>
        <v>8.6029242343534332E-2</v>
      </c>
      <c r="BB50" s="1">
        <f t="shared" si="19"/>
        <v>8.6029242343534332E-2</v>
      </c>
      <c r="BC50" s="1">
        <f t="shared" si="19"/>
        <v>8.6029242343534332E-2</v>
      </c>
      <c r="BD50" s="1">
        <f t="shared" si="19"/>
        <v>8.6029242343534332E-2</v>
      </c>
      <c r="BE50" s="1">
        <f t="shared" si="19"/>
        <v>8.2133967230108781E-2</v>
      </c>
      <c r="BF50" s="1">
        <f t="shared" si="19"/>
        <v>7.9963366864799643E-2</v>
      </c>
      <c r="BG50" s="1">
        <f t="shared" si="19"/>
        <v>7.6866527642816707E-2</v>
      </c>
      <c r="BH50" s="1">
        <f t="shared" si="19"/>
        <v>7.2756584335727847E-2</v>
      </c>
      <c r="BI50" s="1">
        <f t="shared" si="19"/>
        <v>6.7796070720627932E-2</v>
      </c>
      <c r="BJ50" s="1">
        <f t="shared" si="19"/>
        <v>6.2451326695560819E-2</v>
      </c>
      <c r="BK50" s="1">
        <f t="shared" si="19"/>
        <v>5.7352828229022892E-2</v>
      </c>
      <c r="BL50" s="1">
        <f t="shared" si="19"/>
        <v>5.3023974585425966E-2</v>
      </c>
      <c r="BM50" s="1">
        <f t="shared" si="19"/>
        <v>4.9697476102524299E-2</v>
      </c>
      <c r="BN50" s="1">
        <f t="shared" si="19"/>
        <v>4.7331893944558681E-2</v>
      </c>
      <c r="BO50" s="1">
        <f t="shared" si="11"/>
        <v>4.5740842194431579E-2</v>
      </c>
      <c r="BP50" s="1">
        <f t="shared" si="11"/>
        <v>4.4710447769636931E-2</v>
      </c>
      <c r="BQ50" s="1">
        <f t="shared" si="11"/>
        <v>4.4059398904120493E-2</v>
      </c>
      <c r="BR50" s="1">
        <f t="shared" si="11"/>
        <v>4.3654425468086386E-2</v>
      </c>
      <c r="BS50" s="1">
        <f t="shared" si="21"/>
        <v>4.3404966593037136E-2</v>
      </c>
      <c r="BT50" s="1">
        <f t="shared" si="21"/>
        <v>4.325222603481213E-2</v>
      </c>
      <c r="BU50" s="1">
        <f t="shared" si="21"/>
        <v>4.3159049714654153E-2</v>
      </c>
    </row>
    <row r="51" spans="1:73" x14ac:dyDescent="0.25">
      <c r="A51" s="1" t="s">
        <v>21</v>
      </c>
      <c r="B51" s="1" t="s">
        <v>5</v>
      </c>
      <c r="C51" s="1" t="s">
        <v>9</v>
      </c>
      <c r="D51" s="1" t="s">
        <v>9</v>
      </c>
      <c r="E51" s="5">
        <v>7.5322500000000003</v>
      </c>
      <c r="F51" s="1">
        <f t="shared" si="7"/>
        <v>1.8454012500000002E-2</v>
      </c>
      <c r="G51" s="1">
        <f>LOOKUP(RIGHT(D51,5),Ref!$C$4:$C$21,Ref!$E$4:$E$21)*$G$3</f>
        <v>4.5</v>
      </c>
      <c r="H51" s="297">
        <f t="shared" si="16"/>
        <v>7.5322500000000003</v>
      </c>
      <c r="I51" s="5">
        <f t="shared" si="16"/>
        <v>7.5322500000000003</v>
      </c>
      <c r="J51" s="5">
        <f t="shared" si="16"/>
        <v>7.5322500000000003</v>
      </c>
      <c r="K51" s="5">
        <f t="shared" si="16"/>
        <v>7.5322500000000003</v>
      </c>
      <c r="L51" s="5">
        <f t="shared" si="16"/>
        <v>7.5322500000000003</v>
      </c>
      <c r="M51" s="5">
        <f t="shared" si="15"/>
        <v>7.8894735332417278</v>
      </c>
      <c r="N51" s="5">
        <f t="shared" si="15"/>
        <v>8.1036327764650107</v>
      </c>
      <c r="O51" s="5">
        <f t="shared" si="15"/>
        <v>8.4301162094010955</v>
      </c>
      <c r="P51" s="5">
        <f t="shared" si="15"/>
        <v>8.9063246516904275</v>
      </c>
      <c r="Q51" s="5">
        <f t="shared" si="15"/>
        <v>9.5579840211141462</v>
      </c>
      <c r="R51" s="5">
        <f t="shared" si="15"/>
        <v>10.375980702554832</v>
      </c>
      <c r="S51" s="5">
        <f t="shared" si="15"/>
        <v>11.298375</v>
      </c>
      <c r="T51" s="5">
        <f t="shared" si="15"/>
        <v>12.22076929744517</v>
      </c>
      <c r="U51" s="5">
        <f t="shared" si="15"/>
        <v>13.038765978885854</v>
      </c>
      <c r="V51" s="5">
        <f t="shared" si="15"/>
        <v>13.690425348309573</v>
      </c>
      <c r="W51" s="5">
        <f t="shared" si="15"/>
        <v>14.166633790598905</v>
      </c>
      <c r="X51" s="5">
        <f t="shared" si="15"/>
        <v>14.493117223534989</v>
      </c>
      <c r="Y51" s="5">
        <f t="shared" si="15"/>
        <v>14.707276466758273</v>
      </c>
      <c r="Z51" s="5">
        <f t="shared" si="15"/>
        <v>14.843712949923098</v>
      </c>
      <c r="AA51" s="5">
        <f t="shared" si="15"/>
        <v>14.929023370013036</v>
      </c>
      <c r="AB51" s="5">
        <f t="shared" si="15"/>
        <v>14.981743601370717</v>
      </c>
      <c r="AC51" s="5">
        <f t="shared" si="17"/>
        <v>15.014087773625556</v>
      </c>
      <c r="AD51" s="300">
        <f t="shared" si="18"/>
        <v>1.8246336889414529E-3</v>
      </c>
      <c r="AE51" s="299">
        <f t="shared" si="18"/>
        <v>1.8246336889414529E-3</v>
      </c>
      <c r="AF51" s="299">
        <f t="shared" si="18"/>
        <v>1.8246336889414529E-3</v>
      </c>
      <c r="AG51" s="299">
        <f t="shared" si="18"/>
        <v>1.8246336889414529E-3</v>
      </c>
      <c r="AH51" s="299">
        <f t="shared" si="18"/>
        <v>1.8246336889414529E-3</v>
      </c>
      <c r="AI51" s="299">
        <f t="shared" si="18"/>
        <v>1.7420170110998667E-3</v>
      </c>
      <c r="AJ51" s="299">
        <f t="shared" si="18"/>
        <v>1.6959797516299263E-3</v>
      </c>
      <c r="AK51" s="299">
        <f t="shared" si="18"/>
        <v>1.6302974670981021E-3</v>
      </c>
      <c r="AL51" s="299">
        <f t="shared" si="18"/>
        <v>1.5431277930027752E-3</v>
      </c>
      <c r="AM51" s="299">
        <f t="shared" si="18"/>
        <v>1.4379179828265928E-3</v>
      </c>
      <c r="AN51" s="299">
        <f t="shared" si="18"/>
        <v>1.3245588535207313E-3</v>
      </c>
      <c r="AO51" s="299">
        <f t="shared" si="18"/>
        <v>1.216422459294302E-3</v>
      </c>
      <c r="AP51" s="299">
        <f t="shared" si="18"/>
        <v>1.1246098153904639E-3</v>
      </c>
      <c r="AQ51" s="299">
        <f t="shared" si="18"/>
        <v>1.0540565821784641E-3</v>
      </c>
      <c r="AR51" s="299">
        <f t="shared" si="18"/>
        <v>1.0038838643699447E-3</v>
      </c>
      <c r="AS51" s="299">
        <f t="shared" si="10"/>
        <v>9.7013851749662818E-4</v>
      </c>
      <c r="AT51" s="299">
        <f t="shared" si="10"/>
        <v>9.4828440918227007E-4</v>
      </c>
      <c r="AU51" s="299">
        <f t="shared" si="10"/>
        <v>9.344760149571442E-4</v>
      </c>
      <c r="AV51" s="299">
        <f t="shared" si="10"/>
        <v>9.258867474664054E-4</v>
      </c>
      <c r="AW51" s="299">
        <f t="shared" si="20"/>
        <v>9.2059585968196252E-4</v>
      </c>
      <c r="AX51" s="299">
        <f t="shared" si="20"/>
        <v>9.1735631507348881E-4</v>
      </c>
      <c r="AY51" s="299">
        <f t="shared" si="20"/>
        <v>9.153800957306178E-4</v>
      </c>
      <c r="AZ51" s="298">
        <f t="shared" si="19"/>
        <v>0.10101133383600089</v>
      </c>
      <c r="BA51" s="1">
        <f t="shared" si="19"/>
        <v>0.10101133383600089</v>
      </c>
      <c r="BB51" s="1">
        <f t="shared" si="19"/>
        <v>0.10101133383600089</v>
      </c>
      <c r="BC51" s="1">
        <f t="shared" si="19"/>
        <v>0.10101133383600089</v>
      </c>
      <c r="BD51" s="1">
        <f t="shared" si="19"/>
        <v>0.10101133383600089</v>
      </c>
      <c r="BE51" s="1">
        <f t="shared" si="19"/>
        <v>9.6437692081792564E-2</v>
      </c>
      <c r="BF51" s="1">
        <f t="shared" si="19"/>
        <v>9.3889079166555547E-2</v>
      </c>
      <c r="BG51" s="1">
        <f t="shared" si="19"/>
        <v>9.0252921832529601E-2</v>
      </c>
      <c r="BH51" s="1">
        <f t="shared" si="19"/>
        <v>8.5427227171851319E-2</v>
      </c>
      <c r="BI51" s="1">
        <f t="shared" si="19"/>
        <v>7.9602834405819459E-2</v>
      </c>
      <c r="BJ51" s="1">
        <f t="shared" si="19"/>
        <v>7.3327297062038568E-2</v>
      </c>
      <c r="BK51" s="1">
        <f t="shared" si="19"/>
        <v>6.7340889224000597E-2</v>
      </c>
      <c r="BL51" s="1">
        <f t="shared" si="19"/>
        <v>6.2258160739952502E-2</v>
      </c>
      <c r="BM51" s="1">
        <f t="shared" si="19"/>
        <v>5.8352348720598086E-2</v>
      </c>
      <c r="BN51" s="1">
        <f t="shared" si="19"/>
        <v>5.5574797709273725E-2</v>
      </c>
      <c r="BO51" s="1">
        <f t="shared" si="11"/>
        <v>5.370666246706534E-2</v>
      </c>
      <c r="BP51" s="1">
        <f t="shared" si="11"/>
        <v>5.2496823668182688E-2</v>
      </c>
      <c r="BQ51" s="1">
        <f t="shared" si="11"/>
        <v>5.1732393893994706E-2</v>
      </c>
      <c r="BR51" s="1">
        <f t="shared" si="11"/>
        <v>5.1256893868333632E-2</v>
      </c>
      <c r="BS51" s="1">
        <f t="shared" si="21"/>
        <v>5.0963991443303193E-2</v>
      </c>
      <c r="BT51" s="1">
        <f t="shared" si="21"/>
        <v>5.078465094120329E-2</v>
      </c>
      <c r="BU51" s="1">
        <f t="shared" si="21"/>
        <v>5.0675247857731941E-2</v>
      </c>
    </row>
    <row r="52" spans="1:73" x14ac:dyDescent="0.25">
      <c r="A52" s="1" t="s">
        <v>22</v>
      </c>
      <c r="B52" s="1" t="s">
        <v>5</v>
      </c>
      <c r="C52" s="1" t="s">
        <v>13</v>
      </c>
      <c r="D52" s="1" t="s">
        <v>13</v>
      </c>
      <c r="E52" s="5">
        <v>8.6955000000000009</v>
      </c>
      <c r="F52" s="1">
        <f t="shared" si="7"/>
        <v>2.1303975000000003E-2</v>
      </c>
      <c r="G52" s="1">
        <f>LOOKUP(RIGHT(D52,5),Ref!$C$4:$C$21,Ref!$E$4:$E$21)*$G$3</f>
        <v>1.5</v>
      </c>
      <c r="H52" s="297">
        <f t="shared" si="16"/>
        <v>8.6955000000000009</v>
      </c>
      <c r="I52" s="5">
        <f t="shared" si="16"/>
        <v>8.6955000000000009</v>
      </c>
      <c r="J52" s="5">
        <f t="shared" si="16"/>
        <v>8.6955000000000009</v>
      </c>
      <c r="K52" s="5">
        <f t="shared" si="16"/>
        <v>8.6955000000000009</v>
      </c>
      <c r="L52" s="5">
        <f t="shared" si="16"/>
        <v>8.6955000000000009</v>
      </c>
      <c r="M52" s="5">
        <f t="shared" si="15"/>
        <v>9.1078916802155323</v>
      </c>
      <c r="N52" s="5">
        <f t="shared" si="15"/>
        <v>9.3551248043747233</v>
      </c>
      <c r="O52" s="5">
        <f t="shared" si="15"/>
        <v>9.732029008443325</v>
      </c>
      <c r="P52" s="5">
        <f t="shared" si="15"/>
        <v>10.281781142258172</v>
      </c>
      <c r="Q52" s="5">
        <f t="shared" si="15"/>
        <v>11.034080129522794</v>
      </c>
      <c r="R52" s="5">
        <f t="shared" si="15"/>
        <v>11.978404885534276</v>
      </c>
      <c r="S52" s="5">
        <f t="shared" si="15"/>
        <v>13.04325</v>
      </c>
      <c r="T52" s="5">
        <f t="shared" si="15"/>
        <v>14.108095114465726</v>
      </c>
      <c r="U52" s="5">
        <f t="shared" si="15"/>
        <v>15.052419870477209</v>
      </c>
      <c r="V52" s="5">
        <f t="shared" si="15"/>
        <v>15.804718857741831</v>
      </c>
      <c r="W52" s="5">
        <f t="shared" si="15"/>
        <v>16.354470991556678</v>
      </c>
      <c r="X52" s="5">
        <f t="shared" si="15"/>
        <v>16.731375195625279</v>
      </c>
      <c r="Y52" s="5">
        <f t="shared" si="15"/>
        <v>16.97860831978447</v>
      </c>
      <c r="Z52" s="5">
        <f t="shared" si="15"/>
        <v>17.136115497501585</v>
      </c>
      <c r="AA52" s="5">
        <f t="shared" si="15"/>
        <v>17.234600911274633</v>
      </c>
      <c r="AB52" s="5">
        <f t="shared" ref="AB52:AC67" si="22">AB$3*$E52</f>
        <v>17.295463040355681</v>
      </c>
      <c r="AC52" s="5">
        <f t="shared" si="22"/>
        <v>17.332802314787884</v>
      </c>
      <c r="AD52" s="300">
        <f t="shared" si="18"/>
        <v>1.5805413263790763E-3</v>
      </c>
      <c r="AE52" s="299">
        <f t="shared" si="18"/>
        <v>1.5805413263790763E-3</v>
      </c>
      <c r="AF52" s="299">
        <f t="shared" si="18"/>
        <v>1.5805413263790763E-3</v>
      </c>
      <c r="AG52" s="299">
        <f t="shared" si="18"/>
        <v>1.5805413263790763E-3</v>
      </c>
      <c r="AH52" s="299">
        <f t="shared" si="18"/>
        <v>1.5805413263790763E-3</v>
      </c>
      <c r="AI52" s="299">
        <f t="shared" si="18"/>
        <v>1.508976784757285E-3</v>
      </c>
      <c r="AJ52" s="299">
        <f t="shared" si="18"/>
        <v>1.4690982099033422E-3</v>
      </c>
      <c r="AK52" s="299">
        <f t="shared" si="18"/>
        <v>1.4122026446494944E-3</v>
      </c>
      <c r="AL52" s="299">
        <f t="shared" si="18"/>
        <v>1.3366941888154969E-3</v>
      </c>
      <c r="AM52" s="299">
        <f t="shared" si="18"/>
        <v>1.2455589357881207E-3</v>
      </c>
      <c r="AN52" s="299">
        <f t="shared" si="18"/>
        <v>1.1473645476892101E-3</v>
      </c>
      <c r="AO52" s="299">
        <f t="shared" si="18"/>
        <v>1.0536942175860509E-3</v>
      </c>
      <c r="AP52" s="299">
        <f t="shared" si="18"/>
        <v>9.7416391029553459E-4</v>
      </c>
      <c r="AQ52" s="299">
        <f t="shared" si="18"/>
        <v>9.1304901283580423E-4</v>
      </c>
      <c r="AR52" s="299">
        <f t="shared" si="18"/>
        <v>8.6958820509464832E-4</v>
      </c>
      <c r="AS52" s="299">
        <f t="shared" si="10"/>
        <v>8.4035717881823671E-4</v>
      </c>
      <c r="AT52" s="299">
        <f t="shared" si="10"/>
        <v>8.2142662768824718E-4</v>
      </c>
      <c r="AU52" s="299">
        <f t="shared" si="10"/>
        <v>8.0946546646667235E-4</v>
      </c>
      <c r="AV52" s="299">
        <f t="shared" si="10"/>
        <v>8.0202523760609869E-4</v>
      </c>
      <c r="AW52" s="299">
        <f t="shared" si="20"/>
        <v>7.9744214410780998E-4</v>
      </c>
      <c r="AX52" s="299">
        <f t="shared" si="20"/>
        <v>7.9463597311394232E-4</v>
      </c>
      <c r="AY52" s="299">
        <f t="shared" si="20"/>
        <v>7.929241246698804E-4</v>
      </c>
      <c r="AZ52" s="298">
        <f t="shared" si="19"/>
        <v>8.7498432440482748E-2</v>
      </c>
      <c r="BA52" s="1">
        <f t="shared" si="19"/>
        <v>8.7498432440482748E-2</v>
      </c>
      <c r="BB52" s="1">
        <f t="shared" si="19"/>
        <v>8.7498432440482748E-2</v>
      </c>
      <c r="BC52" s="1">
        <f t="shared" si="19"/>
        <v>8.7498432440482748E-2</v>
      </c>
      <c r="BD52" s="1">
        <f t="shared" si="19"/>
        <v>8.7498432440482748E-2</v>
      </c>
      <c r="BE52" s="1">
        <f t="shared" si="19"/>
        <v>8.3536634602159973E-2</v>
      </c>
      <c r="BF52" s="1">
        <f t="shared" si="19"/>
        <v>8.132896516040343E-2</v>
      </c>
      <c r="BG52" s="1">
        <f t="shared" si="19"/>
        <v>7.8179238741081125E-2</v>
      </c>
      <c r="BH52" s="1">
        <f t="shared" si="19"/>
        <v>7.3999106648861723E-2</v>
      </c>
      <c r="BI52" s="1">
        <f t="shared" si="19"/>
        <v>6.8953878379993505E-2</v>
      </c>
      <c r="BJ52" s="1">
        <f t="shared" si="19"/>
        <v>6.351785789150019E-2</v>
      </c>
      <c r="BK52" s="1">
        <f t="shared" si="19"/>
        <v>5.8332288293655166E-2</v>
      </c>
      <c r="BL52" s="1">
        <f t="shared" si="19"/>
        <v>5.3929507358232105E-2</v>
      </c>
      <c r="BM52" s="1">
        <f t="shared" si="19"/>
        <v>5.0546199603326417E-2</v>
      </c>
      <c r="BN52" s="1">
        <f t="shared" si="19"/>
        <v>4.8140218509076758E-2</v>
      </c>
      <c r="BO52" s="1">
        <f t="shared" si="11"/>
        <v>4.6521995097182779E-2</v>
      </c>
      <c r="BP52" s="1">
        <f t="shared" si="11"/>
        <v>4.5474003803653497E-2</v>
      </c>
      <c r="BQ52" s="1">
        <f t="shared" si="11"/>
        <v>4.4811836456562774E-2</v>
      </c>
      <c r="BR52" s="1">
        <f t="shared" si="11"/>
        <v>4.4399946965643831E-2</v>
      </c>
      <c r="BS52" s="1">
        <f t="shared" si="21"/>
        <v>4.414622788210229E-2</v>
      </c>
      <c r="BT52" s="1">
        <f t="shared" si="21"/>
        <v>4.3990878851345921E-2</v>
      </c>
      <c r="BU52" s="1">
        <f t="shared" si="21"/>
        <v>4.3896111284733641E-2</v>
      </c>
    </row>
    <row r="53" spans="1:73" x14ac:dyDescent="0.25">
      <c r="A53" s="1" t="s">
        <v>22</v>
      </c>
      <c r="B53" s="1" t="s">
        <v>5</v>
      </c>
      <c r="C53" s="1" t="s">
        <v>14</v>
      </c>
      <c r="D53" s="1" t="s">
        <v>14</v>
      </c>
      <c r="E53" s="5">
        <v>8.4562499999999989</v>
      </c>
      <c r="F53" s="1">
        <f t="shared" si="7"/>
        <v>2.0717812499999998E-2</v>
      </c>
      <c r="G53" s="1">
        <f>LOOKUP(RIGHT(D53,5),Ref!$C$4:$C$21,Ref!$E$4:$E$21)*$G$3</f>
        <v>2</v>
      </c>
      <c r="H53" s="297">
        <f t="shared" si="16"/>
        <v>8.4562499999999989</v>
      </c>
      <c r="I53" s="5">
        <f t="shared" si="16"/>
        <v>8.4562499999999989</v>
      </c>
      <c r="J53" s="5">
        <f t="shared" si="16"/>
        <v>8.4562499999999989</v>
      </c>
      <c r="K53" s="5">
        <f t="shared" si="16"/>
        <v>8.4562499999999989</v>
      </c>
      <c r="L53" s="5">
        <f t="shared" si="16"/>
        <v>8.4562499999999989</v>
      </c>
      <c r="M53" s="5">
        <f t="shared" ref="M53:AB68" si="23">M$3*$E53</f>
        <v>8.8572950400577977</v>
      </c>
      <c r="N53" s="5">
        <f t="shared" si="23"/>
        <v>9.097725734804639</v>
      </c>
      <c r="O53" s="5">
        <f t="shared" si="23"/>
        <v>9.4642597093495304</v>
      </c>
      <c r="P53" s="5">
        <f t="shared" si="23"/>
        <v>9.9988858356874992</v>
      </c>
      <c r="Q53" s="5">
        <f t="shared" si="23"/>
        <v>10.730485894460021</v>
      </c>
      <c r="R53" s="5">
        <f t="shared" si="23"/>
        <v>11.648828280524317</v>
      </c>
      <c r="S53" s="5">
        <f t="shared" si="23"/>
        <v>12.684374999999999</v>
      </c>
      <c r="T53" s="5">
        <f t="shared" si="23"/>
        <v>13.71992171947568</v>
      </c>
      <c r="U53" s="5">
        <f t="shared" si="23"/>
        <v>14.638264105539976</v>
      </c>
      <c r="V53" s="5">
        <f t="shared" si="23"/>
        <v>15.369864164312498</v>
      </c>
      <c r="W53" s="5">
        <f t="shared" si="23"/>
        <v>15.904490290650465</v>
      </c>
      <c r="X53" s="5">
        <f t="shared" si="23"/>
        <v>16.271024265195358</v>
      </c>
      <c r="Y53" s="5">
        <f t="shared" si="23"/>
        <v>16.511454959942199</v>
      </c>
      <c r="Z53" s="5">
        <f t="shared" si="23"/>
        <v>16.664628448708843</v>
      </c>
      <c r="AA53" s="5">
        <f t="shared" si="23"/>
        <v>16.760404112008061</v>
      </c>
      <c r="AB53" s="5">
        <f t="shared" si="23"/>
        <v>16.819591666380045</v>
      </c>
      <c r="AC53" s="5">
        <f t="shared" si="22"/>
        <v>16.855903579371514</v>
      </c>
      <c r="AD53" s="300">
        <f t="shared" si="18"/>
        <v>1.62525908097907E-3</v>
      </c>
      <c r="AE53" s="299">
        <f t="shared" si="18"/>
        <v>1.62525908097907E-3</v>
      </c>
      <c r="AF53" s="299">
        <f t="shared" si="18"/>
        <v>1.62525908097907E-3</v>
      </c>
      <c r="AG53" s="299">
        <f t="shared" si="18"/>
        <v>1.62525908097907E-3</v>
      </c>
      <c r="AH53" s="299">
        <f t="shared" si="18"/>
        <v>1.62525908097907E-3</v>
      </c>
      <c r="AI53" s="299">
        <f t="shared" si="18"/>
        <v>1.5516697864723693E-3</v>
      </c>
      <c r="AJ53" s="299">
        <f t="shared" si="18"/>
        <v>1.5106629397445101E-3</v>
      </c>
      <c r="AK53" s="299">
        <f t="shared" si="18"/>
        <v>1.4521576463029926E-3</v>
      </c>
      <c r="AL53" s="299">
        <f t="shared" si="18"/>
        <v>1.3745128536697892E-3</v>
      </c>
      <c r="AM53" s="299">
        <f t="shared" si="18"/>
        <v>1.280799139825053E-3</v>
      </c>
      <c r="AN53" s="299">
        <f t="shared" si="18"/>
        <v>1.1798265690384662E-3</v>
      </c>
      <c r="AO53" s="299">
        <f t="shared" si="18"/>
        <v>1.0835060539860467E-3</v>
      </c>
      <c r="AP53" s="299">
        <f t="shared" si="18"/>
        <v>1.0017256209282864E-3</v>
      </c>
      <c r="AQ53" s="299">
        <f t="shared" si="18"/>
        <v>9.3888161905262234E-4</v>
      </c>
      <c r="AR53" s="299">
        <f t="shared" si="18"/>
        <v>8.9419118845830204E-4</v>
      </c>
      <c r="AS53" s="299">
        <f t="shared" si="10"/>
        <v>8.6413313802382609E-4</v>
      </c>
      <c r="AT53" s="299">
        <f t="shared" si="10"/>
        <v>8.4466699081308554E-4</v>
      </c>
      <c r="AU53" s="299">
        <f t="shared" si="10"/>
        <v>8.3236741624963197E-4</v>
      </c>
      <c r="AV53" s="299">
        <f t="shared" si="10"/>
        <v>8.2471668335300317E-4</v>
      </c>
      <c r="AW53" s="299">
        <f t="shared" si="20"/>
        <v>8.2000392184354326E-4</v>
      </c>
      <c r="AX53" s="299">
        <f t="shared" si="20"/>
        <v>8.1711835674350771E-4</v>
      </c>
      <c r="AY53" s="299">
        <f t="shared" si="20"/>
        <v>8.1535807551419925E-4</v>
      </c>
      <c r="AZ53" s="298">
        <f t="shared" si="19"/>
        <v>8.9973997846115927E-2</v>
      </c>
      <c r="BA53" s="1">
        <f t="shared" si="19"/>
        <v>8.9973997846115927E-2</v>
      </c>
      <c r="BB53" s="1">
        <f t="shared" si="19"/>
        <v>8.9973997846115927E-2</v>
      </c>
      <c r="BC53" s="1">
        <f t="shared" si="19"/>
        <v>8.9973997846115927E-2</v>
      </c>
      <c r="BD53" s="1">
        <f t="shared" si="19"/>
        <v>8.9973997846115927E-2</v>
      </c>
      <c r="BE53" s="1">
        <f t="shared" si="19"/>
        <v>8.5900110117733297E-2</v>
      </c>
      <c r="BF53" s="1">
        <f t="shared" si="19"/>
        <v>8.3629979784453884E-2</v>
      </c>
      <c r="BG53" s="1">
        <f t="shared" si="19"/>
        <v>8.0391139154243452E-2</v>
      </c>
      <c r="BH53" s="1">
        <f t="shared" si="19"/>
        <v>7.6092739910146603E-2</v>
      </c>
      <c r="BI53" s="1">
        <f t="shared" si="19"/>
        <v>7.0904768597573831E-2</v>
      </c>
      <c r="BJ53" s="1">
        <f t="shared" si="19"/>
        <v>6.5314948505015819E-2</v>
      </c>
      <c r="BK53" s="1">
        <f t="shared" si="19"/>
        <v>5.9982665230743949E-2</v>
      </c>
      <c r="BL53" s="1">
        <f t="shared" si="19"/>
        <v>5.5455317810318677E-2</v>
      </c>
      <c r="BM53" s="1">
        <f t="shared" si="19"/>
        <v>5.1976287201859567E-2</v>
      </c>
      <c r="BN53" s="1">
        <f t="shared" si="19"/>
        <v>4.9502234447382359E-2</v>
      </c>
      <c r="BO53" s="1">
        <f t="shared" si="11"/>
        <v>4.7838227153590894E-2</v>
      </c>
      <c r="BP53" s="1">
        <f t="shared" si="11"/>
        <v>4.6760585374683708E-2</v>
      </c>
      <c r="BQ53" s="1">
        <f t="shared" si="11"/>
        <v>4.6079683536797242E-2</v>
      </c>
      <c r="BR53" s="1">
        <f t="shared" si="11"/>
        <v>4.5656140587110844E-2</v>
      </c>
      <c r="BS53" s="1">
        <f t="shared" si="21"/>
        <v>4.5395243109986168E-2</v>
      </c>
      <c r="BT53" s="1">
        <f t="shared" si="21"/>
        <v>4.5235498838359624E-2</v>
      </c>
      <c r="BU53" s="1">
        <f t="shared" si="21"/>
        <v>4.513805004303343E-2</v>
      </c>
    </row>
    <row r="54" spans="1:73" x14ac:dyDescent="0.25">
      <c r="A54" s="1" t="s">
        <v>22</v>
      </c>
      <c r="B54" s="1" t="s">
        <v>5</v>
      </c>
      <c r="C54" s="1" t="s">
        <v>15</v>
      </c>
      <c r="D54" s="1" t="s">
        <v>15</v>
      </c>
      <c r="E54" s="5">
        <v>8.1014999999999997</v>
      </c>
      <c r="F54" s="1">
        <f t="shared" si="7"/>
        <v>1.9848674999999996E-2</v>
      </c>
      <c r="G54" s="1">
        <f>LOOKUP(RIGHT(D54,5),Ref!$C$4:$C$21,Ref!$E$4:$E$21)*$G$3</f>
        <v>2.5</v>
      </c>
      <c r="H54" s="297">
        <f t="shared" ref="H54:L69" si="24">$E54</f>
        <v>8.1014999999999997</v>
      </c>
      <c r="I54" s="5">
        <f t="shared" si="24"/>
        <v>8.1014999999999997</v>
      </c>
      <c r="J54" s="5">
        <f t="shared" si="24"/>
        <v>8.1014999999999997</v>
      </c>
      <c r="K54" s="5">
        <f t="shared" si="24"/>
        <v>8.1014999999999997</v>
      </c>
      <c r="L54" s="5">
        <f t="shared" si="24"/>
        <v>8.1014999999999997</v>
      </c>
      <c r="M54" s="5">
        <f t="shared" si="23"/>
        <v>8.4857207115480566</v>
      </c>
      <c r="N54" s="5">
        <f t="shared" si="23"/>
        <v>8.7160650454421038</v>
      </c>
      <c r="O54" s="5">
        <f t="shared" si="23"/>
        <v>9.067222472762186</v>
      </c>
      <c r="P54" s="5">
        <f t="shared" si="23"/>
        <v>9.5794203811171954</v>
      </c>
      <c r="Q54" s="5">
        <f t="shared" si="23"/>
        <v>10.280328925229016</v>
      </c>
      <c r="R54" s="5">
        <f t="shared" si="23"/>
        <v>11.160145728268175</v>
      </c>
      <c r="S54" s="5">
        <f t="shared" si="23"/>
        <v>12.152249999999999</v>
      </c>
      <c r="T54" s="5">
        <f t="shared" si="23"/>
        <v>13.144354271731824</v>
      </c>
      <c r="U54" s="5">
        <f t="shared" si="23"/>
        <v>14.024171074770983</v>
      </c>
      <c r="V54" s="5">
        <f t="shared" si="23"/>
        <v>14.725079618882804</v>
      </c>
      <c r="W54" s="5">
        <f t="shared" si="23"/>
        <v>15.237277527237811</v>
      </c>
      <c r="X54" s="5">
        <f t="shared" si="23"/>
        <v>15.588434954557895</v>
      </c>
      <c r="Y54" s="5">
        <f t="shared" si="23"/>
        <v>15.818779288451942</v>
      </c>
      <c r="Z54" s="5">
        <f t="shared" si="23"/>
        <v>15.965526962567887</v>
      </c>
      <c r="AA54" s="5">
        <f t="shared" si="23"/>
        <v>16.057284719992115</v>
      </c>
      <c r="AB54" s="5">
        <f t="shared" si="23"/>
        <v>16.113989284278251</v>
      </c>
      <c r="AC54" s="5">
        <f t="shared" si="22"/>
        <v>16.148777868236905</v>
      </c>
      <c r="AD54" s="300">
        <f t="shared" si="18"/>
        <v>1.696426230146178E-3</v>
      </c>
      <c r="AE54" s="299">
        <f t="shared" si="18"/>
        <v>1.696426230146178E-3</v>
      </c>
      <c r="AF54" s="299">
        <f t="shared" si="18"/>
        <v>1.696426230146178E-3</v>
      </c>
      <c r="AG54" s="299">
        <f t="shared" si="18"/>
        <v>1.696426230146178E-3</v>
      </c>
      <c r="AH54" s="299">
        <f t="shared" si="18"/>
        <v>1.696426230146178E-3</v>
      </c>
      <c r="AI54" s="299">
        <f t="shared" si="18"/>
        <v>1.6196145938229924E-3</v>
      </c>
      <c r="AJ54" s="299">
        <f t="shared" si="18"/>
        <v>1.5768121316070496E-3</v>
      </c>
      <c r="AK54" s="299">
        <f t="shared" si="18"/>
        <v>1.5157449974140195E-3</v>
      </c>
      <c r="AL54" s="299">
        <f t="shared" si="18"/>
        <v>1.4347002800524783E-3</v>
      </c>
      <c r="AM54" s="299">
        <f t="shared" si="18"/>
        <v>1.3368830125465166E-3</v>
      </c>
      <c r="AN54" s="299">
        <f t="shared" si="18"/>
        <v>1.2314890359108226E-3</v>
      </c>
      <c r="AO54" s="299">
        <f t="shared" si="18"/>
        <v>1.1309508200974519E-3</v>
      </c>
      <c r="AP54" s="299">
        <f t="shared" si="18"/>
        <v>1.0455893701135372E-3</v>
      </c>
      <c r="AQ54" s="299">
        <f t="shared" si="18"/>
        <v>9.7999354330849061E-4</v>
      </c>
      <c r="AR54" s="299">
        <f t="shared" si="18"/>
        <v>9.3334619976553923E-4</v>
      </c>
      <c r="AS54" s="299">
        <f t="shared" si="10"/>
        <v>9.0197196178658018E-4</v>
      </c>
      <c r="AT54" s="299">
        <f t="shared" si="10"/>
        <v>8.8165342727435092E-4</v>
      </c>
      <c r="AU54" s="299">
        <f t="shared" si="10"/>
        <v>8.688152766353083E-4</v>
      </c>
      <c r="AV54" s="299">
        <f t="shared" si="10"/>
        <v>8.608295320130634E-4</v>
      </c>
      <c r="AW54" s="299">
        <f t="shared" si="20"/>
        <v>8.5591040721958432E-4</v>
      </c>
      <c r="AX54" s="299">
        <f t="shared" si="20"/>
        <v>8.5289848845427219E-4</v>
      </c>
      <c r="AY54" s="299">
        <f t="shared" si="20"/>
        <v>8.5106112770066608E-4</v>
      </c>
      <c r="AZ54" s="298">
        <f t="shared" si="19"/>
        <v>9.3913796122473345E-2</v>
      </c>
      <c r="BA54" s="1">
        <f t="shared" si="19"/>
        <v>9.3913796122473345E-2</v>
      </c>
      <c r="BB54" s="1">
        <f t="shared" si="19"/>
        <v>9.3913796122473345E-2</v>
      </c>
      <c r="BC54" s="1">
        <f t="shared" si="19"/>
        <v>9.3913796122473345E-2</v>
      </c>
      <c r="BD54" s="1">
        <f t="shared" si="19"/>
        <v>9.3913796122473345E-2</v>
      </c>
      <c r="BE54" s="1">
        <f t="shared" si="19"/>
        <v>8.966152023490491E-2</v>
      </c>
      <c r="BF54" s="1">
        <f t="shared" si="19"/>
        <v>8.7291985009231382E-2</v>
      </c>
      <c r="BG54" s="1">
        <f t="shared" si="19"/>
        <v>8.3911321418634943E-2</v>
      </c>
      <c r="BH54" s="1">
        <f t="shared" si="19"/>
        <v>7.9424703063034896E-2</v>
      </c>
      <c r="BI54" s="1">
        <f t="shared" si="19"/>
        <v>7.4009559890542934E-2</v>
      </c>
      <c r="BJ54" s="1">
        <f t="shared" si="19"/>
        <v>6.8174971708392276E-2</v>
      </c>
      <c r="BK54" s="1">
        <f t="shared" si="19"/>
        <v>6.2609197414982234E-2</v>
      </c>
      <c r="BL54" s="1">
        <f t="shared" si="19"/>
        <v>5.788360565741002E-2</v>
      </c>
      <c r="BM54" s="1">
        <f t="shared" si="19"/>
        <v>5.4252234604792317E-2</v>
      </c>
      <c r="BN54" s="1">
        <f t="shared" si="19"/>
        <v>5.1669847564732092E-2</v>
      </c>
      <c r="BO54" s="1">
        <f t="shared" si="11"/>
        <v>4.9932976407770537E-2</v>
      </c>
      <c r="BP54" s="1">
        <f t="shared" si="11"/>
        <v>4.8808146648727901E-2</v>
      </c>
      <c r="BQ54" s="1">
        <f t="shared" si="11"/>
        <v>4.809742935358164E-2</v>
      </c>
      <c r="BR54" s="1">
        <f t="shared" si="11"/>
        <v>4.7655340225853979E-2</v>
      </c>
      <c r="BS54" s="1">
        <f t="shared" si="21"/>
        <v>4.7383018521115906E-2</v>
      </c>
      <c r="BT54" s="1">
        <f t="shared" si="21"/>
        <v>4.7216279337391656E-2</v>
      </c>
      <c r="BU54" s="1">
        <f t="shared" si="21"/>
        <v>4.7114563435956484E-2</v>
      </c>
    </row>
    <row r="55" spans="1:73" x14ac:dyDescent="0.25">
      <c r="A55" s="1" t="s">
        <v>22</v>
      </c>
      <c r="B55" s="1" t="s">
        <v>5</v>
      </c>
      <c r="C55" s="1" t="s">
        <v>16</v>
      </c>
      <c r="D55" s="1" t="s">
        <v>16</v>
      </c>
      <c r="E55" s="5">
        <v>7.6065000000000005</v>
      </c>
      <c r="F55" s="1">
        <f t="shared" si="7"/>
        <v>1.8635925000000001E-2</v>
      </c>
      <c r="G55" s="1">
        <f>LOOKUP(RIGHT(D55,5),Ref!$C$4:$C$21,Ref!$E$4:$E$21)*$G$3</f>
        <v>3</v>
      </c>
      <c r="H55" s="297">
        <f t="shared" si="24"/>
        <v>7.6065000000000005</v>
      </c>
      <c r="I55" s="5">
        <f t="shared" si="24"/>
        <v>7.6065000000000005</v>
      </c>
      <c r="J55" s="5">
        <f t="shared" si="24"/>
        <v>7.6065000000000005</v>
      </c>
      <c r="K55" s="5">
        <f t="shared" si="24"/>
        <v>7.6065000000000005</v>
      </c>
      <c r="L55" s="5">
        <f t="shared" si="24"/>
        <v>7.6065000000000005</v>
      </c>
      <c r="M55" s="5">
        <f t="shared" si="23"/>
        <v>7.9672449043251623</v>
      </c>
      <c r="N55" s="5">
        <f t="shared" si="23"/>
        <v>8.1835152463315897</v>
      </c>
      <c r="O55" s="5">
        <f t="shared" si="23"/>
        <v>8.5132170263612377</v>
      </c>
      <c r="P55" s="5">
        <f t="shared" si="23"/>
        <v>8.99411974683305</v>
      </c>
      <c r="Q55" s="5">
        <f t="shared" si="23"/>
        <v>9.6522029216508685</v>
      </c>
      <c r="R55" s="5">
        <f t="shared" si="23"/>
        <v>10.478263097213095</v>
      </c>
      <c r="S55" s="5">
        <f t="shared" si="23"/>
        <v>11.409750000000001</v>
      </c>
      <c r="T55" s="5">
        <f t="shared" si="23"/>
        <v>12.341236902786907</v>
      </c>
      <c r="U55" s="5">
        <f t="shared" si="23"/>
        <v>13.167297078349133</v>
      </c>
      <c r="V55" s="5">
        <f t="shared" si="23"/>
        <v>13.825380253166951</v>
      </c>
      <c r="W55" s="5">
        <f t="shared" si="23"/>
        <v>14.306282973638762</v>
      </c>
      <c r="X55" s="5">
        <f t="shared" si="23"/>
        <v>14.635984753668412</v>
      </c>
      <c r="Y55" s="5">
        <f t="shared" si="23"/>
        <v>14.85225509567484</v>
      </c>
      <c r="Z55" s="5">
        <f t="shared" si="23"/>
        <v>14.990036516789809</v>
      </c>
      <c r="AA55" s="5">
        <f t="shared" si="23"/>
        <v>15.076187893923352</v>
      </c>
      <c r="AB55" s="5">
        <f t="shared" si="23"/>
        <v>15.129427820880395</v>
      </c>
      <c r="AC55" s="5">
        <f t="shared" si="22"/>
        <v>15.162090829444429</v>
      </c>
      <c r="AD55" s="300">
        <f t="shared" si="18"/>
        <v>1.8068227310233693E-3</v>
      </c>
      <c r="AE55" s="299">
        <f t="shared" si="18"/>
        <v>1.8068227310233693E-3</v>
      </c>
      <c r="AF55" s="299">
        <f t="shared" si="18"/>
        <v>1.8068227310233693E-3</v>
      </c>
      <c r="AG55" s="299">
        <f t="shared" si="18"/>
        <v>1.8068227310233693E-3</v>
      </c>
      <c r="AH55" s="299">
        <f t="shared" si="18"/>
        <v>1.8068227310233693E-3</v>
      </c>
      <c r="AI55" s="299">
        <f t="shared" si="18"/>
        <v>1.7250125066531217E-3</v>
      </c>
      <c r="AJ55" s="299">
        <f t="shared" si="18"/>
        <v>1.679424634748506E-3</v>
      </c>
      <c r="AK55" s="299">
        <f t="shared" si="18"/>
        <v>1.6143835004995305E-3</v>
      </c>
      <c r="AL55" s="299">
        <f t="shared" si="18"/>
        <v>1.5280647234398412E-3</v>
      </c>
      <c r="AM55" s="299">
        <f t="shared" si="18"/>
        <v>1.4238819070723201E-3</v>
      </c>
      <c r="AN55" s="299">
        <f t="shared" si="18"/>
        <v>1.311629320243414E-3</v>
      </c>
      <c r="AO55" s="299">
        <f t="shared" si="18"/>
        <v>1.2045484873489129E-3</v>
      </c>
      <c r="AP55" s="299">
        <f t="shared" si="18"/>
        <v>1.113632062311815E-3</v>
      </c>
      <c r="AQ55" s="299">
        <f t="shared" si="18"/>
        <v>1.0437675266040539E-3</v>
      </c>
      <c r="AR55" s="299">
        <f t="shared" si="18"/>
        <v>9.9408456417544411E-4</v>
      </c>
      <c r="AS55" s="299">
        <f t="shared" si="10"/>
        <v>9.606686187358151E-4</v>
      </c>
      <c r="AT55" s="299">
        <f t="shared" si="10"/>
        <v>9.390278368583651E-4</v>
      </c>
      <c r="AU55" s="299">
        <f t="shared" si="10"/>
        <v>9.2535423173088142E-4</v>
      </c>
      <c r="AV55" s="299">
        <f t="shared" si="10"/>
        <v>9.1684880741521493E-4</v>
      </c>
      <c r="AW55" s="299">
        <f t="shared" si="20"/>
        <v>9.1160956604081521E-4</v>
      </c>
      <c r="AX55" s="299">
        <f t="shared" si="20"/>
        <v>9.0840164388513583E-4</v>
      </c>
      <c r="AY55" s="299">
        <f t="shared" si="20"/>
        <v>9.0644471518660954E-4</v>
      </c>
      <c r="AZ55" s="298">
        <f t="shared" si="19"/>
        <v>0.10002532298510718</v>
      </c>
      <c r="BA55" s="1">
        <f t="shared" si="19"/>
        <v>0.10002532298510718</v>
      </c>
      <c r="BB55" s="1">
        <f t="shared" si="19"/>
        <v>0.10002532298510718</v>
      </c>
      <c r="BC55" s="1">
        <f t="shared" si="19"/>
        <v>0.10002532298510718</v>
      </c>
      <c r="BD55" s="1">
        <f t="shared" si="19"/>
        <v>0.10002532298510718</v>
      </c>
      <c r="BE55" s="1">
        <f t="shared" si="19"/>
        <v>9.5496326323944267E-2</v>
      </c>
      <c r="BF55" s="1">
        <f t="shared" si="19"/>
        <v>9.2972591408964425E-2</v>
      </c>
      <c r="BG55" s="1">
        <f t="shared" si="19"/>
        <v>8.9371928018546112E-2</v>
      </c>
      <c r="BH55" s="1">
        <f t="shared" si="19"/>
        <v>8.4593338837202006E-2</v>
      </c>
      <c r="BI55" s="1">
        <f t="shared" si="19"/>
        <v>7.8825800230491502E-2</v>
      </c>
      <c r="BJ55" s="1">
        <f t="shared" si="19"/>
        <v>7.2611520843428645E-2</v>
      </c>
      <c r="BK55" s="1">
        <f t="shared" si="19"/>
        <v>6.6683548656738117E-2</v>
      </c>
      <c r="BL55" s="1">
        <f t="shared" si="19"/>
        <v>6.1650434658976828E-2</v>
      </c>
      <c r="BM55" s="1">
        <f t="shared" si="19"/>
        <v>5.7782748787316748E-2</v>
      </c>
      <c r="BN55" s="1">
        <f t="shared" si="19"/>
        <v>5.5032310529899035E-2</v>
      </c>
      <c r="BO55" s="1">
        <f t="shared" si="11"/>
        <v>5.3182410881161234E-2</v>
      </c>
      <c r="BP55" s="1">
        <f t="shared" si="11"/>
        <v>5.1984381788558347E-2</v>
      </c>
      <c r="BQ55" s="1">
        <f t="shared" si="11"/>
        <v>5.1227413910213848E-2</v>
      </c>
      <c r="BR55" s="1">
        <f t="shared" si="11"/>
        <v>5.0756555424933417E-2</v>
      </c>
      <c r="BS55" s="1">
        <f t="shared" si="21"/>
        <v>5.0466512134203702E-2</v>
      </c>
      <c r="BT55" s="1">
        <f t="shared" si="21"/>
        <v>5.0288922244380266E-2</v>
      </c>
      <c r="BU55" s="1">
        <f t="shared" si="21"/>
        <v>5.01805870868864E-2</v>
      </c>
    </row>
    <row r="56" spans="1:73" x14ac:dyDescent="0.25">
      <c r="A56" s="1" t="s">
        <v>22</v>
      </c>
      <c r="B56" s="1" t="s">
        <v>5</v>
      </c>
      <c r="C56" s="1" t="s">
        <v>17</v>
      </c>
      <c r="D56" s="1" t="s">
        <v>17</v>
      </c>
      <c r="E56" s="5">
        <v>7.5322500000000003</v>
      </c>
      <c r="F56" s="1">
        <f t="shared" si="7"/>
        <v>1.8454012500000002E-2</v>
      </c>
      <c r="G56" s="1">
        <f>LOOKUP(RIGHT(D56,5),Ref!$C$4:$C$21,Ref!$E$4:$E$21)*$G$3</f>
        <v>3</v>
      </c>
      <c r="H56" s="297">
        <f t="shared" si="24"/>
        <v>7.5322500000000003</v>
      </c>
      <c r="I56" s="5">
        <f t="shared" si="24"/>
        <v>7.5322500000000003</v>
      </c>
      <c r="J56" s="5">
        <f t="shared" si="24"/>
        <v>7.5322500000000003</v>
      </c>
      <c r="K56" s="5">
        <f t="shared" si="24"/>
        <v>7.5322500000000003</v>
      </c>
      <c r="L56" s="5">
        <f t="shared" si="24"/>
        <v>7.5322500000000003</v>
      </c>
      <c r="M56" s="5">
        <f t="shared" si="23"/>
        <v>7.8894735332417278</v>
      </c>
      <c r="N56" s="5">
        <f t="shared" si="23"/>
        <v>8.1036327764650107</v>
      </c>
      <c r="O56" s="5">
        <f t="shared" si="23"/>
        <v>8.4301162094010955</v>
      </c>
      <c r="P56" s="5">
        <f t="shared" si="23"/>
        <v>8.9063246516904275</v>
      </c>
      <c r="Q56" s="5">
        <f t="shared" si="23"/>
        <v>9.5579840211141462</v>
      </c>
      <c r="R56" s="5">
        <f t="shared" si="23"/>
        <v>10.375980702554832</v>
      </c>
      <c r="S56" s="5">
        <f t="shared" si="23"/>
        <v>11.298375</v>
      </c>
      <c r="T56" s="5">
        <f t="shared" si="23"/>
        <v>12.22076929744517</v>
      </c>
      <c r="U56" s="5">
        <f t="shared" si="23"/>
        <v>13.038765978885854</v>
      </c>
      <c r="V56" s="5">
        <f t="shared" si="23"/>
        <v>13.690425348309573</v>
      </c>
      <c r="W56" s="5">
        <f t="shared" si="23"/>
        <v>14.166633790598905</v>
      </c>
      <c r="X56" s="5">
        <f t="shared" si="23"/>
        <v>14.493117223534989</v>
      </c>
      <c r="Y56" s="5">
        <f t="shared" si="23"/>
        <v>14.707276466758273</v>
      </c>
      <c r="Z56" s="5">
        <f t="shared" si="23"/>
        <v>14.843712949923098</v>
      </c>
      <c r="AA56" s="5">
        <f t="shared" si="23"/>
        <v>14.929023370013036</v>
      </c>
      <c r="AB56" s="5">
        <f t="shared" si="23"/>
        <v>14.981743601370717</v>
      </c>
      <c r="AC56" s="5">
        <f t="shared" si="22"/>
        <v>15.014087773625556</v>
      </c>
      <c r="AD56" s="300">
        <f t="shared" ref="AD56:AR72" si="25">Algae_electricity_factor/H56</f>
        <v>1.8246336889414529E-3</v>
      </c>
      <c r="AE56" s="299">
        <f t="shared" si="25"/>
        <v>1.8246336889414529E-3</v>
      </c>
      <c r="AF56" s="299">
        <f t="shared" si="25"/>
        <v>1.8246336889414529E-3</v>
      </c>
      <c r="AG56" s="299">
        <f t="shared" si="25"/>
        <v>1.8246336889414529E-3</v>
      </c>
      <c r="AH56" s="299">
        <f t="shared" si="25"/>
        <v>1.8246336889414529E-3</v>
      </c>
      <c r="AI56" s="299">
        <f t="shared" si="25"/>
        <v>1.7420170110998667E-3</v>
      </c>
      <c r="AJ56" s="299">
        <f t="shared" si="25"/>
        <v>1.6959797516299263E-3</v>
      </c>
      <c r="AK56" s="299">
        <f t="shared" si="25"/>
        <v>1.6302974670981021E-3</v>
      </c>
      <c r="AL56" s="299">
        <f t="shared" si="25"/>
        <v>1.5431277930027752E-3</v>
      </c>
      <c r="AM56" s="299">
        <f t="shared" si="25"/>
        <v>1.4379179828265928E-3</v>
      </c>
      <c r="AN56" s="299">
        <f t="shared" si="25"/>
        <v>1.3245588535207313E-3</v>
      </c>
      <c r="AO56" s="299">
        <f t="shared" si="25"/>
        <v>1.216422459294302E-3</v>
      </c>
      <c r="AP56" s="299">
        <f t="shared" si="25"/>
        <v>1.1246098153904639E-3</v>
      </c>
      <c r="AQ56" s="299">
        <f t="shared" si="25"/>
        <v>1.0540565821784641E-3</v>
      </c>
      <c r="AR56" s="299">
        <f t="shared" si="25"/>
        <v>1.0038838643699447E-3</v>
      </c>
      <c r="AS56" s="299">
        <f t="shared" si="10"/>
        <v>9.7013851749662818E-4</v>
      </c>
      <c r="AT56" s="299">
        <f t="shared" si="10"/>
        <v>9.4828440918227007E-4</v>
      </c>
      <c r="AU56" s="299">
        <f t="shared" si="10"/>
        <v>9.344760149571442E-4</v>
      </c>
      <c r="AV56" s="299">
        <f t="shared" si="10"/>
        <v>9.258867474664054E-4</v>
      </c>
      <c r="AW56" s="299">
        <f t="shared" si="20"/>
        <v>9.2059585968196252E-4</v>
      </c>
      <c r="AX56" s="299">
        <f t="shared" si="20"/>
        <v>9.1735631507348881E-4</v>
      </c>
      <c r="AY56" s="299">
        <f t="shared" si="20"/>
        <v>9.153800957306178E-4</v>
      </c>
      <c r="AZ56" s="298">
        <f t="shared" ref="AZ56:BN72" si="26">Algae_yield_cost_factor/H56</f>
        <v>0.10101133383600089</v>
      </c>
      <c r="BA56" s="1">
        <f t="shared" si="26"/>
        <v>0.10101133383600089</v>
      </c>
      <c r="BB56" s="1">
        <f t="shared" si="26"/>
        <v>0.10101133383600089</v>
      </c>
      <c r="BC56" s="1">
        <f t="shared" si="26"/>
        <v>0.10101133383600089</v>
      </c>
      <c r="BD56" s="1">
        <f t="shared" si="26"/>
        <v>0.10101133383600089</v>
      </c>
      <c r="BE56" s="1">
        <f t="shared" si="26"/>
        <v>9.6437692081792564E-2</v>
      </c>
      <c r="BF56" s="1">
        <f t="shared" si="26"/>
        <v>9.3889079166555547E-2</v>
      </c>
      <c r="BG56" s="1">
        <f t="shared" si="26"/>
        <v>9.0252921832529601E-2</v>
      </c>
      <c r="BH56" s="1">
        <f t="shared" si="26"/>
        <v>8.5427227171851319E-2</v>
      </c>
      <c r="BI56" s="1">
        <f t="shared" si="26"/>
        <v>7.9602834405819459E-2</v>
      </c>
      <c r="BJ56" s="1">
        <f t="shared" si="26"/>
        <v>7.3327297062038568E-2</v>
      </c>
      <c r="BK56" s="1">
        <f t="shared" si="26"/>
        <v>6.7340889224000597E-2</v>
      </c>
      <c r="BL56" s="1">
        <f t="shared" si="26"/>
        <v>6.2258160739952502E-2</v>
      </c>
      <c r="BM56" s="1">
        <f t="shared" si="26"/>
        <v>5.8352348720598086E-2</v>
      </c>
      <c r="BN56" s="1">
        <f t="shared" si="26"/>
        <v>5.5574797709273725E-2</v>
      </c>
      <c r="BO56" s="1">
        <f t="shared" si="11"/>
        <v>5.370666246706534E-2</v>
      </c>
      <c r="BP56" s="1">
        <f t="shared" si="11"/>
        <v>5.2496823668182688E-2</v>
      </c>
      <c r="BQ56" s="1">
        <f t="shared" si="11"/>
        <v>5.1732393893994706E-2</v>
      </c>
      <c r="BR56" s="1">
        <f t="shared" si="11"/>
        <v>5.1256893868333632E-2</v>
      </c>
      <c r="BS56" s="1">
        <f t="shared" si="21"/>
        <v>5.0963991443303193E-2</v>
      </c>
      <c r="BT56" s="1">
        <f t="shared" si="21"/>
        <v>5.078465094120329E-2</v>
      </c>
      <c r="BU56" s="1">
        <f t="shared" si="21"/>
        <v>5.0675247857731941E-2</v>
      </c>
    </row>
    <row r="57" spans="1:73" x14ac:dyDescent="0.25">
      <c r="A57" s="1" t="s">
        <v>22</v>
      </c>
      <c r="B57" s="1" t="s">
        <v>5</v>
      </c>
      <c r="C57" s="1" t="s">
        <v>18</v>
      </c>
      <c r="D57" s="1" t="s">
        <v>18</v>
      </c>
      <c r="E57" s="5">
        <v>8.1922499999999996</v>
      </c>
      <c r="F57" s="1">
        <f t="shared" si="7"/>
        <v>2.0071012499999999E-2</v>
      </c>
      <c r="G57" s="1">
        <f>LOOKUP(RIGHT(D57,5),Ref!$C$4:$C$21,Ref!$E$4:$E$21)*$G$3</f>
        <v>3</v>
      </c>
      <c r="H57" s="297">
        <f t="shared" si="24"/>
        <v>8.1922499999999996</v>
      </c>
      <c r="I57" s="5">
        <f t="shared" si="24"/>
        <v>8.1922499999999996</v>
      </c>
      <c r="J57" s="5">
        <f t="shared" si="24"/>
        <v>8.1922499999999996</v>
      </c>
      <c r="K57" s="5">
        <f t="shared" si="24"/>
        <v>8.1922499999999996</v>
      </c>
      <c r="L57" s="5">
        <f t="shared" si="24"/>
        <v>8.1922499999999996</v>
      </c>
      <c r="M57" s="5">
        <f t="shared" si="23"/>
        <v>8.5807746095389206</v>
      </c>
      <c r="N57" s="5">
        <f t="shared" si="23"/>
        <v>8.8136991752790319</v>
      </c>
      <c r="O57" s="5">
        <f t="shared" si="23"/>
        <v>9.1687901379356926</v>
      </c>
      <c r="P57" s="5">
        <f t="shared" si="23"/>
        <v>9.6867254974026231</v>
      </c>
      <c r="Q57" s="5">
        <f t="shared" si="23"/>
        <v>10.395485359218343</v>
      </c>
      <c r="R57" s="5">
        <f t="shared" si="23"/>
        <v>11.285157543961606</v>
      </c>
      <c r="S57" s="5">
        <f t="shared" si="23"/>
        <v>12.288374999999998</v>
      </c>
      <c r="T57" s="5">
        <f t="shared" si="23"/>
        <v>13.291592456038392</v>
      </c>
      <c r="U57" s="5">
        <f t="shared" si="23"/>
        <v>14.181264640781656</v>
      </c>
      <c r="V57" s="5">
        <f t="shared" si="23"/>
        <v>14.890024502597376</v>
      </c>
      <c r="W57" s="5">
        <f t="shared" si="23"/>
        <v>15.407959862064304</v>
      </c>
      <c r="X57" s="5">
        <f t="shared" si="23"/>
        <v>15.763050824720967</v>
      </c>
      <c r="Y57" s="5">
        <f t="shared" si="23"/>
        <v>15.995975390461078</v>
      </c>
      <c r="Z57" s="5">
        <f t="shared" si="23"/>
        <v>16.144366877627203</v>
      </c>
      <c r="AA57" s="5">
        <f t="shared" si="23"/>
        <v>16.237152471438055</v>
      </c>
      <c r="AB57" s="5">
        <f t="shared" si="23"/>
        <v>16.294492219234524</v>
      </c>
      <c r="AC57" s="5">
        <f t="shared" si="22"/>
        <v>16.329670492015527</v>
      </c>
      <c r="AD57" s="300">
        <f t="shared" si="25"/>
        <v>1.6776339959753742E-3</v>
      </c>
      <c r="AE57" s="299">
        <f t="shared" si="25"/>
        <v>1.6776339959753742E-3</v>
      </c>
      <c r="AF57" s="299">
        <f t="shared" si="25"/>
        <v>1.6776339959753742E-3</v>
      </c>
      <c r="AG57" s="299">
        <f t="shared" si="25"/>
        <v>1.6776339959753742E-3</v>
      </c>
      <c r="AH57" s="299">
        <f t="shared" si="25"/>
        <v>1.6776339959753742E-3</v>
      </c>
      <c r="AI57" s="299">
        <f t="shared" si="25"/>
        <v>1.6016732438410661E-3</v>
      </c>
      <c r="AJ57" s="299">
        <f t="shared" si="25"/>
        <v>1.5593449277322485E-3</v>
      </c>
      <c r="AK57" s="299">
        <f t="shared" si="25"/>
        <v>1.4989542673318906E-3</v>
      </c>
      <c r="AL57" s="299">
        <f t="shared" si="25"/>
        <v>1.418807326295603E-3</v>
      </c>
      <c r="AM57" s="299">
        <f t="shared" si="25"/>
        <v>1.3220736337569781E-3</v>
      </c>
      <c r="AN57" s="299">
        <f t="shared" si="25"/>
        <v>1.2178471634082858E-3</v>
      </c>
      <c r="AO57" s="299">
        <f t="shared" si="25"/>
        <v>1.118422663983583E-3</v>
      </c>
      <c r="AP57" s="299">
        <f t="shared" si="25"/>
        <v>1.0340068091153007E-3</v>
      </c>
      <c r="AQ57" s="299">
        <f t="shared" si="25"/>
        <v>9.6913762288916203E-4</v>
      </c>
      <c r="AR57" s="299">
        <f t="shared" si="25"/>
        <v>9.230070172907952E-4</v>
      </c>
      <c r="AS57" s="299">
        <f t="shared" si="10"/>
        <v>8.9198032877585269E-4</v>
      </c>
      <c r="AT57" s="299">
        <f t="shared" si="10"/>
        <v>8.7188687369930777E-4</v>
      </c>
      <c r="AU57" s="299">
        <f t="shared" si="10"/>
        <v>8.5919093822343679E-4</v>
      </c>
      <c r="AV57" s="299">
        <f t="shared" si="10"/>
        <v>8.5129365602903137E-4</v>
      </c>
      <c r="AW57" s="299">
        <f t="shared" si="20"/>
        <v>8.4642902305098874E-4</v>
      </c>
      <c r="AX57" s="299">
        <f t="shared" si="20"/>
        <v>8.434504689447083E-4</v>
      </c>
      <c r="AY57" s="299">
        <f t="shared" si="20"/>
        <v>8.4163346163348854E-4</v>
      </c>
      <c r="AZ57" s="298">
        <f t="shared" si="26"/>
        <v>9.2873462026454009E-2</v>
      </c>
      <c r="BA57" s="1">
        <f t="shared" si="26"/>
        <v>9.2873462026454009E-2</v>
      </c>
      <c r="BB57" s="1">
        <f t="shared" si="26"/>
        <v>9.2873462026454009E-2</v>
      </c>
      <c r="BC57" s="1">
        <f t="shared" si="26"/>
        <v>9.2873462026454009E-2</v>
      </c>
      <c r="BD57" s="1">
        <f t="shared" si="26"/>
        <v>9.2873462026454009E-2</v>
      </c>
      <c r="BE57" s="1">
        <f t="shared" si="26"/>
        <v>8.8668290907025799E-2</v>
      </c>
      <c r="BF57" s="1">
        <f t="shared" si="26"/>
        <v>8.6325004309229819E-2</v>
      </c>
      <c r="BG57" s="1">
        <f t="shared" si="26"/>
        <v>8.2981790164249267E-2</v>
      </c>
      <c r="BH57" s="1">
        <f t="shared" si="26"/>
        <v>7.8544872515508818E-2</v>
      </c>
      <c r="BI57" s="1">
        <f t="shared" si="26"/>
        <v>7.3189715823276102E-2</v>
      </c>
      <c r="BJ57" s="1">
        <f t="shared" si="26"/>
        <v>6.7419760541431242E-2</v>
      </c>
      <c r="BK57" s="1">
        <f t="shared" si="26"/>
        <v>6.1915641350969337E-2</v>
      </c>
      <c r="BL57" s="1">
        <f t="shared" si="26"/>
        <v>5.7242397538345056E-2</v>
      </c>
      <c r="BM57" s="1">
        <f t="shared" si="26"/>
        <v>5.365125315398394E-2</v>
      </c>
      <c r="BN57" s="1">
        <f t="shared" si="26"/>
        <v>5.109747261688511E-2</v>
      </c>
      <c r="BO57" s="1">
        <f t="shared" si="11"/>
        <v>4.9379841724502181E-2</v>
      </c>
      <c r="BP57" s="1">
        <f t="shared" si="11"/>
        <v>4.8267472315257604E-2</v>
      </c>
      <c r="BQ57" s="1">
        <f t="shared" si="11"/>
        <v>4.7564628021366739E-2</v>
      </c>
      <c r="BR57" s="1">
        <f t="shared" si="11"/>
        <v>4.7127436154872714E-2</v>
      </c>
      <c r="BS57" s="1">
        <f t="shared" si="21"/>
        <v>4.6858131105474134E-2</v>
      </c>
      <c r="BT57" s="1">
        <f t="shared" si="21"/>
        <v>4.669323898219397E-2</v>
      </c>
      <c r="BU57" s="1">
        <f t="shared" si="21"/>
        <v>4.6592649843010335E-2</v>
      </c>
    </row>
    <row r="58" spans="1:73" x14ac:dyDescent="0.25">
      <c r="A58" s="1" t="s">
        <v>22</v>
      </c>
      <c r="B58" s="1" t="s">
        <v>5</v>
      </c>
      <c r="C58" s="1" t="s">
        <v>6</v>
      </c>
      <c r="D58" s="1" t="s">
        <v>6</v>
      </c>
      <c r="E58" s="5">
        <v>7.4415000000000004</v>
      </c>
      <c r="F58" s="1">
        <f t="shared" si="7"/>
        <v>1.8231675000000003E-2</v>
      </c>
      <c r="G58" s="1">
        <f>LOOKUP(RIGHT(D58,5),Ref!$C$4:$C$21,Ref!$E$4:$E$21)*$G$3</f>
        <v>3</v>
      </c>
      <c r="H58" s="297">
        <f t="shared" si="24"/>
        <v>7.4415000000000004</v>
      </c>
      <c r="I58" s="5">
        <f t="shared" si="24"/>
        <v>7.4415000000000004</v>
      </c>
      <c r="J58" s="5">
        <f t="shared" si="24"/>
        <v>7.4415000000000004</v>
      </c>
      <c r="K58" s="5">
        <f t="shared" si="24"/>
        <v>7.4415000000000004</v>
      </c>
      <c r="L58" s="5">
        <f t="shared" si="24"/>
        <v>7.4415000000000004</v>
      </c>
      <c r="M58" s="5">
        <f t="shared" si="23"/>
        <v>7.794419635250863</v>
      </c>
      <c r="N58" s="5">
        <f t="shared" si="23"/>
        <v>8.0059986466280844</v>
      </c>
      <c r="O58" s="5">
        <f t="shared" si="23"/>
        <v>8.3285485442275888</v>
      </c>
      <c r="P58" s="5">
        <f t="shared" si="23"/>
        <v>8.7990195354050016</v>
      </c>
      <c r="Q58" s="5">
        <f t="shared" si="23"/>
        <v>9.4428275871248193</v>
      </c>
      <c r="R58" s="5">
        <f t="shared" si="23"/>
        <v>10.250968886861401</v>
      </c>
      <c r="S58" s="5">
        <f t="shared" si="23"/>
        <v>11.16225</v>
      </c>
      <c r="T58" s="5">
        <f t="shared" si="23"/>
        <v>12.073531113138602</v>
      </c>
      <c r="U58" s="5">
        <f t="shared" si="23"/>
        <v>12.881672412875181</v>
      </c>
      <c r="V58" s="5">
        <f t="shared" si="23"/>
        <v>13.525480464595001</v>
      </c>
      <c r="W58" s="5">
        <f t="shared" si="23"/>
        <v>13.995951455772412</v>
      </c>
      <c r="X58" s="5">
        <f t="shared" si="23"/>
        <v>14.318501353371918</v>
      </c>
      <c r="Y58" s="5">
        <f t="shared" si="23"/>
        <v>14.530080364749137</v>
      </c>
      <c r="Z58" s="5">
        <f t="shared" si="23"/>
        <v>14.664873034863783</v>
      </c>
      <c r="AA58" s="5">
        <f t="shared" si="23"/>
        <v>14.749155618567096</v>
      </c>
      <c r="AB58" s="5">
        <f t="shared" si="23"/>
        <v>14.801240666414442</v>
      </c>
      <c r="AC58" s="5">
        <f t="shared" si="22"/>
        <v>14.833195149846937</v>
      </c>
      <c r="AD58" s="300">
        <f t="shared" si="25"/>
        <v>1.8468853192943975E-3</v>
      </c>
      <c r="AE58" s="299">
        <f t="shared" si="25"/>
        <v>1.8468853192943975E-3</v>
      </c>
      <c r="AF58" s="299">
        <f t="shared" si="25"/>
        <v>1.8468853192943975E-3</v>
      </c>
      <c r="AG58" s="299">
        <f t="shared" si="25"/>
        <v>1.8468853192943975E-3</v>
      </c>
      <c r="AH58" s="299">
        <f t="shared" si="25"/>
        <v>1.8468853192943975E-3</v>
      </c>
      <c r="AI58" s="299">
        <f t="shared" si="25"/>
        <v>1.7632611209913286E-3</v>
      </c>
      <c r="AJ58" s="299">
        <f t="shared" si="25"/>
        <v>1.716662431527852E-3</v>
      </c>
      <c r="AK58" s="299">
        <f t="shared" si="25"/>
        <v>1.6501791435261277E-3</v>
      </c>
      <c r="AL58" s="299">
        <f t="shared" si="25"/>
        <v>1.5619464246247601E-3</v>
      </c>
      <c r="AM58" s="299">
        <f t="shared" si="25"/>
        <v>1.4554535679830146E-3</v>
      </c>
      <c r="AN58" s="299">
        <f t="shared" si="25"/>
        <v>1.3407120102709839E-3</v>
      </c>
      <c r="AO58" s="299">
        <f t="shared" si="25"/>
        <v>1.2312568795295983E-3</v>
      </c>
      <c r="AP58" s="299">
        <f t="shared" si="25"/>
        <v>1.1383245692366888E-3</v>
      </c>
      <c r="AQ58" s="299">
        <f t="shared" si="25"/>
        <v>1.0669109307416161E-3</v>
      </c>
      <c r="AR58" s="299">
        <f t="shared" si="25"/>
        <v>1.0161263505207975E-3</v>
      </c>
      <c r="AS58" s="299">
        <f t="shared" si="10"/>
        <v>9.8196947502707482E-4</v>
      </c>
      <c r="AT58" s="299">
        <f t="shared" si="10"/>
        <v>9.598488531966879E-4</v>
      </c>
      <c r="AU58" s="299">
        <f t="shared" si="10"/>
        <v>9.458720639200362E-4</v>
      </c>
      <c r="AV58" s="299">
        <f t="shared" si="10"/>
        <v>9.3717804926477628E-4</v>
      </c>
      <c r="AW58" s="299">
        <f t="shared" si="20"/>
        <v>9.3182263845857172E-4</v>
      </c>
      <c r="AX58" s="299">
        <f t="shared" si="20"/>
        <v>9.2854358720853136E-4</v>
      </c>
      <c r="AY58" s="299">
        <f t="shared" si="20"/>
        <v>9.2654326762977158E-4</v>
      </c>
      <c r="AZ58" s="298">
        <f t="shared" si="26"/>
        <v>0.10224317937058627</v>
      </c>
      <c r="BA58" s="1">
        <f t="shared" si="26"/>
        <v>0.10224317937058627</v>
      </c>
      <c r="BB58" s="1">
        <f t="shared" si="26"/>
        <v>0.10224317937058627</v>
      </c>
      <c r="BC58" s="1">
        <f t="shared" si="26"/>
        <v>0.10224317937058627</v>
      </c>
      <c r="BD58" s="1">
        <f t="shared" si="26"/>
        <v>0.10224317937058627</v>
      </c>
      <c r="BE58" s="1">
        <f t="shared" si="26"/>
        <v>9.7613761497424192E-2</v>
      </c>
      <c r="BF58" s="1">
        <f t="shared" si="26"/>
        <v>9.5034067936879379E-2</v>
      </c>
      <c r="BG58" s="1">
        <f t="shared" si="26"/>
        <v>9.1353567220731166E-2</v>
      </c>
      <c r="BH58" s="1">
        <f t="shared" si="26"/>
        <v>8.6469022625166578E-2</v>
      </c>
      <c r="BI58" s="1">
        <f t="shared" si="26"/>
        <v>8.0573600679061164E-2</v>
      </c>
      <c r="BJ58" s="1">
        <f t="shared" si="26"/>
        <v>7.4221532392063416E-2</v>
      </c>
      <c r="BK58" s="1">
        <f t="shared" si="26"/>
        <v>6.8162119580390854E-2</v>
      </c>
      <c r="BL58" s="1">
        <f t="shared" si="26"/>
        <v>6.3017406602634843E-2</v>
      </c>
      <c r="BM58" s="1">
        <f t="shared" si="26"/>
        <v>5.9063962729385862E-2</v>
      </c>
      <c r="BN58" s="1">
        <f t="shared" si="26"/>
        <v>5.6252539144752665E-2</v>
      </c>
      <c r="BO58" s="1">
        <f t="shared" si="11"/>
        <v>5.4361621765444186E-2</v>
      </c>
      <c r="BP58" s="1">
        <f t="shared" si="11"/>
        <v>5.3137028834867837E-2</v>
      </c>
      <c r="BQ58" s="1">
        <f t="shared" si="11"/>
        <v>5.2363276746360495E-2</v>
      </c>
      <c r="BR58" s="1">
        <f t="shared" si="11"/>
        <v>5.1881977939898676E-2</v>
      </c>
      <c r="BS58" s="1">
        <f t="shared" si="21"/>
        <v>5.1585503534075185E-2</v>
      </c>
      <c r="BT58" s="1">
        <f t="shared" si="21"/>
        <v>5.1403975952681383E-2</v>
      </c>
      <c r="BU58" s="1">
        <f t="shared" si="21"/>
        <v>5.1293238685265252E-2</v>
      </c>
    </row>
    <row r="59" spans="1:73" x14ac:dyDescent="0.25">
      <c r="A59" s="1" t="s">
        <v>22</v>
      </c>
      <c r="B59" s="1" t="s">
        <v>5</v>
      </c>
      <c r="C59" s="1" t="s">
        <v>7</v>
      </c>
      <c r="D59" s="1" t="s">
        <v>7</v>
      </c>
      <c r="E59" s="5">
        <v>8.4892499999999984</v>
      </c>
      <c r="F59" s="1">
        <f t="shared" si="7"/>
        <v>2.0798662499999995E-2</v>
      </c>
      <c r="G59" s="1">
        <f>LOOKUP(RIGHT(D59,5),Ref!$C$4:$C$21,Ref!$E$4:$E$21)*$G$3</f>
        <v>3.5</v>
      </c>
      <c r="H59" s="297">
        <f t="shared" si="24"/>
        <v>8.4892499999999984</v>
      </c>
      <c r="I59" s="5">
        <f t="shared" si="24"/>
        <v>8.4892499999999984</v>
      </c>
      <c r="J59" s="5">
        <f t="shared" si="24"/>
        <v>8.4892499999999984</v>
      </c>
      <c r="K59" s="5">
        <f t="shared" si="24"/>
        <v>8.4892499999999984</v>
      </c>
      <c r="L59" s="5">
        <f t="shared" si="24"/>
        <v>8.4892499999999984</v>
      </c>
      <c r="M59" s="5">
        <f t="shared" si="23"/>
        <v>8.8918600938726566</v>
      </c>
      <c r="N59" s="5">
        <f t="shared" si="23"/>
        <v>9.133229054745339</v>
      </c>
      <c r="O59" s="5">
        <f t="shared" si="23"/>
        <v>9.5011934057762595</v>
      </c>
      <c r="P59" s="5">
        <f t="shared" si="23"/>
        <v>10.03790587797311</v>
      </c>
      <c r="Q59" s="5">
        <f t="shared" si="23"/>
        <v>10.77236096136523</v>
      </c>
      <c r="R59" s="5">
        <f t="shared" si="23"/>
        <v>11.694287122594655</v>
      </c>
      <c r="S59" s="5">
        <f t="shared" si="23"/>
        <v>12.733874999999998</v>
      </c>
      <c r="T59" s="5">
        <f t="shared" si="23"/>
        <v>13.77346287740534</v>
      </c>
      <c r="U59" s="5">
        <f t="shared" si="23"/>
        <v>14.695389038634765</v>
      </c>
      <c r="V59" s="5">
        <f t="shared" si="23"/>
        <v>15.429844122026886</v>
      </c>
      <c r="W59" s="5">
        <f t="shared" si="23"/>
        <v>15.966556594223734</v>
      </c>
      <c r="X59" s="5">
        <f t="shared" si="23"/>
        <v>16.334520945254656</v>
      </c>
      <c r="Y59" s="5">
        <f t="shared" si="23"/>
        <v>16.575889906127337</v>
      </c>
      <c r="Z59" s="5">
        <f t="shared" si="23"/>
        <v>16.729661145094045</v>
      </c>
      <c r="AA59" s="5">
        <f t="shared" si="23"/>
        <v>16.825810567079312</v>
      </c>
      <c r="AB59" s="5">
        <f t="shared" si="23"/>
        <v>16.885229097273236</v>
      </c>
      <c r="AC59" s="5">
        <f t="shared" si="22"/>
        <v>16.921682715291013</v>
      </c>
      <c r="AD59" s="300">
        <f t="shared" si="25"/>
        <v>1.6189412614223003E-3</v>
      </c>
      <c r="AE59" s="299">
        <f t="shared" si="25"/>
        <v>1.6189412614223003E-3</v>
      </c>
      <c r="AF59" s="299">
        <f t="shared" si="25"/>
        <v>1.6189412614223003E-3</v>
      </c>
      <c r="AG59" s="299">
        <f t="shared" si="25"/>
        <v>1.6189412614223003E-3</v>
      </c>
      <c r="AH59" s="299">
        <f t="shared" si="25"/>
        <v>1.6189412614223003E-3</v>
      </c>
      <c r="AI59" s="299">
        <f t="shared" si="25"/>
        <v>1.5456380283130988E-3</v>
      </c>
      <c r="AJ59" s="299">
        <f t="shared" si="25"/>
        <v>1.504790586237243E-3</v>
      </c>
      <c r="AK59" s="299">
        <f t="shared" si="25"/>
        <v>1.4465127186205711E-3</v>
      </c>
      <c r="AL59" s="299">
        <f t="shared" si="25"/>
        <v>1.3691697521977977E-3</v>
      </c>
      <c r="AM59" s="299">
        <f t="shared" si="25"/>
        <v>1.2758203287858887E-3</v>
      </c>
      <c r="AN59" s="299">
        <f t="shared" si="25"/>
        <v>1.1752402655630979E-3</v>
      </c>
      <c r="AO59" s="299">
        <f t="shared" si="25"/>
        <v>1.0792941742815334E-3</v>
      </c>
      <c r="AP59" s="299">
        <f t="shared" si="25"/>
        <v>9.9783164378182084E-4</v>
      </c>
      <c r="AQ59" s="299">
        <f t="shared" si="25"/>
        <v>9.3523193345863744E-4</v>
      </c>
      <c r="AR59" s="299">
        <f t="shared" si="25"/>
        <v>8.9071522659840599E-4</v>
      </c>
      <c r="AS59" s="299">
        <f t="shared" si="10"/>
        <v>8.6077401989739723E-4</v>
      </c>
      <c r="AT59" s="299">
        <f t="shared" si="10"/>
        <v>8.4138354284102302E-4</v>
      </c>
      <c r="AU59" s="299">
        <f t="shared" si="10"/>
        <v>8.2913178003486199E-4</v>
      </c>
      <c r="AV59" s="299">
        <f t="shared" si="10"/>
        <v>8.2151078759652902E-4</v>
      </c>
      <c r="AW59" s="299">
        <f t="shared" si="20"/>
        <v>8.1681634585970052E-4</v>
      </c>
      <c r="AX59" s="299">
        <f t="shared" si="20"/>
        <v>8.1394199772798388E-4</v>
      </c>
      <c r="AY59" s="299">
        <f t="shared" si="20"/>
        <v>8.121885591856697E-4</v>
      </c>
      <c r="AZ59" s="298">
        <f t="shared" si="26"/>
        <v>8.9624244696082447E-2</v>
      </c>
      <c r="BA59" s="1">
        <f t="shared" si="26"/>
        <v>8.9624244696082447E-2</v>
      </c>
      <c r="BB59" s="1">
        <f t="shared" si="26"/>
        <v>8.9624244696082447E-2</v>
      </c>
      <c r="BC59" s="1">
        <f t="shared" si="26"/>
        <v>8.9624244696082447E-2</v>
      </c>
      <c r="BD59" s="1">
        <f t="shared" si="26"/>
        <v>8.9624244696082447E-2</v>
      </c>
      <c r="BE59" s="1">
        <f t="shared" si="26"/>
        <v>8.5566193265963694E-2</v>
      </c>
      <c r="BF59" s="1">
        <f t="shared" si="26"/>
        <v>8.3304887540393821E-2</v>
      </c>
      <c r="BG59" s="1">
        <f t="shared" si="26"/>
        <v>8.0078637155587509E-2</v>
      </c>
      <c r="BH59" s="1">
        <f t="shared" si="26"/>
        <v>7.5796946946453128E-2</v>
      </c>
      <c r="BI59" s="1">
        <f t="shared" si="26"/>
        <v>7.0629142674939915E-2</v>
      </c>
      <c r="BJ59" s="1">
        <f t="shared" si="26"/>
        <v>6.5061051717824309E-2</v>
      </c>
      <c r="BK59" s="1">
        <f t="shared" si="26"/>
        <v>5.9749496464054967E-2</v>
      </c>
      <c r="BL59" s="1">
        <f t="shared" si="26"/>
        <v>5.5239748061784888E-2</v>
      </c>
      <c r="BM59" s="1">
        <f t="shared" si="26"/>
        <v>5.1774241381832904E-2</v>
      </c>
      <c r="BN59" s="1">
        <f t="shared" si="26"/>
        <v>4.9309805936411003E-2</v>
      </c>
      <c r="BO59" s="1">
        <f t="shared" si="11"/>
        <v>4.7652267086910269E-2</v>
      </c>
      <c r="BP59" s="1">
        <f t="shared" si="11"/>
        <v>4.6578814391691745E-2</v>
      </c>
      <c r="BQ59" s="1">
        <f t="shared" si="11"/>
        <v>4.5900559402543423E-2</v>
      </c>
      <c r="BR59" s="1">
        <f t="shared" si="11"/>
        <v>4.5478662878317415E-2</v>
      </c>
      <c r="BS59" s="1">
        <f t="shared" si="21"/>
        <v>4.5218779579918197E-2</v>
      </c>
      <c r="BT59" s="1">
        <f t="shared" si="21"/>
        <v>4.5059656277277566E-2</v>
      </c>
      <c r="BU59" s="1">
        <f t="shared" si="21"/>
        <v>4.4962586291651375E-2</v>
      </c>
    </row>
    <row r="60" spans="1:73" x14ac:dyDescent="0.25">
      <c r="A60" s="1" t="s">
        <v>22</v>
      </c>
      <c r="B60" s="1" t="s">
        <v>5</v>
      </c>
      <c r="C60" s="1" t="s">
        <v>8</v>
      </c>
      <c r="D60" s="1" t="s">
        <v>8</v>
      </c>
      <c r="E60" s="5">
        <v>8.9595000000000002</v>
      </c>
      <c r="F60" s="1">
        <f t="shared" si="7"/>
        <v>2.1950774999999999E-2</v>
      </c>
      <c r="G60" s="1">
        <f>LOOKUP(RIGHT(D60,5),Ref!$C$4:$C$21,Ref!$E$4:$E$21)*$G$3</f>
        <v>4</v>
      </c>
      <c r="H60" s="297">
        <f t="shared" si="24"/>
        <v>8.9595000000000002</v>
      </c>
      <c r="I60" s="5">
        <f t="shared" si="24"/>
        <v>8.9595000000000002</v>
      </c>
      <c r="J60" s="5">
        <f t="shared" si="24"/>
        <v>8.9595000000000002</v>
      </c>
      <c r="K60" s="5">
        <f t="shared" si="24"/>
        <v>8.9595000000000002</v>
      </c>
      <c r="L60" s="5">
        <f t="shared" si="24"/>
        <v>8.9595000000000002</v>
      </c>
      <c r="M60" s="5">
        <f t="shared" si="23"/>
        <v>9.3844121107344094</v>
      </c>
      <c r="N60" s="5">
        <f t="shared" si="23"/>
        <v>9.6391513639003303</v>
      </c>
      <c r="O60" s="5">
        <f t="shared" si="23"/>
        <v>10.027498579857163</v>
      </c>
      <c r="P60" s="5">
        <f t="shared" si="23"/>
        <v>10.59394148054305</v>
      </c>
      <c r="Q60" s="5">
        <f t="shared" si="23"/>
        <v>11.369080664764473</v>
      </c>
      <c r="R60" s="5">
        <f t="shared" si="23"/>
        <v>12.342075622096985</v>
      </c>
      <c r="S60" s="5">
        <f t="shared" si="23"/>
        <v>13.439250000000001</v>
      </c>
      <c r="T60" s="5">
        <f t="shared" si="23"/>
        <v>14.536424377903016</v>
      </c>
      <c r="U60" s="5">
        <f t="shared" si="23"/>
        <v>15.509419335235528</v>
      </c>
      <c r="V60" s="5">
        <f t="shared" si="23"/>
        <v>16.284558519456951</v>
      </c>
      <c r="W60" s="5">
        <f t="shared" si="23"/>
        <v>16.851001420142836</v>
      </c>
      <c r="X60" s="5">
        <f t="shared" si="23"/>
        <v>17.23934863609967</v>
      </c>
      <c r="Y60" s="5">
        <f t="shared" si="23"/>
        <v>17.49408788926559</v>
      </c>
      <c r="Z60" s="5">
        <f t="shared" si="23"/>
        <v>17.656377068583225</v>
      </c>
      <c r="AA60" s="5">
        <f t="shared" si="23"/>
        <v>17.757852551844643</v>
      </c>
      <c r="AB60" s="5">
        <f t="shared" si="23"/>
        <v>17.820562487501203</v>
      </c>
      <c r="AC60" s="5">
        <f t="shared" si="22"/>
        <v>17.859035402143871</v>
      </c>
      <c r="AD60" s="300">
        <f t="shared" si="25"/>
        <v>1.5339692062647759E-3</v>
      </c>
      <c r="AE60" s="299">
        <f t="shared" si="25"/>
        <v>1.5339692062647759E-3</v>
      </c>
      <c r="AF60" s="299">
        <f t="shared" si="25"/>
        <v>1.5339692062647759E-3</v>
      </c>
      <c r="AG60" s="299">
        <f t="shared" si="25"/>
        <v>1.5339692062647759E-3</v>
      </c>
      <c r="AH60" s="299">
        <f t="shared" si="25"/>
        <v>1.5339692062647759E-3</v>
      </c>
      <c r="AI60" s="299">
        <f t="shared" si="25"/>
        <v>1.4645133804182121E-3</v>
      </c>
      <c r="AJ60" s="299">
        <f t="shared" si="25"/>
        <v>1.42580986486015E-3</v>
      </c>
      <c r="AK60" s="299">
        <f t="shared" si="25"/>
        <v>1.3705907803504302E-3</v>
      </c>
      <c r="AL60" s="299">
        <f t="shared" si="25"/>
        <v>1.2973072513918359E-3</v>
      </c>
      <c r="AM60" s="299">
        <f t="shared" si="25"/>
        <v>1.2088573833523748E-3</v>
      </c>
      <c r="AN60" s="299">
        <f t="shared" si="25"/>
        <v>1.1135563842213884E-3</v>
      </c>
      <c r="AO60" s="299">
        <f t="shared" si="25"/>
        <v>1.0226461375098504E-3</v>
      </c>
      <c r="AP60" s="299">
        <f t="shared" si="25"/>
        <v>9.4545926468829965E-4</v>
      </c>
      <c r="AQ60" s="299">
        <f t="shared" si="25"/>
        <v>8.8614517452020056E-4</v>
      </c>
      <c r="AR60" s="299">
        <f t="shared" si="25"/>
        <v>8.4396497989848939E-4</v>
      </c>
      <c r="AS60" s="299">
        <f t="shared" si="10"/>
        <v>8.1559527299670501E-4</v>
      </c>
      <c r="AT60" s="299">
        <f t="shared" si="10"/>
        <v>7.9722252816152167E-4</v>
      </c>
      <c r="AU60" s="299">
        <f t="shared" si="10"/>
        <v>7.8561381367944088E-4</v>
      </c>
      <c r="AV60" s="299">
        <f t="shared" si="10"/>
        <v>7.7839281808179386E-4</v>
      </c>
      <c r="AW60" s="299">
        <f t="shared" si="20"/>
        <v>7.7394476969579347E-4</v>
      </c>
      <c r="AX60" s="299">
        <f t="shared" si="20"/>
        <v>7.7122128514005089E-4</v>
      </c>
      <c r="AY60" s="299">
        <f t="shared" si="20"/>
        <v>7.6955987790244384E-4</v>
      </c>
      <c r="AZ60" s="298">
        <f t="shared" si="26"/>
        <v>8.4920209753470366E-2</v>
      </c>
      <c r="BA60" s="1">
        <f t="shared" si="26"/>
        <v>8.4920209753470366E-2</v>
      </c>
      <c r="BB60" s="1">
        <f t="shared" si="26"/>
        <v>8.4920209753470366E-2</v>
      </c>
      <c r="BC60" s="1">
        <f t="shared" si="26"/>
        <v>8.4920209753470366E-2</v>
      </c>
      <c r="BD60" s="1">
        <f t="shared" si="26"/>
        <v>8.4920209753470366E-2</v>
      </c>
      <c r="BE60" s="1">
        <f t="shared" si="26"/>
        <v>8.1075149972998722E-2</v>
      </c>
      <c r="BF60" s="1">
        <f t="shared" si="26"/>
        <v>7.8932531564516781E-2</v>
      </c>
      <c r="BG60" s="1">
        <f t="shared" si="26"/>
        <v>7.5875614763443386E-2</v>
      </c>
      <c r="BH60" s="1">
        <f t="shared" si="26"/>
        <v>7.1818654150921049E-2</v>
      </c>
      <c r="BI60" s="1">
        <f t="shared" si="26"/>
        <v>6.6922088225150236E-2</v>
      </c>
      <c r="BJ60" s="1">
        <f t="shared" si="26"/>
        <v>6.1646245135949553E-2</v>
      </c>
      <c r="BK60" s="1">
        <f t="shared" si="26"/>
        <v>5.6613473168980244E-2</v>
      </c>
      <c r="BL60" s="1">
        <f t="shared" si="26"/>
        <v>5.2340424268486771E-2</v>
      </c>
      <c r="BM60" s="1">
        <f t="shared" si="26"/>
        <v>4.9056808823117914E-2</v>
      </c>
      <c r="BN60" s="1">
        <f t="shared" si="26"/>
        <v>4.6721722199417046E-2</v>
      </c>
      <c r="BO60" s="1">
        <f t="shared" si="11"/>
        <v>4.51511812453321E-2</v>
      </c>
      <c r="BP60" s="1">
        <f t="shared" si="11"/>
        <v>4.4134069989917854E-2</v>
      </c>
      <c r="BQ60" s="1">
        <f t="shared" si="11"/>
        <v>4.3491414019536989E-2</v>
      </c>
      <c r="BR60" s="1">
        <f t="shared" si="11"/>
        <v>4.3091661235532784E-2</v>
      </c>
      <c r="BS60" s="1">
        <f t="shared" si="21"/>
        <v>4.2845418220751205E-2</v>
      </c>
      <c r="BT60" s="1">
        <f t="shared" si="21"/>
        <v>4.2694646693663539E-2</v>
      </c>
      <c r="BU60" s="1">
        <f t="shared" si="21"/>
        <v>4.2602671541537074E-2</v>
      </c>
    </row>
    <row r="61" spans="1:73" x14ac:dyDescent="0.25">
      <c r="A61" s="1" t="s">
        <v>22</v>
      </c>
      <c r="B61" s="1" t="s">
        <v>5</v>
      </c>
      <c r="C61" s="1" t="s">
        <v>9</v>
      </c>
      <c r="D61" s="1" t="s">
        <v>9</v>
      </c>
      <c r="E61" s="5">
        <v>8.8522499999999997</v>
      </c>
      <c r="F61" s="1">
        <f t="shared" si="7"/>
        <v>2.1688012499999999E-2</v>
      </c>
      <c r="G61" s="1">
        <f>LOOKUP(RIGHT(D61,5),Ref!$C$4:$C$21,Ref!$E$4:$E$21)*$G$3</f>
        <v>4.5</v>
      </c>
      <c r="H61" s="297">
        <f t="shared" si="24"/>
        <v>8.8522499999999997</v>
      </c>
      <c r="I61" s="5">
        <f t="shared" si="24"/>
        <v>8.8522499999999997</v>
      </c>
      <c r="J61" s="5">
        <f t="shared" si="24"/>
        <v>8.8522499999999997</v>
      </c>
      <c r="K61" s="5">
        <f t="shared" si="24"/>
        <v>8.8522499999999997</v>
      </c>
      <c r="L61" s="5">
        <f t="shared" si="24"/>
        <v>8.8522499999999997</v>
      </c>
      <c r="M61" s="5">
        <f t="shared" si="23"/>
        <v>9.2720756858361142</v>
      </c>
      <c r="N61" s="5">
        <f t="shared" si="23"/>
        <v>9.5237655740930514</v>
      </c>
      <c r="O61" s="5">
        <f t="shared" si="23"/>
        <v>9.9074640664702898</v>
      </c>
      <c r="P61" s="5">
        <f t="shared" si="23"/>
        <v>10.467126343114817</v>
      </c>
      <c r="Q61" s="5">
        <f t="shared" si="23"/>
        <v>11.23298669732254</v>
      </c>
      <c r="R61" s="5">
        <f t="shared" si="23"/>
        <v>12.194334385368384</v>
      </c>
      <c r="S61" s="5">
        <f t="shared" si="23"/>
        <v>13.278375</v>
      </c>
      <c r="T61" s="5">
        <f t="shared" si="23"/>
        <v>14.362415614631615</v>
      </c>
      <c r="U61" s="5">
        <f t="shared" si="23"/>
        <v>15.32376330267746</v>
      </c>
      <c r="V61" s="5">
        <f t="shared" si="23"/>
        <v>16.08962365688518</v>
      </c>
      <c r="W61" s="5">
        <f t="shared" si="23"/>
        <v>16.649285933529708</v>
      </c>
      <c r="X61" s="5">
        <f t="shared" si="23"/>
        <v>17.032984425906946</v>
      </c>
      <c r="Y61" s="5">
        <f t="shared" si="23"/>
        <v>17.284674314163883</v>
      </c>
      <c r="Z61" s="5">
        <f t="shared" si="23"/>
        <v>17.445020805331307</v>
      </c>
      <c r="AA61" s="5">
        <f t="shared" si="23"/>
        <v>17.545281572863075</v>
      </c>
      <c r="AB61" s="5">
        <f t="shared" si="23"/>
        <v>17.607240837098331</v>
      </c>
      <c r="AC61" s="5">
        <f t="shared" si="22"/>
        <v>17.6452532104055</v>
      </c>
      <c r="AD61" s="300">
        <f t="shared" si="25"/>
        <v>1.5525541081114135E-3</v>
      </c>
      <c r="AE61" s="299">
        <f t="shared" si="25"/>
        <v>1.5525541081114135E-3</v>
      </c>
      <c r="AF61" s="299">
        <f t="shared" si="25"/>
        <v>1.5525541081114135E-3</v>
      </c>
      <c r="AG61" s="299">
        <f t="shared" si="25"/>
        <v>1.5525541081114135E-3</v>
      </c>
      <c r="AH61" s="299">
        <f t="shared" si="25"/>
        <v>1.5525541081114135E-3</v>
      </c>
      <c r="AI61" s="299">
        <f t="shared" si="25"/>
        <v>1.4822567857727667E-3</v>
      </c>
      <c r="AJ61" s="299">
        <f t="shared" si="25"/>
        <v>1.4430843553011397E-3</v>
      </c>
      <c r="AK61" s="299">
        <f t="shared" si="25"/>
        <v>1.3871962604478727E-3</v>
      </c>
      <c r="AL61" s="299">
        <f t="shared" si="25"/>
        <v>1.3130248602157817E-3</v>
      </c>
      <c r="AM61" s="299">
        <f t="shared" si="25"/>
        <v>1.2235033721534755E-3</v>
      </c>
      <c r="AN61" s="299">
        <f t="shared" si="25"/>
        <v>1.1270477476835301E-3</v>
      </c>
      <c r="AO61" s="299">
        <f t="shared" si="25"/>
        <v>1.0350360720742756E-3</v>
      </c>
      <c r="AP61" s="299">
        <f t="shared" si="25"/>
        <v>9.5691403676746842E-4</v>
      </c>
      <c r="AQ61" s="299">
        <f t="shared" si="25"/>
        <v>8.9688132295334374E-4</v>
      </c>
      <c r="AR61" s="299">
        <f t="shared" si="25"/>
        <v>8.5419009149092227E-4</v>
      </c>
      <c r="AS61" s="299">
        <f t="shared" si="10"/>
        <v>8.2547666959405556E-4</v>
      </c>
      <c r="AT61" s="299">
        <f t="shared" si="10"/>
        <v>8.0688132859591118E-4</v>
      </c>
      <c r="AU61" s="299">
        <f t="shared" si="10"/>
        <v>7.9513196799242572E-4</v>
      </c>
      <c r="AV61" s="299">
        <f t="shared" si="10"/>
        <v>7.8782348596162933E-4</v>
      </c>
      <c r="AW61" s="299">
        <f t="shared" si="20"/>
        <v>7.833215469614462E-4</v>
      </c>
      <c r="AX61" s="299">
        <f t="shared" si="20"/>
        <v>7.8056506585470211E-4</v>
      </c>
      <c r="AY61" s="299">
        <f t="shared" si="20"/>
        <v>7.7888352973164404E-4</v>
      </c>
      <c r="AZ61" s="298">
        <f t="shared" si="26"/>
        <v>8.5949065976019409E-2</v>
      </c>
      <c r="BA61" s="1">
        <f t="shared" si="26"/>
        <v>8.5949065976019409E-2</v>
      </c>
      <c r="BB61" s="1">
        <f t="shared" si="26"/>
        <v>8.5949065976019409E-2</v>
      </c>
      <c r="BC61" s="1">
        <f t="shared" si="26"/>
        <v>8.5949065976019409E-2</v>
      </c>
      <c r="BD61" s="1">
        <f t="shared" si="26"/>
        <v>8.5949065976019409E-2</v>
      </c>
      <c r="BE61" s="1">
        <f t="shared" si="26"/>
        <v>8.2057421128309993E-2</v>
      </c>
      <c r="BF61" s="1">
        <f t="shared" si="26"/>
        <v>7.9888843689715966E-2</v>
      </c>
      <c r="BG61" s="1">
        <f t="shared" si="26"/>
        <v>7.6794890617986514E-2</v>
      </c>
      <c r="BH61" s="1">
        <f t="shared" si="26"/>
        <v>7.2688777640167998E-2</v>
      </c>
      <c r="BI61" s="1">
        <f t="shared" si="26"/>
        <v>6.7732887057328203E-2</v>
      </c>
      <c r="BJ61" s="1">
        <f t="shared" si="26"/>
        <v>6.2393124154372051E-2</v>
      </c>
      <c r="BK61" s="1">
        <f t="shared" si="26"/>
        <v>5.7299377317346266E-2</v>
      </c>
      <c r="BL61" s="1">
        <f t="shared" si="26"/>
        <v>5.2974558020108704E-2</v>
      </c>
      <c r="BM61" s="1">
        <f t="shared" si="26"/>
        <v>4.9651159722186443E-2</v>
      </c>
      <c r="BN61" s="1">
        <f t="shared" si="26"/>
        <v>4.7287782207424897E-2</v>
      </c>
      <c r="BO61" s="1">
        <f t="shared" si="11"/>
        <v>4.5698213264147865E-2</v>
      </c>
      <c r="BP61" s="1">
        <f t="shared" si="11"/>
        <v>4.466877913238658E-2</v>
      </c>
      <c r="BQ61" s="1">
        <f t="shared" si="11"/>
        <v>4.4018337022569597E-2</v>
      </c>
      <c r="BR61" s="1">
        <f t="shared" si="11"/>
        <v>4.3613741008190689E-2</v>
      </c>
      <c r="BS61" s="1">
        <f t="shared" si="21"/>
        <v>4.3364514620443446E-2</v>
      </c>
      <c r="BT61" s="1">
        <f t="shared" si="21"/>
        <v>4.3211916411294141E-2</v>
      </c>
      <c r="BU61" s="1">
        <f t="shared" si="21"/>
        <v>4.311882692834041E-2</v>
      </c>
    </row>
    <row r="62" spans="1:73" x14ac:dyDescent="0.25">
      <c r="A62" s="1" t="s">
        <v>22</v>
      </c>
      <c r="B62" s="1" t="s">
        <v>5</v>
      </c>
      <c r="C62" s="1" t="s">
        <v>10</v>
      </c>
      <c r="D62" s="1" t="s">
        <v>10</v>
      </c>
      <c r="E62" s="5">
        <v>8.6295000000000002</v>
      </c>
      <c r="F62" s="1">
        <f t="shared" si="7"/>
        <v>2.1142275000000002E-2</v>
      </c>
      <c r="G62" s="1">
        <f>LOOKUP(RIGHT(D62,5),Ref!$C$4:$C$21,Ref!$E$4:$E$21)*$G$3</f>
        <v>4.5</v>
      </c>
      <c r="H62" s="297">
        <f t="shared" si="24"/>
        <v>8.6295000000000002</v>
      </c>
      <c r="I62" s="5">
        <f t="shared" si="24"/>
        <v>8.6295000000000002</v>
      </c>
      <c r="J62" s="5">
        <f t="shared" si="24"/>
        <v>8.6295000000000002</v>
      </c>
      <c r="K62" s="5">
        <f t="shared" si="24"/>
        <v>8.6295000000000002</v>
      </c>
      <c r="L62" s="5">
        <f t="shared" si="24"/>
        <v>8.6295000000000002</v>
      </c>
      <c r="M62" s="5">
        <f t="shared" si="23"/>
        <v>9.0387615725858126</v>
      </c>
      <c r="N62" s="5">
        <f t="shared" si="23"/>
        <v>9.2841181644933197</v>
      </c>
      <c r="O62" s="5">
        <f t="shared" si="23"/>
        <v>9.6581616155898633</v>
      </c>
      <c r="P62" s="5">
        <f t="shared" si="23"/>
        <v>10.203741057686953</v>
      </c>
      <c r="Q62" s="5">
        <f t="shared" si="23"/>
        <v>10.950329995712375</v>
      </c>
      <c r="R62" s="5">
        <f t="shared" si="23"/>
        <v>11.887487201393597</v>
      </c>
      <c r="S62" s="5">
        <f t="shared" si="23"/>
        <v>12.94425</v>
      </c>
      <c r="T62" s="5">
        <f t="shared" si="23"/>
        <v>14.001012798606403</v>
      </c>
      <c r="U62" s="5">
        <f t="shared" si="23"/>
        <v>14.938170004287626</v>
      </c>
      <c r="V62" s="5">
        <f t="shared" si="23"/>
        <v>15.684758942313048</v>
      </c>
      <c r="W62" s="5">
        <f t="shared" si="23"/>
        <v>16.230338384410135</v>
      </c>
      <c r="X62" s="5">
        <f t="shared" si="23"/>
        <v>16.604381835506679</v>
      </c>
      <c r="Y62" s="5">
        <f t="shared" si="23"/>
        <v>16.849738427414188</v>
      </c>
      <c r="Z62" s="5">
        <f t="shared" si="23"/>
        <v>17.006050104731173</v>
      </c>
      <c r="AA62" s="5">
        <f t="shared" si="23"/>
        <v>17.103788001132131</v>
      </c>
      <c r="AB62" s="5">
        <f t="shared" si="23"/>
        <v>17.164188178569297</v>
      </c>
      <c r="AC62" s="5">
        <f t="shared" si="22"/>
        <v>17.201244042948886</v>
      </c>
      <c r="AD62" s="300">
        <f t="shared" si="25"/>
        <v>1.5926295965617079E-3</v>
      </c>
      <c r="AE62" s="299">
        <f t="shared" si="25"/>
        <v>1.5926295965617079E-3</v>
      </c>
      <c r="AF62" s="299">
        <f t="shared" si="25"/>
        <v>1.5926295965617079E-3</v>
      </c>
      <c r="AG62" s="299">
        <f t="shared" si="25"/>
        <v>1.5926295965617079E-3</v>
      </c>
      <c r="AH62" s="299">
        <f t="shared" si="25"/>
        <v>1.5926295965617079E-3</v>
      </c>
      <c r="AI62" s="299">
        <f t="shared" si="25"/>
        <v>1.5205177161894631E-3</v>
      </c>
      <c r="AJ62" s="299">
        <f t="shared" si="25"/>
        <v>1.4803341426750697E-3</v>
      </c>
      <c r="AK62" s="299">
        <f t="shared" si="25"/>
        <v>1.4230034296946151E-3</v>
      </c>
      <c r="AL62" s="299">
        <f t="shared" si="25"/>
        <v>1.346917471330338E-3</v>
      </c>
      <c r="AM62" s="299">
        <f t="shared" si="25"/>
        <v>1.2550851991593491E-3</v>
      </c>
      <c r="AN62" s="299">
        <f t="shared" si="25"/>
        <v>1.1561398023560493E-3</v>
      </c>
      <c r="AO62" s="299">
        <f t="shared" si="25"/>
        <v>1.061753064374472E-3</v>
      </c>
      <c r="AP62" s="299">
        <f t="shared" si="25"/>
        <v>9.816144946955005E-4</v>
      </c>
      <c r="AQ62" s="299">
        <f t="shared" si="25"/>
        <v>9.200321792819673E-4</v>
      </c>
      <c r="AR62" s="299">
        <f t="shared" si="25"/>
        <v>8.7623897530569742E-4</v>
      </c>
      <c r="AS62" s="299">
        <f t="shared" si="10"/>
        <v>8.4678438477478165E-4</v>
      </c>
      <c r="AT62" s="299">
        <f t="shared" si="10"/>
        <v>8.2770904931492599E-4</v>
      </c>
      <c r="AU62" s="299">
        <f t="shared" si="10"/>
        <v>8.1565640693678082E-4</v>
      </c>
      <c r="AV62" s="299">
        <f t="shared" si="10"/>
        <v>8.0815927384017983E-4</v>
      </c>
      <c r="AW62" s="299">
        <f t="shared" si="20"/>
        <v>8.0354112800156004E-4</v>
      </c>
      <c r="AX62" s="299">
        <f t="shared" si="20"/>
        <v>8.0071349489684062E-4</v>
      </c>
      <c r="AY62" s="299">
        <f t="shared" si="20"/>
        <v>7.9898855392165772E-4</v>
      </c>
      <c r="AZ62" s="298">
        <f t="shared" si="26"/>
        <v>8.8167636512685291E-2</v>
      </c>
      <c r="BA62" s="1">
        <f t="shared" si="26"/>
        <v>8.8167636512685291E-2</v>
      </c>
      <c r="BB62" s="1">
        <f t="shared" si="26"/>
        <v>8.8167636512685291E-2</v>
      </c>
      <c r="BC62" s="1">
        <f t="shared" si="26"/>
        <v>8.8167636512685291E-2</v>
      </c>
      <c r="BD62" s="1">
        <f t="shared" si="26"/>
        <v>8.8167636512685291E-2</v>
      </c>
      <c r="BE62" s="1">
        <f t="shared" si="26"/>
        <v>8.4175538117281665E-2</v>
      </c>
      <c r="BF62" s="1">
        <f t="shared" si="26"/>
        <v>8.1950984014402692E-2</v>
      </c>
      <c r="BG62" s="1">
        <f t="shared" si="26"/>
        <v>7.8777167909272972E-2</v>
      </c>
      <c r="BH62" s="1">
        <f t="shared" si="26"/>
        <v>7.4565065399522235E-2</v>
      </c>
      <c r="BI62" s="1">
        <f t="shared" si="26"/>
        <v>6.9481250298769753E-2</v>
      </c>
      <c r="BJ62" s="1">
        <f t="shared" si="26"/>
        <v>6.4003654127764056E-2</v>
      </c>
      <c r="BK62" s="1">
        <f t="shared" si="26"/>
        <v>5.8778424341790196E-2</v>
      </c>
      <c r="BL62" s="1">
        <f t="shared" si="26"/>
        <v>5.4341970129614378E-2</v>
      </c>
      <c r="BM62" s="1">
        <f t="shared" si="26"/>
        <v>5.0932786215971373E-2</v>
      </c>
      <c r="BN62" s="1">
        <f t="shared" si="26"/>
        <v>4.8508403736679646E-2</v>
      </c>
      <c r="BO62" s="1">
        <f t="shared" si="11"/>
        <v>4.6877803855096233E-2</v>
      </c>
      <c r="BP62" s="1">
        <f t="shared" si="11"/>
        <v>4.5821797331788525E-2</v>
      </c>
      <c r="BQ62" s="1">
        <f t="shared" si="11"/>
        <v>4.515456560728219E-2</v>
      </c>
      <c r="BR62" s="1">
        <f t="shared" si="11"/>
        <v>4.4739525909931743E-2</v>
      </c>
      <c r="BS62" s="1">
        <f t="shared" si="21"/>
        <v>4.4483866336267511E-2</v>
      </c>
      <c r="BT62" s="1">
        <f t="shared" si="21"/>
        <v>4.4327329167608613E-2</v>
      </c>
      <c r="BU62" s="1">
        <f t="shared" si="21"/>
        <v>4.423183680125168E-2</v>
      </c>
    </row>
    <row r="63" spans="1:73" x14ac:dyDescent="0.25">
      <c r="A63" s="1" t="s">
        <v>22</v>
      </c>
      <c r="B63" s="1" t="s">
        <v>5</v>
      </c>
      <c r="C63" s="1" t="s">
        <v>11</v>
      </c>
      <c r="D63" s="1" t="s">
        <v>11</v>
      </c>
      <c r="E63" s="5">
        <v>8.2829999999999995</v>
      </c>
      <c r="F63" s="1">
        <f t="shared" si="7"/>
        <v>2.0293349999999998E-2</v>
      </c>
      <c r="G63" s="1">
        <f>LOOKUP(RIGHT(D63,5),Ref!$C$4:$C$21,Ref!$E$4:$E$21)*$G$3</f>
        <v>4.5</v>
      </c>
      <c r="H63" s="297">
        <f t="shared" si="24"/>
        <v>8.2829999999999995</v>
      </c>
      <c r="I63" s="5">
        <f t="shared" si="24"/>
        <v>8.2829999999999995</v>
      </c>
      <c r="J63" s="5">
        <f t="shared" si="24"/>
        <v>8.2829999999999995</v>
      </c>
      <c r="K63" s="5">
        <f t="shared" si="24"/>
        <v>8.2829999999999995</v>
      </c>
      <c r="L63" s="5">
        <f t="shared" si="24"/>
        <v>8.2829999999999995</v>
      </c>
      <c r="M63" s="5">
        <f t="shared" si="23"/>
        <v>8.6758285075297845</v>
      </c>
      <c r="N63" s="5">
        <f t="shared" si="23"/>
        <v>8.9113333051159582</v>
      </c>
      <c r="O63" s="5">
        <f t="shared" si="23"/>
        <v>9.2703578031091993</v>
      </c>
      <c r="P63" s="5">
        <f t="shared" si="23"/>
        <v>9.7940306136880491</v>
      </c>
      <c r="Q63" s="5">
        <f t="shared" si="23"/>
        <v>10.51064179320767</v>
      </c>
      <c r="R63" s="5">
        <f t="shared" si="23"/>
        <v>11.410169359655038</v>
      </c>
      <c r="S63" s="5">
        <f t="shared" si="23"/>
        <v>12.424499999999998</v>
      </c>
      <c r="T63" s="5">
        <f t="shared" si="23"/>
        <v>13.43883064034496</v>
      </c>
      <c r="U63" s="5">
        <f t="shared" si="23"/>
        <v>14.338358206792329</v>
      </c>
      <c r="V63" s="5">
        <f t="shared" si="23"/>
        <v>15.054969386311949</v>
      </c>
      <c r="W63" s="5">
        <f t="shared" si="23"/>
        <v>15.578642196890797</v>
      </c>
      <c r="X63" s="5">
        <f t="shared" si="23"/>
        <v>15.93766669488404</v>
      </c>
      <c r="Y63" s="5">
        <f t="shared" si="23"/>
        <v>16.173171492470214</v>
      </c>
      <c r="Z63" s="5">
        <f t="shared" si="23"/>
        <v>16.323206792686516</v>
      </c>
      <c r="AA63" s="5">
        <f t="shared" si="23"/>
        <v>16.417020222883995</v>
      </c>
      <c r="AB63" s="5">
        <f t="shared" si="23"/>
        <v>16.474995154190797</v>
      </c>
      <c r="AC63" s="5">
        <f t="shared" si="22"/>
        <v>16.510563115794149</v>
      </c>
      <c r="AD63" s="300">
        <f t="shared" si="25"/>
        <v>1.6592535438282338E-3</v>
      </c>
      <c r="AE63" s="299">
        <f t="shared" si="25"/>
        <v>1.6592535438282338E-3</v>
      </c>
      <c r="AF63" s="299">
        <f t="shared" si="25"/>
        <v>1.6592535438282338E-3</v>
      </c>
      <c r="AG63" s="299">
        <f t="shared" si="25"/>
        <v>1.6592535438282338E-3</v>
      </c>
      <c r="AH63" s="299">
        <f t="shared" si="25"/>
        <v>1.6592535438282338E-3</v>
      </c>
      <c r="AI63" s="299">
        <f t="shared" si="25"/>
        <v>1.5841250310101381E-3</v>
      </c>
      <c r="AJ63" s="299">
        <f t="shared" si="25"/>
        <v>1.542260471352712E-3</v>
      </c>
      <c r="AK63" s="299">
        <f t="shared" si="25"/>
        <v>1.4825314616141109E-3</v>
      </c>
      <c r="AL63" s="299">
        <f t="shared" si="25"/>
        <v>1.4032626245134799E-3</v>
      </c>
      <c r="AM63" s="299">
        <f t="shared" si="25"/>
        <v>1.3075887632676088E-3</v>
      </c>
      <c r="AN63" s="299">
        <f t="shared" si="25"/>
        <v>1.2045042163988326E-3</v>
      </c>
      <c r="AO63" s="299">
        <f t="shared" si="25"/>
        <v>1.1061690292188226E-3</v>
      </c>
      <c r="AP63" s="299">
        <f t="shared" si="25"/>
        <v>1.0226780492544757E-3</v>
      </c>
      <c r="AQ63" s="299">
        <f t="shared" si="25"/>
        <v>9.5851958120412141E-4</v>
      </c>
      <c r="AR63" s="299">
        <f t="shared" si="25"/>
        <v>9.1289439060733026E-4</v>
      </c>
      <c r="AS63" s="299">
        <f t="shared" si="10"/>
        <v>8.8220763593069892E-4</v>
      </c>
      <c r="AT63" s="299">
        <f t="shared" si="10"/>
        <v>8.6233432827033125E-4</v>
      </c>
      <c r="AU63" s="299">
        <f t="shared" si="10"/>
        <v>8.4977749168911631E-4</v>
      </c>
      <c r="AV63" s="299">
        <f t="shared" si="10"/>
        <v>8.4196673350281695E-4</v>
      </c>
      <c r="AW63" s="299">
        <f t="shared" si="20"/>
        <v>8.3715539829644597E-4</v>
      </c>
      <c r="AX63" s="299">
        <f t="shared" si="20"/>
        <v>8.34209477751091E-4</v>
      </c>
      <c r="AY63" s="299">
        <f t="shared" si="20"/>
        <v>8.3241237789049205E-4</v>
      </c>
      <c r="AZ63" s="298">
        <f t="shared" si="26"/>
        <v>9.1855924095885291E-2</v>
      </c>
      <c r="BA63" s="1">
        <f t="shared" si="26"/>
        <v>9.1855924095885291E-2</v>
      </c>
      <c r="BB63" s="1">
        <f t="shared" si="26"/>
        <v>9.1855924095885291E-2</v>
      </c>
      <c r="BC63" s="1">
        <f t="shared" si="26"/>
        <v>9.1855924095885291E-2</v>
      </c>
      <c r="BD63" s="1">
        <f t="shared" si="26"/>
        <v>9.1855924095885291E-2</v>
      </c>
      <c r="BE63" s="1">
        <f t="shared" si="26"/>
        <v>8.7696825568403011E-2</v>
      </c>
      <c r="BF63" s="1">
        <f t="shared" si="26"/>
        <v>8.5379212429347831E-2</v>
      </c>
      <c r="BG63" s="1">
        <f t="shared" si="26"/>
        <v>8.207262712460113E-2</v>
      </c>
      <c r="BH63" s="1">
        <f t="shared" si="26"/>
        <v>7.7684321123406633E-2</v>
      </c>
      <c r="BI63" s="1">
        <f t="shared" si="26"/>
        <v>7.238783646664658E-2</v>
      </c>
      <c r="BJ63" s="1">
        <f t="shared" si="26"/>
        <v>6.6681097826335869E-2</v>
      </c>
      <c r="BK63" s="1">
        <f t="shared" si="26"/>
        <v>6.1237282730590197E-2</v>
      </c>
      <c r="BL63" s="1">
        <f t="shared" si="26"/>
        <v>5.6615239796391076E-2</v>
      </c>
      <c r="BM63" s="1">
        <f t="shared" si="26"/>
        <v>5.3063440619428345E-2</v>
      </c>
      <c r="BN63" s="1">
        <f t="shared" si="26"/>
        <v>5.0537639749568639E-2</v>
      </c>
      <c r="BO63" s="1">
        <f t="shared" si="11"/>
        <v>4.8838827522341297E-2</v>
      </c>
      <c r="BP63" s="1">
        <f t="shared" si="11"/>
        <v>4.7738645427341429E-2</v>
      </c>
      <c r="BQ63" s="1">
        <f t="shared" si="11"/>
        <v>4.7043501618742205E-2</v>
      </c>
      <c r="BR63" s="1">
        <f t="shared" si="11"/>
        <v>4.6611099702976701E-2</v>
      </c>
      <c r="BS63" s="1">
        <f t="shared" si="21"/>
        <v>4.6344745206908185E-2</v>
      </c>
      <c r="BT63" s="1">
        <f t="shared" si="21"/>
        <v>4.6181659670636067E-2</v>
      </c>
      <c r="BU63" s="1">
        <f t="shared" si="21"/>
        <v>4.6082172603694481E-2</v>
      </c>
    </row>
    <row r="64" spans="1:73" x14ac:dyDescent="0.25">
      <c r="A64" s="1" t="s">
        <v>23</v>
      </c>
      <c r="B64" s="1" t="s">
        <v>5</v>
      </c>
      <c r="C64" s="1" t="s">
        <v>13</v>
      </c>
      <c r="D64" s="1" t="s">
        <v>13</v>
      </c>
      <c r="E64" s="5">
        <v>8.6790000000000003</v>
      </c>
      <c r="F64" s="1">
        <f t="shared" si="7"/>
        <v>2.1263549999999999E-2</v>
      </c>
      <c r="G64" s="1">
        <f>LOOKUP(RIGHT(D64,5),Ref!$C$4:$C$21,Ref!$E$4:$E$21)*$G$3</f>
        <v>1.5</v>
      </c>
      <c r="H64" s="297">
        <f t="shared" si="24"/>
        <v>8.6790000000000003</v>
      </c>
      <c r="I64" s="5">
        <f t="shared" si="24"/>
        <v>8.6790000000000003</v>
      </c>
      <c r="J64" s="5">
        <f t="shared" si="24"/>
        <v>8.6790000000000003</v>
      </c>
      <c r="K64" s="5">
        <f t="shared" si="24"/>
        <v>8.6790000000000003</v>
      </c>
      <c r="L64" s="5">
        <f t="shared" si="24"/>
        <v>8.6790000000000003</v>
      </c>
      <c r="M64" s="5">
        <f t="shared" si="23"/>
        <v>9.0906091533081028</v>
      </c>
      <c r="N64" s="5">
        <f t="shared" si="23"/>
        <v>9.3373731444043724</v>
      </c>
      <c r="O64" s="5">
        <f t="shared" si="23"/>
        <v>9.7135621602299587</v>
      </c>
      <c r="P64" s="5">
        <f t="shared" si="23"/>
        <v>10.262271121115367</v>
      </c>
      <c r="Q64" s="5">
        <f t="shared" si="23"/>
        <v>11.013142596070189</v>
      </c>
      <c r="R64" s="5">
        <f t="shared" si="23"/>
        <v>11.955675464499105</v>
      </c>
      <c r="S64" s="5">
        <f t="shared" si="23"/>
        <v>13.0185</v>
      </c>
      <c r="T64" s="5">
        <f t="shared" si="23"/>
        <v>14.081324535500896</v>
      </c>
      <c r="U64" s="5">
        <f t="shared" si="23"/>
        <v>15.023857403929812</v>
      </c>
      <c r="V64" s="5">
        <f t="shared" si="23"/>
        <v>15.774728878884634</v>
      </c>
      <c r="W64" s="5">
        <f t="shared" si="23"/>
        <v>16.32343783977004</v>
      </c>
      <c r="X64" s="5">
        <f t="shared" si="23"/>
        <v>16.699626855595628</v>
      </c>
      <c r="Y64" s="5">
        <f t="shared" si="23"/>
        <v>16.946390846691898</v>
      </c>
      <c r="Z64" s="5">
        <f t="shared" si="23"/>
        <v>17.10359914930898</v>
      </c>
      <c r="AA64" s="5">
        <f t="shared" si="23"/>
        <v>17.201897683739009</v>
      </c>
      <c r="AB64" s="5">
        <f t="shared" si="23"/>
        <v>17.262644324909083</v>
      </c>
      <c r="AC64" s="5">
        <f t="shared" si="22"/>
        <v>17.299912746828134</v>
      </c>
      <c r="AD64" s="300">
        <f t="shared" si="25"/>
        <v>1.583546157798048E-3</v>
      </c>
      <c r="AE64" s="299">
        <f t="shared" si="25"/>
        <v>1.583546157798048E-3</v>
      </c>
      <c r="AF64" s="299">
        <f t="shared" si="25"/>
        <v>1.583546157798048E-3</v>
      </c>
      <c r="AG64" s="299">
        <f t="shared" si="25"/>
        <v>1.583546157798048E-3</v>
      </c>
      <c r="AH64" s="299">
        <f t="shared" si="25"/>
        <v>1.583546157798048E-3</v>
      </c>
      <c r="AI64" s="299">
        <f t="shared" si="25"/>
        <v>1.5118455619146181E-3</v>
      </c>
      <c r="AJ64" s="299">
        <f t="shared" si="25"/>
        <v>1.4718911722795842E-3</v>
      </c>
      <c r="AK64" s="299">
        <f t="shared" si="25"/>
        <v>1.41488744055187E-3</v>
      </c>
      <c r="AL64" s="299">
        <f t="shared" si="25"/>
        <v>1.3392354325204693E-3</v>
      </c>
      <c r="AM64" s="299">
        <f t="shared" si="25"/>
        <v>1.2479269185557786E-3</v>
      </c>
      <c r="AN64" s="299">
        <f t="shared" si="25"/>
        <v>1.1495458491106727E-3</v>
      </c>
      <c r="AO64" s="299">
        <f t="shared" si="25"/>
        <v>1.0556974385320321E-3</v>
      </c>
      <c r="AP64" s="299">
        <f t="shared" si="25"/>
        <v>9.7601593293868204E-4</v>
      </c>
      <c r="AQ64" s="299">
        <f t="shared" si="25"/>
        <v>9.1478484746096748E-4</v>
      </c>
      <c r="AR64" s="299">
        <f t="shared" si="25"/>
        <v>8.7124141461003752E-4</v>
      </c>
      <c r="AS64" s="299">
        <f t="shared" si="10"/>
        <v>8.4195481604032473E-4</v>
      </c>
      <c r="AT64" s="299">
        <f t="shared" si="10"/>
        <v>8.229882752694036E-4</v>
      </c>
      <c r="AU64" s="299">
        <f t="shared" si="10"/>
        <v>8.1100437419759765E-4</v>
      </c>
      <c r="AV64" s="299">
        <f t="shared" si="10"/>
        <v>8.0355000041523587E-4</v>
      </c>
      <c r="AW64" s="299">
        <f t="shared" si="20"/>
        <v>7.9895819381143695E-4</v>
      </c>
      <c r="AX64" s="299">
        <f t="shared" si="20"/>
        <v>7.9614668789172564E-4</v>
      </c>
      <c r="AY64" s="299">
        <f t="shared" si="20"/>
        <v>7.9443158498294106E-4</v>
      </c>
      <c r="AZ64" s="298">
        <f t="shared" si="26"/>
        <v>8.7664779270217513E-2</v>
      </c>
      <c r="BA64" s="1">
        <f t="shared" si="26"/>
        <v>8.7664779270217513E-2</v>
      </c>
      <c r="BB64" s="1">
        <f t="shared" si="26"/>
        <v>8.7664779270217513E-2</v>
      </c>
      <c r="BC64" s="1">
        <f t="shared" si="26"/>
        <v>8.7664779270217513E-2</v>
      </c>
      <c r="BD64" s="1">
        <f t="shared" si="26"/>
        <v>8.7664779270217513E-2</v>
      </c>
      <c r="BE64" s="1">
        <f t="shared" si="26"/>
        <v>8.3695449496840879E-2</v>
      </c>
      <c r="BF64" s="1">
        <f t="shared" si="26"/>
        <v>8.1483582964890888E-2</v>
      </c>
      <c r="BG64" s="1">
        <f t="shared" si="26"/>
        <v>7.8327868472528067E-2</v>
      </c>
      <c r="BH64" s="1">
        <f t="shared" si="26"/>
        <v>7.4139789361121922E-2</v>
      </c>
      <c r="BI64" s="1">
        <f t="shared" si="26"/>
        <v>6.9084969403529622E-2</v>
      </c>
      <c r="BJ64" s="1">
        <f t="shared" si="26"/>
        <v>6.3638614275324343E-2</v>
      </c>
      <c r="BK64" s="1">
        <f t="shared" si="26"/>
        <v>5.8443186180145011E-2</v>
      </c>
      <c r="BL64" s="1">
        <f t="shared" si="26"/>
        <v>5.4032034938761062E-2</v>
      </c>
      <c r="BM64" s="1">
        <f t="shared" si="26"/>
        <v>5.0642295039834646E-2</v>
      </c>
      <c r="BN64" s="1">
        <f t="shared" si="26"/>
        <v>4.8231739837040787E-2</v>
      </c>
      <c r="BO64" s="1">
        <f t="shared" si="11"/>
        <v>4.6610439954781993E-2</v>
      </c>
      <c r="BP64" s="1">
        <f t="shared" si="11"/>
        <v>4.5560456282367677E-2</v>
      </c>
      <c r="BQ64" s="1">
        <f t="shared" si="11"/>
        <v>4.4897030061993505E-2</v>
      </c>
      <c r="BR64" s="1">
        <f t="shared" si="11"/>
        <v>4.4484357511205899E-2</v>
      </c>
      <c r="BS64" s="1">
        <f t="shared" si="21"/>
        <v>4.4230156071992217E-2</v>
      </c>
      <c r="BT64" s="1">
        <f t="shared" si="21"/>
        <v>4.4074511700873203E-2</v>
      </c>
      <c r="BU64" s="1">
        <f t="shared" si="21"/>
        <v>4.3979563967784463E-2</v>
      </c>
    </row>
    <row r="65" spans="1:73" x14ac:dyDescent="0.25">
      <c r="A65" s="1" t="s">
        <v>23</v>
      </c>
      <c r="B65" s="1" t="s">
        <v>5</v>
      </c>
      <c r="C65" s="1" t="s">
        <v>14</v>
      </c>
      <c r="D65" s="1" t="s">
        <v>14</v>
      </c>
      <c r="E65" s="5">
        <v>8.3985000000000003</v>
      </c>
      <c r="F65" s="1">
        <f t="shared" si="7"/>
        <v>2.0576324999999999E-2</v>
      </c>
      <c r="G65" s="1">
        <f>LOOKUP(RIGHT(D65,5),Ref!$C$4:$C$21,Ref!$E$4:$E$21)*$G$3</f>
        <v>2</v>
      </c>
      <c r="H65" s="297">
        <f t="shared" si="24"/>
        <v>8.3985000000000003</v>
      </c>
      <c r="I65" s="5">
        <f t="shared" si="24"/>
        <v>8.3985000000000003</v>
      </c>
      <c r="J65" s="5">
        <f t="shared" si="24"/>
        <v>8.3985000000000003</v>
      </c>
      <c r="K65" s="5">
        <f t="shared" si="24"/>
        <v>8.3985000000000003</v>
      </c>
      <c r="L65" s="5">
        <f t="shared" si="24"/>
        <v>8.3985000000000003</v>
      </c>
      <c r="M65" s="5">
        <f t="shared" si="23"/>
        <v>8.7968061958817945</v>
      </c>
      <c r="N65" s="5">
        <f t="shared" si="23"/>
        <v>9.0355949249084127</v>
      </c>
      <c r="O65" s="5">
        <f t="shared" si="23"/>
        <v>9.3996257406027546</v>
      </c>
      <c r="P65" s="5">
        <f t="shared" si="23"/>
        <v>9.9306007616876837</v>
      </c>
      <c r="Q65" s="5">
        <f t="shared" si="23"/>
        <v>10.657204527375905</v>
      </c>
      <c r="R65" s="5">
        <f t="shared" si="23"/>
        <v>11.569275306901226</v>
      </c>
      <c r="S65" s="5">
        <f t="shared" si="23"/>
        <v>12.597750000000001</v>
      </c>
      <c r="T65" s="5">
        <f t="shared" si="23"/>
        <v>13.626224693098775</v>
      </c>
      <c r="U65" s="5">
        <f t="shared" si="23"/>
        <v>14.538295472624096</v>
      </c>
      <c r="V65" s="5">
        <f t="shared" si="23"/>
        <v>15.264899238312317</v>
      </c>
      <c r="W65" s="5">
        <f t="shared" si="23"/>
        <v>15.795874259397245</v>
      </c>
      <c r="X65" s="5">
        <f t="shared" si="23"/>
        <v>16.159905075091586</v>
      </c>
      <c r="Y65" s="5">
        <f t="shared" si="23"/>
        <v>16.398693804118206</v>
      </c>
      <c r="Z65" s="5">
        <f t="shared" si="23"/>
        <v>16.550821230034735</v>
      </c>
      <c r="AA65" s="5">
        <f t="shared" si="23"/>
        <v>16.645942815633376</v>
      </c>
      <c r="AB65" s="5">
        <f t="shared" si="23"/>
        <v>16.704726162316966</v>
      </c>
      <c r="AC65" s="5">
        <f t="shared" si="22"/>
        <v>16.740790091512395</v>
      </c>
      <c r="AD65" s="300">
        <f t="shared" si="25"/>
        <v>1.6364347328129141E-3</v>
      </c>
      <c r="AE65" s="299">
        <f t="shared" si="25"/>
        <v>1.6364347328129141E-3</v>
      </c>
      <c r="AF65" s="299">
        <f t="shared" si="25"/>
        <v>1.6364347328129141E-3</v>
      </c>
      <c r="AG65" s="299">
        <f t="shared" si="25"/>
        <v>1.6364347328129141E-3</v>
      </c>
      <c r="AH65" s="299">
        <f t="shared" si="25"/>
        <v>1.6364347328129141E-3</v>
      </c>
      <c r="AI65" s="299">
        <f t="shared" si="25"/>
        <v>1.5623394215463443E-3</v>
      </c>
      <c r="AJ65" s="299">
        <f t="shared" si="25"/>
        <v>1.5210506023950125E-3</v>
      </c>
      <c r="AK65" s="299">
        <f t="shared" si="25"/>
        <v>1.4621430132225612E-3</v>
      </c>
      <c r="AL65" s="299">
        <f t="shared" si="25"/>
        <v>1.3839643173001314E-3</v>
      </c>
      <c r="AM65" s="299">
        <f t="shared" si="25"/>
        <v>1.2896062066018461E-3</v>
      </c>
      <c r="AN65" s="299">
        <f t="shared" si="25"/>
        <v>1.1879393254070998E-3</v>
      </c>
      <c r="AO65" s="299">
        <f t="shared" si="25"/>
        <v>1.0909564885419427E-3</v>
      </c>
      <c r="AP65" s="299">
        <f t="shared" si="25"/>
        <v>1.0086137145888935E-3</v>
      </c>
      <c r="AQ65" s="299">
        <f t="shared" si="25"/>
        <v>9.4533758303432002E-4</v>
      </c>
      <c r="AR65" s="299">
        <f t="shared" si="25"/>
        <v>9.0033985085438055E-4</v>
      </c>
      <c r="AS65" s="299">
        <f t="shared" si="10"/>
        <v>8.7007511441495244E-4</v>
      </c>
      <c r="AT65" s="299">
        <f t="shared" si="10"/>
        <v>8.5047511353969799E-4</v>
      </c>
      <c r="AU65" s="299">
        <f t="shared" si="10"/>
        <v>8.3809096429849966E-4</v>
      </c>
      <c r="AV65" s="299">
        <f t="shared" si="10"/>
        <v>8.303876232188882E-4</v>
      </c>
      <c r="AW65" s="299">
        <f t="shared" si="20"/>
        <v>8.2564245568726095E-4</v>
      </c>
      <c r="AX65" s="299">
        <f t="shared" si="20"/>
        <v>8.2273704878398351E-4</v>
      </c>
      <c r="AY65" s="299">
        <f t="shared" si="20"/>
        <v>8.2096466345977798E-4</v>
      </c>
      <c r="AZ65" s="298">
        <f t="shared" si="26"/>
        <v>9.0592679560185477E-2</v>
      </c>
      <c r="BA65" s="1">
        <f t="shared" si="26"/>
        <v>9.0592679560185477E-2</v>
      </c>
      <c r="BB65" s="1">
        <f t="shared" si="26"/>
        <v>9.0592679560185477E-2</v>
      </c>
      <c r="BC65" s="1">
        <f t="shared" si="26"/>
        <v>9.0592679560185477E-2</v>
      </c>
      <c r="BD65" s="1">
        <f t="shared" si="26"/>
        <v>9.0592679560185477E-2</v>
      </c>
      <c r="BE65" s="1">
        <f t="shared" si="26"/>
        <v>8.6490778851352271E-2</v>
      </c>
      <c r="BF65" s="1">
        <f t="shared" si="26"/>
        <v>8.4205038584543437E-2</v>
      </c>
      <c r="BG65" s="1">
        <f t="shared" si="26"/>
        <v>8.09439269480349E-2</v>
      </c>
      <c r="BH65" s="1">
        <f t="shared" si="26"/>
        <v>7.661597093113974E-2</v>
      </c>
      <c r="BI65" s="1">
        <f t="shared" si="26"/>
        <v>7.1392325945494273E-2</v>
      </c>
      <c r="BJ65" s="1">
        <f t="shared" si="26"/>
        <v>6.5764068976071913E-2</v>
      </c>
      <c r="BK65" s="1">
        <f t="shared" si="26"/>
        <v>6.0395119706790318E-2</v>
      </c>
      <c r="BL65" s="1">
        <f t="shared" si="26"/>
        <v>5.5836641213729506E-2</v>
      </c>
      <c r="BM65" s="1">
        <f t="shared" si="26"/>
        <v>5.2333687997943072E-2</v>
      </c>
      <c r="BN65" s="1">
        <f t="shared" si="26"/>
        <v>4.9842623092894799E-2</v>
      </c>
      <c r="BO65" s="1">
        <f t="shared" si="11"/>
        <v>4.816717370572756E-2</v>
      </c>
      <c r="BP65" s="1">
        <f t="shared" si="11"/>
        <v>4.7082121816356383E-2</v>
      </c>
      <c r="BQ65" s="1">
        <f t="shared" si="11"/>
        <v>4.6396537942256552E-2</v>
      </c>
      <c r="BR65" s="1">
        <f t="shared" si="11"/>
        <v>4.597008261472358E-2</v>
      </c>
      <c r="BS65" s="1">
        <f t="shared" si="21"/>
        <v>4.5707391147088224E-2</v>
      </c>
      <c r="BT65" s="1">
        <f t="shared" si="21"/>
        <v>4.5546548437444601E-2</v>
      </c>
      <c r="BU65" s="1">
        <f t="shared" si="21"/>
        <v>4.5448429561993381E-2</v>
      </c>
    </row>
    <row r="66" spans="1:73" x14ac:dyDescent="0.25">
      <c r="A66" s="1" t="s">
        <v>23</v>
      </c>
      <c r="B66" s="1" t="s">
        <v>5</v>
      </c>
      <c r="C66" s="1" t="s">
        <v>15</v>
      </c>
      <c r="D66" s="1" t="s">
        <v>15</v>
      </c>
      <c r="E66" s="5">
        <v>8.8852499999999992</v>
      </c>
      <c r="F66" s="1">
        <f t="shared" si="7"/>
        <v>2.1768862499999996E-2</v>
      </c>
      <c r="G66" s="1">
        <f>LOOKUP(RIGHT(D66,5),Ref!$C$4:$C$21,Ref!$E$4:$E$21)*$G$3</f>
        <v>2.5</v>
      </c>
      <c r="H66" s="297">
        <f t="shared" si="24"/>
        <v>8.8852499999999992</v>
      </c>
      <c r="I66" s="5">
        <f t="shared" si="24"/>
        <v>8.8852499999999992</v>
      </c>
      <c r="J66" s="5">
        <f t="shared" si="24"/>
        <v>8.8852499999999992</v>
      </c>
      <c r="K66" s="5">
        <f t="shared" si="24"/>
        <v>8.8852499999999992</v>
      </c>
      <c r="L66" s="5">
        <f t="shared" si="24"/>
        <v>8.8852499999999992</v>
      </c>
      <c r="M66" s="5">
        <f t="shared" si="23"/>
        <v>9.3066407396509749</v>
      </c>
      <c r="N66" s="5">
        <f t="shared" si="23"/>
        <v>9.5592688940337531</v>
      </c>
      <c r="O66" s="5">
        <f t="shared" si="23"/>
        <v>9.9443977628970188</v>
      </c>
      <c r="P66" s="5">
        <f t="shared" si="23"/>
        <v>10.506146385400427</v>
      </c>
      <c r="Q66" s="5">
        <f t="shared" si="23"/>
        <v>11.274861764227749</v>
      </c>
      <c r="R66" s="5">
        <f t="shared" si="23"/>
        <v>12.239793227438721</v>
      </c>
      <c r="S66" s="5">
        <f t="shared" si="23"/>
        <v>13.327874999999999</v>
      </c>
      <c r="T66" s="5">
        <f t="shared" si="23"/>
        <v>14.415956772561277</v>
      </c>
      <c r="U66" s="5">
        <f t="shared" si="23"/>
        <v>15.380888235772249</v>
      </c>
      <c r="V66" s="5">
        <f t="shared" si="23"/>
        <v>16.14960361459957</v>
      </c>
      <c r="W66" s="5">
        <f t="shared" si="23"/>
        <v>16.711352237102975</v>
      </c>
      <c r="X66" s="5">
        <f t="shared" si="23"/>
        <v>17.096481105966244</v>
      </c>
      <c r="Y66" s="5">
        <f t="shared" si="23"/>
        <v>17.349109260349024</v>
      </c>
      <c r="Z66" s="5">
        <f t="shared" si="23"/>
        <v>17.510053501716509</v>
      </c>
      <c r="AA66" s="5">
        <f t="shared" si="23"/>
        <v>17.610688027934323</v>
      </c>
      <c r="AB66" s="5">
        <f t="shared" si="23"/>
        <v>17.672878267991521</v>
      </c>
      <c r="AC66" s="5">
        <f t="shared" si="22"/>
        <v>17.711032346324998</v>
      </c>
      <c r="AD66" s="300">
        <f t="shared" si="25"/>
        <v>1.5467878904396905E-3</v>
      </c>
      <c r="AE66" s="299">
        <f t="shared" si="25"/>
        <v>1.5467878904396905E-3</v>
      </c>
      <c r="AF66" s="299">
        <f t="shared" si="25"/>
        <v>1.5467878904396905E-3</v>
      </c>
      <c r="AG66" s="299">
        <f t="shared" si="25"/>
        <v>1.5467878904396905E-3</v>
      </c>
      <c r="AH66" s="299">
        <f t="shared" si="25"/>
        <v>1.5467878904396905E-3</v>
      </c>
      <c r="AI66" s="299">
        <f t="shared" si="25"/>
        <v>1.4767516537921804E-3</v>
      </c>
      <c r="AJ66" s="299">
        <f t="shared" si="25"/>
        <v>1.4377247105275049E-3</v>
      </c>
      <c r="AK66" s="299">
        <f t="shared" si="25"/>
        <v>1.3820441852001556E-3</v>
      </c>
      <c r="AL66" s="299">
        <f t="shared" si="25"/>
        <v>1.3081482590636339E-3</v>
      </c>
      <c r="AM66" s="299">
        <f t="shared" si="25"/>
        <v>1.2189592556366567E-3</v>
      </c>
      <c r="AN66" s="299">
        <f t="shared" si="25"/>
        <v>1.1228618693263025E-3</v>
      </c>
      <c r="AO66" s="299">
        <f t="shared" si="25"/>
        <v>1.0311919269597937E-3</v>
      </c>
      <c r="AP66" s="299">
        <f t="shared" si="25"/>
        <v>9.5336003848792345E-4</v>
      </c>
      <c r="AQ66" s="299">
        <f t="shared" si="25"/>
        <v>8.935502873991995E-4</v>
      </c>
      <c r="AR66" s="299">
        <f t="shared" si="25"/>
        <v>8.5101761204248801E-4</v>
      </c>
      <c r="AS66" s="299">
        <f t="shared" si="10"/>
        <v>8.2241083238107865E-4</v>
      </c>
      <c r="AT66" s="299">
        <f t="shared" si="10"/>
        <v>8.0388455485925039E-4</v>
      </c>
      <c r="AU66" s="299">
        <f t="shared" si="10"/>
        <v>7.921788316210518E-4</v>
      </c>
      <c r="AV66" s="299">
        <f t="shared" si="10"/>
        <v>7.8489749344180901E-4</v>
      </c>
      <c r="AW66" s="299">
        <f t="shared" si="20"/>
        <v>7.8041227473503428E-4</v>
      </c>
      <c r="AX66" s="299">
        <f t="shared" si="20"/>
        <v>7.7766603125542749E-4</v>
      </c>
      <c r="AY66" s="299">
        <f t="shared" si="20"/>
        <v>7.7599074039187937E-4</v>
      </c>
      <c r="AZ66" s="298">
        <f t="shared" si="26"/>
        <v>8.5629849389293244E-2</v>
      </c>
      <c r="BA66" s="1">
        <f t="shared" si="26"/>
        <v>8.5629849389293244E-2</v>
      </c>
      <c r="BB66" s="1">
        <f t="shared" si="26"/>
        <v>8.5629849389293244E-2</v>
      </c>
      <c r="BC66" s="1">
        <f t="shared" si="26"/>
        <v>8.5629849389293244E-2</v>
      </c>
      <c r="BD66" s="1">
        <f t="shared" si="26"/>
        <v>8.5629849389293244E-2</v>
      </c>
      <c r="BE66" s="1">
        <f t="shared" si="26"/>
        <v>8.1752658190043279E-2</v>
      </c>
      <c r="BF66" s="1">
        <f t="shared" si="26"/>
        <v>7.9592134892353963E-2</v>
      </c>
      <c r="BG66" s="1">
        <f t="shared" si="26"/>
        <v>7.6509672825533462E-2</v>
      </c>
      <c r="BH66" s="1">
        <f t="shared" si="26"/>
        <v>7.2418810035190587E-2</v>
      </c>
      <c r="BI66" s="1">
        <f t="shared" si="26"/>
        <v>6.7481325731210004E-2</v>
      </c>
      <c r="BJ66" s="1">
        <f t="shared" si="26"/>
        <v>6.2161394816751363E-2</v>
      </c>
      <c r="BK66" s="1">
        <f t="shared" si="26"/>
        <v>5.7086566259528834E-2</v>
      </c>
      <c r="BL66" s="1">
        <f t="shared" si="26"/>
        <v>5.2777809429504774E-2</v>
      </c>
      <c r="BM66" s="1">
        <f t="shared" si="26"/>
        <v>4.9466754300748428E-2</v>
      </c>
      <c r="BN66" s="1">
        <f t="shared" si="26"/>
        <v>4.7112154418353681E-2</v>
      </c>
      <c r="BO66" s="1">
        <f t="shared" si="11"/>
        <v>4.5528489166602293E-2</v>
      </c>
      <c r="BP66" s="1">
        <f t="shared" si="11"/>
        <v>4.4502878374234729E-2</v>
      </c>
      <c r="BQ66" s="1">
        <f t="shared" si="11"/>
        <v>4.3854852019700255E-2</v>
      </c>
      <c r="BR66" s="1">
        <f t="shared" si="11"/>
        <v>4.3451758683183489E-2</v>
      </c>
      <c r="BS66" s="1">
        <f t="shared" si="21"/>
        <v>4.320345792733131E-2</v>
      </c>
      <c r="BT66" s="1">
        <f t="shared" si="21"/>
        <v>4.3051426471047927E-2</v>
      </c>
      <c r="BU66" s="1">
        <f t="shared" si="21"/>
        <v>4.2958682724335437E-2</v>
      </c>
    </row>
    <row r="67" spans="1:73" x14ac:dyDescent="0.25">
      <c r="A67" s="1" t="s">
        <v>23</v>
      </c>
      <c r="B67" s="1" t="s">
        <v>5</v>
      </c>
      <c r="C67" s="1" t="s">
        <v>16</v>
      </c>
      <c r="D67" s="1" t="s">
        <v>16</v>
      </c>
      <c r="E67" s="5">
        <v>8.0437499999999993</v>
      </c>
      <c r="F67" s="1">
        <f t="shared" si="7"/>
        <v>1.9707187500000001E-2</v>
      </c>
      <c r="G67" s="1">
        <f>LOOKUP(RIGHT(D67,5),Ref!$C$4:$C$21,Ref!$E$4:$E$21)*$G$3</f>
        <v>3</v>
      </c>
      <c r="H67" s="297">
        <f t="shared" si="24"/>
        <v>8.0437499999999993</v>
      </c>
      <c r="I67" s="5">
        <f t="shared" si="24"/>
        <v>8.0437499999999993</v>
      </c>
      <c r="J67" s="5">
        <f t="shared" si="24"/>
        <v>8.0437499999999993</v>
      </c>
      <c r="K67" s="5">
        <f t="shared" si="24"/>
        <v>8.0437499999999993</v>
      </c>
      <c r="L67" s="5">
        <f t="shared" si="24"/>
        <v>8.0437499999999993</v>
      </c>
      <c r="M67" s="5">
        <f t="shared" si="23"/>
        <v>8.4252318673720517</v>
      </c>
      <c r="N67" s="5">
        <f t="shared" si="23"/>
        <v>8.6539342355458757</v>
      </c>
      <c r="O67" s="5">
        <f t="shared" si="23"/>
        <v>9.0025885040154066</v>
      </c>
      <c r="P67" s="5">
        <f t="shared" si="23"/>
        <v>9.5111353071173781</v>
      </c>
      <c r="Q67" s="5">
        <f t="shared" si="23"/>
        <v>10.207047558144899</v>
      </c>
      <c r="R67" s="5">
        <f t="shared" si="23"/>
        <v>11.080592754645082</v>
      </c>
      <c r="S67" s="5">
        <f t="shared" si="23"/>
        <v>12.065624999999999</v>
      </c>
      <c r="T67" s="5">
        <f t="shared" si="23"/>
        <v>13.050657245354916</v>
      </c>
      <c r="U67" s="5">
        <f t="shared" si="23"/>
        <v>13.924202441855099</v>
      </c>
      <c r="V67" s="5">
        <f t="shared" si="23"/>
        <v>14.62011469288262</v>
      </c>
      <c r="W67" s="5">
        <f t="shared" si="23"/>
        <v>15.128661495984588</v>
      </c>
      <c r="X67" s="5">
        <f t="shared" si="23"/>
        <v>15.477315764454122</v>
      </c>
      <c r="Y67" s="5">
        <f t="shared" si="23"/>
        <v>15.706018132627946</v>
      </c>
      <c r="Z67" s="5">
        <f t="shared" si="23"/>
        <v>15.851719743893776</v>
      </c>
      <c r="AA67" s="5">
        <f t="shared" si="23"/>
        <v>15.942823423617424</v>
      </c>
      <c r="AB67" s="5">
        <f t="shared" si="23"/>
        <v>15.999123780215166</v>
      </c>
      <c r="AC67" s="5">
        <f t="shared" si="22"/>
        <v>16.033664380377783</v>
      </c>
      <c r="AD67" s="300">
        <f t="shared" si="25"/>
        <v>1.7086057005164582E-3</v>
      </c>
      <c r="AE67" s="299">
        <f t="shared" si="25"/>
        <v>1.7086057005164582E-3</v>
      </c>
      <c r="AF67" s="299">
        <f t="shared" si="25"/>
        <v>1.7086057005164582E-3</v>
      </c>
      <c r="AG67" s="299">
        <f t="shared" si="25"/>
        <v>1.7086057005164582E-3</v>
      </c>
      <c r="AH67" s="299">
        <f t="shared" si="25"/>
        <v>1.7086057005164582E-3</v>
      </c>
      <c r="AI67" s="299">
        <f t="shared" si="25"/>
        <v>1.6312425960350551E-3</v>
      </c>
      <c r="AJ67" s="299">
        <f t="shared" si="25"/>
        <v>1.5881328340903826E-3</v>
      </c>
      <c r="AK67" s="299">
        <f t="shared" si="25"/>
        <v>1.5266272691903256E-3</v>
      </c>
      <c r="AL67" s="299">
        <f t="shared" si="25"/>
        <v>1.4450006923195219E-3</v>
      </c>
      <c r="AM67" s="299">
        <f t="shared" si="25"/>
        <v>1.3464811469955686E-3</v>
      </c>
      <c r="AN67" s="299">
        <f t="shared" si="25"/>
        <v>1.2403304956558235E-3</v>
      </c>
      <c r="AO67" s="299">
        <f t="shared" si="25"/>
        <v>1.1390704670109721E-3</v>
      </c>
      <c r="AP67" s="299">
        <f t="shared" si="25"/>
        <v>1.0530961655912754E-3</v>
      </c>
      <c r="AQ67" s="299">
        <f t="shared" si="25"/>
        <v>9.8702939438865427E-4</v>
      </c>
      <c r="AR67" s="299">
        <f t="shared" si="25"/>
        <v>9.4004714684077907E-4</v>
      </c>
      <c r="AS67" s="299">
        <f t="shared" si="10"/>
        <v>9.084476579224838E-4</v>
      </c>
      <c r="AT67" s="299">
        <f t="shared" si="10"/>
        <v>8.8798324675221812E-4</v>
      </c>
      <c r="AU67" s="299">
        <f t="shared" si="10"/>
        <v>8.7505292477525417E-4</v>
      </c>
      <c r="AV67" s="299">
        <f t="shared" si="10"/>
        <v>8.6700984660187527E-4</v>
      </c>
      <c r="AW67" s="299">
        <f t="shared" si="20"/>
        <v>8.6205540501500702E-4</v>
      </c>
      <c r="AX67" s="299">
        <f t="shared" si="20"/>
        <v>8.5902186221753366E-4</v>
      </c>
      <c r="AY67" s="299">
        <f t="shared" si="20"/>
        <v>8.57171310155953E-4</v>
      </c>
      <c r="AZ67" s="298">
        <f t="shared" si="26"/>
        <v>9.4588049017711617E-2</v>
      </c>
      <c r="BA67" s="1">
        <f t="shared" si="26"/>
        <v>9.4588049017711617E-2</v>
      </c>
      <c r="BB67" s="1">
        <f t="shared" si="26"/>
        <v>9.4588049017711617E-2</v>
      </c>
      <c r="BC67" s="1">
        <f t="shared" si="26"/>
        <v>9.4588049017711617E-2</v>
      </c>
      <c r="BD67" s="1">
        <f t="shared" si="26"/>
        <v>9.4588049017711617E-2</v>
      </c>
      <c r="BE67" s="1">
        <f t="shared" si="26"/>
        <v>9.0305243969924745E-2</v>
      </c>
      <c r="BF67" s="1">
        <f t="shared" si="26"/>
        <v>8.7918696696477158E-2</v>
      </c>
      <c r="BG67" s="1">
        <f t="shared" si="26"/>
        <v>8.4513761674973889E-2</v>
      </c>
      <c r="BH67" s="1">
        <f t="shared" si="26"/>
        <v>7.9994931700410526E-2</v>
      </c>
      <c r="BI67" s="1">
        <f t="shared" si="26"/>
        <v>7.4540910576936584E-2</v>
      </c>
      <c r="BJ67" s="1">
        <f t="shared" si="26"/>
        <v>6.8664433043734582E-2</v>
      </c>
      <c r="BK67" s="1">
        <f t="shared" si="26"/>
        <v>6.3058699345141078E-2</v>
      </c>
      <c r="BL67" s="1">
        <f t="shared" si="26"/>
        <v>5.8299180262129893E-2</v>
      </c>
      <c r="BM67" s="1">
        <f t="shared" si="26"/>
        <v>5.464173782759596E-2</v>
      </c>
      <c r="BN67" s="1">
        <f t="shared" si="26"/>
        <v>5.2040810572889146E-2</v>
      </c>
      <c r="BO67" s="1">
        <f t="shared" si="11"/>
        <v>5.0291469571723764E-2</v>
      </c>
      <c r="BP67" s="1">
        <f t="shared" si="11"/>
        <v>4.9158564111846971E-2</v>
      </c>
      <c r="BQ67" s="1">
        <f t="shared" si="11"/>
        <v>4.8442744230991971E-2</v>
      </c>
      <c r="BR67" s="1">
        <f t="shared" si="11"/>
        <v>4.7997481130039606E-2</v>
      </c>
      <c r="BS67" s="1">
        <f t="shared" si="21"/>
        <v>4.7723204295113661E-2</v>
      </c>
      <c r="BT67" s="1">
        <f t="shared" si="21"/>
        <v>4.7555268009557554E-2</v>
      </c>
      <c r="BU67" s="1">
        <f t="shared" si="21"/>
        <v>4.7452821840112069E-2</v>
      </c>
    </row>
    <row r="68" spans="1:73" x14ac:dyDescent="0.25">
      <c r="A68" s="1" t="s">
        <v>23</v>
      </c>
      <c r="B68" s="1" t="s">
        <v>5</v>
      </c>
      <c r="C68" s="1" t="s">
        <v>17</v>
      </c>
      <c r="D68" s="1" t="s">
        <v>17</v>
      </c>
      <c r="E68" s="5">
        <v>7.7384999999999993</v>
      </c>
      <c r="F68" s="1">
        <f t="shared" si="7"/>
        <v>1.8959324999999999E-2</v>
      </c>
      <c r="G68" s="1">
        <f>LOOKUP(RIGHT(D68,5),Ref!$C$4:$C$21,Ref!$E$4:$E$21)*$G$3</f>
        <v>3</v>
      </c>
      <c r="H68" s="297">
        <f t="shared" si="24"/>
        <v>7.7384999999999993</v>
      </c>
      <c r="I68" s="5">
        <f t="shared" si="24"/>
        <v>7.7384999999999993</v>
      </c>
      <c r="J68" s="5">
        <f t="shared" si="24"/>
        <v>7.7384999999999993</v>
      </c>
      <c r="K68" s="5">
        <f t="shared" si="24"/>
        <v>7.7384999999999993</v>
      </c>
      <c r="L68" s="5">
        <f t="shared" si="24"/>
        <v>7.7384999999999993</v>
      </c>
      <c r="M68" s="5">
        <f t="shared" si="23"/>
        <v>8.1055051195845991</v>
      </c>
      <c r="N68" s="5">
        <f t="shared" si="23"/>
        <v>8.3255285260943914</v>
      </c>
      <c r="O68" s="5">
        <f t="shared" si="23"/>
        <v>8.6609518120681557</v>
      </c>
      <c r="P68" s="5">
        <f t="shared" si="23"/>
        <v>9.1501999159754881</v>
      </c>
      <c r="Q68" s="5">
        <f t="shared" si="23"/>
        <v>9.8197031892717064</v>
      </c>
      <c r="R68" s="5">
        <f t="shared" si="23"/>
        <v>10.660098465494448</v>
      </c>
      <c r="S68" s="5">
        <f t="shared" si="23"/>
        <v>11.607749999999999</v>
      </c>
      <c r="T68" s="5">
        <f t="shared" si="23"/>
        <v>12.555401534505549</v>
      </c>
      <c r="U68" s="5">
        <f t="shared" si="23"/>
        <v>13.395796810728291</v>
      </c>
      <c r="V68" s="5">
        <f t="shared" si="23"/>
        <v>14.065300084024511</v>
      </c>
      <c r="W68" s="5">
        <f t="shared" si="23"/>
        <v>14.554548187931839</v>
      </c>
      <c r="X68" s="5">
        <f t="shared" si="23"/>
        <v>14.889971473905605</v>
      </c>
      <c r="Y68" s="5">
        <f t="shared" si="23"/>
        <v>15.109994880415398</v>
      </c>
      <c r="Z68" s="5">
        <f t="shared" si="23"/>
        <v>15.250167302330627</v>
      </c>
      <c r="AA68" s="5">
        <f t="shared" si="23"/>
        <v>15.337813714208353</v>
      </c>
      <c r="AB68" s="5">
        <f t="shared" ref="AB68:AC83" si="27">AB$3*$E68</f>
        <v>15.391977544453153</v>
      </c>
      <c r="AC68" s="5">
        <f t="shared" si="27"/>
        <v>15.42520737312242</v>
      </c>
      <c r="AD68" s="300">
        <f t="shared" si="25"/>
        <v>1.7760027270826725E-3</v>
      </c>
      <c r="AE68" s="299">
        <f t="shared" si="25"/>
        <v>1.7760027270826725E-3</v>
      </c>
      <c r="AF68" s="299">
        <f t="shared" si="25"/>
        <v>1.7760027270826725E-3</v>
      </c>
      <c r="AG68" s="299">
        <f t="shared" si="25"/>
        <v>1.7760027270826725E-3</v>
      </c>
      <c r="AH68" s="299">
        <f t="shared" si="25"/>
        <v>1.7760027270826725E-3</v>
      </c>
      <c r="AI68" s="299">
        <f t="shared" si="25"/>
        <v>1.6955879862837727E-3</v>
      </c>
      <c r="AJ68" s="299">
        <f t="shared" si="25"/>
        <v>1.6507777326632441E-3</v>
      </c>
      <c r="AK68" s="299">
        <f t="shared" si="25"/>
        <v>1.5868460420688352E-3</v>
      </c>
      <c r="AL68" s="299">
        <f t="shared" si="25"/>
        <v>1.5019996535304198E-3</v>
      </c>
      <c r="AM68" s="299">
        <f t="shared" si="25"/>
        <v>1.3995939427725794E-3</v>
      </c>
      <c r="AN68" s="299">
        <f t="shared" si="25"/>
        <v>1.2892561122222045E-3</v>
      </c>
      <c r="AO68" s="299">
        <f t="shared" si="25"/>
        <v>1.184001818055115E-3</v>
      </c>
      <c r="AP68" s="299">
        <f t="shared" si="25"/>
        <v>1.0946362062382662E-3</v>
      </c>
      <c r="AQ68" s="299">
        <f t="shared" si="25"/>
        <v>1.0259633896896993E-3</v>
      </c>
      <c r="AR68" s="299">
        <f t="shared" si="25"/>
        <v>9.7712789783556452E-4</v>
      </c>
      <c r="AS68" s="299">
        <f t="shared" si="10"/>
        <v>9.4428194720087605E-4</v>
      </c>
      <c r="AT68" s="299">
        <f t="shared" si="10"/>
        <v>9.2301030445992823E-4</v>
      </c>
      <c r="AU68" s="299">
        <f t="shared" si="10"/>
        <v>9.0956993779943798E-4</v>
      </c>
      <c r="AV68" s="299">
        <f t="shared" si="10"/>
        <v>9.0120959534843107E-4</v>
      </c>
      <c r="AW68" s="299">
        <f t="shared" si="20"/>
        <v>8.9605972269683558E-4</v>
      </c>
      <c r="AX68" s="299">
        <f t="shared" si="20"/>
        <v>8.9290651989562412E-4</v>
      </c>
      <c r="AY68" s="299">
        <f t="shared" si="20"/>
        <v>8.90982971643981E-4</v>
      </c>
      <c r="AZ68" s="298">
        <f t="shared" si="26"/>
        <v>9.8319134106896411E-2</v>
      </c>
      <c r="BA68" s="1">
        <f t="shared" si="26"/>
        <v>9.8319134106896411E-2</v>
      </c>
      <c r="BB68" s="1">
        <f t="shared" si="26"/>
        <v>9.8319134106896411E-2</v>
      </c>
      <c r="BC68" s="1">
        <f t="shared" si="26"/>
        <v>9.8319134106896411E-2</v>
      </c>
      <c r="BD68" s="1">
        <f t="shared" si="26"/>
        <v>9.8319134106896411E-2</v>
      </c>
      <c r="BE68" s="1">
        <f t="shared" si="26"/>
        <v>9.3867391120124336E-2</v>
      </c>
      <c r="BF68" s="1">
        <f t="shared" si="26"/>
        <v>9.1386704988342463E-2</v>
      </c>
      <c r="BG68" s="1">
        <f t="shared" si="26"/>
        <v>8.7847460163219121E-2</v>
      </c>
      <c r="BH68" s="1">
        <f t="shared" si="26"/>
        <v>8.3150382097974693E-2</v>
      </c>
      <c r="BI68" s="1">
        <f t="shared" si="26"/>
        <v>7.7481223680717665E-2</v>
      </c>
      <c r="BJ68" s="1">
        <f t="shared" si="26"/>
        <v>7.1372944794926674E-2</v>
      </c>
      <c r="BK68" s="1">
        <f t="shared" si="26"/>
        <v>6.5546089404597607E-2</v>
      </c>
      <c r="BL68" s="1">
        <f t="shared" si="26"/>
        <v>6.0598828097629689E-2</v>
      </c>
      <c r="BM68" s="1">
        <f t="shared" si="26"/>
        <v>5.6797115545742065E-2</v>
      </c>
      <c r="BN68" s="1">
        <f t="shared" si="26"/>
        <v>5.4093593079495642E-2</v>
      </c>
      <c r="BO68" s="1">
        <f t="shared" si="11"/>
        <v>5.2275248222207533E-2</v>
      </c>
      <c r="BP68" s="1">
        <f t="shared" si="11"/>
        <v>5.1097654593870792E-2</v>
      </c>
      <c r="BQ68" s="1">
        <f t="shared" si="11"/>
        <v>5.0353598747566286E-2</v>
      </c>
      <c r="BR68" s="1">
        <f t="shared" si="11"/>
        <v>4.9890771963527307E-2</v>
      </c>
      <c r="BS68" s="1">
        <f t="shared" si="21"/>
        <v>4.9605676106328163E-2</v>
      </c>
      <c r="BT68" s="1">
        <f t="shared" si="21"/>
        <v>4.9431115468356733E-2</v>
      </c>
      <c r="BU68" s="1">
        <f t="shared" si="21"/>
        <v>4.9324628245319045E-2</v>
      </c>
    </row>
    <row r="69" spans="1:73" x14ac:dyDescent="0.25">
      <c r="A69" s="1" t="s">
        <v>23</v>
      </c>
      <c r="B69" s="1" t="s">
        <v>5</v>
      </c>
      <c r="C69" s="1" t="s">
        <v>18</v>
      </c>
      <c r="D69" s="1" t="s">
        <v>18</v>
      </c>
      <c r="E69" s="5">
        <v>8.0024999999999995</v>
      </c>
      <c r="F69" s="1">
        <f t="shared" si="7"/>
        <v>1.9606124999999999E-2</v>
      </c>
      <c r="G69" s="1">
        <f>LOOKUP(RIGHT(D69,5),Ref!$C$4:$C$21,Ref!$E$4:$E$21)*$G$3</f>
        <v>3</v>
      </c>
      <c r="H69" s="297">
        <f t="shared" si="24"/>
        <v>8.0024999999999995</v>
      </c>
      <c r="I69" s="5">
        <f t="shared" si="24"/>
        <v>8.0024999999999995</v>
      </c>
      <c r="J69" s="5">
        <f t="shared" si="24"/>
        <v>8.0024999999999995</v>
      </c>
      <c r="K69" s="5">
        <f t="shared" si="24"/>
        <v>8.0024999999999995</v>
      </c>
      <c r="L69" s="5">
        <f t="shared" si="24"/>
        <v>8.0024999999999995</v>
      </c>
      <c r="M69" s="5">
        <f t="shared" ref="M69:AB84" si="28">M$3*$E69</f>
        <v>8.3820255501034779</v>
      </c>
      <c r="N69" s="5">
        <f t="shared" si="28"/>
        <v>8.6095550856200003</v>
      </c>
      <c r="O69" s="5">
        <f t="shared" si="28"/>
        <v>8.9564213834819952</v>
      </c>
      <c r="P69" s="5">
        <f t="shared" si="28"/>
        <v>9.462360254260366</v>
      </c>
      <c r="Q69" s="5">
        <f t="shared" si="28"/>
        <v>10.154703724513386</v>
      </c>
      <c r="R69" s="5">
        <f t="shared" si="28"/>
        <v>11.023769202057158</v>
      </c>
      <c r="S69" s="5">
        <f t="shared" si="28"/>
        <v>12.00375</v>
      </c>
      <c r="T69" s="5">
        <f t="shared" si="28"/>
        <v>12.98373079794284</v>
      </c>
      <c r="U69" s="5">
        <f t="shared" si="28"/>
        <v>13.852796275486613</v>
      </c>
      <c r="V69" s="5">
        <f t="shared" si="28"/>
        <v>14.545139745739633</v>
      </c>
      <c r="W69" s="5">
        <f t="shared" si="28"/>
        <v>15.051078616518001</v>
      </c>
      <c r="X69" s="5">
        <f t="shared" si="28"/>
        <v>15.397944914379998</v>
      </c>
      <c r="Y69" s="5">
        <f t="shared" si="28"/>
        <v>15.625474449896521</v>
      </c>
      <c r="Z69" s="5">
        <f t="shared" si="28"/>
        <v>15.770428873412271</v>
      </c>
      <c r="AA69" s="5">
        <f t="shared" si="28"/>
        <v>15.861065354778361</v>
      </c>
      <c r="AB69" s="5">
        <f t="shared" si="28"/>
        <v>15.917076991598679</v>
      </c>
      <c r="AC69" s="5">
        <f t="shared" si="27"/>
        <v>15.951440460478411</v>
      </c>
      <c r="AD69" s="300">
        <f t="shared" si="25"/>
        <v>1.7174129463954091E-3</v>
      </c>
      <c r="AE69" s="299">
        <f t="shared" si="25"/>
        <v>1.7174129463954091E-3</v>
      </c>
      <c r="AF69" s="299">
        <f t="shared" si="25"/>
        <v>1.7174129463954091E-3</v>
      </c>
      <c r="AG69" s="299">
        <f t="shared" si="25"/>
        <v>1.7174129463954091E-3</v>
      </c>
      <c r="AH69" s="299">
        <f t="shared" si="25"/>
        <v>1.7174129463954091E-3</v>
      </c>
      <c r="AI69" s="299">
        <f t="shared" si="25"/>
        <v>1.6396510630249262E-3</v>
      </c>
      <c r="AJ69" s="299">
        <f t="shared" si="25"/>
        <v>1.5963190858124976E-3</v>
      </c>
      <c r="AK69" s="299">
        <f t="shared" si="25"/>
        <v>1.5344964819181107E-3</v>
      </c>
      <c r="AL69" s="299">
        <f t="shared" si="25"/>
        <v>1.4524491494964267E-3</v>
      </c>
      <c r="AM69" s="299">
        <f t="shared" si="25"/>
        <v>1.3534217714646179E-3</v>
      </c>
      <c r="AN69" s="299">
        <f t="shared" si="25"/>
        <v>1.2467239518189977E-3</v>
      </c>
      <c r="AO69" s="299">
        <f t="shared" si="25"/>
        <v>1.1449419642636058E-3</v>
      </c>
      <c r="AP69" s="299">
        <f t="shared" si="25"/>
        <v>1.0585244963417458E-3</v>
      </c>
      <c r="AQ69" s="299">
        <f t="shared" si="25"/>
        <v>9.9211717477210091E-4</v>
      </c>
      <c r="AR69" s="299">
        <f t="shared" si="25"/>
        <v>9.4489275069047378E-4</v>
      </c>
      <c r="AS69" s="299">
        <f t="shared" si="10"/>
        <v>9.1313037780868219E-4</v>
      </c>
      <c r="AT69" s="299">
        <f t="shared" si="10"/>
        <v>8.925604799828996E-4</v>
      </c>
      <c r="AU69" s="299">
        <f t="shared" si="10"/>
        <v>8.7956350686172456E-4</v>
      </c>
      <c r="AV69" s="299">
        <f t="shared" si="10"/>
        <v>8.7147896952250337E-4</v>
      </c>
      <c r="AW69" s="299">
        <f t="shared" si="20"/>
        <v>8.6649898957693997E-4</v>
      </c>
      <c r="AX69" s="299">
        <f t="shared" si="20"/>
        <v>8.6344980996092306E-4</v>
      </c>
      <c r="AY69" s="299">
        <f t="shared" si="20"/>
        <v>8.6158971897118972E-4</v>
      </c>
      <c r="AZ69" s="298">
        <f t="shared" si="26"/>
        <v>9.5075616280689515E-2</v>
      </c>
      <c r="BA69" s="1">
        <f t="shared" si="26"/>
        <v>9.5075616280689515E-2</v>
      </c>
      <c r="BB69" s="1">
        <f t="shared" si="26"/>
        <v>9.5075616280689515E-2</v>
      </c>
      <c r="BC69" s="1">
        <f t="shared" si="26"/>
        <v>9.5075616280689515E-2</v>
      </c>
      <c r="BD69" s="1">
        <f t="shared" si="26"/>
        <v>9.5075616280689515E-2</v>
      </c>
      <c r="BE69" s="1">
        <f t="shared" si="26"/>
        <v>9.0770734918223323E-2</v>
      </c>
      <c r="BF69" s="1">
        <f t="shared" si="26"/>
        <v>8.8371885854706414E-2</v>
      </c>
      <c r="BG69" s="1">
        <f t="shared" si="26"/>
        <v>8.4949399621752089E-2</v>
      </c>
      <c r="BH69" s="1">
        <f t="shared" si="26"/>
        <v>8.0407276709175524E-2</v>
      </c>
      <c r="BI69" s="1">
        <f t="shared" si="26"/>
        <v>7.4925142074755841E-2</v>
      </c>
      <c r="BJ69" s="1">
        <f t="shared" si="26"/>
        <v>6.9018373420248677E-2</v>
      </c>
      <c r="BK69" s="1">
        <f t="shared" si="26"/>
        <v>6.3383744187126334E-2</v>
      </c>
      <c r="BL69" s="1">
        <f t="shared" si="26"/>
        <v>5.8599691500594478E-2</v>
      </c>
      <c r="BM69" s="1">
        <f t="shared" si="26"/>
        <v>5.4923396270006239E-2</v>
      </c>
      <c r="BN69" s="1">
        <f t="shared" si="26"/>
        <v>5.2309062173780327E-2</v>
      </c>
      <c r="BO69" s="1">
        <f t="shared" si="11"/>
        <v>5.0550703950959446E-2</v>
      </c>
      <c r="BP69" s="1">
        <f t="shared" si="11"/>
        <v>4.9411958772217317E-2</v>
      </c>
      <c r="BQ69" s="1">
        <f t="shared" si="11"/>
        <v>4.8692449098162033E-2</v>
      </c>
      <c r="BR69" s="1">
        <f t="shared" si="11"/>
        <v>4.8244890826586194E-2</v>
      </c>
      <c r="BS69" s="1">
        <f t="shared" si="21"/>
        <v>4.7969200193542082E-2</v>
      </c>
      <c r="BT69" s="1">
        <f t="shared" si="21"/>
        <v>4.7800398257029496E-2</v>
      </c>
      <c r="BU69" s="1">
        <f t="shared" si="21"/>
        <v>4.7697424014545631E-2</v>
      </c>
    </row>
    <row r="70" spans="1:73" x14ac:dyDescent="0.25">
      <c r="A70" s="1" t="s">
        <v>23</v>
      </c>
      <c r="B70" s="1" t="s">
        <v>5</v>
      </c>
      <c r="C70" s="1" t="s">
        <v>9</v>
      </c>
      <c r="D70" s="1" t="s">
        <v>9</v>
      </c>
      <c r="E70" s="5">
        <v>8.1922499999999996</v>
      </c>
      <c r="F70" s="1">
        <f t="shared" si="7"/>
        <v>2.0071012499999999E-2</v>
      </c>
      <c r="G70" s="1">
        <f>LOOKUP(RIGHT(D70,5),Ref!$C$4:$C$21,Ref!$E$4:$E$21)*$G$3</f>
        <v>4.5</v>
      </c>
      <c r="H70" s="297">
        <f t="shared" ref="H70:L85" si="29">$E70</f>
        <v>8.1922499999999996</v>
      </c>
      <c r="I70" s="5">
        <f t="shared" si="29"/>
        <v>8.1922499999999996</v>
      </c>
      <c r="J70" s="5">
        <f t="shared" si="29"/>
        <v>8.1922499999999996</v>
      </c>
      <c r="K70" s="5">
        <f t="shared" si="29"/>
        <v>8.1922499999999996</v>
      </c>
      <c r="L70" s="5">
        <f t="shared" si="29"/>
        <v>8.1922499999999996</v>
      </c>
      <c r="M70" s="5">
        <f t="shared" si="28"/>
        <v>8.5807746095389206</v>
      </c>
      <c r="N70" s="5">
        <f t="shared" si="28"/>
        <v>8.8136991752790319</v>
      </c>
      <c r="O70" s="5">
        <f t="shared" si="28"/>
        <v>9.1687901379356926</v>
      </c>
      <c r="P70" s="5">
        <f t="shared" si="28"/>
        <v>9.6867254974026231</v>
      </c>
      <c r="Q70" s="5">
        <f t="shared" si="28"/>
        <v>10.395485359218343</v>
      </c>
      <c r="R70" s="5">
        <f t="shared" si="28"/>
        <v>11.285157543961606</v>
      </c>
      <c r="S70" s="5">
        <f t="shared" si="28"/>
        <v>12.288374999999998</v>
      </c>
      <c r="T70" s="5">
        <f t="shared" si="28"/>
        <v>13.291592456038392</v>
      </c>
      <c r="U70" s="5">
        <f t="shared" si="28"/>
        <v>14.181264640781656</v>
      </c>
      <c r="V70" s="5">
        <f t="shared" si="28"/>
        <v>14.890024502597376</v>
      </c>
      <c r="W70" s="5">
        <f t="shared" si="28"/>
        <v>15.407959862064304</v>
      </c>
      <c r="X70" s="5">
        <f t="shared" si="28"/>
        <v>15.763050824720967</v>
      </c>
      <c r="Y70" s="5">
        <f t="shared" si="28"/>
        <v>15.995975390461078</v>
      </c>
      <c r="Z70" s="5">
        <f t="shared" si="28"/>
        <v>16.144366877627203</v>
      </c>
      <c r="AA70" s="5">
        <f t="shared" si="28"/>
        <v>16.237152471438055</v>
      </c>
      <c r="AB70" s="5">
        <f t="shared" si="28"/>
        <v>16.294492219234524</v>
      </c>
      <c r="AC70" s="5">
        <f t="shared" si="27"/>
        <v>16.329670492015527</v>
      </c>
      <c r="AD70" s="300">
        <f t="shared" si="25"/>
        <v>1.6776339959753742E-3</v>
      </c>
      <c r="AE70" s="299">
        <f t="shared" si="25"/>
        <v>1.6776339959753742E-3</v>
      </c>
      <c r="AF70" s="299">
        <f t="shared" si="25"/>
        <v>1.6776339959753742E-3</v>
      </c>
      <c r="AG70" s="299">
        <f t="shared" si="25"/>
        <v>1.6776339959753742E-3</v>
      </c>
      <c r="AH70" s="299">
        <f t="shared" si="25"/>
        <v>1.6776339959753742E-3</v>
      </c>
      <c r="AI70" s="299">
        <f t="shared" si="25"/>
        <v>1.6016732438410661E-3</v>
      </c>
      <c r="AJ70" s="299">
        <f t="shared" si="25"/>
        <v>1.5593449277322485E-3</v>
      </c>
      <c r="AK70" s="299">
        <f t="shared" si="25"/>
        <v>1.4989542673318906E-3</v>
      </c>
      <c r="AL70" s="299">
        <f t="shared" si="25"/>
        <v>1.418807326295603E-3</v>
      </c>
      <c r="AM70" s="299">
        <f t="shared" si="25"/>
        <v>1.3220736337569781E-3</v>
      </c>
      <c r="AN70" s="299">
        <f t="shared" si="25"/>
        <v>1.2178471634082858E-3</v>
      </c>
      <c r="AO70" s="299">
        <f t="shared" si="25"/>
        <v>1.118422663983583E-3</v>
      </c>
      <c r="AP70" s="299">
        <f t="shared" si="25"/>
        <v>1.0340068091153007E-3</v>
      </c>
      <c r="AQ70" s="299">
        <f t="shared" si="25"/>
        <v>9.6913762288916203E-4</v>
      </c>
      <c r="AR70" s="299">
        <f t="shared" si="25"/>
        <v>9.230070172907952E-4</v>
      </c>
      <c r="AS70" s="299">
        <f t="shared" si="10"/>
        <v>8.9198032877585269E-4</v>
      </c>
      <c r="AT70" s="299">
        <f t="shared" si="10"/>
        <v>8.7188687369930777E-4</v>
      </c>
      <c r="AU70" s="299">
        <f t="shared" si="10"/>
        <v>8.5919093822343679E-4</v>
      </c>
      <c r="AV70" s="299">
        <f t="shared" si="10"/>
        <v>8.5129365602903137E-4</v>
      </c>
      <c r="AW70" s="299">
        <f t="shared" si="20"/>
        <v>8.4642902305098874E-4</v>
      </c>
      <c r="AX70" s="299">
        <f t="shared" si="20"/>
        <v>8.434504689447083E-4</v>
      </c>
      <c r="AY70" s="299">
        <f t="shared" si="20"/>
        <v>8.4163346163348854E-4</v>
      </c>
      <c r="AZ70" s="298">
        <f t="shared" si="26"/>
        <v>9.2873462026454009E-2</v>
      </c>
      <c r="BA70" s="1">
        <f t="shared" si="26"/>
        <v>9.2873462026454009E-2</v>
      </c>
      <c r="BB70" s="1">
        <f t="shared" si="26"/>
        <v>9.2873462026454009E-2</v>
      </c>
      <c r="BC70" s="1">
        <f t="shared" si="26"/>
        <v>9.2873462026454009E-2</v>
      </c>
      <c r="BD70" s="1">
        <f t="shared" si="26"/>
        <v>9.2873462026454009E-2</v>
      </c>
      <c r="BE70" s="1">
        <f t="shared" si="26"/>
        <v>8.8668290907025799E-2</v>
      </c>
      <c r="BF70" s="1">
        <f t="shared" si="26"/>
        <v>8.6325004309229819E-2</v>
      </c>
      <c r="BG70" s="1">
        <f t="shared" si="26"/>
        <v>8.2981790164249267E-2</v>
      </c>
      <c r="BH70" s="1">
        <f t="shared" si="26"/>
        <v>7.8544872515508818E-2</v>
      </c>
      <c r="BI70" s="1">
        <f t="shared" si="26"/>
        <v>7.3189715823276102E-2</v>
      </c>
      <c r="BJ70" s="1">
        <f t="shared" si="26"/>
        <v>6.7419760541431242E-2</v>
      </c>
      <c r="BK70" s="1">
        <f t="shared" si="26"/>
        <v>6.1915641350969337E-2</v>
      </c>
      <c r="BL70" s="1">
        <f t="shared" si="26"/>
        <v>5.7242397538345056E-2</v>
      </c>
      <c r="BM70" s="1">
        <f t="shared" si="26"/>
        <v>5.365125315398394E-2</v>
      </c>
      <c r="BN70" s="1">
        <f t="shared" si="26"/>
        <v>5.109747261688511E-2</v>
      </c>
      <c r="BO70" s="1">
        <f t="shared" si="11"/>
        <v>4.9379841724502181E-2</v>
      </c>
      <c r="BP70" s="1">
        <f t="shared" si="11"/>
        <v>4.8267472315257604E-2</v>
      </c>
      <c r="BQ70" s="1">
        <f t="shared" si="11"/>
        <v>4.7564628021366739E-2</v>
      </c>
      <c r="BR70" s="1">
        <f t="shared" si="11"/>
        <v>4.7127436154872714E-2</v>
      </c>
      <c r="BS70" s="1">
        <f t="shared" si="21"/>
        <v>4.6858131105474134E-2</v>
      </c>
      <c r="BT70" s="1">
        <f t="shared" si="21"/>
        <v>4.669323898219397E-2</v>
      </c>
      <c r="BU70" s="1">
        <f t="shared" si="21"/>
        <v>4.6592649843010335E-2</v>
      </c>
    </row>
    <row r="71" spans="1:73" x14ac:dyDescent="0.25">
      <c r="A71" s="1" t="s">
        <v>23</v>
      </c>
      <c r="B71" s="1" t="s">
        <v>5</v>
      </c>
      <c r="C71" s="1" t="s">
        <v>10</v>
      </c>
      <c r="D71" s="1" t="s">
        <v>10</v>
      </c>
      <c r="E71" s="5">
        <v>7.8457499999999998</v>
      </c>
      <c r="F71" s="1">
        <f t="shared" ref="F71:F134" si="30">E71/$B$2*$F$3/1000</f>
        <v>1.9222087500000002E-2</v>
      </c>
      <c r="G71" s="1">
        <f>LOOKUP(RIGHT(D71,5),Ref!$C$4:$C$21,Ref!$E$4:$E$21)*$G$3</f>
        <v>4.5</v>
      </c>
      <c r="H71" s="297">
        <f t="shared" si="29"/>
        <v>7.8457499999999998</v>
      </c>
      <c r="I71" s="5">
        <f t="shared" si="29"/>
        <v>7.8457499999999998</v>
      </c>
      <c r="J71" s="5">
        <f t="shared" si="29"/>
        <v>7.8457499999999998</v>
      </c>
      <c r="K71" s="5">
        <f t="shared" si="29"/>
        <v>7.8457499999999998</v>
      </c>
      <c r="L71" s="5">
        <f t="shared" si="29"/>
        <v>7.8457499999999998</v>
      </c>
      <c r="M71" s="5">
        <f t="shared" si="28"/>
        <v>8.2178415444828943</v>
      </c>
      <c r="N71" s="5">
        <f t="shared" si="28"/>
        <v>8.4409143159016704</v>
      </c>
      <c r="O71" s="5">
        <f t="shared" si="28"/>
        <v>8.7809863254550287</v>
      </c>
      <c r="P71" s="5">
        <f t="shared" si="28"/>
        <v>9.2770150534037192</v>
      </c>
      <c r="Q71" s="5">
        <f t="shared" si="28"/>
        <v>9.9557971567136399</v>
      </c>
      <c r="R71" s="5">
        <f t="shared" si="28"/>
        <v>10.807839702223049</v>
      </c>
      <c r="S71" s="5">
        <f t="shared" si="28"/>
        <v>11.768625</v>
      </c>
      <c r="T71" s="5">
        <f t="shared" si="28"/>
        <v>12.729410297776949</v>
      </c>
      <c r="U71" s="5">
        <f t="shared" si="28"/>
        <v>13.58145284328636</v>
      </c>
      <c r="V71" s="5">
        <f t="shared" si="28"/>
        <v>14.260234946596279</v>
      </c>
      <c r="W71" s="5">
        <f t="shared" si="28"/>
        <v>14.756263674544968</v>
      </c>
      <c r="X71" s="5">
        <f t="shared" si="28"/>
        <v>15.096335684098328</v>
      </c>
      <c r="Y71" s="5">
        <f t="shared" si="28"/>
        <v>15.319408455517106</v>
      </c>
      <c r="Z71" s="5">
        <f t="shared" si="28"/>
        <v>15.461523565582546</v>
      </c>
      <c r="AA71" s="5">
        <f t="shared" si="28"/>
        <v>15.550384693189919</v>
      </c>
      <c r="AB71" s="5">
        <f t="shared" si="28"/>
        <v>15.605299194856023</v>
      </c>
      <c r="AC71" s="5">
        <f t="shared" si="27"/>
        <v>15.638989564860793</v>
      </c>
      <c r="AD71" s="300">
        <f t="shared" si="25"/>
        <v>1.7517250872802804E-3</v>
      </c>
      <c r="AE71" s="299">
        <f t="shared" si="25"/>
        <v>1.7517250872802804E-3</v>
      </c>
      <c r="AF71" s="299">
        <f t="shared" si="25"/>
        <v>1.7517250872802804E-3</v>
      </c>
      <c r="AG71" s="299">
        <f t="shared" si="25"/>
        <v>1.7517250872802804E-3</v>
      </c>
      <c r="AH71" s="299">
        <f t="shared" si="25"/>
        <v>1.7517250872802804E-3</v>
      </c>
      <c r="AI71" s="299">
        <f t="shared" si="25"/>
        <v>1.6724096016132266E-3</v>
      </c>
      <c r="AJ71" s="299">
        <f t="shared" si="25"/>
        <v>1.6282118961494457E-3</v>
      </c>
      <c r="AK71" s="299">
        <f t="shared" si="25"/>
        <v>1.5651541403370844E-3</v>
      </c>
      <c r="AL71" s="299">
        <f t="shared" si="25"/>
        <v>1.4814675867629169E-3</v>
      </c>
      <c r="AM71" s="299">
        <f t="shared" si="25"/>
        <v>1.3804617437651726E-3</v>
      </c>
      <c r="AN71" s="299">
        <f t="shared" si="25"/>
        <v>1.2716322116345191E-3</v>
      </c>
      <c r="AO71" s="299">
        <f t="shared" si="25"/>
        <v>1.1678167248535202E-3</v>
      </c>
      <c r="AP71" s="299">
        <f t="shared" si="25"/>
        <v>1.0796727249752823E-3</v>
      </c>
      <c r="AQ71" s="299">
        <f t="shared" si="25"/>
        <v>1.0119386535530365E-3</v>
      </c>
      <c r="AR71" s="299">
        <f t="shared" si="25"/>
        <v>9.6377073414275448E-4</v>
      </c>
      <c r="AS71" s="299">
        <f t="shared" si="10"/>
        <v>9.3137378178172626E-4</v>
      </c>
      <c r="AT71" s="299">
        <f t="shared" si="10"/>
        <v>9.1039291859454537E-4</v>
      </c>
      <c r="AU71" s="299">
        <f t="shared" si="10"/>
        <v>8.971362793437147E-4</v>
      </c>
      <c r="AV71" s="299">
        <f t="shared" si="10"/>
        <v>8.8889022127952501E-4</v>
      </c>
      <c r="AW71" s="299">
        <f t="shared" si="20"/>
        <v>8.8381074646648981E-4</v>
      </c>
      <c r="AX71" s="299">
        <f t="shared" si="20"/>
        <v>8.8070064738390678E-4</v>
      </c>
      <c r="AY71" s="299">
        <f t="shared" si="20"/>
        <v>8.7880339369301162E-4</v>
      </c>
      <c r="AZ71" s="298">
        <f t="shared" si="26"/>
        <v>9.6975129119104969E-2</v>
      </c>
      <c r="BA71" s="1">
        <f t="shared" si="26"/>
        <v>9.6975129119104969E-2</v>
      </c>
      <c r="BB71" s="1">
        <f t="shared" si="26"/>
        <v>9.6975129119104969E-2</v>
      </c>
      <c r="BC71" s="1">
        <f t="shared" si="26"/>
        <v>9.6975129119104969E-2</v>
      </c>
      <c r="BD71" s="1">
        <f t="shared" si="26"/>
        <v>9.6975129119104969E-2</v>
      </c>
      <c r="BE71" s="1">
        <f t="shared" si="26"/>
        <v>9.2584240663172043E-2</v>
      </c>
      <c r="BF71" s="1">
        <f t="shared" si="26"/>
        <v>9.0137465067366168E-2</v>
      </c>
      <c r="BG71" s="1">
        <f t="shared" si="26"/>
        <v>8.6646601086329683E-2</v>
      </c>
      <c r="BH71" s="1">
        <f t="shared" si="26"/>
        <v>8.2013731238591236E-2</v>
      </c>
      <c r="BI71" s="1">
        <f t="shared" si="26"/>
        <v>7.6422069203483878E-2</v>
      </c>
      <c r="BJ71" s="1">
        <f t="shared" si="26"/>
        <v>7.0397289398150598E-2</v>
      </c>
      <c r="BK71" s="1">
        <f t="shared" si="26"/>
        <v>6.4650086079403313E-2</v>
      </c>
      <c r="BL71" s="1">
        <f t="shared" si="26"/>
        <v>5.9770452950133168E-2</v>
      </c>
      <c r="BM71" s="1">
        <f t="shared" si="26"/>
        <v>5.6020709129238747E-2</v>
      </c>
      <c r="BN71" s="1">
        <f t="shared" si="26"/>
        <v>5.3354143331826406E-2</v>
      </c>
      <c r="BO71" s="1">
        <f t="shared" si="11"/>
        <v>5.1560654923691551E-2</v>
      </c>
      <c r="BP71" s="1">
        <f t="shared" si="11"/>
        <v>5.0399158789748474E-2</v>
      </c>
      <c r="BQ71" s="1">
        <f t="shared" si="11"/>
        <v>4.9665274053856116E-2</v>
      </c>
      <c r="BR71" s="1">
        <f t="shared" si="11"/>
        <v>4.9208774029220415E-2</v>
      </c>
      <c r="BS71" s="1">
        <f t="shared" si="21"/>
        <v>4.8927575381425677E-2</v>
      </c>
      <c r="BT71" s="1">
        <f t="shared" si="21"/>
        <v>4.8755400956170994E-2</v>
      </c>
      <c r="BU71" s="1">
        <f t="shared" si="21"/>
        <v>4.8650369394436656E-2</v>
      </c>
    </row>
    <row r="72" spans="1:73" x14ac:dyDescent="0.25">
      <c r="A72" s="1" t="s">
        <v>23</v>
      </c>
      <c r="B72" s="1" t="s">
        <v>5</v>
      </c>
      <c r="C72" s="1" t="s">
        <v>11</v>
      </c>
      <c r="D72" s="1" t="s">
        <v>11</v>
      </c>
      <c r="E72" s="5">
        <v>7.9529999999999994</v>
      </c>
      <c r="F72" s="1">
        <f t="shared" si="30"/>
        <v>1.9484849999999998E-2</v>
      </c>
      <c r="G72" s="1">
        <f>LOOKUP(RIGHT(D72,5),Ref!$C$4:$C$21,Ref!$E$4:$E$21)*$G$3</f>
        <v>4.5</v>
      </c>
      <c r="H72" s="297">
        <f t="shared" si="29"/>
        <v>7.9529999999999994</v>
      </c>
      <c r="I72" s="5">
        <f t="shared" si="29"/>
        <v>7.9529999999999994</v>
      </c>
      <c r="J72" s="5">
        <f t="shared" si="29"/>
        <v>7.9529999999999994</v>
      </c>
      <c r="K72" s="5">
        <f t="shared" si="29"/>
        <v>7.9529999999999994</v>
      </c>
      <c r="L72" s="5">
        <f t="shared" si="29"/>
        <v>7.9529999999999994</v>
      </c>
      <c r="M72" s="5">
        <f t="shared" si="28"/>
        <v>8.3301779693811877</v>
      </c>
      <c r="N72" s="5">
        <f t="shared" si="28"/>
        <v>8.5563001057089494</v>
      </c>
      <c r="O72" s="5">
        <f t="shared" si="28"/>
        <v>8.9010208388418999</v>
      </c>
      <c r="P72" s="5">
        <f t="shared" si="28"/>
        <v>9.4038301908319522</v>
      </c>
      <c r="Q72" s="5">
        <f t="shared" si="28"/>
        <v>10.091891124155572</v>
      </c>
      <c r="R72" s="5">
        <f t="shared" si="28"/>
        <v>10.95558093895165</v>
      </c>
      <c r="S72" s="5">
        <f t="shared" si="28"/>
        <v>11.929499999999999</v>
      </c>
      <c r="T72" s="5">
        <f t="shared" si="28"/>
        <v>12.903419061048348</v>
      </c>
      <c r="U72" s="5">
        <f t="shared" si="28"/>
        <v>13.767108875844427</v>
      </c>
      <c r="V72" s="5">
        <f t="shared" si="28"/>
        <v>14.455169809168046</v>
      </c>
      <c r="W72" s="5">
        <f t="shared" si="28"/>
        <v>14.957979161158097</v>
      </c>
      <c r="X72" s="5">
        <f t="shared" si="28"/>
        <v>15.302699894291049</v>
      </c>
      <c r="Y72" s="5">
        <f t="shared" si="28"/>
        <v>15.528822030618811</v>
      </c>
      <c r="Z72" s="5">
        <f t="shared" si="28"/>
        <v>15.672879828834462</v>
      </c>
      <c r="AA72" s="5">
        <f t="shared" si="28"/>
        <v>15.762955672171485</v>
      </c>
      <c r="AB72" s="5">
        <f t="shared" si="28"/>
        <v>15.818620845258891</v>
      </c>
      <c r="AC72" s="5">
        <f t="shared" si="27"/>
        <v>15.852771756599163</v>
      </c>
      <c r="AD72" s="300">
        <f t="shared" si="25"/>
        <v>1.7281022385928909E-3</v>
      </c>
      <c r="AE72" s="299">
        <f t="shared" si="25"/>
        <v>1.7281022385928909E-3</v>
      </c>
      <c r="AF72" s="299">
        <f t="shared" si="25"/>
        <v>1.7281022385928909E-3</v>
      </c>
      <c r="AG72" s="299">
        <f t="shared" si="25"/>
        <v>1.7281022385928909E-3</v>
      </c>
      <c r="AH72" s="299">
        <f t="shared" si="25"/>
        <v>1.7281022385928909E-3</v>
      </c>
      <c r="AI72" s="299">
        <f t="shared" si="25"/>
        <v>1.6498563600976957E-3</v>
      </c>
      <c r="AJ72" s="299">
        <f t="shared" si="25"/>
        <v>1.606254681782285E-3</v>
      </c>
      <c r="AK72" s="299">
        <f t="shared" si="25"/>
        <v>1.5440472898968541E-3</v>
      </c>
      <c r="AL72" s="299">
        <f t="shared" si="25"/>
        <v>1.4614892894310515E-3</v>
      </c>
      <c r="AM72" s="299">
        <f t="shared" si="25"/>
        <v>1.3618455584239412E-3</v>
      </c>
      <c r="AN72" s="299">
        <f t="shared" si="25"/>
        <v>1.254483644465174E-3</v>
      </c>
      <c r="AO72" s="299">
        <f t="shared" si="25"/>
        <v>1.1520681590619273E-3</v>
      </c>
      <c r="AP72" s="299">
        <f t="shared" si="25"/>
        <v>1.0651128230824622E-3</v>
      </c>
      <c r="AQ72" s="299">
        <f t="shared" si="25"/>
        <v>9.9829217793458288E-4</v>
      </c>
      <c r="AR72" s="299">
        <f t="shared" si="25"/>
        <v>9.5077382590224029E-4</v>
      </c>
      <c r="AS72" s="299">
        <f t="shared" si="10"/>
        <v>9.1881376190292702E-4</v>
      </c>
      <c r="AT72" s="299">
        <f t="shared" si="10"/>
        <v>8.9811583566744052E-4</v>
      </c>
      <c r="AU72" s="299">
        <f t="shared" si="10"/>
        <v>8.8503796852268965E-4</v>
      </c>
      <c r="AV72" s="299">
        <f t="shared" si="10"/>
        <v>8.7690311248633638E-4</v>
      </c>
      <c r="AW72" s="299">
        <f t="shared" si="20"/>
        <v>8.7189213681497079E-4</v>
      </c>
      <c r="AX72" s="299">
        <f t="shared" si="20"/>
        <v>8.6882397890258867E-4</v>
      </c>
      <c r="AY72" s="299">
        <f t="shared" si="20"/>
        <v>8.6695231058304359E-4</v>
      </c>
      <c r="AZ72" s="298">
        <f t="shared" si="26"/>
        <v>9.566737322849464E-2</v>
      </c>
      <c r="BA72" s="1">
        <f t="shared" si="26"/>
        <v>9.566737322849464E-2</v>
      </c>
      <c r="BB72" s="1">
        <f t="shared" si="26"/>
        <v>9.566737322849464E-2</v>
      </c>
      <c r="BC72" s="1">
        <f t="shared" si="26"/>
        <v>9.566737322849464E-2</v>
      </c>
      <c r="BD72" s="1">
        <f t="shared" si="26"/>
        <v>9.566737322849464E-2</v>
      </c>
      <c r="BE72" s="1">
        <f t="shared" si="26"/>
        <v>9.1335697998627202E-2</v>
      </c>
      <c r="BF72" s="1">
        <f t="shared" si="26"/>
        <v>8.8921918339279274E-2</v>
      </c>
      <c r="BG72" s="1">
        <f t="shared" si="26"/>
        <v>8.5478130324792054E-2</v>
      </c>
      <c r="BH72" s="1">
        <f t="shared" si="26"/>
        <v>8.0907736937655864E-2</v>
      </c>
      <c r="BI72" s="1">
        <f t="shared" si="26"/>
        <v>7.5391481133312413E-2</v>
      </c>
      <c r="BJ72" s="1">
        <f t="shared" si="26"/>
        <v>6.9447948358548978E-2</v>
      </c>
      <c r="BK72" s="1">
        <f t="shared" si="26"/>
        <v>6.3778248818996422E-2</v>
      </c>
      <c r="BL72" s="1">
        <f t="shared" si="26"/>
        <v>5.8964419870930124E-2</v>
      </c>
      <c r="BM72" s="1">
        <f t="shared" si="26"/>
        <v>5.5265243134757322E-2</v>
      </c>
      <c r="BN72" s="1">
        <f t="shared" si="26"/>
        <v>5.2634637249550746E-2</v>
      </c>
      <c r="BO72" s="1">
        <f t="shared" si="11"/>
        <v>5.0865334888413549E-2</v>
      </c>
      <c r="BP72" s="1">
        <f t="shared" si="11"/>
        <v>4.9719502084077591E-2</v>
      </c>
      <c r="BQ72" s="1">
        <f t="shared" si="11"/>
        <v>4.8995514134042711E-2</v>
      </c>
      <c r="BR72" s="1">
        <f t="shared" si="11"/>
        <v>4.8545170230071176E-2</v>
      </c>
      <c r="BS72" s="1">
        <f t="shared" si="21"/>
        <v>4.8267763680223882E-2</v>
      </c>
      <c r="BT72" s="1">
        <f t="shared" si="21"/>
        <v>4.8097911109251677E-2</v>
      </c>
      <c r="BU72" s="1">
        <f t="shared" si="21"/>
        <v>4.7994295948246127E-2</v>
      </c>
    </row>
    <row r="73" spans="1:73" x14ac:dyDescent="0.25">
      <c r="A73" s="1" t="s">
        <v>24</v>
      </c>
      <c r="B73" s="1" t="s">
        <v>5</v>
      </c>
      <c r="C73" s="1" t="s">
        <v>6</v>
      </c>
      <c r="D73" s="1" t="s">
        <v>6</v>
      </c>
      <c r="E73" s="5">
        <v>1</v>
      </c>
      <c r="F73" s="1">
        <f t="shared" si="30"/>
        <v>2.4500000000000004E-3</v>
      </c>
      <c r="G73" s="1">
        <f>LOOKUP(RIGHT(D73,5),Ref!$C$4:$C$21,Ref!$E$4:$E$21)*$G$3</f>
        <v>3</v>
      </c>
      <c r="H73" s="297">
        <f t="shared" si="29"/>
        <v>1</v>
      </c>
      <c r="I73" s="5">
        <f t="shared" si="29"/>
        <v>1</v>
      </c>
      <c r="J73" s="5">
        <f t="shared" si="29"/>
        <v>1</v>
      </c>
      <c r="K73" s="5">
        <f t="shared" si="29"/>
        <v>1</v>
      </c>
      <c r="L73" s="5">
        <f t="shared" si="29"/>
        <v>1</v>
      </c>
      <c r="M73" s="5">
        <f t="shared" si="28"/>
        <v>1.0474258731775667</v>
      </c>
      <c r="N73" s="5">
        <f t="shared" si="28"/>
        <v>1.0758581800212434</v>
      </c>
      <c r="O73" s="5">
        <f t="shared" si="28"/>
        <v>1.1192029220221176</v>
      </c>
      <c r="P73" s="5">
        <f t="shared" si="28"/>
        <v>1.1824255238063563</v>
      </c>
      <c r="Q73" s="5">
        <f t="shared" si="28"/>
        <v>1.2689414213699952</v>
      </c>
      <c r="R73" s="5">
        <f t="shared" si="28"/>
        <v>1.3775406687981455</v>
      </c>
      <c r="S73" s="5">
        <f t="shared" si="28"/>
        <v>1.5</v>
      </c>
      <c r="T73" s="5">
        <f t="shared" si="28"/>
        <v>1.6224593312018545</v>
      </c>
      <c r="U73" s="5">
        <f t="shared" si="28"/>
        <v>1.7310585786300048</v>
      </c>
      <c r="V73" s="5">
        <f t="shared" si="28"/>
        <v>1.8175744761936437</v>
      </c>
      <c r="W73" s="5">
        <f t="shared" si="28"/>
        <v>1.8807970779778822</v>
      </c>
      <c r="X73" s="5">
        <f t="shared" si="28"/>
        <v>1.9241418199787566</v>
      </c>
      <c r="Y73" s="5">
        <f t="shared" si="28"/>
        <v>1.9525741268224333</v>
      </c>
      <c r="Z73" s="5">
        <f t="shared" si="28"/>
        <v>1.9706877692486438</v>
      </c>
      <c r="AA73" s="5">
        <f t="shared" si="28"/>
        <v>1.9820137900379085</v>
      </c>
      <c r="AB73" s="5">
        <f t="shared" si="28"/>
        <v>1.9890130573694069</v>
      </c>
      <c r="AC73" s="5">
        <f t="shared" si="27"/>
        <v>1.9933071490757153</v>
      </c>
      <c r="AD73" s="300">
        <f t="shared" ref="AD73:AS89" si="31">Algae_electricity_factor/H73</f>
        <v>1.374359710352926E-2</v>
      </c>
      <c r="AE73" s="299">
        <f t="shared" si="31"/>
        <v>1.374359710352926E-2</v>
      </c>
      <c r="AF73" s="299">
        <f t="shared" si="31"/>
        <v>1.374359710352926E-2</v>
      </c>
      <c r="AG73" s="299">
        <f t="shared" si="31"/>
        <v>1.374359710352926E-2</v>
      </c>
      <c r="AH73" s="299">
        <f t="shared" si="31"/>
        <v>1.374359710352926E-2</v>
      </c>
      <c r="AI73" s="299">
        <f t="shared" si="31"/>
        <v>1.3121307631856972E-2</v>
      </c>
      <c r="AJ73" s="299">
        <f t="shared" si="31"/>
        <v>1.2774543484214513E-2</v>
      </c>
      <c r="AK73" s="299">
        <f t="shared" si="31"/>
        <v>1.2279808096549679E-2</v>
      </c>
      <c r="AL73" s="299">
        <f t="shared" si="31"/>
        <v>1.1623224318845153E-2</v>
      </c>
      <c r="AM73" s="299">
        <f t="shared" si="31"/>
        <v>1.0830757726145604E-2</v>
      </c>
      <c r="AN73" s="299">
        <f t="shared" si="31"/>
        <v>9.9769084244315277E-3</v>
      </c>
      <c r="AO73" s="299">
        <f t="shared" si="31"/>
        <v>9.1623980690195058E-3</v>
      </c>
      <c r="AP73" s="299">
        <f t="shared" si="31"/>
        <v>8.4708422819748212E-3</v>
      </c>
      <c r="AQ73" s="299">
        <f t="shared" si="31"/>
        <v>7.9394176911137364E-3</v>
      </c>
      <c r="AR73" s="299">
        <f t="shared" si="31"/>
        <v>7.5615042374005161E-3</v>
      </c>
      <c r="AS73" s="299">
        <f t="shared" si="10"/>
        <v>7.3073258484139788E-3</v>
      </c>
      <c r="AT73" s="299">
        <f t="shared" si="10"/>
        <v>7.1427152410631538E-3</v>
      </c>
      <c r="AU73" s="299">
        <f t="shared" si="10"/>
        <v>7.0387069636609501E-3</v>
      </c>
      <c r="AV73" s="299">
        <f t="shared" si="10"/>
        <v>6.9740104536038326E-3</v>
      </c>
      <c r="AW73" s="299">
        <f t="shared" si="20"/>
        <v>6.9341581640894618E-3</v>
      </c>
      <c r="AX73" s="299">
        <f t="shared" si="20"/>
        <v>6.9097571042122862E-3</v>
      </c>
      <c r="AY73" s="299">
        <f t="shared" si="20"/>
        <v>6.8948717260669456E-3</v>
      </c>
      <c r="AZ73" s="298">
        <f t="shared" ref="AZ73:BO89" si="32">Algae_yield_cost_factor/H73</f>
        <v>0.76084261928621777</v>
      </c>
      <c r="BA73" s="1">
        <f t="shared" si="32"/>
        <v>0.76084261928621777</v>
      </c>
      <c r="BB73" s="1">
        <f t="shared" si="32"/>
        <v>0.76084261928621777</v>
      </c>
      <c r="BC73" s="1">
        <f t="shared" si="32"/>
        <v>0.76084261928621777</v>
      </c>
      <c r="BD73" s="1">
        <f t="shared" si="32"/>
        <v>0.76084261928621777</v>
      </c>
      <c r="BE73" s="1">
        <f t="shared" si="32"/>
        <v>0.72639280618308211</v>
      </c>
      <c r="BF73" s="1">
        <f t="shared" si="32"/>
        <v>0.70719601655228803</v>
      </c>
      <c r="BG73" s="1">
        <f t="shared" si="32"/>
        <v>0.67980757047307105</v>
      </c>
      <c r="BH73" s="1">
        <f t="shared" si="32"/>
        <v>0.64345923186517717</v>
      </c>
      <c r="BI73" s="1">
        <f t="shared" si="32"/>
        <v>0.59958844945323364</v>
      </c>
      <c r="BJ73" s="1">
        <f t="shared" si="32"/>
        <v>0.55231953329553996</v>
      </c>
      <c r="BK73" s="1">
        <f t="shared" si="32"/>
        <v>0.50722841285747855</v>
      </c>
      <c r="BL73" s="1">
        <f t="shared" si="32"/>
        <v>0.46894403123350725</v>
      </c>
      <c r="BM73" s="1">
        <f t="shared" si="32"/>
        <v>0.43952447865072491</v>
      </c>
      <c r="BN73" s="1">
        <f t="shared" si="32"/>
        <v>0.41860327004567705</v>
      </c>
      <c r="BO73" s="1">
        <f t="shared" si="11"/>
        <v>0.40453200836755293</v>
      </c>
      <c r="BP73" s="1">
        <f t="shared" si="11"/>
        <v>0.39541920007466907</v>
      </c>
      <c r="BQ73" s="1">
        <f t="shared" si="11"/>
        <v>0.38966132390804165</v>
      </c>
      <c r="BR73" s="1">
        <f t="shared" si="11"/>
        <v>0.38607973883975605</v>
      </c>
      <c r="BS73" s="1">
        <f t="shared" si="21"/>
        <v>0.38387352454882046</v>
      </c>
      <c r="BT73" s="1">
        <f t="shared" si="21"/>
        <v>0.38252268705187853</v>
      </c>
      <c r="BU73" s="1">
        <f t="shared" si="21"/>
        <v>0.38169863567640139</v>
      </c>
    </row>
    <row r="74" spans="1:73" x14ac:dyDescent="0.25">
      <c r="A74" s="1" t="s">
        <v>24</v>
      </c>
      <c r="B74" s="1" t="s">
        <v>5</v>
      </c>
      <c r="C74" s="1" t="s">
        <v>7</v>
      </c>
      <c r="D74" s="1" t="s">
        <v>7</v>
      </c>
      <c r="E74" s="5">
        <v>1</v>
      </c>
      <c r="F74" s="1">
        <f t="shared" si="30"/>
        <v>2.4500000000000004E-3</v>
      </c>
      <c r="G74" s="1">
        <f>LOOKUP(RIGHT(D74,5),Ref!$C$4:$C$21,Ref!$E$4:$E$21)*$G$3</f>
        <v>3.5</v>
      </c>
      <c r="H74" s="297">
        <f t="shared" si="29"/>
        <v>1</v>
      </c>
      <c r="I74" s="5">
        <f t="shared" si="29"/>
        <v>1</v>
      </c>
      <c r="J74" s="5">
        <f t="shared" si="29"/>
        <v>1</v>
      </c>
      <c r="K74" s="5">
        <f t="shared" si="29"/>
        <v>1</v>
      </c>
      <c r="L74" s="5">
        <f t="shared" si="29"/>
        <v>1</v>
      </c>
      <c r="M74" s="5">
        <f t="shared" si="28"/>
        <v>1.0474258731775667</v>
      </c>
      <c r="N74" s="5">
        <f t="shared" si="28"/>
        <v>1.0758581800212434</v>
      </c>
      <c r="O74" s="5">
        <f t="shared" si="28"/>
        <v>1.1192029220221176</v>
      </c>
      <c r="P74" s="5">
        <f t="shared" si="28"/>
        <v>1.1824255238063563</v>
      </c>
      <c r="Q74" s="5">
        <f t="shared" si="28"/>
        <v>1.2689414213699952</v>
      </c>
      <c r="R74" s="5">
        <f t="shared" si="28"/>
        <v>1.3775406687981455</v>
      </c>
      <c r="S74" s="5">
        <f t="shared" si="28"/>
        <v>1.5</v>
      </c>
      <c r="T74" s="5">
        <f t="shared" si="28"/>
        <v>1.6224593312018545</v>
      </c>
      <c r="U74" s="5">
        <f t="shared" si="28"/>
        <v>1.7310585786300048</v>
      </c>
      <c r="V74" s="5">
        <f t="shared" si="28"/>
        <v>1.8175744761936437</v>
      </c>
      <c r="W74" s="5">
        <f t="shared" si="28"/>
        <v>1.8807970779778822</v>
      </c>
      <c r="X74" s="5">
        <f t="shared" si="28"/>
        <v>1.9241418199787566</v>
      </c>
      <c r="Y74" s="5">
        <f t="shared" si="28"/>
        <v>1.9525741268224333</v>
      </c>
      <c r="Z74" s="5">
        <f t="shared" si="28"/>
        <v>1.9706877692486438</v>
      </c>
      <c r="AA74" s="5">
        <f t="shared" si="28"/>
        <v>1.9820137900379085</v>
      </c>
      <c r="AB74" s="5">
        <f t="shared" si="28"/>
        <v>1.9890130573694069</v>
      </c>
      <c r="AC74" s="5">
        <f t="shared" si="27"/>
        <v>1.9933071490757153</v>
      </c>
      <c r="AD74" s="300">
        <f t="shared" si="31"/>
        <v>1.374359710352926E-2</v>
      </c>
      <c r="AE74" s="299">
        <f t="shared" si="31"/>
        <v>1.374359710352926E-2</v>
      </c>
      <c r="AF74" s="299">
        <f t="shared" si="31"/>
        <v>1.374359710352926E-2</v>
      </c>
      <c r="AG74" s="299">
        <f t="shared" si="31"/>
        <v>1.374359710352926E-2</v>
      </c>
      <c r="AH74" s="299">
        <f t="shared" si="31"/>
        <v>1.374359710352926E-2</v>
      </c>
      <c r="AI74" s="299">
        <f t="shared" si="31"/>
        <v>1.3121307631856972E-2</v>
      </c>
      <c r="AJ74" s="299">
        <f t="shared" si="31"/>
        <v>1.2774543484214513E-2</v>
      </c>
      <c r="AK74" s="299">
        <f t="shared" si="31"/>
        <v>1.2279808096549679E-2</v>
      </c>
      <c r="AL74" s="299">
        <f t="shared" si="31"/>
        <v>1.1623224318845153E-2</v>
      </c>
      <c r="AM74" s="299">
        <f t="shared" si="31"/>
        <v>1.0830757726145604E-2</v>
      </c>
      <c r="AN74" s="299">
        <f t="shared" si="31"/>
        <v>9.9769084244315277E-3</v>
      </c>
      <c r="AO74" s="299">
        <f t="shared" si="31"/>
        <v>9.1623980690195058E-3</v>
      </c>
      <c r="AP74" s="299">
        <f t="shared" si="31"/>
        <v>8.4708422819748212E-3</v>
      </c>
      <c r="AQ74" s="299">
        <f t="shared" si="31"/>
        <v>7.9394176911137364E-3</v>
      </c>
      <c r="AR74" s="299">
        <f t="shared" si="31"/>
        <v>7.5615042374005161E-3</v>
      </c>
      <c r="AS74" s="299">
        <f t="shared" si="10"/>
        <v>7.3073258484139788E-3</v>
      </c>
      <c r="AT74" s="299">
        <f t="shared" si="10"/>
        <v>7.1427152410631538E-3</v>
      </c>
      <c r="AU74" s="299">
        <f t="shared" si="10"/>
        <v>7.0387069636609501E-3</v>
      </c>
      <c r="AV74" s="299">
        <f t="shared" si="10"/>
        <v>6.9740104536038326E-3</v>
      </c>
      <c r="AW74" s="299">
        <f t="shared" si="20"/>
        <v>6.9341581640894618E-3</v>
      </c>
      <c r="AX74" s="299">
        <f t="shared" si="20"/>
        <v>6.9097571042122862E-3</v>
      </c>
      <c r="AY74" s="299">
        <f t="shared" si="20"/>
        <v>6.8948717260669456E-3</v>
      </c>
      <c r="AZ74" s="298">
        <f t="shared" si="32"/>
        <v>0.76084261928621777</v>
      </c>
      <c r="BA74" s="1">
        <f t="shared" si="32"/>
        <v>0.76084261928621777</v>
      </c>
      <c r="BB74" s="1">
        <f t="shared" si="32"/>
        <v>0.76084261928621777</v>
      </c>
      <c r="BC74" s="1">
        <f t="shared" si="32"/>
        <v>0.76084261928621777</v>
      </c>
      <c r="BD74" s="1">
        <f t="shared" si="32"/>
        <v>0.76084261928621777</v>
      </c>
      <c r="BE74" s="1">
        <f t="shared" si="32"/>
        <v>0.72639280618308211</v>
      </c>
      <c r="BF74" s="1">
        <f t="shared" si="32"/>
        <v>0.70719601655228803</v>
      </c>
      <c r="BG74" s="1">
        <f t="shared" si="32"/>
        <v>0.67980757047307105</v>
      </c>
      <c r="BH74" s="1">
        <f t="shared" si="32"/>
        <v>0.64345923186517717</v>
      </c>
      <c r="BI74" s="1">
        <f t="shared" si="32"/>
        <v>0.59958844945323364</v>
      </c>
      <c r="BJ74" s="1">
        <f t="shared" si="32"/>
        <v>0.55231953329553996</v>
      </c>
      <c r="BK74" s="1">
        <f t="shared" si="32"/>
        <v>0.50722841285747855</v>
      </c>
      <c r="BL74" s="1">
        <f t="shared" si="32"/>
        <v>0.46894403123350725</v>
      </c>
      <c r="BM74" s="1">
        <f t="shared" si="32"/>
        <v>0.43952447865072491</v>
      </c>
      <c r="BN74" s="1">
        <f t="shared" si="32"/>
        <v>0.41860327004567705</v>
      </c>
      <c r="BO74" s="1">
        <f t="shared" si="11"/>
        <v>0.40453200836755293</v>
      </c>
      <c r="BP74" s="1">
        <f t="shared" si="11"/>
        <v>0.39541920007466907</v>
      </c>
      <c r="BQ74" s="1">
        <f t="shared" si="11"/>
        <v>0.38966132390804165</v>
      </c>
      <c r="BR74" s="1">
        <f t="shared" si="11"/>
        <v>0.38607973883975605</v>
      </c>
      <c r="BS74" s="1">
        <f t="shared" si="21"/>
        <v>0.38387352454882046</v>
      </c>
      <c r="BT74" s="1">
        <f t="shared" si="21"/>
        <v>0.38252268705187853</v>
      </c>
      <c r="BU74" s="1">
        <f t="shared" si="21"/>
        <v>0.38169863567640139</v>
      </c>
    </row>
    <row r="75" spans="1:73" x14ac:dyDescent="0.25">
      <c r="A75" s="1" t="s">
        <v>24</v>
      </c>
      <c r="B75" s="1" t="s">
        <v>5</v>
      </c>
      <c r="C75" s="1" t="s">
        <v>8</v>
      </c>
      <c r="D75" s="1" t="s">
        <v>8</v>
      </c>
      <c r="E75" s="5">
        <v>1</v>
      </c>
      <c r="F75" s="1">
        <f t="shared" si="30"/>
        <v>2.4500000000000004E-3</v>
      </c>
      <c r="G75" s="1">
        <f>LOOKUP(RIGHT(D75,5),Ref!$C$4:$C$21,Ref!$E$4:$E$21)*$G$3</f>
        <v>4</v>
      </c>
      <c r="H75" s="297">
        <f t="shared" si="29"/>
        <v>1</v>
      </c>
      <c r="I75" s="5">
        <f t="shared" si="29"/>
        <v>1</v>
      </c>
      <c r="J75" s="5">
        <f t="shared" si="29"/>
        <v>1</v>
      </c>
      <c r="K75" s="5">
        <f t="shared" si="29"/>
        <v>1</v>
      </c>
      <c r="L75" s="5">
        <f t="shared" si="29"/>
        <v>1</v>
      </c>
      <c r="M75" s="5">
        <f t="shared" si="28"/>
        <v>1.0474258731775667</v>
      </c>
      <c r="N75" s="5">
        <f t="shared" si="28"/>
        <v>1.0758581800212434</v>
      </c>
      <c r="O75" s="5">
        <f t="shared" si="28"/>
        <v>1.1192029220221176</v>
      </c>
      <c r="P75" s="5">
        <f t="shared" si="28"/>
        <v>1.1824255238063563</v>
      </c>
      <c r="Q75" s="5">
        <f t="shared" si="28"/>
        <v>1.2689414213699952</v>
      </c>
      <c r="R75" s="5">
        <f t="shared" si="28"/>
        <v>1.3775406687981455</v>
      </c>
      <c r="S75" s="5">
        <f t="shared" si="28"/>
        <v>1.5</v>
      </c>
      <c r="T75" s="5">
        <f t="shared" si="28"/>
        <v>1.6224593312018545</v>
      </c>
      <c r="U75" s="5">
        <f t="shared" si="28"/>
        <v>1.7310585786300048</v>
      </c>
      <c r="V75" s="5">
        <f t="shared" si="28"/>
        <v>1.8175744761936437</v>
      </c>
      <c r="W75" s="5">
        <f t="shared" si="28"/>
        <v>1.8807970779778822</v>
      </c>
      <c r="X75" s="5">
        <f t="shared" si="28"/>
        <v>1.9241418199787566</v>
      </c>
      <c r="Y75" s="5">
        <f t="shared" si="28"/>
        <v>1.9525741268224333</v>
      </c>
      <c r="Z75" s="5">
        <f t="shared" si="28"/>
        <v>1.9706877692486438</v>
      </c>
      <c r="AA75" s="5">
        <f t="shared" si="28"/>
        <v>1.9820137900379085</v>
      </c>
      <c r="AB75" s="5">
        <f t="shared" si="28"/>
        <v>1.9890130573694069</v>
      </c>
      <c r="AC75" s="5">
        <f t="shared" si="27"/>
        <v>1.9933071490757153</v>
      </c>
      <c r="AD75" s="300">
        <f t="shared" si="31"/>
        <v>1.374359710352926E-2</v>
      </c>
      <c r="AE75" s="299">
        <f t="shared" si="31"/>
        <v>1.374359710352926E-2</v>
      </c>
      <c r="AF75" s="299">
        <f t="shared" si="31"/>
        <v>1.374359710352926E-2</v>
      </c>
      <c r="AG75" s="299">
        <f t="shared" si="31"/>
        <v>1.374359710352926E-2</v>
      </c>
      <c r="AH75" s="299">
        <f t="shared" si="31"/>
        <v>1.374359710352926E-2</v>
      </c>
      <c r="AI75" s="299">
        <f t="shared" si="31"/>
        <v>1.3121307631856972E-2</v>
      </c>
      <c r="AJ75" s="299">
        <f t="shared" si="31"/>
        <v>1.2774543484214513E-2</v>
      </c>
      <c r="AK75" s="299">
        <f t="shared" si="31"/>
        <v>1.2279808096549679E-2</v>
      </c>
      <c r="AL75" s="299">
        <f t="shared" si="31"/>
        <v>1.1623224318845153E-2</v>
      </c>
      <c r="AM75" s="299">
        <f t="shared" si="31"/>
        <v>1.0830757726145604E-2</v>
      </c>
      <c r="AN75" s="299">
        <f t="shared" si="31"/>
        <v>9.9769084244315277E-3</v>
      </c>
      <c r="AO75" s="299">
        <f t="shared" si="31"/>
        <v>9.1623980690195058E-3</v>
      </c>
      <c r="AP75" s="299">
        <f t="shared" si="31"/>
        <v>8.4708422819748212E-3</v>
      </c>
      <c r="AQ75" s="299">
        <f t="shared" si="31"/>
        <v>7.9394176911137364E-3</v>
      </c>
      <c r="AR75" s="299">
        <f t="shared" si="31"/>
        <v>7.5615042374005161E-3</v>
      </c>
      <c r="AS75" s="299">
        <f t="shared" si="10"/>
        <v>7.3073258484139788E-3</v>
      </c>
      <c r="AT75" s="299">
        <f t="shared" si="10"/>
        <v>7.1427152410631538E-3</v>
      </c>
      <c r="AU75" s="299">
        <f t="shared" si="10"/>
        <v>7.0387069636609501E-3</v>
      </c>
      <c r="AV75" s="299">
        <f t="shared" si="10"/>
        <v>6.9740104536038326E-3</v>
      </c>
      <c r="AW75" s="299">
        <f t="shared" si="20"/>
        <v>6.9341581640894618E-3</v>
      </c>
      <c r="AX75" s="299">
        <f t="shared" si="20"/>
        <v>6.9097571042122862E-3</v>
      </c>
      <c r="AY75" s="299">
        <f t="shared" si="20"/>
        <v>6.8948717260669456E-3</v>
      </c>
      <c r="AZ75" s="298">
        <f t="shared" si="32"/>
        <v>0.76084261928621777</v>
      </c>
      <c r="BA75" s="1">
        <f t="shared" si="32"/>
        <v>0.76084261928621777</v>
      </c>
      <c r="BB75" s="1">
        <f t="shared" si="32"/>
        <v>0.76084261928621777</v>
      </c>
      <c r="BC75" s="1">
        <f t="shared" si="32"/>
        <v>0.76084261928621777</v>
      </c>
      <c r="BD75" s="1">
        <f t="shared" si="32"/>
        <v>0.76084261928621777</v>
      </c>
      <c r="BE75" s="1">
        <f t="shared" si="32"/>
        <v>0.72639280618308211</v>
      </c>
      <c r="BF75" s="1">
        <f t="shared" si="32"/>
        <v>0.70719601655228803</v>
      </c>
      <c r="BG75" s="1">
        <f t="shared" si="32"/>
        <v>0.67980757047307105</v>
      </c>
      <c r="BH75" s="1">
        <f t="shared" si="32"/>
        <v>0.64345923186517717</v>
      </c>
      <c r="BI75" s="1">
        <f t="shared" si="32"/>
        <v>0.59958844945323364</v>
      </c>
      <c r="BJ75" s="1">
        <f t="shared" si="32"/>
        <v>0.55231953329553996</v>
      </c>
      <c r="BK75" s="1">
        <f t="shared" si="32"/>
        <v>0.50722841285747855</v>
      </c>
      <c r="BL75" s="1">
        <f t="shared" si="32"/>
        <v>0.46894403123350725</v>
      </c>
      <c r="BM75" s="1">
        <f t="shared" si="32"/>
        <v>0.43952447865072491</v>
      </c>
      <c r="BN75" s="1">
        <f t="shared" si="32"/>
        <v>0.41860327004567705</v>
      </c>
      <c r="BO75" s="1">
        <f t="shared" si="11"/>
        <v>0.40453200836755293</v>
      </c>
      <c r="BP75" s="1">
        <f t="shared" si="11"/>
        <v>0.39541920007466907</v>
      </c>
      <c r="BQ75" s="1">
        <f t="shared" si="11"/>
        <v>0.38966132390804165</v>
      </c>
      <c r="BR75" s="1">
        <f t="shared" si="11"/>
        <v>0.38607973883975605</v>
      </c>
      <c r="BS75" s="1">
        <f t="shared" si="21"/>
        <v>0.38387352454882046</v>
      </c>
      <c r="BT75" s="1">
        <f t="shared" si="21"/>
        <v>0.38252268705187853</v>
      </c>
      <c r="BU75" s="1">
        <f t="shared" si="21"/>
        <v>0.38169863567640139</v>
      </c>
    </row>
    <row r="76" spans="1:73" x14ac:dyDescent="0.25">
      <c r="A76" s="1" t="s">
        <v>24</v>
      </c>
      <c r="B76" s="1" t="s">
        <v>5</v>
      </c>
      <c r="C76" s="1" t="s">
        <v>9</v>
      </c>
      <c r="D76" s="1" t="s">
        <v>9</v>
      </c>
      <c r="E76" s="5">
        <v>1</v>
      </c>
      <c r="F76" s="1">
        <f t="shared" si="30"/>
        <v>2.4500000000000004E-3</v>
      </c>
      <c r="G76" s="1">
        <f>LOOKUP(RIGHT(D76,5),Ref!$C$4:$C$21,Ref!$E$4:$E$21)*$G$3</f>
        <v>4.5</v>
      </c>
      <c r="H76" s="297">
        <f t="shared" si="29"/>
        <v>1</v>
      </c>
      <c r="I76" s="5">
        <f t="shared" si="29"/>
        <v>1</v>
      </c>
      <c r="J76" s="5">
        <f t="shared" si="29"/>
        <v>1</v>
      </c>
      <c r="K76" s="5">
        <f t="shared" si="29"/>
        <v>1</v>
      </c>
      <c r="L76" s="5">
        <f t="shared" si="29"/>
        <v>1</v>
      </c>
      <c r="M76" s="5">
        <f t="shared" si="28"/>
        <v>1.0474258731775667</v>
      </c>
      <c r="N76" s="5">
        <f t="shared" si="28"/>
        <v>1.0758581800212434</v>
      </c>
      <c r="O76" s="5">
        <f t="shared" si="28"/>
        <v>1.1192029220221176</v>
      </c>
      <c r="P76" s="5">
        <f t="shared" si="28"/>
        <v>1.1824255238063563</v>
      </c>
      <c r="Q76" s="5">
        <f t="shared" si="28"/>
        <v>1.2689414213699952</v>
      </c>
      <c r="R76" s="5">
        <f t="shared" si="28"/>
        <v>1.3775406687981455</v>
      </c>
      <c r="S76" s="5">
        <f t="shared" si="28"/>
        <v>1.5</v>
      </c>
      <c r="T76" s="5">
        <f t="shared" si="28"/>
        <v>1.6224593312018545</v>
      </c>
      <c r="U76" s="5">
        <f t="shared" si="28"/>
        <v>1.7310585786300048</v>
      </c>
      <c r="V76" s="5">
        <f t="shared" si="28"/>
        <v>1.8175744761936437</v>
      </c>
      <c r="W76" s="5">
        <f t="shared" si="28"/>
        <v>1.8807970779778822</v>
      </c>
      <c r="X76" s="5">
        <f t="shared" si="28"/>
        <v>1.9241418199787566</v>
      </c>
      <c r="Y76" s="5">
        <f t="shared" si="28"/>
        <v>1.9525741268224333</v>
      </c>
      <c r="Z76" s="5">
        <f t="shared" si="28"/>
        <v>1.9706877692486438</v>
      </c>
      <c r="AA76" s="5">
        <f t="shared" si="28"/>
        <v>1.9820137900379085</v>
      </c>
      <c r="AB76" s="5">
        <f t="shared" si="28"/>
        <v>1.9890130573694069</v>
      </c>
      <c r="AC76" s="5">
        <f t="shared" si="27"/>
        <v>1.9933071490757153</v>
      </c>
      <c r="AD76" s="300">
        <f t="shared" si="31"/>
        <v>1.374359710352926E-2</v>
      </c>
      <c r="AE76" s="299">
        <f t="shared" si="31"/>
        <v>1.374359710352926E-2</v>
      </c>
      <c r="AF76" s="299">
        <f t="shared" si="31"/>
        <v>1.374359710352926E-2</v>
      </c>
      <c r="AG76" s="299">
        <f t="shared" si="31"/>
        <v>1.374359710352926E-2</v>
      </c>
      <c r="AH76" s="299">
        <f t="shared" si="31"/>
        <v>1.374359710352926E-2</v>
      </c>
      <c r="AI76" s="299">
        <f t="shared" si="31"/>
        <v>1.3121307631856972E-2</v>
      </c>
      <c r="AJ76" s="299">
        <f t="shared" si="31"/>
        <v>1.2774543484214513E-2</v>
      </c>
      <c r="AK76" s="299">
        <f t="shared" si="31"/>
        <v>1.2279808096549679E-2</v>
      </c>
      <c r="AL76" s="299">
        <f t="shared" si="31"/>
        <v>1.1623224318845153E-2</v>
      </c>
      <c r="AM76" s="299">
        <f t="shared" si="31"/>
        <v>1.0830757726145604E-2</v>
      </c>
      <c r="AN76" s="299">
        <f t="shared" si="31"/>
        <v>9.9769084244315277E-3</v>
      </c>
      <c r="AO76" s="299">
        <f t="shared" si="31"/>
        <v>9.1623980690195058E-3</v>
      </c>
      <c r="AP76" s="299">
        <f t="shared" si="31"/>
        <v>8.4708422819748212E-3</v>
      </c>
      <c r="AQ76" s="299">
        <f t="shared" si="31"/>
        <v>7.9394176911137364E-3</v>
      </c>
      <c r="AR76" s="299">
        <f t="shared" si="31"/>
        <v>7.5615042374005161E-3</v>
      </c>
      <c r="AS76" s="299">
        <f t="shared" si="10"/>
        <v>7.3073258484139788E-3</v>
      </c>
      <c r="AT76" s="299">
        <f t="shared" si="10"/>
        <v>7.1427152410631538E-3</v>
      </c>
      <c r="AU76" s="299">
        <f t="shared" si="10"/>
        <v>7.0387069636609501E-3</v>
      </c>
      <c r="AV76" s="299">
        <f t="shared" si="10"/>
        <v>6.9740104536038326E-3</v>
      </c>
      <c r="AW76" s="299">
        <f t="shared" si="20"/>
        <v>6.9341581640894618E-3</v>
      </c>
      <c r="AX76" s="299">
        <f t="shared" si="20"/>
        <v>6.9097571042122862E-3</v>
      </c>
      <c r="AY76" s="299">
        <f t="shared" si="20"/>
        <v>6.8948717260669456E-3</v>
      </c>
      <c r="AZ76" s="298">
        <f t="shared" si="32"/>
        <v>0.76084261928621777</v>
      </c>
      <c r="BA76" s="1">
        <f t="shared" si="32"/>
        <v>0.76084261928621777</v>
      </c>
      <c r="BB76" s="1">
        <f t="shared" si="32"/>
        <v>0.76084261928621777</v>
      </c>
      <c r="BC76" s="1">
        <f t="shared" si="32"/>
        <v>0.76084261928621777</v>
      </c>
      <c r="BD76" s="1">
        <f t="shared" si="32"/>
        <v>0.76084261928621777</v>
      </c>
      <c r="BE76" s="1">
        <f t="shared" si="32"/>
        <v>0.72639280618308211</v>
      </c>
      <c r="BF76" s="1">
        <f t="shared" si="32"/>
        <v>0.70719601655228803</v>
      </c>
      <c r="BG76" s="1">
        <f t="shared" si="32"/>
        <v>0.67980757047307105</v>
      </c>
      <c r="BH76" s="1">
        <f t="shared" si="32"/>
        <v>0.64345923186517717</v>
      </c>
      <c r="BI76" s="1">
        <f t="shared" si="32"/>
        <v>0.59958844945323364</v>
      </c>
      <c r="BJ76" s="1">
        <f t="shared" si="32"/>
        <v>0.55231953329553996</v>
      </c>
      <c r="BK76" s="1">
        <f t="shared" si="32"/>
        <v>0.50722841285747855</v>
      </c>
      <c r="BL76" s="1">
        <f t="shared" si="32"/>
        <v>0.46894403123350725</v>
      </c>
      <c r="BM76" s="1">
        <f t="shared" si="32"/>
        <v>0.43952447865072491</v>
      </c>
      <c r="BN76" s="1">
        <f t="shared" si="32"/>
        <v>0.41860327004567705</v>
      </c>
      <c r="BO76" s="1">
        <f t="shared" si="11"/>
        <v>0.40453200836755293</v>
      </c>
      <c r="BP76" s="1">
        <f t="shared" si="11"/>
        <v>0.39541920007466907</v>
      </c>
      <c r="BQ76" s="1">
        <f t="shared" si="11"/>
        <v>0.38966132390804165</v>
      </c>
      <c r="BR76" s="1">
        <f t="shared" si="11"/>
        <v>0.38607973883975605</v>
      </c>
      <c r="BS76" s="1">
        <f t="shared" si="21"/>
        <v>0.38387352454882046</v>
      </c>
      <c r="BT76" s="1">
        <f t="shared" si="21"/>
        <v>0.38252268705187853</v>
      </c>
      <c r="BU76" s="1">
        <f t="shared" si="21"/>
        <v>0.38169863567640139</v>
      </c>
    </row>
    <row r="77" spans="1:73" x14ac:dyDescent="0.25">
      <c r="A77" s="1" t="s">
        <v>24</v>
      </c>
      <c r="B77" s="1" t="s">
        <v>5</v>
      </c>
      <c r="C77" s="1" t="s">
        <v>10</v>
      </c>
      <c r="D77" s="1" t="s">
        <v>10</v>
      </c>
      <c r="E77" s="5">
        <v>1</v>
      </c>
      <c r="F77" s="1">
        <f t="shared" si="30"/>
        <v>2.4500000000000004E-3</v>
      </c>
      <c r="G77" s="1">
        <f>LOOKUP(RIGHT(D77,5),Ref!$C$4:$C$21,Ref!$E$4:$E$21)*$G$3</f>
        <v>4.5</v>
      </c>
      <c r="H77" s="297">
        <f t="shared" si="29"/>
        <v>1</v>
      </c>
      <c r="I77" s="5">
        <f t="shared" si="29"/>
        <v>1</v>
      </c>
      <c r="J77" s="5">
        <f t="shared" si="29"/>
        <v>1</v>
      </c>
      <c r="K77" s="5">
        <f t="shared" si="29"/>
        <v>1</v>
      </c>
      <c r="L77" s="5">
        <f t="shared" si="29"/>
        <v>1</v>
      </c>
      <c r="M77" s="5">
        <f t="shared" si="28"/>
        <v>1.0474258731775667</v>
      </c>
      <c r="N77" s="5">
        <f t="shared" si="28"/>
        <v>1.0758581800212434</v>
      </c>
      <c r="O77" s="5">
        <f t="shared" si="28"/>
        <v>1.1192029220221176</v>
      </c>
      <c r="P77" s="5">
        <f t="shared" si="28"/>
        <v>1.1824255238063563</v>
      </c>
      <c r="Q77" s="5">
        <f t="shared" si="28"/>
        <v>1.2689414213699952</v>
      </c>
      <c r="R77" s="5">
        <f t="shared" si="28"/>
        <v>1.3775406687981455</v>
      </c>
      <c r="S77" s="5">
        <f t="shared" si="28"/>
        <v>1.5</v>
      </c>
      <c r="T77" s="5">
        <f t="shared" si="28"/>
        <v>1.6224593312018545</v>
      </c>
      <c r="U77" s="5">
        <f t="shared" si="28"/>
        <v>1.7310585786300048</v>
      </c>
      <c r="V77" s="5">
        <f t="shared" si="28"/>
        <v>1.8175744761936437</v>
      </c>
      <c r="W77" s="5">
        <f t="shared" si="28"/>
        <v>1.8807970779778822</v>
      </c>
      <c r="X77" s="5">
        <f t="shared" si="28"/>
        <v>1.9241418199787566</v>
      </c>
      <c r="Y77" s="5">
        <f t="shared" si="28"/>
        <v>1.9525741268224333</v>
      </c>
      <c r="Z77" s="5">
        <f t="shared" si="28"/>
        <v>1.9706877692486438</v>
      </c>
      <c r="AA77" s="5">
        <f t="shared" si="28"/>
        <v>1.9820137900379085</v>
      </c>
      <c r="AB77" s="5">
        <f t="shared" si="28"/>
        <v>1.9890130573694069</v>
      </c>
      <c r="AC77" s="5">
        <f t="shared" si="27"/>
        <v>1.9933071490757153</v>
      </c>
      <c r="AD77" s="300">
        <f t="shared" si="31"/>
        <v>1.374359710352926E-2</v>
      </c>
      <c r="AE77" s="299">
        <f t="shared" si="31"/>
        <v>1.374359710352926E-2</v>
      </c>
      <c r="AF77" s="299">
        <f t="shared" si="31"/>
        <v>1.374359710352926E-2</v>
      </c>
      <c r="AG77" s="299">
        <f t="shared" si="31"/>
        <v>1.374359710352926E-2</v>
      </c>
      <c r="AH77" s="299">
        <f t="shared" si="31"/>
        <v>1.374359710352926E-2</v>
      </c>
      <c r="AI77" s="299">
        <f t="shared" si="31"/>
        <v>1.3121307631856972E-2</v>
      </c>
      <c r="AJ77" s="299">
        <f t="shared" si="31"/>
        <v>1.2774543484214513E-2</v>
      </c>
      <c r="AK77" s="299">
        <f t="shared" si="31"/>
        <v>1.2279808096549679E-2</v>
      </c>
      <c r="AL77" s="299">
        <f t="shared" si="31"/>
        <v>1.1623224318845153E-2</v>
      </c>
      <c r="AM77" s="299">
        <f t="shared" si="31"/>
        <v>1.0830757726145604E-2</v>
      </c>
      <c r="AN77" s="299">
        <f t="shared" si="31"/>
        <v>9.9769084244315277E-3</v>
      </c>
      <c r="AO77" s="299">
        <f t="shared" si="31"/>
        <v>9.1623980690195058E-3</v>
      </c>
      <c r="AP77" s="299">
        <f t="shared" si="31"/>
        <v>8.4708422819748212E-3</v>
      </c>
      <c r="AQ77" s="299">
        <f t="shared" si="31"/>
        <v>7.9394176911137364E-3</v>
      </c>
      <c r="AR77" s="299">
        <f t="shared" si="31"/>
        <v>7.5615042374005161E-3</v>
      </c>
      <c r="AS77" s="299">
        <f t="shared" si="10"/>
        <v>7.3073258484139788E-3</v>
      </c>
      <c r="AT77" s="299">
        <f t="shared" si="10"/>
        <v>7.1427152410631538E-3</v>
      </c>
      <c r="AU77" s="299">
        <f t="shared" si="10"/>
        <v>7.0387069636609501E-3</v>
      </c>
      <c r="AV77" s="299">
        <f t="shared" si="10"/>
        <v>6.9740104536038326E-3</v>
      </c>
      <c r="AW77" s="299">
        <f t="shared" si="20"/>
        <v>6.9341581640894618E-3</v>
      </c>
      <c r="AX77" s="299">
        <f t="shared" si="20"/>
        <v>6.9097571042122862E-3</v>
      </c>
      <c r="AY77" s="299">
        <f t="shared" si="20"/>
        <v>6.8948717260669456E-3</v>
      </c>
      <c r="AZ77" s="298">
        <f t="shared" si="32"/>
        <v>0.76084261928621777</v>
      </c>
      <c r="BA77" s="1">
        <f t="shared" si="32"/>
        <v>0.76084261928621777</v>
      </c>
      <c r="BB77" s="1">
        <f t="shared" si="32"/>
        <v>0.76084261928621777</v>
      </c>
      <c r="BC77" s="1">
        <f t="shared" si="32"/>
        <v>0.76084261928621777</v>
      </c>
      <c r="BD77" s="1">
        <f t="shared" si="32"/>
        <v>0.76084261928621777</v>
      </c>
      <c r="BE77" s="1">
        <f t="shared" si="32"/>
        <v>0.72639280618308211</v>
      </c>
      <c r="BF77" s="1">
        <f t="shared" si="32"/>
        <v>0.70719601655228803</v>
      </c>
      <c r="BG77" s="1">
        <f t="shared" si="32"/>
        <v>0.67980757047307105</v>
      </c>
      <c r="BH77" s="1">
        <f t="shared" si="32"/>
        <v>0.64345923186517717</v>
      </c>
      <c r="BI77" s="1">
        <f t="shared" si="32"/>
        <v>0.59958844945323364</v>
      </c>
      <c r="BJ77" s="1">
        <f t="shared" si="32"/>
        <v>0.55231953329553996</v>
      </c>
      <c r="BK77" s="1">
        <f t="shared" si="32"/>
        <v>0.50722841285747855</v>
      </c>
      <c r="BL77" s="1">
        <f t="shared" si="32"/>
        <v>0.46894403123350725</v>
      </c>
      <c r="BM77" s="1">
        <f t="shared" si="32"/>
        <v>0.43952447865072491</v>
      </c>
      <c r="BN77" s="1">
        <f t="shared" si="32"/>
        <v>0.41860327004567705</v>
      </c>
      <c r="BO77" s="1">
        <f t="shared" si="11"/>
        <v>0.40453200836755293</v>
      </c>
      <c r="BP77" s="1">
        <f t="shared" si="11"/>
        <v>0.39541920007466907</v>
      </c>
      <c r="BQ77" s="1">
        <f t="shared" si="11"/>
        <v>0.38966132390804165</v>
      </c>
      <c r="BR77" s="1">
        <f t="shared" si="11"/>
        <v>0.38607973883975605</v>
      </c>
      <c r="BS77" s="1">
        <f t="shared" si="21"/>
        <v>0.38387352454882046</v>
      </c>
      <c r="BT77" s="1">
        <f t="shared" si="21"/>
        <v>0.38252268705187853</v>
      </c>
      <c r="BU77" s="1">
        <f t="shared" si="21"/>
        <v>0.38169863567640139</v>
      </c>
    </row>
    <row r="78" spans="1:73" x14ac:dyDescent="0.25">
      <c r="A78" s="1" t="s">
        <v>25</v>
      </c>
      <c r="B78" s="1" t="s">
        <v>5</v>
      </c>
      <c r="C78" s="1" t="s">
        <v>16</v>
      </c>
      <c r="D78" s="1" t="s">
        <v>16</v>
      </c>
      <c r="E78" s="5">
        <v>8.3324999999999996</v>
      </c>
      <c r="F78" s="1">
        <f t="shared" si="30"/>
        <v>2.0414624999999999E-2</v>
      </c>
      <c r="G78" s="1">
        <f>LOOKUP(RIGHT(D78,5),Ref!$C$4:$C$21,Ref!$E$4:$E$21)*$G$3</f>
        <v>3</v>
      </c>
      <c r="H78" s="297">
        <f t="shared" si="29"/>
        <v>8.3324999999999996</v>
      </c>
      <c r="I78" s="5">
        <f t="shared" si="29"/>
        <v>8.3324999999999996</v>
      </c>
      <c r="J78" s="5">
        <f t="shared" si="29"/>
        <v>8.3324999999999996</v>
      </c>
      <c r="K78" s="5">
        <f t="shared" si="29"/>
        <v>8.3324999999999996</v>
      </c>
      <c r="L78" s="5">
        <f t="shared" si="29"/>
        <v>8.3324999999999996</v>
      </c>
      <c r="M78" s="5">
        <f t="shared" si="28"/>
        <v>8.7276760882520747</v>
      </c>
      <c r="N78" s="5">
        <f t="shared" si="28"/>
        <v>8.9645882850270109</v>
      </c>
      <c r="O78" s="5">
        <f t="shared" si="28"/>
        <v>9.3257583477492947</v>
      </c>
      <c r="P78" s="5">
        <f t="shared" si="28"/>
        <v>9.8525606771164647</v>
      </c>
      <c r="Q78" s="5">
        <f t="shared" si="28"/>
        <v>10.573454393565484</v>
      </c>
      <c r="R78" s="5">
        <f t="shared" si="28"/>
        <v>11.478357622760546</v>
      </c>
      <c r="S78" s="5">
        <f t="shared" si="28"/>
        <v>12.498749999999999</v>
      </c>
      <c r="T78" s="5">
        <f t="shared" si="28"/>
        <v>13.519142377239453</v>
      </c>
      <c r="U78" s="5">
        <f t="shared" si="28"/>
        <v>14.424045606434515</v>
      </c>
      <c r="V78" s="5">
        <f t="shared" si="28"/>
        <v>15.144939322883534</v>
      </c>
      <c r="W78" s="5">
        <f t="shared" si="28"/>
        <v>15.671741652250702</v>
      </c>
      <c r="X78" s="5">
        <f t="shared" si="28"/>
        <v>16.03291171497299</v>
      </c>
      <c r="Y78" s="5">
        <f t="shared" si="28"/>
        <v>16.269823911747924</v>
      </c>
      <c r="Z78" s="5">
        <f t="shared" si="28"/>
        <v>16.420755837264323</v>
      </c>
      <c r="AA78" s="5">
        <f t="shared" si="28"/>
        <v>16.51512990549087</v>
      </c>
      <c r="AB78" s="5">
        <f t="shared" si="28"/>
        <v>16.573451300530582</v>
      </c>
      <c r="AC78" s="5">
        <f t="shared" si="27"/>
        <v>16.609231819673397</v>
      </c>
      <c r="AD78" s="300">
        <f t="shared" si="31"/>
        <v>1.6493965920827195E-3</v>
      </c>
      <c r="AE78" s="299">
        <f t="shared" si="31"/>
        <v>1.6493965920827195E-3</v>
      </c>
      <c r="AF78" s="299">
        <f t="shared" si="31"/>
        <v>1.6493965920827195E-3</v>
      </c>
      <c r="AG78" s="299">
        <f t="shared" si="31"/>
        <v>1.6493965920827195E-3</v>
      </c>
      <c r="AH78" s="299">
        <f t="shared" si="31"/>
        <v>1.6493965920827195E-3</v>
      </c>
      <c r="AI78" s="299">
        <f t="shared" si="31"/>
        <v>1.5747143872615629E-3</v>
      </c>
      <c r="AJ78" s="299">
        <f t="shared" si="31"/>
        <v>1.5330985279585374E-3</v>
      </c>
      <c r="AK78" s="299">
        <f t="shared" si="31"/>
        <v>1.4737243440203637E-3</v>
      </c>
      <c r="AL78" s="299">
        <f t="shared" si="31"/>
        <v>1.3949264109025085E-3</v>
      </c>
      <c r="AM78" s="299">
        <f t="shared" si="31"/>
        <v>1.2998209092283954E-3</v>
      </c>
      <c r="AN78" s="299">
        <f t="shared" si="31"/>
        <v>1.1973487458063641E-3</v>
      </c>
      <c r="AO78" s="299">
        <f t="shared" si="31"/>
        <v>1.0995977280551462E-3</v>
      </c>
      <c r="AP78" s="299">
        <f t="shared" si="31"/>
        <v>1.0166027341103896E-3</v>
      </c>
      <c r="AQ78" s="299">
        <f t="shared" si="31"/>
        <v>9.528254054741958E-4</v>
      </c>
      <c r="AR78" s="299">
        <f t="shared" si="31"/>
        <v>9.0747125561362334E-4</v>
      </c>
      <c r="AS78" s="299">
        <f t="shared" si="10"/>
        <v>8.7696679848952642E-4</v>
      </c>
      <c r="AT78" s="299">
        <f t="shared" si="10"/>
        <v>8.5721155008258666E-4</v>
      </c>
      <c r="AU78" s="299">
        <f t="shared" si="10"/>
        <v>8.4472930857017105E-4</v>
      </c>
      <c r="AV78" s="299">
        <f t="shared" si="10"/>
        <v>8.3696495092755278E-4</v>
      </c>
      <c r="AW78" s="299">
        <f t="shared" si="20"/>
        <v>8.3218219791052661E-4</v>
      </c>
      <c r="AX78" s="299">
        <f t="shared" si="20"/>
        <v>8.2925377788326275E-4</v>
      </c>
      <c r="AY78" s="299">
        <f t="shared" si="20"/>
        <v>8.2746735386341982E-4</v>
      </c>
      <c r="AZ78" s="298">
        <f t="shared" si="32"/>
        <v>9.1310245338880019E-2</v>
      </c>
      <c r="BA78" s="1">
        <f t="shared" si="32"/>
        <v>9.1310245338880019E-2</v>
      </c>
      <c r="BB78" s="1">
        <f t="shared" si="32"/>
        <v>9.1310245338880019E-2</v>
      </c>
      <c r="BC78" s="1">
        <f t="shared" si="32"/>
        <v>9.1310245338880019E-2</v>
      </c>
      <c r="BD78" s="1">
        <f t="shared" si="32"/>
        <v>9.1310245338880019E-2</v>
      </c>
      <c r="BE78" s="1">
        <f t="shared" si="32"/>
        <v>8.7175854327402588E-2</v>
      </c>
      <c r="BF78" s="1">
        <f t="shared" si="32"/>
        <v>8.4872009187193287E-2</v>
      </c>
      <c r="BG78" s="1">
        <f t="shared" si="32"/>
        <v>8.1585066963464875E-2</v>
      </c>
      <c r="BH78" s="1">
        <f t="shared" si="32"/>
        <v>7.7222830106831938E-2</v>
      </c>
      <c r="BI78" s="1">
        <f t="shared" si="32"/>
        <v>7.1957809715359575E-2</v>
      </c>
      <c r="BJ78" s="1">
        <f t="shared" si="32"/>
        <v>6.6284972492714075E-2</v>
      </c>
      <c r="BK78" s="1">
        <f t="shared" si="32"/>
        <v>6.0873496892586684E-2</v>
      </c>
      <c r="BL78" s="1">
        <f t="shared" si="32"/>
        <v>5.6278911639184789E-2</v>
      </c>
      <c r="BM78" s="1">
        <f t="shared" si="32"/>
        <v>5.2748212259312921E-2</v>
      </c>
      <c r="BN78" s="1">
        <f t="shared" si="32"/>
        <v>5.023741614709596E-2</v>
      </c>
      <c r="BO78" s="1">
        <f t="shared" si="11"/>
        <v>4.8548695873693724E-2</v>
      </c>
      <c r="BP78" s="1">
        <f t="shared" si="11"/>
        <v>4.7455049513911676E-2</v>
      </c>
      <c r="BQ78" s="1">
        <f t="shared" si="11"/>
        <v>4.6764035272492253E-2</v>
      </c>
      <c r="BR78" s="1">
        <f t="shared" si="11"/>
        <v>4.6334202080978826E-2</v>
      </c>
      <c r="BS78" s="1">
        <f t="shared" si="21"/>
        <v>4.6069429888847352E-2</v>
      </c>
      <c r="BT78" s="1">
        <f t="shared" si="21"/>
        <v>4.590731317754318E-2</v>
      </c>
      <c r="BU78" s="1">
        <f t="shared" si="21"/>
        <v>4.580841712288046E-2</v>
      </c>
    </row>
    <row r="79" spans="1:73" x14ac:dyDescent="0.25">
      <c r="A79" s="1" t="s">
        <v>25</v>
      </c>
      <c r="B79" s="1" t="s">
        <v>5</v>
      </c>
      <c r="C79" s="1" t="s">
        <v>17</v>
      </c>
      <c r="D79" s="1" t="s">
        <v>17</v>
      </c>
      <c r="E79" s="5">
        <v>8.9512499999999999</v>
      </c>
      <c r="F79" s="1">
        <f t="shared" si="30"/>
        <v>2.1930562499999997E-2</v>
      </c>
      <c r="G79" s="1">
        <f>LOOKUP(RIGHT(D79,5),Ref!$C$4:$C$21,Ref!$E$4:$E$21)*$G$3</f>
        <v>3</v>
      </c>
      <c r="H79" s="297">
        <f t="shared" si="29"/>
        <v>8.9512499999999999</v>
      </c>
      <c r="I79" s="5">
        <f t="shared" si="29"/>
        <v>8.9512499999999999</v>
      </c>
      <c r="J79" s="5">
        <f t="shared" si="29"/>
        <v>8.9512499999999999</v>
      </c>
      <c r="K79" s="5">
        <f t="shared" si="29"/>
        <v>8.9512499999999999</v>
      </c>
      <c r="L79" s="5">
        <f t="shared" si="29"/>
        <v>8.9512499999999999</v>
      </c>
      <c r="M79" s="5">
        <f t="shared" si="28"/>
        <v>9.3757708472806947</v>
      </c>
      <c r="N79" s="5">
        <f t="shared" si="28"/>
        <v>9.6302755339151549</v>
      </c>
      <c r="O79" s="5">
        <f t="shared" si="28"/>
        <v>10.01826515575048</v>
      </c>
      <c r="P79" s="5">
        <f t="shared" si="28"/>
        <v>10.584186469971646</v>
      </c>
      <c r="Q79" s="5">
        <f t="shared" si="28"/>
        <v>11.35861189803817</v>
      </c>
      <c r="R79" s="5">
        <f t="shared" si="28"/>
        <v>12.3307109115794</v>
      </c>
      <c r="S79" s="5">
        <f t="shared" si="28"/>
        <v>13.426874999999999</v>
      </c>
      <c r="T79" s="5">
        <f t="shared" si="28"/>
        <v>14.5230390884206</v>
      </c>
      <c r="U79" s="5">
        <f t="shared" si="28"/>
        <v>15.49513810196183</v>
      </c>
      <c r="V79" s="5">
        <f t="shared" si="28"/>
        <v>16.269563530028353</v>
      </c>
      <c r="W79" s="5">
        <f t="shared" si="28"/>
        <v>16.835484844249518</v>
      </c>
      <c r="X79" s="5">
        <f t="shared" si="28"/>
        <v>17.223474466084845</v>
      </c>
      <c r="Y79" s="5">
        <f t="shared" si="28"/>
        <v>17.477979152719307</v>
      </c>
      <c r="Z79" s="5">
        <f t="shared" si="28"/>
        <v>17.640118894486921</v>
      </c>
      <c r="AA79" s="5">
        <f t="shared" si="28"/>
        <v>17.741500938076829</v>
      </c>
      <c r="AB79" s="5">
        <f t="shared" si="28"/>
        <v>17.804153129777905</v>
      </c>
      <c r="AC79" s="5">
        <f t="shared" si="27"/>
        <v>17.842590618163996</v>
      </c>
      <c r="AD79" s="300">
        <f t="shared" si="31"/>
        <v>1.5353830027682457E-3</v>
      </c>
      <c r="AE79" s="299">
        <f t="shared" si="31"/>
        <v>1.5353830027682457E-3</v>
      </c>
      <c r="AF79" s="299">
        <f t="shared" si="31"/>
        <v>1.5353830027682457E-3</v>
      </c>
      <c r="AG79" s="299">
        <f t="shared" si="31"/>
        <v>1.5353830027682457E-3</v>
      </c>
      <c r="AH79" s="299">
        <f t="shared" si="31"/>
        <v>1.5353830027682457E-3</v>
      </c>
      <c r="AI79" s="299">
        <f t="shared" si="31"/>
        <v>1.4658631623356484E-3</v>
      </c>
      <c r="AJ79" s="299">
        <f t="shared" si="31"/>
        <v>1.4271239753346754E-3</v>
      </c>
      <c r="AK79" s="299">
        <f t="shared" si="31"/>
        <v>1.371853997659509E-3</v>
      </c>
      <c r="AL79" s="299">
        <f t="shared" si="31"/>
        <v>1.2985029262779114E-3</v>
      </c>
      <c r="AM79" s="299">
        <f t="shared" si="31"/>
        <v>1.2099715376227458E-3</v>
      </c>
      <c r="AN79" s="299">
        <f t="shared" si="31"/>
        <v>1.1145827034695186E-3</v>
      </c>
      <c r="AO79" s="299">
        <f t="shared" si="31"/>
        <v>1.023588668512164E-3</v>
      </c>
      <c r="AP79" s="299">
        <f t="shared" si="31"/>
        <v>9.4633065571566222E-4</v>
      </c>
      <c r="AQ79" s="299">
        <f t="shared" si="31"/>
        <v>8.869618981833528E-4</v>
      </c>
      <c r="AR79" s="299">
        <f t="shared" si="31"/>
        <v>8.4474282780622992E-4</v>
      </c>
      <c r="AS79" s="299">
        <f t="shared" si="10"/>
        <v>8.1634697370914437E-4</v>
      </c>
      <c r="AT79" s="299">
        <f t="shared" si="10"/>
        <v>7.9795729546858305E-4</v>
      </c>
      <c r="AU79" s="299">
        <f t="shared" si="10"/>
        <v>7.8633788171048166E-4</v>
      </c>
      <c r="AV79" s="299">
        <f t="shared" si="10"/>
        <v>7.7911023081735325E-4</v>
      </c>
      <c r="AW79" s="299">
        <f t="shared" si="20"/>
        <v>7.7465808284758687E-4</v>
      </c>
      <c r="AX79" s="299">
        <f t="shared" si="20"/>
        <v>7.7193208816782972E-4</v>
      </c>
      <c r="AY79" s="299">
        <f t="shared" si="20"/>
        <v>7.7026914967931253E-4</v>
      </c>
      <c r="AZ79" s="298">
        <f t="shared" si="32"/>
        <v>8.4998477227897537E-2</v>
      </c>
      <c r="BA79" s="1">
        <f t="shared" si="32"/>
        <v>8.4998477227897537E-2</v>
      </c>
      <c r="BB79" s="1">
        <f t="shared" si="32"/>
        <v>8.4998477227897537E-2</v>
      </c>
      <c r="BC79" s="1">
        <f t="shared" si="32"/>
        <v>8.4998477227897537E-2</v>
      </c>
      <c r="BD79" s="1">
        <f t="shared" si="32"/>
        <v>8.4998477227897537E-2</v>
      </c>
      <c r="BE79" s="1">
        <f t="shared" si="32"/>
        <v>8.1149873613526838E-2</v>
      </c>
      <c r="BF79" s="1">
        <f t="shared" si="32"/>
        <v>7.9005280441534764E-2</v>
      </c>
      <c r="BG79" s="1">
        <f t="shared" si="32"/>
        <v>7.5945546205621675E-2</v>
      </c>
      <c r="BH79" s="1">
        <f t="shared" si="32"/>
        <v>7.1884846458894258E-2</v>
      </c>
      <c r="BI79" s="1">
        <f t="shared" si="32"/>
        <v>6.6983767569136557E-2</v>
      </c>
      <c r="BJ79" s="1">
        <f t="shared" si="32"/>
        <v>6.1703061951743049E-2</v>
      </c>
      <c r="BK79" s="1">
        <f t="shared" si="32"/>
        <v>5.6665651485265027E-2</v>
      </c>
      <c r="BL79" s="1">
        <f t="shared" si="32"/>
        <v>5.2388664290854044E-2</v>
      </c>
      <c r="BM79" s="1">
        <f t="shared" si="32"/>
        <v>4.9102022471802814E-2</v>
      </c>
      <c r="BN79" s="1">
        <f t="shared" si="32"/>
        <v>4.6764783694531714E-2</v>
      </c>
      <c r="BO79" s="1">
        <f t="shared" si="11"/>
        <v>4.5192795237263279E-2</v>
      </c>
      <c r="BP79" s="1">
        <f t="shared" si="11"/>
        <v>4.4174746552120545E-2</v>
      </c>
      <c r="BQ79" s="1">
        <f t="shared" si="11"/>
        <v>4.3531498272089554E-2</v>
      </c>
      <c r="BR79" s="1">
        <f t="shared" si="11"/>
        <v>4.3131377052339735E-2</v>
      </c>
      <c r="BS79" s="1">
        <f t="shared" si="21"/>
        <v>4.2884907085470797E-2</v>
      </c>
      <c r="BT79" s="1">
        <f t="shared" si="21"/>
        <v>4.2733996598450327E-2</v>
      </c>
      <c r="BU79" s="1">
        <f t="shared" si="21"/>
        <v>4.2641936676598401E-2</v>
      </c>
    </row>
    <row r="80" spans="1:73" x14ac:dyDescent="0.25">
      <c r="A80" s="1" t="s">
        <v>25</v>
      </c>
      <c r="B80" s="1" t="s">
        <v>5</v>
      </c>
      <c r="C80" s="1" t="s">
        <v>18</v>
      </c>
      <c r="D80" s="1" t="s">
        <v>18</v>
      </c>
      <c r="E80" s="5">
        <v>8.9512499999999999</v>
      </c>
      <c r="F80" s="1">
        <f t="shared" si="30"/>
        <v>2.1930562499999997E-2</v>
      </c>
      <c r="G80" s="1">
        <f>LOOKUP(RIGHT(D80,5),Ref!$C$4:$C$21,Ref!$E$4:$E$21)*$G$3</f>
        <v>3</v>
      </c>
      <c r="H80" s="297">
        <f t="shared" si="29"/>
        <v>8.9512499999999999</v>
      </c>
      <c r="I80" s="5">
        <f t="shared" si="29"/>
        <v>8.9512499999999999</v>
      </c>
      <c r="J80" s="5">
        <f t="shared" si="29"/>
        <v>8.9512499999999999</v>
      </c>
      <c r="K80" s="5">
        <f t="shared" si="29"/>
        <v>8.9512499999999999</v>
      </c>
      <c r="L80" s="5">
        <f t="shared" si="29"/>
        <v>8.9512499999999999</v>
      </c>
      <c r="M80" s="5">
        <f t="shared" si="28"/>
        <v>9.3757708472806947</v>
      </c>
      <c r="N80" s="5">
        <f t="shared" si="28"/>
        <v>9.6302755339151549</v>
      </c>
      <c r="O80" s="5">
        <f t="shared" si="28"/>
        <v>10.01826515575048</v>
      </c>
      <c r="P80" s="5">
        <f t="shared" si="28"/>
        <v>10.584186469971646</v>
      </c>
      <c r="Q80" s="5">
        <f t="shared" si="28"/>
        <v>11.35861189803817</v>
      </c>
      <c r="R80" s="5">
        <f t="shared" si="28"/>
        <v>12.3307109115794</v>
      </c>
      <c r="S80" s="5">
        <f t="shared" si="28"/>
        <v>13.426874999999999</v>
      </c>
      <c r="T80" s="5">
        <f t="shared" si="28"/>
        <v>14.5230390884206</v>
      </c>
      <c r="U80" s="5">
        <f t="shared" si="28"/>
        <v>15.49513810196183</v>
      </c>
      <c r="V80" s="5">
        <f t="shared" si="28"/>
        <v>16.269563530028353</v>
      </c>
      <c r="W80" s="5">
        <f t="shared" si="28"/>
        <v>16.835484844249518</v>
      </c>
      <c r="X80" s="5">
        <f t="shared" si="28"/>
        <v>17.223474466084845</v>
      </c>
      <c r="Y80" s="5">
        <f t="shared" si="28"/>
        <v>17.477979152719307</v>
      </c>
      <c r="Z80" s="5">
        <f t="shared" si="28"/>
        <v>17.640118894486921</v>
      </c>
      <c r="AA80" s="5">
        <f t="shared" si="28"/>
        <v>17.741500938076829</v>
      </c>
      <c r="AB80" s="5">
        <f t="shared" si="28"/>
        <v>17.804153129777905</v>
      </c>
      <c r="AC80" s="5">
        <f t="shared" si="27"/>
        <v>17.842590618163996</v>
      </c>
      <c r="AD80" s="300">
        <f t="shared" si="31"/>
        <v>1.5353830027682457E-3</v>
      </c>
      <c r="AE80" s="299">
        <f t="shared" si="31"/>
        <v>1.5353830027682457E-3</v>
      </c>
      <c r="AF80" s="299">
        <f t="shared" si="31"/>
        <v>1.5353830027682457E-3</v>
      </c>
      <c r="AG80" s="299">
        <f t="shared" si="31"/>
        <v>1.5353830027682457E-3</v>
      </c>
      <c r="AH80" s="299">
        <f t="shared" si="31"/>
        <v>1.5353830027682457E-3</v>
      </c>
      <c r="AI80" s="299">
        <f t="shared" si="31"/>
        <v>1.4658631623356484E-3</v>
      </c>
      <c r="AJ80" s="299">
        <f t="shared" si="31"/>
        <v>1.4271239753346754E-3</v>
      </c>
      <c r="AK80" s="299">
        <f t="shared" si="31"/>
        <v>1.371853997659509E-3</v>
      </c>
      <c r="AL80" s="299">
        <f t="shared" si="31"/>
        <v>1.2985029262779114E-3</v>
      </c>
      <c r="AM80" s="299">
        <f t="shared" si="31"/>
        <v>1.2099715376227458E-3</v>
      </c>
      <c r="AN80" s="299">
        <f t="shared" si="31"/>
        <v>1.1145827034695186E-3</v>
      </c>
      <c r="AO80" s="299">
        <f t="shared" si="31"/>
        <v>1.023588668512164E-3</v>
      </c>
      <c r="AP80" s="299">
        <f t="shared" si="31"/>
        <v>9.4633065571566222E-4</v>
      </c>
      <c r="AQ80" s="299">
        <f t="shared" si="31"/>
        <v>8.869618981833528E-4</v>
      </c>
      <c r="AR80" s="299">
        <f t="shared" si="31"/>
        <v>8.4474282780622992E-4</v>
      </c>
      <c r="AS80" s="299">
        <f t="shared" si="10"/>
        <v>8.1634697370914437E-4</v>
      </c>
      <c r="AT80" s="299">
        <f t="shared" si="10"/>
        <v>7.9795729546858305E-4</v>
      </c>
      <c r="AU80" s="299">
        <f t="shared" si="10"/>
        <v>7.8633788171048166E-4</v>
      </c>
      <c r="AV80" s="299">
        <f t="shared" si="10"/>
        <v>7.7911023081735325E-4</v>
      </c>
      <c r="AW80" s="299">
        <f t="shared" si="20"/>
        <v>7.7465808284758687E-4</v>
      </c>
      <c r="AX80" s="299">
        <f t="shared" si="20"/>
        <v>7.7193208816782972E-4</v>
      </c>
      <c r="AY80" s="299">
        <f t="shared" si="20"/>
        <v>7.7026914967931253E-4</v>
      </c>
      <c r="AZ80" s="298">
        <f t="shared" si="32"/>
        <v>8.4998477227897537E-2</v>
      </c>
      <c r="BA80" s="1">
        <f t="shared" si="32"/>
        <v>8.4998477227897537E-2</v>
      </c>
      <c r="BB80" s="1">
        <f t="shared" si="32"/>
        <v>8.4998477227897537E-2</v>
      </c>
      <c r="BC80" s="1">
        <f t="shared" si="32"/>
        <v>8.4998477227897537E-2</v>
      </c>
      <c r="BD80" s="1">
        <f t="shared" si="32"/>
        <v>8.4998477227897537E-2</v>
      </c>
      <c r="BE80" s="1">
        <f t="shared" si="32"/>
        <v>8.1149873613526838E-2</v>
      </c>
      <c r="BF80" s="1">
        <f t="shared" si="32"/>
        <v>7.9005280441534764E-2</v>
      </c>
      <c r="BG80" s="1">
        <f t="shared" si="32"/>
        <v>7.5945546205621675E-2</v>
      </c>
      <c r="BH80" s="1">
        <f t="shared" si="32"/>
        <v>7.1884846458894258E-2</v>
      </c>
      <c r="BI80" s="1">
        <f t="shared" si="32"/>
        <v>6.6983767569136557E-2</v>
      </c>
      <c r="BJ80" s="1">
        <f t="shared" si="32"/>
        <v>6.1703061951743049E-2</v>
      </c>
      <c r="BK80" s="1">
        <f t="shared" si="32"/>
        <v>5.6665651485265027E-2</v>
      </c>
      <c r="BL80" s="1">
        <f t="shared" si="32"/>
        <v>5.2388664290854044E-2</v>
      </c>
      <c r="BM80" s="1">
        <f t="shared" si="32"/>
        <v>4.9102022471802814E-2</v>
      </c>
      <c r="BN80" s="1">
        <f t="shared" si="32"/>
        <v>4.6764783694531714E-2</v>
      </c>
      <c r="BO80" s="1">
        <f t="shared" si="11"/>
        <v>4.5192795237263279E-2</v>
      </c>
      <c r="BP80" s="1">
        <f t="shared" si="11"/>
        <v>4.4174746552120545E-2</v>
      </c>
      <c r="BQ80" s="1">
        <f t="shared" si="11"/>
        <v>4.3531498272089554E-2</v>
      </c>
      <c r="BR80" s="1">
        <f t="shared" si="11"/>
        <v>4.3131377052339735E-2</v>
      </c>
      <c r="BS80" s="1">
        <f t="shared" si="21"/>
        <v>4.2884907085470797E-2</v>
      </c>
      <c r="BT80" s="1">
        <f t="shared" si="21"/>
        <v>4.2733996598450327E-2</v>
      </c>
      <c r="BU80" s="1">
        <f t="shared" si="21"/>
        <v>4.2641936676598401E-2</v>
      </c>
    </row>
    <row r="81" spans="1:73" x14ac:dyDescent="0.25">
      <c r="A81" s="1" t="s">
        <v>25</v>
      </c>
      <c r="B81" s="1" t="s">
        <v>5</v>
      </c>
      <c r="C81" s="1" t="s">
        <v>11</v>
      </c>
      <c r="D81" s="1" t="s">
        <v>11</v>
      </c>
      <c r="E81" s="5">
        <v>7.9117499999999996</v>
      </c>
      <c r="F81" s="1">
        <f t="shared" si="30"/>
        <v>1.9383787499999999E-2</v>
      </c>
      <c r="G81" s="1">
        <f>LOOKUP(RIGHT(D81,5),Ref!$C$4:$C$21,Ref!$E$4:$E$21)*$G$3</f>
        <v>4.5</v>
      </c>
      <c r="H81" s="297">
        <f t="shared" si="29"/>
        <v>7.9117499999999996</v>
      </c>
      <c r="I81" s="5">
        <f t="shared" si="29"/>
        <v>7.9117499999999996</v>
      </c>
      <c r="J81" s="5">
        <f t="shared" si="29"/>
        <v>7.9117499999999996</v>
      </c>
      <c r="K81" s="5">
        <f t="shared" si="29"/>
        <v>7.9117499999999996</v>
      </c>
      <c r="L81" s="5">
        <f t="shared" si="29"/>
        <v>7.9117499999999996</v>
      </c>
      <c r="M81" s="5">
        <f t="shared" si="28"/>
        <v>8.286971652112614</v>
      </c>
      <c r="N81" s="5">
        <f t="shared" si="28"/>
        <v>8.5119209557830722</v>
      </c>
      <c r="O81" s="5">
        <f t="shared" si="28"/>
        <v>8.8548537183084886</v>
      </c>
      <c r="P81" s="5">
        <f t="shared" si="28"/>
        <v>9.35505513797494</v>
      </c>
      <c r="Q81" s="5">
        <f t="shared" si="28"/>
        <v>10.039547290524059</v>
      </c>
      <c r="R81" s="5">
        <f t="shared" si="28"/>
        <v>10.898757386363727</v>
      </c>
      <c r="S81" s="5">
        <f t="shared" si="28"/>
        <v>11.867625</v>
      </c>
      <c r="T81" s="5">
        <f t="shared" si="28"/>
        <v>12.836492613636272</v>
      </c>
      <c r="U81" s="5">
        <f t="shared" si="28"/>
        <v>13.69570270947594</v>
      </c>
      <c r="V81" s="5">
        <f t="shared" si="28"/>
        <v>14.380194862025059</v>
      </c>
      <c r="W81" s="5">
        <f t="shared" si="28"/>
        <v>14.880396281691509</v>
      </c>
      <c r="X81" s="5">
        <f t="shared" si="28"/>
        <v>15.223329044216927</v>
      </c>
      <c r="Y81" s="5">
        <f t="shared" si="28"/>
        <v>15.448278347887385</v>
      </c>
      <c r="Z81" s="5">
        <f t="shared" si="28"/>
        <v>15.591588958352956</v>
      </c>
      <c r="AA81" s="5">
        <f t="shared" si="28"/>
        <v>15.681197603332421</v>
      </c>
      <c r="AB81" s="5">
        <f t="shared" si="28"/>
        <v>15.736574056642404</v>
      </c>
      <c r="AC81" s="5">
        <f t="shared" si="27"/>
        <v>15.770547836699789</v>
      </c>
      <c r="AD81" s="300">
        <f t="shared" si="31"/>
        <v>1.7371121564166284E-3</v>
      </c>
      <c r="AE81" s="299">
        <f t="shared" si="31"/>
        <v>1.7371121564166284E-3</v>
      </c>
      <c r="AF81" s="299">
        <f t="shared" si="31"/>
        <v>1.7371121564166284E-3</v>
      </c>
      <c r="AG81" s="299">
        <f t="shared" si="31"/>
        <v>1.7371121564166284E-3</v>
      </c>
      <c r="AH81" s="299">
        <f t="shared" si="31"/>
        <v>1.7371121564166284E-3</v>
      </c>
      <c r="AI81" s="299">
        <f t="shared" si="31"/>
        <v>1.658458322350551E-3</v>
      </c>
      <c r="AJ81" s="299">
        <f t="shared" si="31"/>
        <v>1.6146293151596692E-3</v>
      </c>
      <c r="AK81" s="299">
        <f t="shared" si="31"/>
        <v>1.5520975885928753E-3</v>
      </c>
      <c r="AL81" s="299">
        <f t="shared" si="31"/>
        <v>1.4691091501684397E-3</v>
      </c>
      <c r="AM81" s="299">
        <f t="shared" si="31"/>
        <v>1.3689459002301141E-3</v>
      </c>
      <c r="AN81" s="299">
        <f t="shared" si="31"/>
        <v>1.2610242265531052E-3</v>
      </c>
      <c r="AO81" s="299">
        <f t="shared" si="31"/>
        <v>1.1580747709444188E-3</v>
      </c>
      <c r="AP81" s="299">
        <f t="shared" si="31"/>
        <v>1.0706660703352384E-3</v>
      </c>
      <c r="AQ81" s="299">
        <f t="shared" si="31"/>
        <v>1.0034970380906547E-3</v>
      </c>
      <c r="AR81" s="299">
        <f t="shared" si="31"/>
        <v>9.5573093656909237E-4</v>
      </c>
      <c r="AS81" s="299">
        <f t="shared" si="10"/>
        <v>9.2360424032786412E-4</v>
      </c>
      <c r="AT81" s="299">
        <f t="shared" si="10"/>
        <v>9.0279839998270344E-4</v>
      </c>
      <c r="AU81" s="299">
        <f t="shared" si="10"/>
        <v>8.896523479206181E-4</v>
      </c>
      <c r="AV81" s="299">
        <f t="shared" si="10"/>
        <v>8.8147507866196903E-4</v>
      </c>
      <c r="AW81" s="299">
        <f t="shared" si="20"/>
        <v>8.7643797694435016E-4</v>
      </c>
      <c r="AX81" s="299">
        <f t="shared" si="20"/>
        <v>8.7335382237966155E-4</v>
      </c>
      <c r="AY81" s="299">
        <f t="shared" si="20"/>
        <v>8.7147239562257982E-4</v>
      </c>
      <c r="AZ81" s="298">
        <f t="shared" si="32"/>
        <v>9.6166160367329334E-2</v>
      </c>
      <c r="BA81" s="1">
        <f t="shared" si="32"/>
        <v>9.6166160367329334E-2</v>
      </c>
      <c r="BB81" s="1">
        <f t="shared" si="32"/>
        <v>9.6166160367329334E-2</v>
      </c>
      <c r="BC81" s="1">
        <f t="shared" si="32"/>
        <v>9.6166160367329334E-2</v>
      </c>
      <c r="BD81" s="1">
        <f t="shared" si="32"/>
        <v>9.6166160367329334E-2</v>
      </c>
      <c r="BE81" s="1">
        <f t="shared" si="32"/>
        <v>9.1811900803625252E-2</v>
      </c>
      <c r="BF81" s="1">
        <f t="shared" si="32"/>
        <v>8.9385536265969998E-2</v>
      </c>
      <c r="BG81" s="1">
        <f t="shared" si="32"/>
        <v>8.5923793152345704E-2</v>
      </c>
      <c r="BH81" s="1">
        <f t="shared" si="32"/>
        <v>8.1329570811157728E-2</v>
      </c>
      <c r="BI81" s="1">
        <f t="shared" si="32"/>
        <v>7.5784554549023123E-2</v>
      </c>
      <c r="BJ81" s="1">
        <f t="shared" si="32"/>
        <v>6.9810033595037763E-2</v>
      </c>
      <c r="BK81" s="1">
        <f t="shared" si="32"/>
        <v>6.4110773578219551E-2</v>
      </c>
      <c r="BL81" s="1">
        <f t="shared" si="32"/>
        <v>5.9271846460455309E-2</v>
      </c>
      <c r="BM81" s="1">
        <f t="shared" si="32"/>
        <v>5.5553383088536031E-2</v>
      </c>
      <c r="BN81" s="1">
        <f t="shared" si="32"/>
        <v>5.2909061844178221E-2</v>
      </c>
      <c r="BO81" s="1">
        <f t="shared" si="11"/>
        <v>5.1130534757487654E-2</v>
      </c>
      <c r="BP81" s="1">
        <f t="shared" si="11"/>
        <v>4.9978727850939306E-2</v>
      </c>
      <c r="BQ81" s="1">
        <f t="shared" si="11"/>
        <v>4.9250965198349504E-2</v>
      </c>
      <c r="BR81" s="1">
        <f t="shared" si="11"/>
        <v>4.8798273307391671E-2</v>
      </c>
      <c r="BS81" s="1">
        <f t="shared" si="21"/>
        <v>4.8519420425167693E-2</v>
      </c>
      <c r="BT81" s="1">
        <f t="shared" si="21"/>
        <v>4.8348682282918262E-2</v>
      </c>
      <c r="BU81" s="1">
        <f t="shared" si="21"/>
        <v>4.8244526896881398E-2</v>
      </c>
    </row>
    <row r="82" spans="1:73" x14ac:dyDescent="0.25">
      <c r="A82" s="1" t="s">
        <v>26</v>
      </c>
      <c r="B82" s="1" t="s">
        <v>5</v>
      </c>
      <c r="C82" s="1" t="s">
        <v>6</v>
      </c>
      <c r="D82" s="1" t="s">
        <v>6</v>
      </c>
      <c r="E82" s="5">
        <v>8.8027499999999996</v>
      </c>
      <c r="F82" s="1">
        <f t="shared" si="30"/>
        <v>2.1566737499999999E-2</v>
      </c>
      <c r="G82" s="1">
        <f>LOOKUP(RIGHT(D82,5),Ref!$C$4:$C$21,Ref!$E$4:$E$21)*$G$3</f>
        <v>3</v>
      </c>
      <c r="H82" s="297">
        <f t="shared" si="29"/>
        <v>8.8027499999999996</v>
      </c>
      <c r="I82" s="5">
        <f t="shared" si="29"/>
        <v>8.8027499999999996</v>
      </c>
      <c r="J82" s="5">
        <f t="shared" si="29"/>
        <v>8.8027499999999996</v>
      </c>
      <c r="K82" s="5">
        <f t="shared" si="29"/>
        <v>8.8027499999999996</v>
      </c>
      <c r="L82" s="5">
        <f t="shared" si="29"/>
        <v>8.8027499999999996</v>
      </c>
      <c r="M82" s="5">
        <f t="shared" si="28"/>
        <v>9.2202281051138257</v>
      </c>
      <c r="N82" s="5">
        <f t="shared" si="28"/>
        <v>9.4705105941820005</v>
      </c>
      <c r="O82" s="5">
        <f t="shared" si="28"/>
        <v>9.8520635218301944</v>
      </c>
      <c r="P82" s="5">
        <f t="shared" si="28"/>
        <v>10.408596279686403</v>
      </c>
      <c r="Q82" s="5">
        <f t="shared" si="28"/>
        <v>11.170174096964725</v>
      </c>
      <c r="R82" s="5">
        <f t="shared" si="28"/>
        <v>12.126146122262876</v>
      </c>
      <c r="S82" s="5">
        <f t="shared" si="28"/>
        <v>13.204124999999999</v>
      </c>
      <c r="T82" s="5">
        <f t="shared" si="28"/>
        <v>14.282103877737123</v>
      </c>
      <c r="U82" s="5">
        <f t="shared" si="28"/>
        <v>15.238075903035273</v>
      </c>
      <c r="V82" s="5">
        <f t="shared" si="28"/>
        <v>15.999653720313596</v>
      </c>
      <c r="W82" s="5">
        <f t="shared" si="28"/>
        <v>16.556186478169803</v>
      </c>
      <c r="X82" s="5">
        <f t="shared" si="28"/>
        <v>16.937739405818</v>
      </c>
      <c r="Y82" s="5">
        <f t="shared" si="28"/>
        <v>17.188021894886173</v>
      </c>
      <c r="Z82" s="5">
        <f t="shared" si="28"/>
        <v>17.347471760753496</v>
      </c>
      <c r="AA82" s="5">
        <f t="shared" si="28"/>
        <v>17.447171890256197</v>
      </c>
      <c r="AB82" s="5">
        <f t="shared" si="28"/>
        <v>17.508784690758546</v>
      </c>
      <c r="AC82" s="5">
        <f t="shared" si="27"/>
        <v>17.546584506526251</v>
      </c>
      <c r="AD82" s="300">
        <f t="shared" si="31"/>
        <v>1.5612844967230991E-3</v>
      </c>
      <c r="AE82" s="299">
        <f t="shared" si="31"/>
        <v>1.5612844967230991E-3</v>
      </c>
      <c r="AF82" s="299">
        <f t="shared" si="31"/>
        <v>1.5612844967230991E-3</v>
      </c>
      <c r="AG82" s="299">
        <f t="shared" si="31"/>
        <v>1.5612844967230991E-3</v>
      </c>
      <c r="AH82" s="299">
        <f t="shared" si="31"/>
        <v>1.5612844967230991E-3</v>
      </c>
      <c r="AI82" s="299">
        <f t="shared" si="31"/>
        <v>1.4905918754772056E-3</v>
      </c>
      <c r="AJ82" s="299">
        <f t="shared" si="31"/>
        <v>1.4511991689204525E-3</v>
      </c>
      <c r="AK82" s="299">
        <f t="shared" si="31"/>
        <v>1.3949968017437371E-3</v>
      </c>
      <c r="AL82" s="299">
        <f t="shared" si="31"/>
        <v>1.3204083177240241E-3</v>
      </c>
      <c r="AM82" s="299">
        <f t="shared" si="31"/>
        <v>1.230383428604198E-3</v>
      </c>
      <c r="AN82" s="299">
        <f t="shared" si="31"/>
        <v>1.1333854107445432E-3</v>
      </c>
      <c r="AO82" s="299">
        <f t="shared" si="31"/>
        <v>1.0408563311487327E-3</v>
      </c>
      <c r="AP82" s="299">
        <f t="shared" si="31"/>
        <v>9.6229499667431452E-4</v>
      </c>
      <c r="AQ82" s="299">
        <f t="shared" si="31"/>
        <v>9.0192470433827349E-4</v>
      </c>
      <c r="AR82" s="299">
        <f t="shared" si="31"/>
        <v>8.5899340971861251E-4</v>
      </c>
      <c r="AS82" s="299">
        <f t="shared" si="10"/>
        <v>8.3011852528062002E-4</v>
      </c>
      <c r="AT82" s="299">
        <f t="shared" si="10"/>
        <v>8.1141861816627224E-4</v>
      </c>
      <c r="AU82" s="299">
        <f t="shared" si="10"/>
        <v>7.9960318805611318E-4</v>
      </c>
      <c r="AV82" s="299">
        <f t="shared" si="10"/>
        <v>7.9225360865682137E-4</v>
      </c>
      <c r="AW82" s="299">
        <f t="shared" si="20"/>
        <v>7.877263541608546E-4</v>
      </c>
      <c r="AX82" s="299">
        <f t="shared" si="20"/>
        <v>7.8495437269174826E-4</v>
      </c>
      <c r="AY82" s="299">
        <f t="shared" si="20"/>
        <v>7.8326338088289984E-4</v>
      </c>
      <c r="AZ82" s="298">
        <f t="shared" si="32"/>
        <v>8.6432378436990462E-2</v>
      </c>
      <c r="BA82" s="1">
        <f t="shared" si="32"/>
        <v>8.6432378436990462E-2</v>
      </c>
      <c r="BB82" s="1">
        <f t="shared" si="32"/>
        <v>8.6432378436990462E-2</v>
      </c>
      <c r="BC82" s="1">
        <f t="shared" si="32"/>
        <v>8.6432378436990462E-2</v>
      </c>
      <c r="BD82" s="1">
        <f t="shared" si="32"/>
        <v>8.6432378436990462E-2</v>
      </c>
      <c r="BE82" s="1">
        <f t="shared" si="32"/>
        <v>8.2518849925657556E-2</v>
      </c>
      <c r="BF82" s="1">
        <f t="shared" si="32"/>
        <v>8.03380780497331E-2</v>
      </c>
      <c r="BG82" s="1">
        <f t="shared" si="32"/>
        <v>7.7226726928865536E-2</v>
      </c>
      <c r="BH82" s="1">
        <f t="shared" si="32"/>
        <v>7.3097524281068665E-2</v>
      </c>
      <c r="BI82" s="1">
        <f t="shared" si="32"/>
        <v>6.811376552250531E-2</v>
      </c>
      <c r="BJ82" s="1">
        <f t="shared" si="32"/>
        <v>6.2743975836589694E-2</v>
      </c>
      <c r="BK82" s="1">
        <f t="shared" si="32"/>
        <v>5.7621585624660306E-2</v>
      </c>
      <c r="BL82" s="1">
        <f t="shared" si="32"/>
        <v>5.3272446818722251E-2</v>
      </c>
      <c r="BM82" s="1">
        <f t="shared" si="32"/>
        <v>4.9930360245460222E-2</v>
      </c>
      <c r="BN82" s="1">
        <f t="shared" si="32"/>
        <v>4.7553692885254843E-2</v>
      </c>
      <c r="BO82" s="1">
        <f t="shared" si="11"/>
        <v>4.5955185409963129E-2</v>
      </c>
      <c r="BP82" s="1">
        <f t="shared" si="11"/>
        <v>4.4919962520197552E-2</v>
      </c>
      <c r="BQ82" s="1">
        <f t="shared" si="11"/>
        <v>4.4265862816510938E-2</v>
      </c>
      <c r="BR82" s="1">
        <f t="shared" si="11"/>
        <v>4.3858991660532913E-2</v>
      </c>
      <c r="BS82" s="1">
        <f t="shared" si="21"/>
        <v>4.3608363812310987E-2</v>
      </c>
      <c r="BT82" s="1">
        <f t="shared" si="21"/>
        <v>4.3454907506390451E-2</v>
      </c>
      <c r="BU82" s="1">
        <f t="shared" si="21"/>
        <v>4.3361294558677849E-2</v>
      </c>
    </row>
    <row r="83" spans="1:73" x14ac:dyDescent="0.25">
      <c r="A83" s="1" t="s">
        <v>26</v>
      </c>
      <c r="B83" s="1" t="s">
        <v>5</v>
      </c>
      <c r="C83" s="1" t="s">
        <v>7</v>
      </c>
      <c r="D83" s="1" t="s">
        <v>7</v>
      </c>
      <c r="E83" s="5">
        <v>8.9512499999999999</v>
      </c>
      <c r="F83" s="1">
        <f t="shared" si="30"/>
        <v>2.1930562499999997E-2</v>
      </c>
      <c r="G83" s="1">
        <f>LOOKUP(RIGHT(D83,5),Ref!$C$4:$C$21,Ref!$E$4:$E$21)*$G$3</f>
        <v>3.5</v>
      </c>
      <c r="H83" s="297">
        <f t="shared" si="29"/>
        <v>8.9512499999999999</v>
      </c>
      <c r="I83" s="5">
        <f t="shared" si="29"/>
        <v>8.9512499999999999</v>
      </c>
      <c r="J83" s="5">
        <f t="shared" si="29"/>
        <v>8.9512499999999999</v>
      </c>
      <c r="K83" s="5">
        <f t="shared" si="29"/>
        <v>8.9512499999999999</v>
      </c>
      <c r="L83" s="5">
        <f t="shared" si="29"/>
        <v>8.9512499999999999</v>
      </c>
      <c r="M83" s="5">
        <f t="shared" si="28"/>
        <v>9.3757708472806947</v>
      </c>
      <c r="N83" s="5">
        <f t="shared" si="28"/>
        <v>9.6302755339151549</v>
      </c>
      <c r="O83" s="5">
        <f t="shared" si="28"/>
        <v>10.01826515575048</v>
      </c>
      <c r="P83" s="5">
        <f t="shared" si="28"/>
        <v>10.584186469971646</v>
      </c>
      <c r="Q83" s="5">
        <f t="shared" si="28"/>
        <v>11.35861189803817</v>
      </c>
      <c r="R83" s="5">
        <f t="shared" si="28"/>
        <v>12.3307109115794</v>
      </c>
      <c r="S83" s="5">
        <f t="shared" si="28"/>
        <v>13.426874999999999</v>
      </c>
      <c r="T83" s="5">
        <f t="shared" si="28"/>
        <v>14.5230390884206</v>
      </c>
      <c r="U83" s="5">
        <f t="shared" si="28"/>
        <v>15.49513810196183</v>
      </c>
      <c r="V83" s="5">
        <f t="shared" si="28"/>
        <v>16.269563530028353</v>
      </c>
      <c r="W83" s="5">
        <f t="shared" si="28"/>
        <v>16.835484844249518</v>
      </c>
      <c r="X83" s="5">
        <f t="shared" si="28"/>
        <v>17.223474466084845</v>
      </c>
      <c r="Y83" s="5">
        <f t="shared" si="28"/>
        <v>17.477979152719307</v>
      </c>
      <c r="Z83" s="5">
        <f t="shared" si="28"/>
        <v>17.640118894486921</v>
      </c>
      <c r="AA83" s="5">
        <f t="shared" si="28"/>
        <v>17.741500938076829</v>
      </c>
      <c r="AB83" s="5">
        <f t="shared" si="28"/>
        <v>17.804153129777905</v>
      </c>
      <c r="AC83" s="5">
        <f t="shared" si="27"/>
        <v>17.842590618163996</v>
      </c>
      <c r="AD83" s="300">
        <f t="shared" si="31"/>
        <v>1.5353830027682457E-3</v>
      </c>
      <c r="AE83" s="299">
        <f t="shared" si="31"/>
        <v>1.5353830027682457E-3</v>
      </c>
      <c r="AF83" s="299">
        <f t="shared" si="31"/>
        <v>1.5353830027682457E-3</v>
      </c>
      <c r="AG83" s="299">
        <f t="shared" si="31"/>
        <v>1.5353830027682457E-3</v>
      </c>
      <c r="AH83" s="299">
        <f t="shared" si="31"/>
        <v>1.5353830027682457E-3</v>
      </c>
      <c r="AI83" s="299">
        <f t="shared" si="31"/>
        <v>1.4658631623356484E-3</v>
      </c>
      <c r="AJ83" s="299">
        <f t="shared" si="31"/>
        <v>1.4271239753346754E-3</v>
      </c>
      <c r="AK83" s="299">
        <f t="shared" si="31"/>
        <v>1.371853997659509E-3</v>
      </c>
      <c r="AL83" s="299">
        <f t="shared" si="31"/>
        <v>1.2985029262779114E-3</v>
      </c>
      <c r="AM83" s="299">
        <f t="shared" si="31"/>
        <v>1.2099715376227458E-3</v>
      </c>
      <c r="AN83" s="299">
        <f t="shared" si="31"/>
        <v>1.1145827034695186E-3</v>
      </c>
      <c r="AO83" s="299">
        <f t="shared" si="31"/>
        <v>1.023588668512164E-3</v>
      </c>
      <c r="AP83" s="299">
        <f t="shared" si="31"/>
        <v>9.4633065571566222E-4</v>
      </c>
      <c r="AQ83" s="299">
        <f t="shared" si="31"/>
        <v>8.869618981833528E-4</v>
      </c>
      <c r="AR83" s="299">
        <f t="shared" si="31"/>
        <v>8.4474282780622992E-4</v>
      </c>
      <c r="AS83" s="299">
        <f t="shared" si="10"/>
        <v>8.1634697370914437E-4</v>
      </c>
      <c r="AT83" s="299">
        <f t="shared" si="10"/>
        <v>7.9795729546858305E-4</v>
      </c>
      <c r="AU83" s="299">
        <f t="shared" si="10"/>
        <v>7.8633788171048166E-4</v>
      </c>
      <c r="AV83" s="299">
        <f t="shared" si="10"/>
        <v>7.7911023081735325E-4</v>
      </c>
      <c r="AW83" s="299">
        <f t="shared" si="20"/>
        <v>7.7465808284758687E-4</v>
      </c>
      <c r="AX83" s="299">
        <f t="shared" si="20"/>
        <v>7.7193208816782972E-4</v>
      </c>
      <c r="AY83" s="299">
        <f t="shared" si="20"/>
        <v>7.7026914967931253E-4</v>
      </c>
      <c r="AZ83" s="298">
        <f t="shared" si="32"/>
        <v>8.4998477227897537E-2</v>
      </c>
      <c r="BA83" s="1">
        <f t="shared" si="32"/>
        <v>8.4998477227897537E-2</v>
      </c>
      <c r="BB83" s="1">
        <f t="shared" si="32"/>
        <v>8.4998477227897537E-2</v>
      </c>
      <c r="BC83" s="1">
        <f t="shared" si="32"/>
        <v>8.4998477227897537E-2</v>
      </c>
      <c r="BD83" s="1">
        <f t="shared" si="32"/>
        <v>8.4998477227897537E-2</v>
      </c>
      <c r="BE83" s="1">
        <f t="shared" si="32"/>
        <v>8.1149873613526838E-2</v>
      </c>
      <c r="BF83" s="1">
        <f t="shared" si="32"/>
        <v>7.9005280441534764E-2</v>
      </c>
      <c r="BG83" s="1">
        <f t="shared" si="32"/>
        <v>7.5945546205621675E-2</v>
      </c>
      <c r="BH83" s="1">
        <f t="shared" si="32"/>
        <v>7.1884846458894258E-2</v>
      </c>
      <c r="BI83" s="1">
        <f t="shared" si="32"/>
        <v>6.6983767569136557E-2</v>
      </c>
      <c r="BJ83" s="1">
        <f t="shared" si="32"/>
        <v>6.1703061951743049E-2</v>
      </c>
      <c r="BK83" s="1">
        <f t="shared" si="32"/>
        <v>5.6665651485265027E-2</v>
      </c>
      <c r="BL83" s="1">
        <f t="shared" si="32"/>
        <v>5.2388664290854044E-2</v>
      </c>
      <c r="BM83" s="1">
        <f t="shared" si="32"/>
        <v>4.9102022471802814E-2</v>
      </c>
      <c r="BN83" s="1">
        <f t="shared" si="32"/>
        <v>4.6764783694531714E-2</v>
      </c>
      <c r="BO83" s="1">
        <f t="shared" si="11"/>
        <v>4.5192795237263279E-2</v>
      </c>
      <c r="BP83" s="1">
        <f t="shared" si="11"/>
        <v>4.4174746552120545E-2</v>
      </c>
      <c r="BQ83" s="1">
        <f t="shared" si="11"/>
        <v>4.3531498272089554E-2</v>
      </c>
      <c r="BR83" s="1">
        <f t="shared" si="11"/>
        <v>4.3131377052339735E-2</v>
      </c>
      <c r="BS83" s="1">
        <f t="shared" si="21"/>
        <v>4.2884907085470797E-2</v>
      </c>
      <c r="BT83" s="1">
        <f t="shared" si="21"/>
        <v>4.2733996598450327E-2</v>
      </c>
      <c r="BU83" s="1">
        <f t="shared" si="21"/>
        <v>4.2641936676598401E-2</v>
      </c>
    </row>
    <row r="84" spans="1:73" x14ac:dyDescent="0.25">
      <c r="A84" s="1" t="s">
        <v>26</v>
      </c>
      <c r="B84" s="1" t="s">
        <v>5</v>
      </c>
      <c r="C84" s="1" t="s">
        <v>8</v>
      </c>
      <c r="D84" s="1" t="s">
        <v>8</v>
      </c>
      <c r="E84" s="5">
        <v>8.4975000000000005</v>
      </c>
      <c r="F84" s="1">
        <f t="shared" si="30"/>
        <v>2.0818874999999997E-2</v>
      </c>
      <c r="G84" s="1">
        <f>LOOKUP(RIGHT(D84,5),Ref!$C$4:$C$21,Ref!$E$4:$E$21)*$G$3</f>
        <v>4</v>
      </c>
      <c r="H84" s="297">
        <f t="shared" si="29"/>
        <v>8.4975000000000005</v>
      </c>
      <c r="I84" s="5">
        <f t="shared" si="29"/>
        <v>8.4975000000000005</v>
      </c>
      <c r="J84" s="5">
        <f t="shared" si="29"/>
        <v>8.4975000000000005</v>
      </c>
      <c r="K84" s="5">
        <f t="shared" si="29"/>
        <v>8.4975000000000005</v>
      </c>
      <c r="L84" s="5">
        <f t="shared" si="29"/>
        <v>8.4975000000000005</v>
      </c>
      <c r="M84" s="5">
        <f t="shared" si="28"/>
        <v>8.9005013573263732</v>
      </c>
      <c r="N84" s="5">
        <f t="shared" si="28"/>
        <v>9.1421048847305162</v>
      </c>
      <c r="O84" s="5">
        <f t="shared" si="28"/>
        <v>9.5104268298829453</v>
      </c>
      <c r="P84" s="5">
        <f t="shared" si="28"/>
        <v>10.047660888544513</v>
      </c>
      <c r="Q84" s="5">
        <f t="shared" si="28"/>
        <v>10.782829728091535</v>
      </c>
      <c r="R84" s="5">
        <f t="shared" si="28"/>
        <v>11.705651833112242</v>
      </c>
      <c r="S84" s="5">
        <f t="shared" si="28"/>
        <v>12.74625</v>
      </c>
      <c r="T84" s="5">
        <f t="shared" si="28"/>
        <v>13.78684816688776</v>
      </c>
      <c r="U84" s="5">
        <f t="shared" si="28"/>
        <v>14.709670271908466</v>
      </c>
      <c r="V84" s="5">
        <f t="shared" si="28"/>
        <v>15.444839111455488</v>
      </c>
      <c r="W84" s="5">
        <f t="shared" si="28"/>
        <v>15.982073170117054</v>
      </c>
      <c r="X84" s="5">
        <f t="shared" si="28"/>
        <v>16.350395115269485</v>
      </c>
      <c r="Y84" s="5">
        <f t="shared" si="28"/>
        <v>16.591998642673627</v>
      </c>
      <c r="Z84" s="5">
        <f t="shared" si="28"/>
        <v>16.745919319190349</v>
      </c>
      <c r="AA84" s="5">
        <f t="shared" si="28"/>
        <v>16.842162180847129</v>
      </c>
      <c r="AB84" s="5">
        <f t="shared" ref="AB84:AC99" si="33">AB$3*$E84</f>
        <v>16.901638454996537</v>
      </c>
      <c r="AC84" s="5">
        <f t="shared" si="33"/>
        <v>16.938127499270891</v>
      </c>
      <c r="AD84" s="300">
        <f t="shared" si="31"/>
        <v>1.6173694737898509E-3</v>
      </c>
      <c r="AE84" s="299">
        <f t="shared" si="31"/>
        <v>1.6173694737898509E-3</v>
      </c>
      <c r="AF84" s="299">
        <f t="shared" si="31"/>
        <v>1.6173694737898509E-3</v>
      </c>
      <c r="AG84" s="299">
        <f t="shared" si="31"/>
        <v>1.6173694737898509E-3</v>
      </c>
      <c r="AH84" s="299">
        <f t="shared" si="31"/>
        <v>1.6173694737898509E-3</v>
      </c>
      <c r="AI84" s="299">
        <f t="shared" si="31"/>
        <v>1.5441374088681346E-3</v>
      </c>
      <c r="AJ84" s="299">
        <f t="shared" si="31"/>
        <v>1.5033296245030318E-3</v>
      </c>
      <c r="AK84" s="299">
        <f t="shared" si="31"/>
        <v>1.4451083373403565E-3</v>
      </c>
      <c r="AL84" s="299">
        <f t="shared" si="31"/>
        <v>1.3678404611762462E-3</v>
      </c>
      <c r="AM84" s="299">
        <f t="shared" si="31"/>
        <v>1.2745816682725041E-3</v>
      </c>
      <c r="AN84" s="299">
        <f t="shared" si="31"/>
        <v>1.1740992555965316E-3</v>
      </c>
      <c r="AO84" s="299">
        <f t="shared" si="31"/>
        <v>1.0782463158599007E-3</v>
      </c>
      <c r="AP84" s="299">
        <f t="shared" si="31"/>
        <v>9.9686287519562457E-4</v>
      </c>
      <c r="AQ84" s="299">
        <f t="shared" si="31"/>
        <v>9.343239412902308E-4</v>
      </c>
      <c r="AR84" s="299">
        <f t="shared" si="31"/>
        <v>8.8985045453374698E-4</v>
      </c>
      <c r="AS84" s="299">
        <f t="shared" si="10"/>
        <v>8.5993831696545787E-4</v>
      </c>
      <c r="AT84" s="299">
        <f t="shared" si="10"/>
        <v>8.4056666561496359E-4</v>
      </c>
      <c r="AU84" s="299">
        <f t="shared" si="10"/>
        <v>8.2832679772414824E-4</v>
      </c>
      <c r="AV84" s="299">
        <f t="shared" si="10"/>
        <v>8.2071320430760028E-4</v>
      </c>
      <c r="AW84" s="299">
        <f t="shared" si="20"/>
        <v>8.160233202811958E-4</v>
      </c>
      <c r="AX84" s="299">
        <f t="shared" si="20"/>
        <v>8.1315176277873332E-4</v>
      </c>
      <c r="AY84" s="299">
        <f t="shared" si="20"/>
        <v>8.1140002660393595E-4</v>
      </c>
      <c r="AZ84" s="298">
        <f t="shared" si="32"/>
        <v>8.9537230866280404E-2</v>
      </c>
      <c r="BA84" s="1">
        <f t="shared" si="32"/>
        <v>8.9537230866280404E-2</v>
      </c>
      <c r="BB84" s="1">
        <f t="shared" si="32"/>
        <v>8.9537230866280404E-2</v>
      </c>
      <c r="BC84" s="1">
        <f t="shared" si="32"/>
        <v>8.9537230866280404E-2</v>
      </c>
      <c r="BD84" s="1">
        <f t="shared" si="32"/>
        <v>8.9537230866280404E-2</v>
      </c>
      <c r="BE84" s="1">
        <f t="shared" si="32"/>
        <v>8.5483119291919055E-2</v>
      </c>
      <c r="BF84" s="1">
        <f t="shared" si="32"/>
        <v>8.3224009008801184E-2</v>
      </c>
      <c r="BG84" s="1">
        <f t="shared" si="32"/>
        <v>8.0000890905921856E-2</v>
      </c>
      <c r="BH84" s="1">
        <f t="shared" si="32"/>
        <v>7.5723357677573072E-2</v>
      </c>
      <c r="BI84" s="1">
        <f t="shared" si="32"/>
        <v>7.0560570691760346E-2</v>
      </c>
      <c r="BJ84" s="1">
        <f t="shared" si="32"/>
        <v>6.499788564819535E-2</v>
      </c>
      <c r="BK84" s="1">
        <f t="shared" si="32"/>
        <v>5.9691487244186943E-2</v>
      </c>
      <c r="BL84" s="1">
        <f t="shared" si="32"/>
        <v>5.5186117238423919E-2</v>
      </c>
      <c r="BM84" s="1">
        <f t="shared" si="32"/>
        <v>5.1723975128064127E-2</v>
      </c>
      <c r="BN84" s="1">
        <f t="shared" si="32"/>
        <v>4.9261932338414471E-2</v>
      </c>
      <c r="BO84" s="1">
        <f t="shared" si="11"/>
        <v>4.760600274993268E-2</v>
      </c>
      <c r="BP84" s="1">
        <f t="shared" si="11"/>
        <v>4.653359224179688E-2</v>
      </c>
      <c r="BQ84" s="1">
        <f t="shared" si="11"/>
        <v>4.5855995752638032E-2</v>
      </c>
      <c r="BR84" s="1">
        <f t="shared" si="11"/>
        <v>4.5434508836687974E-2</v>
      </c>
      <c r="BS84" s="1">
        <f t="shared" si="21"/>
        <v>4.517487785217069E-2</v>
      </c>
      <c r="BT84" s="1">
        <f t="shared" si="21"/>
        <v>4.5015909038173402E-2</v>
      </c>
      <c r="BU84" s="1">
        <f t="shared" si="21"/>
        <v>4.4918933295251706E-2</v>
      </c>
    </row>
    <row r="85" spans="1:73" x14ac:dyDescent="0.25">
      <c r="A85" s="1" t="s">
        <v>26</v>
      </c>
      <c r="B85" s="1" t="s">
        <v>5</v>
      </c>
      <c r="C85" s="1" t="s">
        <v>9</v>
      </c>
      <c r="D85" s="1" t="s">
        <v>9</v>
      </c>
      <c r="E85" s="5">
        <v>8.5305</v>
      </c>
      <c r="F85" s="1">
        <f t="shared" si="30"/>
        <v>2.0899725000000001E-2</v>
      </c>
      <c r="G85" s="1">
        <f>LOOKUP(RIGHT(D85,5),Ref!$C$4:$C$21,Ref!$E$4:$E$21)*$G$3</f>
        <v>4.5</v>
      </c>
      <c r="H85" s="297">
        <f t="shared" si="29"/>
        <v>8.5305</v>
      </c>
      <c r="I85" s="5">
        <f t="shared" si="29"/>
        <v>8.5305</v>
      </c>
      <c r="J85" s="5">
        <f t="shared" si="29"/>
        <v>8.5305</v>
      </c>
      <c r="K85" s="5">
        <f t="shared" si="29"/>
        <v>8.5305</v>
      </c>
      <c r="L85" s="5">
        <f t="shared" si="29"/>
        <v>8.5305</v>
      </c>
      <c r="M85" s="5">
        <f t="shared" ref="M85:AB100" si="34">M$3*$E85</f>
        <v>8.9350664111412339</v>
      </c>
      <c r="N85" s="5">
        <f t="shared" si="34"/>
        <v>9.177608204671218</v>
      </c>
      <c r="O85" s="5">
        <f t="shared" si="34"/>
        <v>9.5473605263096744</v>
      </c>
      <c r="P85" s="5">
        <f t="shared" si="34"/>
        <v>10.086680930830124</v>
      </c>
      <c r="Q85" s="5">
        <f t="shared" si="34"/>
        <v>10.824704794996745</v>
      </c>
      <c r="R85" s="5">
        <f t="shared" si="34"/>
        <v>11.751110675182581</v>
      </c>
      <c r="S85" s="5">
        <f t="shared" si="34"/>
        <v>12.79575</v>
      </c>
      <c r="T85" s="5">
        <f t="shared" si="34"/>
        <v>13.840389324817419</v>
      </c>
      <c r="U85" s="5">
        <f t="shared" si="34"/>
        <v>14.766795205003255</v>
      </c>
      <c r="V85" s="5">
        <f t="shared" si="34"/>
        <v>15.504819069169876</v>
      </c>
      <c r="W85" s="5">
        <f t="shared" si="34"/>
        <v>16.044139473690326</v>
      </c>
      <c r="X85" s="5">
        <f t="shared" si="34"/>
        <v>16.413891795328784</v>
      </c>
      <c r="Y85" s="5">
        <f t="shared" si="34"/>
        <v>16.656433588858768</v>
      </c>
      <c r="Z85" s="5">
        <f t="shared" si="34"/>
        <v>16.810952015575555</v>
      </c>
      <c r="AA85" s="5">
        <f t="shared" si="34"/>
        <v>16.907568635918377</v>
      </c>
      <c r="AB85" s="5">
        <f t="shared" si="34"/>
        <v>16.967275885889727</v>
      </c>
      <c r="AC85" s="5">
        <f t="shared" si="33"/>
        <v>17.00390663519039</v>
      </c>
      <c r="AD85" s="300">
        <f t="shared" si="31"/>
        <v>1.6111127253419213E-3</v>
      </c>
      <c r="AE85" s="299">
        <f t="shared" si="31"/>
        <v>1.6111127253419213E-3</v>
      </c>
      <c r="AF85" s="299">
        <f t="shared" si="31"/>
        <v>1.6111127253419213E-3</v>
      </c>
      <c r="AG85" s="299">
        <f t="shared" si="31"/>
        <v>1.6111127253419213E-3</v>
      </c>
      <c r="AH85" s="299">
        <f t="shared" si="31"/>
        <v>1.6111127253419213E-3</v>
      </c>
      <c r="AI85" s="299">
        <f t="shared" si="31"/>
        <v>1.5381639566094567E-3</v>
      </c>
      <c r="AJ85" s="299">
        <f t="shared" si="31"/>
        <v>1.4975140360136583E-3</v>
      </c>
      <c r="AK85" s="299">
        <f t="shared" si="31"/>
        <v>1.4395179762674731E-3</v>
      </c>
      <c r="AL85" s="299">
        <f t="shared" si="31"/>
        <v>1.3625490087152163E-3</v>
      </c>
      <c r="AM85" s="299">
        <f t="shared" si="31"/>
        <v>1.2696509848362468E-3</v>
      </c>
      <c r="AN85" s="299">
        <f t="shared" si="31"/>
        <v>1.1695572855555394E-3</v>
      </c>
      <c r="AO85" s="299">
        <f t="shared" si="31"/>
        <v>1.0740751502279476E-3</v>
      </c>
      <c r="AP85" s="299">
        <f t="shared" si="31"/>
        <v>9.9300653912136696E-4</v>
      </c>
      <c r="AQ85" s="299">
        <f t="shared" si="31"/>
        <v>9.3070953532779289E-4</v>
      </c>
      <c r="AR85" s="299">
        <f t="shared" si="31"/>
        <v>8.8640809300750436E-4</v>
      </c>
      <c r="AS85" s="299">
        <f t="shared" si="31"/>
        <v>8.5661166970446958E-4</v>
      </c>
      <c r="AT85" s="299">
        <f t="shared" ref="AT85:AY140" si="35">Algae_electricity_factor/X85</f>
        <v>8.3731495704391929E-4</v>
      </c>
      <c r="AU85" s="299">
        <f t="shared" si="35"/>
        <v>8.2512243873875504E-4</v>
      </c>
      <c r="AV85" s="299">
        <f t="shared" si="35"/>
        <v>8.175382982948049E-4</v>
      </c>
      <c r="AW85" s="299">
        <f t="shared" si="20"/>
        <v>8.1286655695322224E-4</v>
      </c>
      <c r="AX85" s="299">
        <f t="shared" si="20"/>
        <v>8.1000610799042102E-4</v>
      </c>
      <c r="AY85" s="299">
        <f t="shared" si="20"/>
        <v>8.0826114835788588E-4</v>
      </c>
      <c r="AZ85" s="298">
        <f t="shared" si="32"/>
        <v>8.9190858599873135E-2</v>
      </c>
      <c r="BA85" s="1">
        <f t="shared" si="32"/>
        <v>8.9190858599873135E-2</v>
      </c>
      <c r="BB85" s="1">
        <f t="shared" si="32"/>
        <v>8.9190858599873135E-2</v>
      </c>
      <c r="BC85" s="1">
        <f t="shared" si="32"/>
        <v>8.9190858599873135E-2</v>
      </c>
      <c r="BD85" s="1">
        <f t="shared" si="32"/>
        <v>8.9190858599873135E-2</v>
      </c>
      <c r="BE85" s="1">
        <f t="shared" si="32"/>
        <v>8.5152430242433866E-2</v>
      </c>
      <c r="BF85" s="1">
        <f t="shared" si="32"/>
        <v>8.2902059264086281E-2</v>
      </c>
      <c r="BG85" s="1">
        <f t="shared" si="32"/>
        <v>7.9691409703191024E-2</v>
      </c>
      <c r="BH85" s="1">
        <f t="shared" si="32"/>
        <v>7.5430423992166595E-2</v>
      </c>
      <c r="BI85" s="1">
        <f t="shared" si="32"/>
        <v>7.0287609103010795E-2</v>
      </c>
      <c r="BJ85" s="1">
        <f t="shared" si="32"/>
        <v>6.4746443150523414E-2</v>
      </c>
      <c r="BK85" s="1">
        <f t="shared" si="32"/>
        <v>5.9460572399915423E-2</v>
      </c>
      <c r="BL85" s="1">
        <f t="shared" si="32"/>
        <v>5.4972631291660197E-2</v>
      </c>
      <c r="BM85" s="1">
        <f t="shared" si="32"/>
        <v>5.152388238095363E-2</v>
      </c>
      <c r="BN85" s="1">
        <f t="shared" si="32"/>
        <v>4.907136393478425E-2</v>
      </c>
      <c r="BO85" s="1">
        <f t="shared" si="32"/>
        <v>4.7421840263472591E-2</v>
      </c>
      <c r="BP85" s="1">
        <f t="shared" ref="BP85:BU140" si="36">Algae_yield_cost_factor/X85</f>
        <v>4.6353578345310245E-2</v>
      </c>
      <c r="BQ85" s="1">
        <f t="shared" si="36"/>
        <v>4.5678603119165537E-2</v>
      </c>
      <c r="BR85" s="1">
        <f t="shared" si="36"/>
        <v>4.5258746713528634E-2</v>
      </c>
      <c r="BS85" s="1">
        <f t="shared" si="21"/>
        <v>4.5000120104193249E-2</v>
      </c>
      <c r="BT85" s="1">
        <f t="shared" si="21"/>
        <v>4.4841766256594397E-2</v>
      </c>
      <c r="BU85" s="1">
        <f t="shared" si="21"/>
        <v>4.4745165661614371E-2</v>
      </c>
    </row>
    <row r="86" spans="1:73" x14ac:dyDescent="0.25">
      <c r="A86" s="1" t="s">
        <v>26</v>
      </c>
      <c r="B86" s="1" t="s">
        <v>5</v>
      </c>
      <c r="C86" s="1" t="s">
        <v>10</v>
      </c>
      <c r="D86" s="1" t="s">
        <v>10</v>
      </c>
      <c r="E86" s="5">
        <v>8.6377499999999987</v>
      </c>
      <c r="F86" s="1">
        <f t="shared" si="30"/>
        <v>2.1162487499999997E-2</v>
      </c>
      <c r="G86" s="1">
        <f>LOOKUP(RIGHT(D86,5),Ref!$C$4:$C$21,Ref!$E$4:$E$21)*$G$3</f>
        <v>4.5</v>
      </c>
      <c r="H86" s="297">
        <f t="shared" ref="H86:L101" si="37">$E86</f>
        <v>8.6377499999999987</v>
      </c>
      <c r="I86" s="5">
        <f t="shared" si="37"/>
        <v>8.6377499999999987</v>
      </c>
      <c r="J86" s="5">
        <f t="shared" si="37"/>
        <v>8.6377499999999987</v>
      </c>
      <c r="K86" s="5">
        <f t="shared" si="37"/>
        <v>8.6377499999999987</v>
      </c>
      <c r="L86" s="5">
        <f t="shared" si="37"/>
        <v>8.6377499999999987</v>
      </c>
      <c r="M86" s="5">
        <f t="shared" si="34"/>
        <v>9.0474028360395256</v>
      </c>
      <c r="N86" s="5">
        <f t="shared" si="34"/>
        <v>9.2929939944784934</v>
      </c>
      <c r="O86" s="5">
        <f t="shared" si="34"/>
        <v>9.6673950396965438</v>
      </c>
      <c r="P86" s="5">
        <f t="shared" si="34"/>
        <v>10.213496068258353</v>
      </c>
      <c r="Q86" s="5">
        <f t="shared" si="34"/>
        <v>10.960798762438674</v>
      </c>
      <c r="R86" s="5">
        <f t="shared" si="34"/>
        <v>11.89885191191118</v>
      </c>
      <c r="S86" s="5">
        <f t="shared" si="34"/>
        <v>12.956624999999999</v>
      </c>
      <c r="T86" s="5">
        <f t="shared" si="34"/>
        <v>14.014398088088816</v>
      </c>
      <c r="U86" s="5">
        <f t="shared" si="34"/>
        <v>14.952451237561322</v>
      </c>
      <c r="V86" s="5">
        <f t="shared" si="34"/>
        <v>15.699753931741643</v>
      </c>
      <c r="W86" s="5">
        <f t="shared" si="34"/>
        <v>16.245854960303451</v>
      </c>
      <c r="X86" s="5">
        <f t="shared" si="34"/>
        <v>16.620256005521501</v>
      </c>
      <c r="Y86" s="5">
        <f t="shared" si="34"/>
        <v>16.865847163960471</v>
      </c>
      <c r="Z86" s="5">
        <f t="shared" si="34"/>
        <v>17.02230827882747</v>
      </c>
      <c r="AA86" s="5">
        <f t="shared" si="34"/>
        <v>17.120139614899941</v>
      </c>
      <c r="AB86" s="5">
        <f t="shared" si="34"/>
        <v>17.180597536292591</v>
      </c>
      <c r="AC86" s="5">
        <f t="shared" si="33"/>
        <v>17.217688826928757</v>
      </c>
      <c r="AD86" s="300">
        <f t="shared" si="31"/>
        <v>1.5911084603663294E-3</v>
      </c>
      <c r="AE86" s="299">
        <f t="shared" si="31"/>
        <v>1.5911084603663294E-3</v>
      </c>
      <c r="AF86" s="299">
        <f t="shared" si="31"/>
        <v>1.5911084603663294E-3</v>
      </c>
      <c r="AG86" s="299">
        <f t="shared" si="31"/>
        <v>1.5911084603663294E-3</v>
      </c>
      <c r="AH86" s="299">
        <f t="shared" si="31"/>
        <v>1.5911084603663294E-3</v>
      </c>
      <c r="AI86" s="299">
        <f t="shared" si="31"/>
        <v>1.5190654547604381E-3</v>
      </c>
      <c r="AJ86" s="299">
        <f t="shared" si="31"/>
        <v>1.4789202609724193E-3</v>
      </c>
      <c r="AK86" s="299">
        <f t="shared" si="31"/>
        <v>1.421644305119931E-3</v>
      </c>
      <c r="AL86" s="299">
        <f t="shared" si="31"/>
        <v>1.3456310172029933E-3</v>
      </c>
      <c r="AM86" s="299">
        <f t="shared" si="31"/>
        <v>1.2538864549385667E-3</v>
      </c>
      <c r="AN86" s="299">
        <f t="shared" si="31"/>
        <v>1.1550355618571422E-3</v>
      </c>
      <c r="AO86" s="299">
        <f t="shared" si="31"/>
        <v>1.0607389735775529E-3</v>
      </c>
      <c r="AP86" s="299">
        <f t="shared" si="31"/>
        <v>9.8067694503485548E-4</v>
      </c>
      <c r="AQ86" s="299">
        <f t="shared" si="31"/>
        <v>9.1915344749659786E-4</v>
      </c>
      <c r="AR86" s="299">
        <f t="shared" si="31"/>
        <v>8.7540207084026709E-4</v>
      </c>
      <c r="AS86" s="299">
        <f t="shared" si="31"/>
        <v>8.4597561267853074E-4</v>
      </c>
      <c r="AT86" s="299">
        <f t="shared" si="35"/>
        <v>8.2691849625922897E-4</v>
      </c>
      <c r="AU86" s="299">
        <f t="shared" si="35"/>
        <v>8.1487736547838853E-4</v>
      </c>
      <c r="AV86" s="299">
        <f t="shared" si="35"/>
        <v>8.0738739296736233E-4</v>
      </c>
      <c r="AW86" s="299">
        <f t="shared" si="20"/>
        <v>8.0277365796526442E-4</v>
      </c>
      <c r="AX86" s="299">
        <f t="shared" si="20"/>
        <v>7.999487255607407E-4</v>
      </c>
      <c r="AY86" s="299">
        <f t="shared" si="20"/>
        <v>7.9822543209365248E-4</v>
      </c>
      <c r="AZ86" s="298">
        <f t="shared" si="32"/>
        <v>8.8083426735691348E-2</v>
      </c>
      <c r="BA86" s="1">
        <f t="shared" si="32"/>
        <v>8.8083426735691348E-2</v>
      </c>
      <c r="BB86" s="1">
        <f t="shared" si="32"/>
        <v>8.8083426735691348E-2</v>
      </c>
      <c r="BC86" s="1">
        <f t="shared" si="32"/>
        <v>8.8083426735691348E-2</v>
      </c>
      <c r="BD86" s="1">
        <f t="shared" si="32"/>
        <v>8.8083426735691348E-2</v>
      </c>
      <c r="BE86" s="1">
        <f t="shared" si="32"/>
        <v>8.4095141232737952E-2</v>
      </c>
      <c r="BF86" s="1">
        <f t="shared" si="32"/>
        <v>8.1872711823366986E-2</v>
      </c>
      <c r="BG86" s="1">
        <f t="shared" si="32"/>
        <v>7.8701927061222102E-2</v>
      </c>
      <c r="BH86" s="1">
        <f t="shared" si="32"/>
        <v>7.4493847572015534E-2</v>
      </c>
      <c r="BI86" s="1">
        <f t="shared" si="32"/>
        <v>6.9414888073078482E-2</v>
      </c>
      <c r="BJ86" s="1">
        <f t="shared" si="32"/>
        <v>6.3942523608062296E-2</v>
      </c>
      <c r="BK86" s="1">
        <f t="shared" si="32"/>
        <v>5.8722284490460887E-2</v>
      </c>
      <c r="BL86" s="1">
        <f t="shared" si="32"/>
        <v>5.4290067579347324E-2</v>
      </c>
      <c r="BM86" s="1">
        <f t="shared" si="32"/>
        <v>5.0884139810798527E-2</v>
      </c>
      <c r="BN86" s="1">
        <f t="shared" si="32"/>
        <v>4.8462072883062958E-2</v>
      </c>
      <c r="BO86" s="1">
        <f t="shared" si="32"/>
        <v>4.6833030403467681E-2</v>
      </c>
      <c r="BP86" s="1">
        <f t="shared" si="36"/>
        <v>4.5778032482378994E-2</v>
      </c>
      <c r="BQ86" s="1">
        <f t="shared" si="36"/>
        <v>4.5111438037456708E-2</v>
      </c>
      <c r="BR86" s="1">
        <f t="shared" si="36"/>
        <v>4.4696794748604218E-2</v>
      </c>
      <c r="BS86" s="1">
        <f t="shared" si="21"/>
        <v>4.4441379357913875E-2</v>
      </c>
      <c r="BT86" s="1">
        <f t="shared" si="21"/>
        <v>4.428499169944472E-2</v>
      </c>
      <c r="BU86" s="1">
        <f t="shared" si="21"/>
        <v>4.4189590538786308E-2</v>
      </c>
    </row>
    <row r="87" spans="1:73" x14ac:dyDescent="0.25">
      <c r="A87" s="1" t="s">
        <v>26</v>
      </c>
      <c r="B87" s="1" t="s">
        <v>5</v>
      </c>
      <c r="C87" s="1" t="s">
        <v>11</v>
      </c>
      <c r="D87" s="1" t="s">
        <v>11</v>
      </c>
      <c r="E87" s="5">
        <v>8.2004999999999999</v>
      </c>
      <c r="F87" s="1">
        <f t="shared" si="30"/>
        <v>2.0091224999999997E-2</v>
      </c>
      <c r="G87" s="1">
        <f>LOOKUP(RIGHT(D87,5),Ref!$C$4:$C$21,Ref!$E$4:$E$21)*$G$3</f>
        <v>4.5</v>
      </c>
      <c r="H87" s="297">
        <f t="shared" si="37"/>
        <v>8.2004999999999999</v>
      </c>
      <c r="I87" s="5">
        <f t="shared" si="37"/>
        <v>8.2004999999999999</v>
      </c>
      <c r="J87" s="5">
        <f t="shared" si="37"/>
        <v>8.2004999999999999</v>
      </c>
      <c r="K87" s="5">
        <f t="shared" si="37"/>
        <v>8.2004999999999999</v>
      </c>
      <c r="L87" s="5">
        <f t="shared" si="37"/>
        <v>8.2004999999999999</v>
      </c>
      <c r="M87" s="5">
        <f t="shared" si="34"/>
        <v>8.5894158729926353</v>
      </c>
      <c r="N87" s="5">
        <f t="shared" si="34"/>
        <v>8.8225750052642073</v>
      </c>
      <c r="O87" s="5">
        <f t="shared" si="34"/>
        <v>9.1780235620423749</v>
      </c>
      <c r="P87" s="5">
        <f t="shared" si="34"/>
        <v>9.6964805079740248</v>
      </c>
      <c r="Q87" s="5">
        <f t="shared" si="34"/>
        <v>10.405954125944646</v>
      </c>
      <c r="R87" s="5">
        <f t="shared" si="34"/>
        <v>11.296522254479193</v>
      </c>
      <c r="S87" s="5">
        <f t="shared" si="34"/>
        <v>12.300750000000001</v>
      </c>
      <c r="T87" s="5">
        <f t="shared" si="34"/>
        <v>13.304977745520807</v>
      </c>
      <c r="U87" s="5">
        <f t="shared" si="34"/>
        <v>14.195545874055354</v>
      </c>
      <c r="V87" s="5">
        <f t="shared" si="34"/>
        <v>14.905019492025975</v>
      </c>
      <c r="W87" s="5">
        <f t="shared" si="34"/>
        <v>15.423476437957623</v>
      </c>
      <c r="X87" s="5">
        <f t="shared" si="34"/>
        <v>15.778924994735792</v>
      </c>
      <c r="Y87" s="5">
        <f t="shared" si="34"/>
        <v>16.012084127007363</v>
      </c>
      <c r="Z87" s="5">
        <f t="shared" si="34"/>
        <v>16.160625051723503</v>
      </c>
      <c r="AA87" s="5">
        <f t="shared" si="34"/>
        <v>16.253504085205869</v>
      </c>
      <c r="AB87" s="5">
        <f t="shared" si="34"/>
        <v>16.310901576957821</v>
      </c>
      <c r="AC87" s="5">
        <f t="shared" si="33"/>
        <v>16.346115275995402</v>
      </c>
      <c r="AD87" s="300">
        <f t="shared" si="31"/>
        <v>1.675946235416043E-3</v>
      </c>
      <c r="AE87" s="299">
        <f t="shared" si="31"/>
        <v>1.675946235416043E-3</v>
      </c>
      <c r="AF87" s="299">
        <f t="shared" si="31"/>
        <v>1.675946235416043E-3</v>
      </c>
      <c r="AG87" s="299">
        <f t="shared" si="31"/>
        <v>1.675946235416043E-3</v>
      </c>
      <c r="AH87" s="299">
        <f t="shared" si="31"/>
        <v>1.675946235416043E-3</v>
      </c>
      <c r="AI87" s="299">
        <f t="shared" si="31"/>
        <v>1.6000619025494755E-3</v>
      </c>
      <c r="AJ87" s="299">
        <f t="shared" si="31"/>
        <v>1.5577761702596808E-3</v>
      </c>
      <c r="AK87" s="299">
        <f t="shared" si="31"/>
        <v>1.4974462650508725E-3</v>
      </c>
      <c r="AL87" s="299">
        <f t="shared" si="31"/>
        <v>1.4173799547399736E-3</v>
      </c>
      <c r="AM87" s="299">
        <f t="shared" si="31"/>
        <v>1.3207435797994761E-3</v>
      </c>
      <c r="AN87" s="299">
        <f t="shared" si="31"/>
        <v>1.2166219650547561E-3</v>
      </c>
      <c r="AO87" s="299">
        <f t="shared" si="31"/>
        <v>1.1172974902773618E-3</v>
      </c>
      <c r="AP87" s="299">
        <f t="shared" si="31"/>
        <v>1.032966560816392E-3</v>
      </c>
      <c r="AQ87" s="299">
        <f t="shared" si="31"/>
        <v>9.6816263534098377E-4</v>
      </c>
      <c r="AR87" s="299">
        <f t="shared" si="31"/>
        <v>9.220784388025749E-4</v>
      </c>
      <c r="AS87" s="299">
        <f t="shared" si="31"/>
        <v>8.910829642599815E-4</v>
      </c>
      <c r="AT87" s="299">
        <f t="shared" si="35"/>
        <v>8.7100972392697442E-4</v>
      </c>
      <c r="AU87" s="299">
        <f t="shared" si="35"/>
        <v>8.5832656102200475E-4</v>
      </c>
      <c r="AV87" s="299">
        <f t="shared" si="35"/>
        <v>8.5043722377950524E-4</v>
      </c>
      <c r="AW87" s="299">
        <f t="shared" si="20"/>
        <v>8.4557748479842224E-4</v>
      </c>
      <c r="AX87" s="299">
        <f t="shared" si="20"/>
        <v>8.4260192722544801E-4</v>
      </c>
      <c r="AY87" s="299">
        <f t="shared" si="20"/>
        <v>8.4078674788939044E-4</v>
      </c>
      <c r="AZ87" s="298">
        <f t="shared" si="32"/>
        <v>9.2780027960029002E-2</v>
      </c>
      <c r="BA87" s="1">
        <f t="shared" si="32"/>
        <v>9.2780027960029002E-2</v>
      </c>
      <c r="BB87" s="1">
        <f t="shared" si="32"/>
        <v>9.2780027960029002E-2</v>
      </c>
      <c r="BC87" s="1">
        <f t="shared" si="32"/>
        <v>9.2780027960029002E-2</v>
      </c>
      <c r="BD87" s="1">
        <f t="shared" si="32"/>
        <v>9.2780027960029002E-2</v>
      </c>
      <c r="BE87" s="1">
        <f t="shared" si="32"/>
        <v>8.8579087395046913E-2</v>
      </c>
      <c r="BF87" s="1">
        <f t="shared" si="32"/>
        <v>8.6238158228435821E-2</v>
      </c>
      <c r="BG87" s="1">
        <f t="shared" si="32"/>
        <v>8.2898307477967337E-2</v>
      </c>
      <c r="BH87" s="1">
        <f t="shared" si="32"/>
        <v>7.8465853529074703E-2</v>
      </c>
      <c r="BI87" s="1">
        <f t="shared" si="32"/>
        <v>7.3116084318423702E-2</v>
      </c>
      <c r="BJ87" s="1">
        <f t="shared" si="32"/>
        <v>6.7351933820564591E-2</v>
      </c>
      <c r="BK87" s="1">
        <f t="shared" si="32"/>
        <v>6.1853351973352656E-2</v>
      </c>
      <c r="BL87" s="1">
        <f t="shared" si="32"/>
        <v>5.7184809613256178E-2</v>
      </c>
      <c r="BM87" s="1">
        <f t="shared" si="32"/>
        <v>5.3597278050207295E-2</v>
      </c>
      <c r="BN87" s="1">
        <f t="shared" si="32"/>
        <v>5.104606670881983E-2</v>
      </c>
      <c r="BO87" s="1">
        <f t="shared" si="32"/>
        <v>4.9330163815322597E-2</v>
      </c>
      <c r="BP87" s="1">
        <f t="shared" si="36"/>
        <v>4.8218913489990738E-2</v>
      </c>
      <c r="BQ87" s="1">
        <f t="shared" si="36"/>
        <v>4.7516776282914661E-2</v>
      </c>
      <c r="BR87" s="1">
        <f t="shared" si="36"/>
        <v>4.7080024247272242E-2</v>
      </c>
      <c r="BS87" s="1">
        <f t="shared" si="21"/>
        <v>4.6810990128506855E-2</v>
      </c>
      <c r="BT87" s="1">
        <f t="shared" si="21"/>
        <v>4.6646263892674657E-2</v>
      </c>
      <c r="BU87" s="1">
        <f t="shared" si="21"/>
        <v>4.6545775949808112E-2</v>
      </c>
    </row>
    <row r="88" spans="1:73" x14ac:dyDescent="0.25">
      <c r="A88" s="1" t="s">
        <v>27</v>
      </c>
      <c r="B88" s="1" t="s">
        <v>5</v>
      </c>
      <c r="C88" s="1" t="s">
        <v>16</v>
      </c>
      <c r="D88" s="1" t="s">
        <v>16</v>
      </c>
      <c r="E88" s="5">
        <v>7.4827500000000002</v>
      </c>
      <c r="F88" s="1">
        <f t="shared" si="30"/>
        <v>1.8332737500000001E-2</v>
      </c>
      <c r="G88" s="1">
        <f>LOOKUP(RIGHT(D88,5),Ref!$C$4:$C$21,Ref!$E$4:$E$21)*$G$3</f>
        <v>3</v>
      </c>
      <c r="H88" s="297">
        <f t="shared" si="37"/>
        <v>7.4827500000000002</v>
      </c>
      <c r="I88" s="5">
        <f t="shared" si="37"/>
        <v>7.4827500000000002</v>
      </c>
      <c r="J88" s="5">
        <f t="shared" si="37"/>
        <v>7.4827500000000002</v>
      </c>
      <c r="K88" s="5">
        <f t="shared" si="37"/>
        <v>7.4827500000000002</v>
      </c>
      <c r="L88" s="5">
        <f t="shared" si="37"/>
        <v>7.4827500000000002</v>
      </c>
      <c r="M88" s="5">
        <f t="shared" si="34"/>
        <v>7.8376259525194376</v>
      </c>
      <c r="N88" s="5">
        <f t="shared" si="34"/>
        <v>8.0503777965539598</v>
      </c>
      <c r="O88" s="5">
        <f t="shared" si="34"/>
        <v>8.3747156647610002</v>
      </c>
      <c r="P88" s="5">
        <f t="shared" si="34"/>
        <v>8.8477945882620137</v>
      </c>
      <c r="Q88" s="5">
        <f t="shared" si="34"/>
        <v>9.495171420756332</v>
      </c>
      <c r="R88" s="5">
        <f t="shared" si="34"/>
        <v>10.307792439449324</v>
      </c>
      <c r="S88" s="5">
        <f t="shared" si="34"/>
        <v>11.224125000000001</v>
      </c>
      <c r="T88" s="5">
        <f t="shared" si="34"/>
        <v>12.140457560550677</v>
      </c>
      <c r="U88" s="5">
        <f t="shared" si="34"/>
        <v>12.95307857924367</v>
      </c>
      <c r="V88" s="5">
        <f t="shared" si="34"/>
        <v>13.600455411737988</v>
      </c>
      <c r="W88" s="5">
        <f t="shared" si="34"/>
        <v>14.073534335238998</v>
      </c>
      <c r="X88" s="5">
        <f t="shared" si="34"/>
        <v>14.397872203446042</v>
      </c>
      <c r="Y88" s="5">
        <f t="shared" si="34"/>
        <v>14.610624047480563</v>
      </c>
      <c r="Z88" s="5">
        <f t="shared" si="34"/>
        <v>14.74616390534529</v>
      </c>
      <c r="AA88" s="5">
        <f t="shared" si="34"/>
        <v>14.830913687406159</v>
      </c>
      <c r="AB88" s="5">
        <f t="shared" si="34"/>
        <v>14.88328745503093</v>
      </c>
      <c r="AC88" s="5">
        <f t="shared" si="33"/>
        <v>14.915419069746308</v>
      </c>
      <c r="AD88" s="300">
        <f t="shared" si="31"/>
        <v>1.8367040330799851E-3</v>
      </c>
      <c r="AE88" s="299">
        <f t="shared" si="31"/>
        <v>1.8367040330799851E-3</v>
      </c>
      <c r="AF88" s="299">
        <f t="shared" si="31"/>
        <v>1.8367040330799851E-3</v>
      </c>
      <c r="AG88" s="299">
        <f t="shared" si="31"/>
        <v>1.8367040330799851E-3</v>
      </c>
      <c r="AH88" s="299">
        <f t="shared" si="31"/>
        <v>1.8367040330799851E-3</v>
      </c>
      <c r="AI88" s="299">
        <f t="shared" si="31"/>
        <v>1.7535408281523467E-3</v>
      </c>
      <c r="AJ88" s="299">
        <f t="shared" si="31"/>
        <v>1.7071990223132554E-3</v>
      </c>
      <c r="AK88" s="299">
        <f t="shared" si="31"/>
        <v>1.6410822353479242E-3</v>
      </c>
      <c r="AL88" s="299">
        <f t="shared" si="31"/>
        <v>1.5533359151174572E-3</v>
      </c>
      <c r="AM88" s="299">
        <f t="shared" si="31"/>
        <v>1.4474301194274302E-3</v>
      </c>
      <c r="AN88" s="299">
        <f t="shared" si="31"/>
        <v>1.3333210951096224E-3</v>
      </c>
      <c r="AO88" s="299">
        <f t="shared" si="31"/>
        <v>1.2244693553866567E-3</v>
      </c>
      <c r="AP88" s="299">
        <f t="shared" si="31"/>
        <v>1.1320493511041824E-3</v>
      </c>
      <c r="AQ88" s="299">
        <f t="shared" si="31"/>
        <v>1.061029393085929E-3</v>
      </c>
      <c r="AR88" s="299">
        <f t="shared" si="31"/>
        <v>1.0105247719622485E-3</v>
      </c>
      <c r="AS88" s="299">
        <f t="shared" si="31"/>
        <v>9.7655619236430174E-4</v>
      </c>
      <c r="AT88" s="299">
        <f t="shared" si="35"/>
        <v>9.5455751442493112E-4</v>
      </c>
      <c r="AU88" s="299">
        <f t="shared" si="35"/>
        <v>9.4065777470327746E-4</v>
      </c>
      <c r="AV88" s="299">
        <f t="shared" si="35"/>
        <v>9.3201168736144235E-4</v>
      </c>
      <c r="AW88" s="299">
        <f t="shared" si="20"/>
        <v>9.2668579921679356E-4</v>
      </c>
      <c r="AX88" s="299">
        <f t="shared" si="20"/>
        <v>9.2342482432425062E-4</v>
      </c>
      <c r="AY88" s="299">
        <f t="shared" si="20"/>
        <v>9.2143553186555015E-4</v>
      </c>
      <c r="AZ88" s="298">
        <f t="shared" si="32"/>
        <v>0.10167954552620598</v>
      </c>
      <c r="BA88" s="1">
        <f t="shared" si="32"/>
        <v>0.10167954552620598</v>
      </c>
      <c r="BB88" s="1">
        <f t="shared" si="32"/>
        <v>0.10167954552620598</v>
      </c>
      <c r="BC88" s="1">
        <f t="shared" si="32"/>
        <v>0.10167954552620598</v>
      </c>
      <c r="BD88" s="1">
        <f t="shared" si="32"/>
        <v>0.10167954552620598</v>
      </c>
      <c r="BE88" s="1">
        <f t="shared" si="32"/>
        <v>9.7075648148485794E-2</v>
      </c>
      <c r="BF88" s="1">
        <f t="shared" si="32"/>
        <v>9.4510175610876754E-2</v>
      </c>
      <c r="BG88" s="1">
        <f t="shared" si="32"/>
        <v>9.084996431433244E-2</v>
      </c>
      <c r="BH88" s="1">
        <f t="shared" si="32"/>
        <v>8.599234664597602E-2</v>
      </c>
      <c r="BI88" s="1">
        <f t="shared" si="32"/>
        <v>8.0129424269584526E-2</v>
      </c>
      <c r="BJ88" s="1">
        <f t="shared" si="32"/>
        <v>7.3812372897068587E-2</v>
      </c>
      <c r="BK88" s="1">
        <f t="shared" si="32"/>
        <v>6.7786363684137318E-2</v>
      </c>
      <c r="BL88" s="1">
        <f t="shared" si="32"/>
        <v>6.2670011858408634E-2</v>
      </c>
      <c r="BM88" s="1">
        <f t="shared" si="32"/>
        <v>5.8738362052818134E-2</v>
      </c>
      <c r="BN88" s="1">
        <f t="shared" si="32"/>
        <v>5.5942436944395713E-2</v>
      </c>
      <c r="BO88" s="1">
        <f t="shared" si="32"/>
        <v>5.4061943585921347E-2</v>
      </c>
      <c r="BP88" s="1">
        <f t="shared" si="36"/>
        <v>5.28441014432754E-2</v>
      </c>
      <c r="BQ88" s="1">
        <f t="shared" si="36"/>
        <v>5.2074614801782985E-2</v>
      </c>
      <c r="BR88" s="1">
        <f t="shared" si="36"/>
        <v>5.1595969241222277E-2</v>
      </c>
      <c r="BS88" s="1">
        <f t="shared" si="21"/>
        <v>5.130112920367786E-2</v>
      </c>
      <c r="BT88" s="1">
        <f t="shared" si="21"/>
        <v>5.1120602325599347E-2</v>
      </c>
      <c r="BU88" s="1">
        <f t="shared" si="21"/>
        <v>5.1010475517209768E-2</v>
      </c>
    </row>
    <row r="89" spans="1:73" x14ac:dyDescent="0.25">
      <c r="A89" s="1" t="s">
        <v>27</v>
      </c>
      <c r="B89" s="1" t="s">
        <v>5</v>
      </c>
      <c r="C89" s="1" t="s">
        <v>17</v>
      </c>
      <c r="D89" s="1" t="s">
        <v>17</v>
      </c>
      <c r="E89" s="5">
        <v>8.9017499999999998</v>
      </c>
      <c r="F89" s="1">
        <f t="shared" si="30"/>
        <v>2.18092875E-2</v>
      </c>
      <c r="G89" s="1">
        <f>LOOKUP(RIGHT(D89,5),Ref!$C$4:$C$21,Ref!$E$4:$E$21)*$G$3</f>
        <v>3</v>
      </c>
      <c r="H89" s="297">
        <f t="shared" si="37"/>
        <v>8.9017499999999998</v>
      </c>
      <c r="I89" s="5">
        <f t="shared" si="37"/>
        <v>8.9017499999999998</v>
      </c>
      <c r="J89" s="5">
        <f t="shared" si="37"/>
        <v>8.9017499999999998</v>
      </c>
      <c r="K89" s="5">
        <f t="shared" si="37"/>
        <v>8.9017499999999998</v>
      </c>
      <c r="L89" s="5">
        <f t="shared" si="37"/>
        <v>8.9017499999999998</v>
      </c>
      <c r="M89" s="5">
        <f t="shared" si="34"/>
        <v>9.3239232665584044</v>
      </c>
      <c r="N89" s="5">
        <f t="shared" si="34"/>
        <v>9.577020554004104</v>
      </c>
      <c r="O89" s="5">
        <f t="shared" si="34"/>
        <v>9.9628646111103851</v>
      </c>
      <c r="P89" s="5">
        <f t="shared" si="34"/>
        <v>10.525656406543233</v>
      </c>
      <c r="Q89" s="5">
        <f t="shared" si="34"/>
        <v>11.295799297680354</v>
      </c>
      <c r="R89" s="5">
        <f t="shared" si="34"/>
        <v>12.262522648473892</v>
      </c>
      <c r="S89" s="5">
        <f t="shared" si="34"/>
        <v>13.352625</v>
      </c>
      <c r="T89" s="5">
        <f t="shared" si="34"/>
        <v>14.442727351526107</v>
      </c>
      <c r="U89" s="5">
        <f t="shared" si="34"/>
        <v>15.409450702319646</v>
      </c>
      <c r="V89" s="5">
        <f t="shared" si="34"/>
        <v>16.179593593456769</v>
      </c>
      <c r="W89" s="5">
        <f t="shared" si="34"/>
        <v>16.742385388889613</v>
      </c>
      <c r="X89" s="5">
        <f t="shared" si="34"/>
        <v>17.128229445995895</v>
      </c>
      <c r="Y89" s="5">
        <f t="shared" si="34"/>
        <v>17.381326733441593</v>
      </c>
      <c r="Z89" s="5">
        <f t="shared" si="34"/>
        <v>17.542569849909114</v>
      </c>
      <c r="AA89" s="5">
        <f t="shared" si="34"/>
        <v>17.64339125546995</v>
      </c>
      <c r="AB89" s="5">
        <f t="shared" si="34"/>
        <v>17.705696983438116</v>
      </c>
      <c r="AC89" s="5">
        <f t="shared" si="33"/>
        <v>17.743921914284748</v>
      </c>
      <c r="AD89" s="300">
        <f t="shared" si="31"/>
        <v>1.5439208137196911E-3</v>
      </c>
      <c r="AE89" s="299">
        <f t="shared" si="31"/>
        <v>1.5439208137196911E-3</v>
      </c>
      <c r="AF89" s="299">
        <f t="shared" si="31"/>
        <v>1.5439208137196911E-3</v>
      </c>
      <c r="AG89" s="299">
        <f t="shared" si="31"/>
        <v>1.5439208137196911E-3</v>
      </c>
      <c r="AH89" s="299">
        <f t="shared" si="31"/>
        <v>1.5439208137196911E-3</v>
      </c>
      <c r="AI89" s="299">
        <f t="shared" si="31"/>
        <v>1.4740143940075797E-3</v>
      </c>
      <c r="AJ89" s="299">
        <f t="shared" si="31"/>
        <v>1.435059789840707E-3</v>
      </c>
      <c r="AK89" s="299">
        <f t="shared" si="31"/>
        <v>1.3794824721599327E-3</v>
      </c>
      <c r="AL89" s="299">
        <f t="shared" si="31"/>
        <v>1.3057235171561943E-3</v>
      </c>
      <c r="AM89" s="299">
        <f t="shared" si="31"/>
        <v>1.2166998316225017E-3</v>
      </c>
      <c r="AN89" s="299">
        <f t="shared" si="31"/>
        <v>1.1207805683636958E-3</v>
      </c>
      <c r="AO89" s="299">
        <f t="shared" ref="AO89:AS139" si="38">Algae_electricity_factor/S89</f>
        <v>1.029280542479794E-3</v>
      </c>
      <c r="AP89" s="299">
        <f t="shared" si="38"/>
        <v>9.5159292071500794E-4</v>
      </c>
      <c r="AQ89" s="299">
        <f t="shared" si="38"/>
        <v>8.9189403107408499E-4</v>
      </c>
      <c r="AR89" s="299">
        <f t="shared" si="38"/>
        <v>8.494401929284147E-4</v>
      </c>
      <c r="AS89" s="299">
        <f t="shared" si="38"/>
        <v>8.2088643788176237E-4</v>
      </c>
      <c r="AT89" s="299">
        <f t="shared" si="35"/>
        <v>8.0239450007730552E-4</v>
      </c>
      <c r="AU89" s="299">
        <f t="shared" si="35"/>
        <v>7.9071047419450682E-4</v>
      </c>
      <c r="AV89" s="299">
        <f t="shared" si="35"/>
        <v>7.8344263247157389E-4</v>
      </c>
      <c r="AW89" s="299">
        <f t="shared" si="20"/>
        <v>7.789657274231991E-4</v>
      </c>
      <c r="AX89" s="299">
        <f t="shared" si="20"/>
        <v>7.7622457429295222E-4</v>
      </c>
      <c r="AY89" s="299">
        <f t="shared" si="20"/>
        <v>7.7455238869513811E-4</v>
      </c>
      <c r="AZ89" s="298">
        <f t="shared" si="32"/>
        <v>8.5471128630462301E-2</v>
      </c>
      <c r="BA89" s="1">
        <f t="shared" si="32"/>
        <v>8.5471128630462301E-2</v>
      </c>
      <c r="BB89" s="1">
        <f t="shared" si="32"/>
        <v>8.5471128630462301E-2</v>
      </c>
      <c r="BC89" s="1">
        <f t="shared" si="32"/>
        <v>8.5471128630462301E-2</v>
      </c>
      <c r="BD89" s="1">
        <f t="shared" si="32"/>
        <v>8.5471128630462301E-2</v>
      </c>
      <c r="BE89" s="1">
        <f t="shared" si="32"/>
        <v>8.1601124069209108E-2</v>
      </c>
      <c r="BF89" s="1">
        <f t="shared" si="32"/>
        <v>7.9444605448623931E-2</v>
      </c>
      <c r="BG89" s="1">
        <f t="shared" si="32"/>
        <v>7.636785693521736E-2</v>
      </c>
      <c r="BH89" s="1">
        <f t="shared" si="32"/>
        <v>7.2284576837720355E-2</v>
      </c>
      <c r="BI89" s="1">
        <f t="shared" si="32"/>
        <v>6.7356244497231849E-2</v>
      </c>
      <c r="BJ89" s="1">
        <f t="shared" si="32"/>
        <v>6.2046174437109552E-2</v>
      </c>
      <c r="BK89" s="1">
        <f t="shared" ref="BK89:BO139" si="39">Algae_yield_cost_factor/S89</f>
        <v>5.6980752420308201E-2</v>
      </c>
      <c r="BL89" s="1">
        <f t="shared" si="39"/>
        <v>5.2679982164575201E-2</v>
      </c>
      <c r="BM89" s="1">
        <f t="shared" si="39"/>
        <v>4.9375064302044532E-2</v>
      </c>
      <c r="BN89" s="1">
        <f t="shared" si="39"/>
        <v>4.7024828830923918E-2</v>
      </c>
      <c r="BO89" s="1">
        <f t="shared" si="39"/>
        <v>4.5444099010593757E-2</v>
      </c>
      <c r="BP89" s="1">
        <f t="shared" si="36"/>
        <v>4.4420389257693045E-2</v>
      </c>
      <c r="BQ89" s="1">
        <f t="shared" si="36"/>
        <v>4.3773564064149374E-2</v>
      </c>
      <c r="BR89" s="1">
        <f t="shared" si="36"/>
        <v>4.3371217888590004E-2</v>
      </c>
      <c r="BS89" s="1">
        <f t="shared" si="21"/>
        <v>4.3123377375102703E-2</v>
      </c>
      <c r="BT89" s="1">
        <f t="shared" si="21"/>
        <v>4.2971627719479717E-2</v>
      </c>
      <c r="BU89" s="1">
        <f t="shared" si="21"/>
        <v>4.2879055879619335E-2</v>
      </c>
    </row>
    <row r="90" spans="1:73" x14ac:dyDescent="0.25">
      <c r="A90" s="1" t="s">
        <v>27</v>
      </c>
      <c r="B90" s="1" t="s">
        <v>5</v>
      </c>
      <c r="C90" s="1" t="s">
        <v>18</v>
      </c>
      <c r="D90" s="1" t="s">
        <v>18</v>
      </c>
      <c r="E90" s="5">
        <v>8.0437499999999993</v>
      </c>
      <c r="F90" s="1">
        <f t="shared" si="30"/>
        <v>1.9707187500000001E-2</v>
      </c>
      <c r="G90" s="1">
        <f>LOOKUP(RIGHT(D90,5),Ref!$C$4:$C$21,Ref!$E$4:$E$21)*$G$3</f>
        <v>3</v>
      </c>
      <c r="H90" s="297">
        <f t="shared" si="37"/>
        <v>8.0437499999999993</v>
      </c>
      <c r="I90" s="5">
        <f t="shared" si="37"/>
        <v>8.0437499999999993</v>
      </c>
      <c r="J90" s="5">
        <f t="shared" si="37"/>
        <v>8.0437499999999993</v>
      </c>
      <c r="K90" s="5">
        <f t="shared" si="37"/>
        <v>8.0437499999999993</v>
      </c>
      <c r="L90" s="5">
        <f t="shared" si="37"/>
        <v>8.0437499999999993</v>
      </c>
      <c r="M90" s="5">
        <f t="shared" si="34"/>
        <v>8.4252318673720517</v>
      </c>
      <c r="N90" s="5">
        <f t="shared" si="34"/>
        <v>8.6539342355458757</v>
      </c>
      <c r="O90" s="5">
        <f t="shared" si="34"/>
        <v>9.0025885040154066</v>
      </c>
      <c r="P90" s="5">
        <f t="shared" si="34"/>
        <v>9.5111353071173781</v>
      </c>
      <c r="Q90" s="5">
        <f t="shared" si="34"/>
        <v>10.207047558144899</v>
      </c>
      <c r="R90" s="5">
        <f t="shared" si="34"/>
        <v>11.080592754645082</v>
      </c>
      <c r="S90" s="5">
        <f t="shared" si="34"/>
        <v>12.065624999999999</v>
      </c>
      <c r="T90" s="5">
        <f t="shared" si="34"/>
        <v>13.050657245354916</v>
      </c>
      <c r="U90" s="5">
        <f t="shared" si="34"/>
        <v>13.924202441855099</v>
      </c>
      <c r="V90" s="5">
        <f t="shared" si="34"/>
        <v>14.62011469288262</v>
      </c>
      <c r="W90" s="5">
        <f t="shared" si="34"/>
        <v>15.128661495984588</v>
      </c>
      <c r="X90" s="5">
        <f t="shared" si="34"/>
        <v>15.477315764454122</v>
      </c>
      <c r="Y90" s="5">
        <f t="shared" si="34"/>
        <v>15.706018132627946</v>
      </c>
      <c r="Z90" s="5">
        <f t="shared" si="34"/>
        <v>15.851719743893776</v>
      </c>
      <c r="AA90" s="5">
        <f t="shared" si="34"/>
        <v>15.942823423617424</v>
      </c>
      <c r="AB90" s="5">
        <f t="shared" si="34"/>
        <v>15.999123780215166</v>
      </c>
      <c r="AC90" s="5">
        <f t="shared" si="33"/>
        <v>16.033664380377783</v>
      </c>
      <c r="AD90" s="300">
        <f t="shared" ref="AD90:AN113" si="40">Algae_electricity_factor/H90</f>
        <v>1.7086057005164582E-3</v>
      </c>
      <c r="AE90" s="299">
        <f t="shared" si="40"/>
        <v>1.7086057005164582E-3</v>
      </c>
      <c r="AF90" s="299">
        <f t="shared" si="40"/>
        <v>1.7086057005164582E-3</v>
      </c>
      <c r="AG90" s="299">
        <f t="shared" si="40"/>
        <v>1.7086057005164582E-3</v>
      </c>
      <c r="AH90" s="299">
        <f t="shared" si="40"/>
        <v>1.7086057005164582E-3</v>
      </c>
      <c r="AI90" s="299">
        <f t="shared" si="40"/>
        <v>1.6312425960350551E-3</v>
      </c>
      <c r="AJ90" s="299">
        <f t="shared" si="40"/>
        <v>1.5881328340903826E-3</v>
      </c>
      <c r="AK90" s="299">
        <f t="shared" si="40"/>
        <v>1.5266272691903256E-3</v>
      </c>
      <c r="AL90" s="299">
        <f t="shared" si="40"/>
        <v>1.4450006923195219E-3</v>
      </c>
      <c r="AM90" s="299">
        <f t="shared" si="40"/>
        <v>1.3464811469955686E-3</v>
      </c>
      <c r="AN90" s="299">
        <f t="shared" si="40"/>
        <v>1.2403304956558235E-3</v>
      </c>
      <c r="AO90" s="299">
        <f t="shared" si="38"/>
        <v>1.1390704670109721E-3</v>
      </c>
      <c r="AP90" s="299">
        <f t="shared" si="38"/>
        <v>1.0530961655912754E-3</v>
      </c>
      <c r="AQ90" s="299">
        <f t="shared" si="38"/>
        <v>9.8702939438865427E-4</v>
      </c>
      <c r="AR90" s="299">
        <f t="shared" si="38"/>
        <v>9.4004714684077907E-4</v>
      </c>
      <c r="AS90" s="299">
        <f t="shared" si="38"/>
        <v>9.084476579224838E-4</v>
      </c>
      <c r="AT90" s="299">
        <f t="shared" si="35"/>
        <v>8.8798324675221812E-4</v>
      </c>
      <c r="AU90" s="299">
        <f t="shared" si="35"/>
        <v>8.7505292477525417E-4</v>
      </c>
      <c r="AV90" s="299">
        <f t="shared" si="35"/>
        <v>8.6700984660187527E-4</v>
      </c>
      <c r="AW90" s="299">
        <f t="shared" si="20"/>
        <v>8.6205540501500702E-4</v>
      </c>
      <c r="AX90" s="299">
        <f t="shared" si="20"/>
        <v>8.5902186221753366E-4</v>
      </c>
      <c r="AY90" s="299">
        <f t="shared" si="20"/>
        <v>8.57171310155953E-4</v>
      </c>
      <c r="AZ90" s="298">
        <f t="shared" ref="AZ90:BJ113" si="41">Algae_yield_cost_factor/H90</f>
        <v>9.4588049017711617E-2</v>
      </c>
      <c r="BA90" s="1">
        <f t="shared" si="41"/>
        <v>9.4588049017711617E-2</v>
      </c>
      <c r="BB90" s="1">
        <f t="shared" si="41"/>
        <v>9.4588049017711617E-2</v>
      </c>
      <c r="BC90" s="1">
        <f t="shared" si="41"/>
        <v>9.4588049017711617E-2</v>
      </c>
      <c r="BD90" s="1">
        <f t="shared" si="41"/>
        <v>9.4588049017711617E-2</v>
      </c>
      <c r="BE90" s="1">
        <f t="shared" si="41"/>
        <v>9.0305243969924745E-2</v>
      </c>
      <c r="BF90" s="1">
        <f t="shared" si="41"/>
        <v>8.7918696696477158E-2</v>
      </c>
      <c r="BG90" s="1">
        <f t="shared" si="41"/>
        <v>8.4513761674973889E-2</v>
      </c>
      <c r="BH90" s="1">
        <f t="shared" si="41"/>
        <v>7.9994931700410526E-2</v>
      </c>
      <c r="BI90" s="1">
        <f t="shared" si="41"/>
        <v>7.4540910576936584E-2</v>
      </c>
      <c r="BJ90" s="1">
        <f t="shared" si="41"/>
        <v>6.8664433043734582E-2</v>
      </c>
      <c r="BK90" s="1">
        <f t="shared" si="39"/>
        <v>6.3058699345141078E-2</v>
      </c>
      <c r="BL90" s="1">
        <f t="shared" si="39"/>
        <v>5.8299180262129893E-2</v>
      </c>
      <c r="BM90" s="1">
        <f t="shared" si="39"/>
        <v>5.464173782759596E-2</v>
      </c>
      <c r="BN90" s="1">
        <f t="shared" si="39"/>
        <v>5.2040810572889146E-2</v>
      </c>
      <c r="BO90" s="1">
        <f t="shared" si="39"/>
        <v>5.0291469571723764E-2</v>
      </c>
      <c r="BP90" s="1">
        <f t="shared" si="36"/>
        <v>4.9158564111846971E-2</v>
      </c>
      <c r="BQ90" s="1">
        <f t="shared" si="36"/>
        <v>4.8442744230991971E-2</v>
      </c>
      <c r="BR90" s="1">
        <f t="shared" si="36"/>
        <v>4.7997481130039606E-2</v>
      </c>
      <c r="BS90" s="1">
        <f t="shared" si="21"/>
        <v>4.7723204295113661E-2</v>
      </c>
      <c r="BT90" s="1">
        <f t="shared" si="21"/>
        <v>4.7555268009557554E-2</v>
      </c>
      <c r="BU90" s="1">
        <f t="shared" si="21"/>
        <v>4.7452821840112069E-2</v>
      </c>
    </row>
    <row r="91" spans="1:73" x14ac:dyDescent="0.25">
      <c r="A91" s="1" t="s">
        <v>27</v>
      </c>
      <c r="B91" s="1" t="s">
        <v>5</v>
      </c>
      <c r="C91" s="1" t="s">
        <v>6</v>
      </c>
      <c r="D91" s="1" t="s">
        <v>6</v>
      </c>
      <c r="E91" s="5">
        <v>8.1014999999999997</v>
      </c>
      <c r="F91" s="1">
        <f t="shared" si="30"/>
        <v>1.9848674999999996E-2</v>
      </c>
      <c r="G91" s="1">
        <f>LOOKUP(RIGHT(D91,5),Ref!$C$4:$C$21,Ref!$E$4:$E$21)*$G$3</f>
        <v>3</v>
      </c>
      <c r="H91" s="297">
        <f t="shared" si="37"/>
        <v>8.1014999999999997</v>
      </c>
      <c r="I91" s="5">
        <f t="shared" si="37"/>
        <v>8.1014999999999997</v>
      </c>
      <c r="J91" s="5">
        <f t="shared" si="37"/>
        <v>8.1014999999999997</v>
      </c>
      <c r="K91" s="5">
        <f t="shared" si="37"/>
        <v>8.1014999999999997</v>
      </c>
      <c r="L91" s="5">
        <f t="shared" si="37"/>
        <v>8.1014999999999997</v>
      </c>
      <c r="M91" s="5">
        <f t="shared" si="34"/>
        <v>8.4857207115480566</v>
      </c>
      <c r="N91" s="5">
        <f t="shared" si="34"/>
        <v>8.7160650454421038</v>
      </c>
      <c r="O91" s="5">
        <f t="shared" si="34"/>
        <v>9.067222472762186</v>
      </c>
      <c r="P91" s="5">
        <f t="shared" si="34"/>
        <v>9.5794203811171954</v>
      </c>
      <c r="Q91" s="5">
        <f t="shared" si="34"/>
        <v>10.280328925229016</v>
      </c>
      <c r="R91" s="5">
        <f t="shared" si="34"/>
        <v>11.160145728268175</v>
      </c>
      <c r="S91" s="5">
        <f t="shared" si="34"/>
        <v>12.152249999999999</v>
      </c>
      <c r="T91" s="5">
        <f t="shared" si="34"/>
        <v>13.144354271731824</v>
      </c>
      <c r="U91" s="5">
        <f t="shared" si="34"/>
        <v>14.024171074770983</v>
      </c>
      <c r="V91" s="5">
        <f t="shared" si="34"/>
        <v>14.725079618882804</v>
      </c>
      <c r="W91" s="5">
        <f t="shared" si="34"/>
        <v>15.237277527237811</v>
      </c>
      <c r="X91" s="5">
        <f t="shared" si="34"/>
        <v>15.588434954557895</v>
      </c>
      <c r="Y91" s="5">
        <f t="shared" si="34"/>
        <v>15.818779288451942</v>
      </c>
      <c r="Z91" s="5">
        <f t="shared" si="34"/>
        <v>15.965526962567887</v>
      </c>
      <c r="AA91" s="5">
        <f t="shared" si="34"/>
        <v>16.057284719992115</v>
      </c>
      <c r="AB91" s="5">
        <f t="shared" si="34"/>
        <v>16.113989284278251</v>
      </c>
      <c r="AC91" s="5">
        <f t="shared" si="33"/>
        <v>16.148777868236905</v>
      </c>
      <c r="AD91" s="300">
        <f t="shared" si="40"/>
        <v>1.696426230146178E-3</v>
      </c>
      <c r="AE91" s="299">
        <f t="shared" si="40"/>
        <v>1.696426230146178E-3</v>
      </c>
      <c r="AF91" s="299">
        <f t="shared" si="40"/>
        <v>1.696426230146178E-3</v>
      </c>
      <c r="AG91" s="299">
        <f t="shared" si="40"/>
        <v>1.696426230146178E-3</v>
      </c>
      <c r="AH91" s="299">
        <f t="shared" si="40"/>
        <v>1.696426230146178E-3</v>
      </c>
      <c r="AI91" s="299">
        <f t="shared" si="40"/>
        <v>1.6196145938229924E-3</v>
      </c>
      <c r="AJ91" s="299">
        <f t="shared" si="40"/>
        <v>1.5768121316070496E-3</v>
      </c>
      <c r="AK91" s="299">
        <f t="shared" si="40"/>
        <v>1.5157449974140195E-3</v>
      </c>
      <c r="AL91" s="299">
        <f t="shared" si="40"/>
        <v>1.4347002800524783E-3</v>
      </c>
      <c r="AM91" s="299">
        <f t="shared" si="40"/>
        <v>1.3368830125465166E-3</v>
      </c>
      <c r="AN91" s="299">
        <f t="shared" si="40"/>
        <v>1.2314890359108226E-3</v>
      </c>
      <c r="AO91" s="299">
        <f t="shared" si="38"/>
        <v>1.1309508200974519E-3</v>
      </c>
      <c r="AP91" s="299">
        <f t="shared" si="38"/>
        <v>1.0455893701135372E-3</v>
      </c>
      <c r="AQ91" s="299">
        <f t="shared" si="38"/>
        <v>9.7999354330849061E-4</v>
      </c>
      <c r="AR91" s="299">
        <f t="shared" si="38"/>
        <v>9.3334619976553923E-4</v>
      </c>
      <c r="AS91" s="299">
        <f t="shared" si="38"/>
        <v>9.0197196178658018E-4</v>
      </c>
      <c r="AT91" s="299">
        <f t="shared" si="35"/>
        <v>8.8165342727435092E-4</v>
      </c>
      <c r="AU91" s="299">
        <f t="shared" si="35"/>
        <v>8.688152766353083E-4</v>
      </c>
      <c r="AV91" s="299">
        <f t="shared" si="35"/>
        <v>8.608295320130634E-4</v>
      </c>
      <c r="AW91" s="299">
        <f t="shared" si="20"/>
        <v>8.5591040721958432E-4</v>
      </c>
      <c r="AX91" s="299">
        <f t="shared" si="20"/>
        <v>8.5289848845427219E-4</v>
      </c>
      <c r="AY91" s="299">
        <f t="shared" si="20"/>
        <v>8.5106112770066608E-4</v>
      </c>
      <c r="AZ91" s="298">
        <f t="shared" si="41"/>
        <v>9.3913796122473345E-2</v>
      </c>
      <c r="BA91" s="1">
        <f t="shared" si="41"/>
        <v>9.3913796122473345E-2</v>
      </c>
      <c r="BB91" s="1">
        <f t="shared" si="41"/>
        <v>9.3913796122473345E-2</v>
      </c>
      <c r="BC91" s="1">
        <f t="shared" si="41"/>
        <v>9.3913796122473345E-2</v>
      </c>
      <c r="BD91" s="1">
        <f t="shared" si="41"/>
        <v>9.3913796122473345E-2</v>
      </c>
      <c r="BE91" s="1">
        <f t="shared" si="41"/>
        <v>8.966152023490491E-2</v>
      </c>
      <c r="BF91" s="1">
        <f t="shared" si="41"/>
        <v>8.7291985009231382E-2</v>
      </c>
      <c r="BG91" s="1">
        <f t="shared" si="41"/>
        <v>8.3911321418634943E-2</v>
      </c>
      <c r="BH91" s="1">
        <f t="shared" si="41"/>
        <v>7.9424703063034896E-2</v>
      </c>
      <c r="BI91" s="1">
        <f t="shared" si="41"/>
        <v>7.4009559890542934E-2</v>
      </c>
      <c r="BJ91" s="1">
        <f t="shared" si="41"/>
        <v>6.8174971708392276E-2</v>
      </c>
      <c r="BK91" s="1">
        <f t="shared" si="39"/>
        <v>6.2609197414982234E-2</v>
      </c>
      <c r="BL91" s="1">
        <f t="shared" si="39"/>
        <v>5.788360565741002E-2</v>
      </c>
      <c r="BM91" s="1">
        <f t="shared" si="39"/>
        <v>5.4252234604792317E-2</v>
      </c>
      <c r="BN91" s="1">
        <f t="shared" si="39"/>
        <v>5.1669847564732092E-2</v>
      </c>
      <c r="BO91" s="1">
        <f t="shared" si="39"/>
        <v>4.9932976407770537E-2</v>
      </c>
      <c r="BP91" s="1">
        <f t="shared" si="36"/>
        <v>4.8808146648727901E-2</v>
      </c>
      <c r="BQ91" s="1">
        <f t="shared" si="36"/>
        <v>4.809742935358164E-2</v>
      </c>
      <c r="BR91" s="1">
        <f t="shared" si="36"/>
        <v>4.7655340225853979E-2</v>
      </c>
      <c r="BS91" s="1">
        <f t="shared" si="21"/>
        <v>4.7383018521115906E-2</v>
      </c>
      <c r="BT91" s="1">
        <f t="shared" si="21"/>
        <v>4.7216279337391656E-2</v>
      </c>
      <c r="BU91" s="1">
        <f t="shared" si="21"/>
        <v>4.7114563435956484E-2</v>
      </c>
    </row>
    <row r="92" spans="1:73" x14ac:dyDescent="0.25">
      <c r="A92" s="1" t="s">
        <v>27</v>
      </c>
      <c r="B92" s="1" t="s">
        <v>5</v>
      </c>
      <c r="C92" s="1" t="s">
        <v>7</v>
      </c>
      <c r="D92" s="1" t="s">
        <v>7</v>
      </c>
      <c r="E92" s="5">
        <v>8.67075</v>
      </c>
      <c r="F92" s="1">
        <f t="shared" si="30"/>
        <v>2.1243337500000004E-2</v>
      </c>
      <c r="G92" s="1">
        <f>LOOKUP(RIGHT(D92,5),Ref!$C$4:$C$21,Ref!$E$4:$E$21)*$G$3</f>
        <v>3.5</v>
      </c>
      <c r="H92" s="297">
        <f t="shared" si="37"/>
        <v>8.67075</v>
      </c>
      <c r="I92" s="5">
        <f t="shared" si="37"/>
        <v>8.67075</v>
      </c>
      <c r="J92" s="5">
        <f t="shared" si="37"/>
        <v>8.67075</v>
      </c>
      <c r="K92" s="5">
        <f t="shared" si="37"/>
        <v>8.67075</v>
      </c>
      <c r="L92" s="5">
        <f t="shared" si="37"/>
        <v>8.67075</v>
      </c>
      <c r="M92" s="5">
        <f t="shared" si="34"/>
        <v>9.0819678898543863</v>
      </c>
      <c r="N92" s="5">
        <f t="shared" si="34"/>
        <v>9.3284973144191969</v>
      </c>
      <c r="O92" s="5">
        <f t="shared" si="34"/>
        <v>9.7043287361232764</v>
      </c>
      <c r="P92" s="5">
        <f t="shared" si="34"/>
        <v>10.252516110543965</v>
      </c>
      <c r="Q92" s="5">
        <f t="shared" si="34"/>
        <v>11.002673829343886</v>
      </c>
      <c r="R92" s="5">
        <f t="shared" si="34"/>
        <v>11.944310753981521</v>
      </c>
      <c r="S92" s="5">
        <f t="shared" si="34"/>
        <v>13.006125000000001</v>
      </c>
      <c r="T92" s="5">
        <f t="shared" si="34"/>
        <v>14.067939246018479</v>
      </c>
      <c r="U92" s="5">
        <f t="shared" si="34"/>
        <v>15.009576170656114</v>
      </c>
      <c r="V92" s="5">
        <f t="shared" si="34"/>
        <v>15.759733889456035</v>
      </c>
      <c r="W92" s="5">
        <f t="shared" si="34"/>
        <v>16.307921263876722</v>
      </c>
      <c r="X92" s="5">
        <f t="shared" si="34"/>
        <v>16.683752685580803</v>
      </c>
      <c r="Y92" s="5">
        <f t="shared" si="34"/>
        <v>16.930282110145612</v>
      </c>
      <c r="Z92" s="5">
        <f t="shared" si="34"/>
        <v>17.087340975212676</v>
      </c>
      <c r="AA92" s="5">
        <f t="shared" si="34"/>
        <v>17.185546069971195</v>
      </c>
      <c r="AB92" s="5">
        <f t="shared" si="34"/>
        <v>17.246234967185785</v>
      </c>
      <c r="AC92" s="5">
        <f t="shared" si="33"/>
        <v>17.28346796284826</v>
      </c>
      <c r="AD92" s="300">
        <f t="shared" si="40"/>
        <v>1.5850528620395305E-3</v>
      </c>
      <c r="AE92" s="299">
        <f t="shared" si="40"/>
        <v>1.5850528620395305E-3</v>
      </c>
      <c r="AF92" s="299">
        <f t="shared" si="40"/>
        <v>1.5850528620395305E-3</v>
      </c>
      <c r="AG92" s="299">
        <f t="shared" si="40"/>
        <v>1.5850528620395305E-3</v>
      </c>
      <c r="AH92" s="299">
        <f t="shared" si="40"/>
        <v>1.5850528620395305E-3</v>
      </c>
      <c r="AI92" s="299">
        <f t="shared" si="40"/>
        <v>1.5132840448469824E-3</v>
      </c>
      <c r="AJ92" s="299">
        <f t="shared" si="40"/>
        <v>1.4732916396176239E-3</v>
      </c>
      <c r="AK92" s="299">
        <f t="shared" si="40"/>
        <v>1.4162336702764674E-3</v>
      </c>
      <c r="AL92" s="299">
        <f t="shared" si="40"/>
        <v>1.3405096812669206E-3</v>
      </c>
      <c r="AM92" s="299">
        <f t="shared" si="40"/>
        <v>1.2491142895534532E-3</v>
      </c>
      <c r="AN92" s="299">
        <f t="shared" si="40"/>
        <v>1.1506396130013584E-3</v>
      </c>
      <c r="AO92" s="299">
        <f t="shared" si="38"/>
        <v>1.0567019080263537E-3</v>
      </c>
      <c r="AP92" s="299">
        <f t="shared" si="38"/>
        <v>9.7694458748952772E-4</v>
      </c>
      <c r="AQ92" s="299">
        <f t="shared" si="38"/>
        <v>9.1565524217786655E-4</v>
      </c>
      <c r="AR92" s="299">
        <f t="shared" si="38"/>
        <v>8.7207037884848672E-4</v>
      </c>
      <c r="AS92" s="299">
        <f t="shared" si="38"/>
        <v>8.4275591481866954E-4</v>
      </c>
      <c r="AT92" s="299">
        <f t="shared" si="35"/>
        <v>8.2377132786242877E-4</v>
      </c>
      <c r="AU92" s="299">
        <f t="shared" si="35"/>
        <v>8.1177602441091605E-4</v>
      </c>
      <c r="AV92" s="299">
        <f t="shared" si="35"/>
        <v>8.0431455797985566E-4</v>
      </c>
      <c r="AW92" s="299">
        <f t="shared" si="20"/>
        <v>7.9971838238785124E-4</v>
      </c>
      <c r="AX92" s="299">
        <f t="shared" si="20"/>
        <v>7.9690420139114679E-4</v>
      </c>
      <c r="AY92" s="299">
        <f t="shared" si="20"/>
        <v>7.9518746660518932E-4</v>
      </c>
      <c r="AZ92" s="298">
        <f t="shared" si="41"/>
        <v>8.7748190097306208E-2</v>
      </c>
      <c r="BA92" s="1">
        <f t="shared" si="41"/>
        <v>8.7748190097306208E-2</v>
      </c>
      <c r="BB92" s="1">
        <f t="shared" si="41"/>
        <v>8.7748190097306208E-2</v>
      </c>
      <c r="BC92" s="1">
        <f t="shared" si="41"/>
        <v>8.7748190097306208E-2</v>
      </c>
      <c r="BD92" s="1">
        <f t="shared" si="41"/>
        <v>8.7748190097306208E-2</v>
      </c>
      <c r="BE92" s="1">
        <f t="shared" si="41"/>
        <v>8.3775083606733233E-2</v>
      </c>
      <c r="BF92" s="1">
        <f t="shared" si="41"/>
        <v>8.1561112539548258E-2</v>
      </c>
      <c r="BG92" s="1">
        <f t="shared" si="41"/>
        <v>7.8402395464414382E-2</v>
      </c>
      <c r="BH92" s="1">
        <f t="shared" si="41"/>
        <v>7.4210331501332299E-2</v>
      </c>
      <c r="BI92" s="1">
        <f t="shared" si="41"/>
        <v>6.9150702010003007E-2</v>
      </c>
      <c r="BJ92" s="1">
        <f t="shared" si="41"/>
        <v>6.3699164812218087E-2</v>
      </c>
      <c r="BK92" s="1">
        <f t="shared" si="39"/>
        <v>5.849879339820413E-2</v>
      </c>
      <c r="BL92" s="1">
        <f t="shared" si="39"/>
        <v>5.4083445057637146E-2</v>
      </c>
      <c r="BM92" s="1">
        <f t="shared" si="39"/>
        <v>5.0690479906666079E-2</v>
      </c>
      <c r="BN92" s="1">
        <f t="shared" si="39"/>
        <v>4.8277631121376702E-2</v>
      </c>
      <c r="BO92" s="1">
        <f t="shared" si="39"/>
        <v>4.6654788613159526E-2</v>
      </c>
      <c r="BP92" s="1">
        <f t="shared" si="36"/>
        <v>4.5603805907755278E-2</v>
      </c>
      <c r="BQ92" s="1">
        <f t="shared" si="36"/>
        <v>4.4939748454060111E-2</v>
      </c>
      <c r="BR92" s="1">
        <f t="shared" si="36"/>
        <v>4.4526683255745589E-2</v>
      </c>
      <c r="BS92" s="1">
        <f t="shared" si="21"/>
        <v>4.4272239950271942E-2</v>
      </c>
      <c r="BT92" s="1">
        <f t="shared" si="21"/>
        <v>4.4116447487458237E-2</v>
      </c>
      <c r="BU92" s="1">
        <f t="shared" si="21"/>
        <v>4.4021409413995488E-2</v>
      </c>
    </row>
    <row r="93" spans="1:73" x14ac:dyDescent="0.25">
      <c r="A93" s="1" t="s">
        <v>27</v>
      </c>
      <c r="B93" s="1" t="s">
        <v>5</v>
      </c>
      <c r="C93" s="1" t="s">
        <v>8</v>
      </c>
      <c r="D93" s="1" t="s">
        <v>8</v>
      </c>
      <c r="E93" s="5">
        <v>7.9777499999999995</v>
      </c>
      <c r="F93" s="1">
        <f t="shared" si="30"/>
        <v>1.9545487499999997E-2</v>
      </c>
      <c r="G93" s="1">
        <f>LOOKUP(RIGHT(D93,5),Ref!$C$4:$C$21,Ref!$E$4:$E$21)*$G$3</f>
        <v>4</v>
      </c>
      <c r="H93" s="297">
        <f t="shared" si="37"/>
        <v>7.9777499999999995</v>
      </c>
      <c r="I93" s="5">
        <f t="shared" si="37"/>
        <v>7.9777499999999995</v>
      </c>
      <c r="J93" s="5">
        <f t="shared" si="37"/>
        <v>7.9777499999999995</v>
      </c>
      <c r="K93" s="5">
        <f t="shared" si="37"/>
        <v>7.9777499999999995</v>
      </c>
      <c r="L93" s="5">
        <f t="shared" si="37"/>
        <v>7.9777499999999995</v>
      </c>
      <c r="M93" s="5">
        <f t="shared" si="34"/>
        <v>8.3561017597423319</v>
      </c>
      <c r="N93" s="5">
        <f t="shared" si="34"/>
        <v>8.5829275956644739</v>
      </c>
      <c r="O93" s="5">
        <f t="shared" si="34"/>
        <v>8.9287211111619484</v>
      </c>
      <c r="P93" s="5">
        <f t="shared" si="34"/>
        <v>9.4330952225461591</v>
      </c>
      <c r="Q93" s="5">
        <f t="shared" si="34"/>
        <v>10.123297424334478</v>
      </c>
      <c r="R93" s="5">
        <f t="shared" si="34"/>
        <v>10.989675070504404</v>
      </c>
      <c r="S93" s="5">
        <f t="shared" si="34"/>
        <v>11.966624999999999</v>
      </c>
      <c r="T93" s="5">
        <f t="shared" si="34"/>
        <v>12.943574929495593</v>
      </c>
      <c r="U93" s="5">
        <f t="shared" si="34"/>
        <v>13.80995257566552</v>
      </c>
      <c r="V93" s="5">
        <f t="shared" si="34"/>
        <v>14.50015477745384</v>
      </c>
      <c r="W93" s="5">
        <f t="shared" si="34"/>
        <v>15.004528888838049</v>
      </c>
      <c r="X93" s="5">
        <f t="shared" si="34"/>
        <v>15.350322404335524</v>
      </c>
      <c r="Y93" s="5">
        <f t="shared" si="34"/>
        <v>15.577148240257666</v>
      </c>
      <c r="Z93" s="5">
        <f t="shared" si="34"/>
        <v>15.721654351123366</v>
      </c>
      <c r="AA93" s="5">
        <f t="shared" si="34"/>
        <v>15.812010513474924</v>
      </c>
      <c r="AB93" s="5">
        <f t="shared" si="34"/>
        <v>15.867848918428786</v>
      </c>
      <c r="AC93" s="5">
        <f t="shared" si="33"/>
        <v>15.902106108538787</v>
      </c>
      <c r="AD93" s="300">
        <f t="shared" si="40"/>
        <v>1.7227410113790555E-3</v>
      </c>
      <c r="AE93" s="299">
        <f t="shared" si="40"/>
        <v>1.7227410113790555E-3</v>
      </c>
      <c r="AF93" s="299">
        <f t="shared" si="40"/>
        <v>1.7227410113790555E-3</v>
      </c>
      <c r="AG93" s="299">
        <f t="shared" si="40"/>
        <v>1.7227410113790555E-3</v>
      </c>
      <c r="AH93" s="299">
        <f t="shared" si="40"/>
        <v>1.7227410113790555E-3</v>
      </c>
      <c r="AI93" s="299">
        <f t="shared" si="40"/>
        <v>1.6447378812142488E-3</v>
      </c>
      <c r="AJ93" s="299">
        <f t="shared" si="40"/>
        <v>1.6012714718077797E-3</v>
      </c>
      <c r="AK93" s="299">
        <f t="shared" si="40"/>
        <v>1.5392570707968639E-3</v>
      </c>
      <c r="AL93" s="299">
        <f t="shared" si="40"/>
        <v>1.4569551964958983E-3</v>
      </c>
      <c r="AM93" s="299">
        <f t="shared" si="40"/>
        <v>1.3576205980565454E-3</v>
      </c>
      <c r="AN93" s="299">
        <f t="shared" si="40"/>
        <v>1.2505917613903079E-3</v>
      </c>
      <c r="AO93" s="299">
        <f t="shared" si="38"/>
        <v>1.1484940075860372E-3</v>
      </c>
      <c r="AP93" s="299">
        <f t="shared" si="38"/>
        <v>1.0618084399705208E-3</v>
      </c>
      <c r="AQ93" s="299">
        <f t="shared" si="38"/>
        <v>9.9519509775484777E-4</v>
      </c>
      <c r="AR93" s="299">
        <f t="shared" si="38"/>
        <v>9.4782416563573895E-4</v>
      </c>
      <c r="AS93" s="299">
        <f t="shared" si="38"/>
        <v>9.1596325385152194E-4</v>
      </c>
      <c r="AT93" s="299">
        <f t="shared" si="35"/>
        <v>8.9532954041717959E-4</v>
      </c>
      <c r="AU93" s="299">
        <f t="shared" si="35"/>
        <v>8.8229224576615592E-4</v>
      </c>
      <c r="AV93" s="299">
        <f t="shared" si="35"/>
        <v>8.7418262713219062E-4</v>
      </c>
      <c r="AW93" s="299">
        <f t="shared" si="20"/>
        <v>8.6918719740396253E-4</v>
      </c>
      <c r="AX93" s="299">
        <f t="shared" si="20"/>
        <v>8.6612855807869217E-4</v>
      </c>
      <c r="AY93" s="299">
        <f t="shared" si="20"/>
        <v>8.6426269638268261E-4</v>
      </c>
      <c r="AZ93" s="298">
        <f t="shared" si="41"/>
        <v>9.5370576827578935E-2</v>
      </c>
      <c r="BA93" s="1">
        <f t="shared" si="41"/>
        <v>9.5370576827578935E-2</v>
      </c>
      <c r="BB93" s="1">
        <f t="shared" si="41"/>
        <v>9.5370576827578935E-2</v>
      </c>
      <c r="BC93" s="1">
        <f t="shared" si="41"/>
        <v>9.5370576827578935E-2</v>
      </c>
      <c r="BD93" s="1">
        <f t="shared" si="41"/>
        <v>9.5370576827578935E-2</v>
      </c>
      <c r="BE93" s="1">
        <f t="shared" si="41"/>
        <v>9.105234009377107E-2</v>
      </c>
      <c r="BF93" s="1">
        <f t="shared" si="41"/>
        <v>8.8646048892518328E-2</v>
      </c>
      <c r="BG93" s="1">
        <f t="shared" si="41"/>
        <v>8.5212944811891955E-2</v>
      </c>
      <c r="BH93" s="1">
        <f t="shared" si="41"/>
        <v>8.0656730514891681E-2</v>
      </c>
      <c r="BI93" s="1">
        <f t="shared" si="41"/>
        <v>7.5157588223901936E-2</v>
      </c>
      <c r="BJ93" s="1">
        <f t="shared" si="41"/>
        <v>6.9232494537374581E-2</v>
      </c>
      <c r="BK93" s="1">
        <f t="shared" si="39"/>
        <v>6.3580384551719285E-2</v>
      </c>
      <c r="BL93" s="1">
        <f t="shared" si="39"/>
        <v>5.8781489923036861E-2</v>
      </c>
      <c r="BM93" s="1">
        <f t="shared" si="39"/>
        <v>5.5093789433201715E-2</v>
      </c>
      <c r="BN93" s="1">
        <f t="shared" si="39"/>
        <v>5.247134468310953E-2</v>
      </c>
      <c r="BO93" s="1">
        <f t="shared" si="39"/>
        <v>5.0707531367560149E-2</v>
      </c>
      <c r="BP93" s="1">
        <f t="shared" si="36"/>
        <v>4.95652533702697E-2</v>
      </c>
      <c r="BQ93" s="1">
        <f t="shared" si="36"/>
        <v>4.8843511504878152E-2</v>
      </c>
      <c r="BR93" s="1">
        <f t="shared" si="36"/>
        <v>4.8394564738147482E-2</v>
      </c>
      <c r="BS93" s="1">
        <f t="shared" si="21"/>
        <v>4.811801880841346E-2</v>
      </c>
      <c r="BT93" s="1">
        <f t="shared" si="21"/>
        <v>4.7948693184403944E-2</v>
      </c>
      <c r="BU93" s="1">
        <f t="shared" si="21"/>
        <v>4.784539947684515E-2</v>
      </c>
    </row>
    <row r="94" spans="1:73" x14ac:dyDescent="0.25">
      <c r="A94" s="1" t="s">
        <v>27</v>
      </c>
      <c r="B94" s="1" t="s">
        <v>5</v>
      </c>
      <c r="C94" s="1" t="s">
        <v>9</v>
      </c>
      <c r="D94" s="1" t="s">
        <v>9</v>
      </c>
      <c r="E94" s="5">
        <v>8.8935000000000013</v>
      </c>
      <c r="F94" s="1">
        <f t="shared" si="30"/>
        <v>2.1789075000000001E-2</v>
      </c>
      <c r="G94" s="1">
        <f>LOOKUP(RIGHT(D94,5),Ref!$C$4:$C$21,Ref!$E$4:$E$21)*$G$3</f>
        <v>4.5</v>
      </c>
      <c r="H94" s="297">
        <f t="shared" si="37"/>
        <v>8.8935000000000013</v>
      </c>
      <c r="I94" s="5">
        <f t="shared" si="37"/>
        <v>8.8935000000000013</v>
      </c>
      <c r="J94" s="5">
        <f t="shared" si="37"/>
        <v>8.8935000000000013</v>
      </c>
      <c r="K94" s="5">
        <f t="shared" si="37"/>
        <v>8.8935000000000013</v>
      </c>
      <c r="L94" s="5">
        <f t="shared" si="37"/>
        <v>8.8935000000000013</v>
      </c>
      <c r="M94" s="5">
        <f t="shared" si="34"/>
        <v>9.3152820031046915</v>
      </c>
      <c r="N94" s="5">
        <f t="shared" si="34"/>
        <v>9.5681447240189303</v>
      </c>
      <c r="O94" s="5">
        <f t="shared" si="34"/>
        <v>9.9536311870037046</v>
      </c>
      <c r="P94" s="5">
        <f t="shared" si="34"/>
        <v>10.515901395971833</v>
      </c>
      <c r="Q94" s="5">
        <f t="shared" si="34"/>
        <v>11.285330530954054</v>
      </c>
      <c r="R94" s="5">
        <f t="shared" si="34"/>
        <v>12.251157937956309</v>
      </c>
      <c r="S94" s="5">
        <f t="shared" si="34"/>
        <v>13.340250000000001</v>
      </c>
      <c r="T94" s="5">
        <f t="shared" si="34"/>
        <v>14.429342062043695</v>
      </c>
      <c r="U94" s="5">
        <f t="shared" si="34"/>
        <v>15.39516946904595</v>
      </c>
      <c r="V94" s="5">
        <f t="shared" si="34"/>
        <v>16.164598604028171</v>
      </c>
      <c r="W94" s="5">
        <f t="shared" si="34"/>
        <v>16.726868812996297</v>
      </c>
      <c r="X94" s="5">
        <f t="shared" si="34"/>
        <v>17.112355275981074</v>
      </c>
      <c r="Y94" s="5">
        <f t="shared" si="34"/>
        <v>17.365217996895314</v>
      </c>
      <c r="Z94" s="5">
        <f t="shared" si="34"/>
        <v>17.526311675812817</v>
      </c>
      <c r="AA94" s="5">
        <f t="shared" si="34"/>
        <v>17.62703964170214</v>
      </c>
      <c r="AB94" s="5">
        <f t="shared" si="34"/>
        <v>17.689287625714822</v>
      </c>
      <c r="AC94" s="5">
        <f t="shared" si="33"/>
        <v>17.727477130304877</v>
      </c>
      <c r="AD94" s="300">
        <f t="shared" si="40"/>
        <v>1.5453530222667407E-3</v>
      </c>
      <c r="AE94" s="299">
        <f t="shared" si="40"/>
        <v>1.5453530222667407E-3</v>
      </c>
      <c r="AF94" s="299">
        <f t="shared" si="40"/>
        <v>1.5453530222667407E-3</v>
      </c>
      <c r="AG94" s="299">
        <f t="shared" si="40"/>
        <v>1.5453530222667407E-3</v>
      </c>
      <c r="AH94" s="299">
        <f t="shared" si="40"/>
        <v>1.5453530222667407E-3</v>
      </c>
      <c r="AI94" s="299">
        <f t="shared" si="40"/>
        <v>1.4753817542988666E-3</v>
      </c>
      <c r="AJ94" s="299">
        <f t="shared" si="40"/>
        <v>1.4363910141355497E-3</v>
      </c>
      <c r="AK94" s="299">
        <f t="shared" si="40"/>
        <v>1.3807621405014536E-3</v>
      </c>
      <c r="AL94" s="299">
        <f t="shared" si="40"/>
        <v>1.3069347634615338E-3</v>
      </c>
      <c r="AM94" s="299">
        <f t="shared" si="40"/>
        <v>1.2178284956592569E-3</v>
      </c>
      <c r="AN94" s="299">
        <f t="shared" si="40"/>
        <v>1.1218202534920478E-3</v>
      </c>
      <c r="AO94" s="299">
        <f t="shared" si="38"/>
        <v>1.0302353481778271E-3</v>
      </c>
      <c r="AP94" s="299">
        <f t="shared" si="38"/>
        <v>9.5247565997355599E-4</v>
      </c>
      <c r="AQ94" s="299">
        <f t="shared" si="38"/>
        <v>8.9272139102869908E-4</v>
      </c>
      <c r="AR94" s="299">
        <f t="shared" si="38"/>
        <v>8.5022817084393272E-4</v>
      </c>
      <c r="AS94" s="299">
        <f t="shared" si="38"/>
        <v>8.2164792808387896E-4</v>
      </c>
      <c r="AT94" s="299">
        <f t="shared" si="35"/>
        <v>8.0313883634824902E-4</v>
      </c>
      <c r="AU94" s="299">
        <f t="shared" si="35"/>
        <v>7.9144397185145876E-4</v>
      </c>
      <c r="AV94" s="299">
        <f t="shared" si="35"/>
        <v>7.8416938816032282E-4</v>
      </c>
      <c r="AW94" s="299">
        <f t="shared" si="20"/>
        <v>7.7968833013880492E-4</v>
      </c>
      <c r="AX94" s="299">
        <f t="shared" si="20"/>
        <v>7.7694463419489355E-4</v>
      </c>
      <c r="AY94" s="299">
        <f t="shared" si="20"/>
        <v>7.752708974045027E-4</v>
      </c>
      <c r="AZ94" s="298">
        <f t="shared" si="41"/>
        <v>8.555041539171504E-2</v>
      </c>
      <c r="BA94" s="1">
        <f t="shared" si="41"/>
        <v>8.555041539171504E-2</v>
      </c>
      <c r="BB94" s="1">
        <f t="shared" si="41"/>
        <v>8.555041539171504E-2</v>
      </c>
      <c r="BC94" s="1">
        <f t="shared" si="41"/>
        <v>8.555041539171504E-2</v>
      </c>
      <c r="BD94" s="1">
        <f t="shared" si="41"/>
        <v>8.555041539171504E-2</v>
      </c>
      <c r="BE94" s="1">
        <f t="shared" si="41"/>
        <v>8.167682084478349E-2</v>
      </c>
      <c r="BF94" s="1">
        <f t="shared" si="41"/>
        <v>7.9518301743103162E-2</v>
      </c>
      <c r="BG94" s="1">
        <f t="shared" si="41"/>
        <v>7.6438699103060767E-2</v>
      </c>
      <c r="BH94" s="1">
        <f t="shared" si="41"/>
        <v>7.2351631176159781E-2</v>
      </c>
      <c r="BI94" s="1">
        <f t="shared" si="41"/>
        <v>6.7418727098806266E-2</v>
      </c>
      <c r="BJ94" s="1">
        <f t="shared" si="41"/>
        <v>6.2103731185195916E-2</v>
      </c>
      <c r="BK94" s="1">
        <f t="shared" si="39"/>
        <v>5.7033610261143362E-2</v>
      </c>
      <c r="BL94" s="1">
        <f t="shared" si="39"/>
        <v>5.2728850422612827E-2</v>
      </c>
      <c r="BM94" s="1">
        <f t="shared" si="39"/>
        <v>4.9420866773567759E-2</v>
      </c>
      <c r="BN94" s="1">
        <f t="shared" si="39"/>
        <v>4.7068451121119577E-2</v>
      </c>
      <c r="BO94" s="1">
        <f t="shared" si="39"/>
        <v>4.5486254946596152E-2</v>
      </c>
      <c r="BP94" s="1">
        <f t="shared" si="36"/>
        <v>4.4461595555705738E-2</v>
      </c>
      <c r="BQ94" s="1">
        <f t="shared" si="36"/>
        <v>4.3814170338791425E-2</v>
      </c>
      <c r="BR94" s="1">
        <f t="shared" si="36"/>
        <v>4.3411450929302965E-2</v>
      </c>
      <c r="BS94" s="1">
        <f t="shared" si="21"/>
        <v>4.316338050810372E-2</v>
      </c>
      <c r="BT94" s="1">
        <f t="shared" si="21"/>
        <v>4.3011490082855847E-2</v>
      </c>
      <c r="BU94" s="1">
        <f t="shared" si="21"/>
        <v>4.2918832369303571E-2</v>
      </c>
    </row>
    <row r="95" spans="1:73" x14ac:dyDescent="0.25">
      <c r="A95" s="1" t="s">
        <v>27</v>
      </c>
      <c r="B95" s="1" t="s">
        <v>5</v>
      </c>
      <c r="C95" s="1" t="s">
        <v>10</v>
      </c>
      <c r="D95" s="1" t="s">
        <v>10</v>
      </c>
      <c r="E95" s="5">
        <v>7.8952499999999999</v>
      </c>
      <c r="F95" s="1">
        <f t="shared" si="30"/>
        <v>1.9343362500000003E-2</v>
      </c>
      <c r="G95" s="1">
        <f>LOOKUP(RIGHT(D95,5),Ref!$C$4:$C$21,Ref!$E$4:$E$21)*$G$3</f>
        <v>4.5</v>
      </c>
      <c r="H95" s="297">
        <f t="shared" si="37"/>
        <v>7.8952499999999999</v>
      </c>
      <c r="I95" s="5">
        <f t="shared" si="37"/>
        <v>7.8952499999999999</v>
      </c>
      <c r="J95" s="5">
        <f t="shared" si="37"/>
        <v>7.8952499999999999</v>
      </c>
      <c r="K95" s="5">
        <f t="shared" si="37"/>
        <v>7.8952499999999999</v>
      </c>
      <c r="L95" s="5">
        <f t="shared" si="37"/>
        <v>7.8952499999999999</v>
      </c>
      <c r="M95" s="5">
        <f t="shared" si="34"/>
        <v>8.2696891252051845</v>
      </c>
      <c r="N95" s="5">
        <f t="shared" si="34"/>
        <v>8.4941692958127231</v>
      </c>
      <c r="O95" s="5">
        <f t="shared" si="34"/>
        <v>8.836386870095124</v>
      </c>
      <c r="P95" s="5">
        <f t="shared" si="34"/>
        <v>9.3355451168321348</v>
      </c>
      <c r="Q95" s="5">
        <f t="shared" si="34"/>
        <v>10.018609757071454</v>
      </c>
      <c r="R95" s="5">
        <f t="shared" si="34"/>
        <v>10.876027965328559</v>
      </c>
      <c r="S95" s="5">
        <f t="shared" si="34"/>
        <v>11.842874999999999</v>
      </c>
      <c r="T95" s="5">
        <f t="shared" si="34"/>
        <v>12.809722034671442</v>
      </c>
      <c r="U95" s="5">
        <f t="shared" si="34"/>
        <v>13.667140242928545</v>
      </c>
      <c r="V95" s="5">
        <f t="shared" si="34"/>
        <v>14.350204883167866</v>
      </c>
      <c r="W95" s="5">
        <f t="shared" si="34"/>
        <v>14.849363129904875</v>
      </c>
      <c r="X95" s="5">
        <f t="shared" si="34"/>
        <v>15.191580704187277</v>
      </c>
      <c r="Y95" s="5">
        <f t="shared" si="34"/>
        <v>15.416060874794816</v>
      </c>
      <c r="Z95" s="5">
        <f t="shared" si="34"/>
        <v>15.559072610160355</v>
      </c>
      <c r="AA95" s="5">
        <f t="shared" si="34"/>
        <v>15.648494375796796</v>
      </c>
      <c r="AB95" s="5">
        <f t="shared" si="34"/>
        <v>15.70375534119581</v>
      </c>
      <c r="AC95" s="5">
        <f t="shared" si="33"/>
        <v>15.737658268740041</v>
      </c>
      <c r="AD95" s="300">
        <f t="shared" si="40"/>
        <v>1.7407424848521909E-3</v>
      </c>
      <c r="AE95" s="299">
        <f t="shared" si="40"/>
        <v>1.7407424848521909E-3</v>
      </c>
      <c r="AF95" s="299">
        <f t="shared" si="40"/>
        <v>1.7407424848521909E-3</v>
      </c>
      <c r="AG95" s="299">
        <f t="shared" si="40"/>
        <v>1.7407424848521909E-3</v>
      </c>
      <c r="AH95" s="299">
        <f t="shared" si="40"/>
        <v>1.7407424848521909E-3</v>
      </c>
      <c r="AI95" s="299">
        <f t="shared" si="40"/>
        <v>1.6619242749573442E-3</v>
      </c>
      <c r="AJ95" s="299">
        <f t="shared" si="40"/>
        <v>1.618003671095217E-3</v>
      </c>
      <c r="AK95" s="299">
        <f t="shared" si="40"/>
        <v>1.5553412617142813E-3</v>
      </c>
      <c r="AL95" s="299">
        <f t="shared" si="40"/>
        <v>1.4721793887267855E-3</v>
      </c>
      <c r="AM95" s="299">
        <f t="shared" si="40"/>
        <v>1.3718068112023817E-3</v>
      </c>
      <c r="AN95" s="299">
        <f t="shared" si="40"/>
        <v>1.2636595958875941E-3</v>
      </c>
      <c r="AO95" s="299">
        <f t="shared" si="38"/>
        <v>1.1604949899014607E-3</v>
      </c>
      <c r="AP95" s="299">
        <f t="shared" si="38"/>
        <v>1.0729036169817069E-3</v>
      </c>
      <c r="AQ95" s="299">
        <f t="shared" si="38"/>
        <v>1.005594210584052E-3</v>
      </c>
      <c r="AR95" s="299">
        <f t="shared" si="38"/>
        <v>9.5772828439891276E-4</v>
      </c>
      <c r="AS95" s="299">
        <f t="shared" si="38"/>
        <v>9.2553444772666834E-4</v>
      </c>
      <c r="AT95" s="299">
        <f t="shared" si="35"/>
        <v>9.0468512600147609E-4</v>
      </c>
      <c r="AU95" s="299">
        <f t="shared" si="35"/>
        <v>8.9151160047635603E-4</v>
      </c>
      <c r="AV95" s="299">
        <f t="shared" si="35"/>
        <v>8.8331724183576615E-4</v>
      </c>
      <c r="AW95" s="299">
        <f t="shared" si="20"/>
        <v>8.7826961325980339E-4</v>
      </c>
      <c r="AX95" s="299">
        <f t="shared" si="20"/>
        <v>8.7517901323102957E-4</v>
      </c>
      <c r="AY95" s="299">
        <f t="shared" si="20"/>
        <v>8.7329365454760083E-4</v>
      </c>
      <c r="AZ95" s="298">
        <f t="shared" si="41"/>
        <v>9.6367134579173272E-2</v>
      </c>
      <c r="BA95" s="1">
        <f t="shared" si="41"/>
        <v>9.6367134579173272E-2</v>
      </c>
      <c r="BB95" s="1">
        <f t="shared" si="41"/>
        <v>9.6367134579173272E-2</v>
      </c>
      <c r="BC95" s="1">
        <f t="shared" si="41"/>
        <v>9.6367134579173272E-2</v>
      </c>
      <c r="BD95" s="1">
        <f t="shared" si="41"/>
        <v>9.6367134579173272E-2</v>
      </c>
      <c r="BE95" s="1">
        <f t="shared" si="41"/>
        <v>9.2003775204468771E-2</v>
      </c>
      <c r="BF95" s="1">
        <f t="shared" si="41"/>
        <v>8.9572339894530006E-2</v>
      </c>
      <c r="BG95" s="1">
        <f t="shared" si="41"/>
        <v>8.6103362208045472E-2</v>
      </c>
      <c r="BH95" s="1">
        <f t="shared" si="41"/>
        <v>8.1499538566248961E-2</v>
      </c>
      <c r="BI95" s="1">
        <f t="shared" si="41"/>
        <v>7.5942933973367988E-2</v>
      </c>
      <c r="BJ95" s="1">
        <f t="shared" si="41"/>
        <v>6.9955927082174726E-2</v>
      </c>
      <c r="BK95" s="1">
        <f t="shared" si="39"/>
        <v>6.4244756386115515E-2</v>
      </c>
      <c r="BL95" s="1">
        <f t="shared" si="39"/>
        <v>5.9395716568000669E-2</v>
      </c>
      <c r="BM95" s="1">
        <f t="shared" si="39"/>
        <v>5.5669482112754499E-2</v>
      </c>
      <c r="BN95" s="1">
        <f t="shared" si="39"/>
        <v>5.3019634596203666E-2</v>
      </c>
      <c r="BO95" s="1">
        <f t="shared" si="39"/>
        <v>5.123739062949912E-2</v>
      </c>
      <c r="BP95" s="1">
        <f t="shared" si="36"/>
        <v>5.0083176602978889E-2</v>
      </c>
      <c r="BQ95" s="1">
        <f t="shared" si="36"/>
        <v>4.9353893025305295E-2</v>
      </c>
      <c r="BR95" s="1">
        <f t="shared" si="36"/>
        <v>4.890025506978956E-2</v>
      </c>
      <c r="BS95" s="1">
        <f t="shared" si="21"/>
        <v>4.8620819422921444E-2</v>
      </c>
      <c r="BT95" s="1">
        <f t="shared" si="21"/>
        <v>4.8449724461147974E-2</v>
      </c>
      <c r="BU95" s="1">
        <f t="shared" si="21"/>
        <v>4.8345351404502884E-2</v>
      </c>
    </row>
    <row r="96" spans="1:73" x14ac:dyDescent="0.25">
      <c r="A96" s="1" t="s">
        <v>27</v>
      </c>
      <c r="B96" s="1" t="s">
        <v>5</v>
      </c>
      <c r="C96" s="1" t="s">
        <v>11</v>
      </c>
      <c r="D96" s="1" t="s">
        <v>11</v>
      </c>
      <c r="E96" s="5">
        <v>8.0519999999999996</v>
      </c>
      <c r="F96" s="1">
        <f t="shared" si="30"/>
        <v>1.9727399999999999E-2</v>
      </c>
      <c r="G96" s="1">
        <f>LOOKUP(RIGHT(D96,5),Ref!$C$4:$C$21,Ref!$E$4:$E$21)*$G$3</f>
        <v>4.5</v>
      </c>
      <c r="H96" s="297">
        <f t="shared" si="37"/>
        <v>8.0519999999999996</v>
      </c>
      <c r="I96" s="5">
        <f t="shared" si="37"/>
        <v>8.0519999999999996</v>
      </c>
      <c r="J96" s="5">
        <f t="shared" si="37"/>
        <v>8.0519999999999996</v>
      </c>
      <c r="K96" s="5">
        <f t="shared" si="37"/>
        <v>8.0519999999999996</v>
      </c>
      <c r="L96" s="5">
        <f t="shared" si="37"/>
        <v>8.0519999999999996</v>
      </c>
      <c r="M96" s="5">
        <f t="shared" si="34"/>
        <v>8.4338731308257664</v>
      </c>
      <c r="N96" s="5">
        <f t="shared" si="34"/>
        <v>8.6628100655310512</v>
      </c>
      <c r="O96" s="5">
        <f t="shared" si="34"/>
        <v>9.0118219281220906</v>
      </c>
      <c r="P96" s="5">
        <f t="shared" si="34"/>
        <v>9.5208903176887816</v>
      </c>
      <c r="Q96" s="5">
        <f t="shared" si="34"/>
        <v>10.217516324871202</v>
      </c>
      <c r="R96" s="5">
        <f t="shared" si="34"/>
        <v>11.091957465162666</v>
      </c>
      <c r="S96" s="5">
        <f t="shared" si="34"/>
        <v>12.077999999999999</v>
      </c>
      <c r="T96" s="5">
        <f t="shared" si="34"/>
        <v>13.064042534837332</v>
      </c>
      <c r="U96" s="5">
        <f t="shared" si="34"/>
        <v>13.938483675128797</v>
      </c>
      <c r="V96" s="5">
        <f t="shared" si="34"/>
        <v>14.635109682311217</v>
      </c>
      <c r="W96" s="5">
        <f t="shared" si="34"/>
        <v>15.144178071877906</v>
      </c>
      <c r="X96" s="5">
        <f t="shared" si="34"/>
        <v>15.493189934468948</v>
      </c>
      <c r="Y96" s="5">
        <f t="shared" si="34"/>
        <v>15.722126869174232</v>
      </c>
      <c r="Z96" s="5">
        <f t="shared" si="34"/>
        <v>15.867977917990078</v>
      </c>
      <c r="AA96" s="5">
        <f t="shared" si="34"/>
        <v>15.959175037385238</v>
      </c>
      <c r="AB96" s="5">
        <f t="shared" si="34"/>
        <v>16.015533137938462</v>
      </c>
      <c r="AC96" s="5">
        <f t="shared" si="33"/>
        <v>16.050109164357657</v>
      </c>
      <c r="AD96" s="300">
        <f t="shared" si="40"/>
        <v>1.7068550799216667E-3</v>
      </c>
      <c r="AE96" s="299">
        <f t="shared" si="40"/>
        <v>1.7068550799216667E-3</v>
      </c>
      <c r="AF96" s="299">
        <f t="shared" si="40"/>
        <v>1.7068550799216667E-3</v>
      </c>
      <c r="AG96" s="299">
        <f t="shared" si="40"/>
        <v>1.7068550799216667E-3</v>
      </c>
      <c r="AH96" s="299">
        <f t="shared" si="40"/>
        <v>1.7068550799216667E-3</v>
      </c>
      <c r="AI96" s="299">
        <f t="shared" si="40"/>
        <v>1.6295712409161666E-3</v>
      </c>
      <c r="AJ96" s="299">
        <f t="shared" si="40"/>
        <v>1.5865056488095521E-3</v>
      </c>
      <c r="AK96" s="299">
        <f t="shared" si="40"/>
        <v>1.525063101906319E-3</v>
      </c>
      <c r="AL96" s="299">
        <f t="shared" si="40"/>
        <v>1.4435201588232926E-3</v>
      </c>
      <c r="AM96" s="299">
        <f t="shared" si="40"/>
        <v>1.3451015556564336E-3</v>
      </c>
      <c r="AN96" s="299">
        <f t="shared" si="40"/>
        <v>1.2390596652299465E-3</v>
      </c>
      <c r="AO96" s="299">
        <f t="shared" si="38"/>
        <v>1.1379033866144445E-3</v>
      </c>
      <c r="AP96" s="299">
        <f t="shared" si="38"/>
        <v>1.0520171736183334E-3</v>
      </c>
      <c r="AQ96" s="299">
        <f t="shared" si="38"/>
        <v>9.8601809377964937E-4</v>
      </c>
      <c r="AR96" s="299">
        <f t="shared" si="38"/>
        <v>9.3908398378049138E-4</v>
      </c>
      <c r="AS96" s="299">
        <f t="shared" si="38"/>
        <v>9.0751687138772709E-4</v>
      </c>
      <c r="AT96" s="299">
        <f t="shared" si="35"/>
        <v>8.8707342785185718E-4</v>
      </c>
      <c r="AU96" s="299">
        <f t="shared" si="35"/>
        <v>8.7415635415560725E-4</v>
      </c>
      <c r="AV96" s="299">
        <f t="shared" si="35"/>
        <v>8.6612151684101256E-4</v>
      </c>
      <c r="AW96" s="299">
        <f t="shared" si="20"/>
        <v>8.6117215152626213E-4</v>
      </c>
      <c r="AX96" s="299">
        <f t="shared" si="20"/>
        <v>8.5814171686690111E-4</v>
      </c>
      <c r="AY96" s="299">
        <f t="shared" si="20"/>
        <v>8.5629306086276041E-4</v>
      </c>
      <c r="AZ96" s="298">
        <f t="shared" si="41"/>
        <v>9.4491135033062321E-2</v>
      </c>
      <c r="BA96" s="1">
        <f t="shared" si="41"/>
        <v>9.4491135033062321E-2</v>
      </c>
      <c r="BB96" s="1">
        <f t="shared" si="41"/>
        <v>9.4491135033062321E-2</v>
      </c>
      <c r="BC96" s="1">
        <f t="shared" si="41"/>
        <v>9.4491135033062321E-2</v>
      </c>
      <c r="BD96" s="1">
        <f t="shared" si="41"/>
        <v>9.4491135033062321E-2</v>
      </c>
      <c r="BE96" s="1">
        <f t="shared" si="41"/>
        <v>9.021271810520147E-2</v>
      </c>
      <c r="BF96" s="1">
        <f t="shared" si="41"/>
        <v>8.7828616064616019E-2</v>
      </c>
      <c r="BG96" s="1">
        <f t="shared" si="41"/>
        <v>8.4427169706044594E-2</v>
      </c>
      <c r="BH96" s="1">
        <f t="shared" si="41"/>
        <v>7.9912969680225668E-2</v>
      </c>
      <c r="BI96" s="1">
        <f t="shared" si="41"/>
        <v>7.4464536693148731E-2</v>
      </c>
      <c r="BJ96" s="1">
        <f t="shared" si="41"/>
        <v>6.8594080141025845E-2</v>
      </c>
      <c r="BK96" s="1">
        <f t="shared" si="39"/>
        <v>6.2994090022041552E-2</v>
      </c>
      <c r="BL96" s="1">
        <f t="shared" si="39"/>
        <v>5.8239447495467868E-2</v>
      </c>
      <c r="BM96" s="1">
        <f t="shared" si="39"/>
        <v>5.4585752440477517E-2</v>
      </c>
      <c r="BN96" s="1">
        <f t="shared" si="39"/>
        <v>5.1987490070252988E-2</v>
      </c>
      <c r="BO96" s="1">
        <f t="shared" si="39"/>
        <v>5.0239941426670764E-2</v>
      </c>
      <c r="BP96" s="1">
        <f t="shared" si="36"/>
        <v>4.9108196730584829E-2</v>
      </c>
      <c r="BQ96" s="1">
        <f t="shared" si="36"/>
        <v>4.8393110271738905E-2</v>
      </c>
      <c r="BR96" s="1">
        <f t="shared" si="36"/>
        <v>4.7948303382980138E-2</v>
      </c>
      <c r="BS96" s="1">
        <f t="shared" si="21"/>
        <v>4.7674307569401456E-2</v>
      </c>
      <c r="BT96" s="1">
        <f t="shared" si="21"/>
        <v>4.7506543349711695E-2</v>
      </c>
      <c r="BU96" s="1">
        <f t="shared" si="21"/>
        <v>4.7404202145603758E-2</v>
      </c>
    </row>
    <row r="97" spans="1:73" x14ac:dyDescent="0.25">
      <c r="A97" s="1" t="s">
        <v>28</v>
      </c>
      <c r="B97" s="1" t="s">
        <v>5</v>
      </c>
      <c r="C97" s="1" t="s">
        <v>7</v>
      </c>
      <c r="D97" s="1" t="s">
        <v>7</v>
      </c>
      <c r="E97" s="5">
        <v>7.5735000000000001</v>
      </c>
      <c r="F97" s="1">
        <f t="shared" si="30"/>
        <v>1.8555074999999997E-2</v>
      </c>
      <c r="G97" s="1">
        <f>LOOKUP(RIGHT(D97,5),Ref!$C$4:$C$21,Ref!$E$4:$E$21)*$G$3</f>
        <v>3.5</v>
      </c>
      <c r="H97" s="297">
        <f t="shared" si="37"/>
        <v>7.5735000000000001</v>
      </c>
      <c r="I97" s="5">
        <f t="shared" si="37"/>
        <v>7.5735000000000001</v>
      </c>
      <c r="J97" s="5">
        <f t="shared" si="37"/>
        <v>7.5735000000000001</v>
      </c>
      <c r="K97" s="5">
        <f t="shared" si="37"/>
        <v>7.5735000000000001</v>
      </c>
      <c r="L97" s="5">
        <f t="shared" si="37"/>
        <v>7.5735000000000001</v>
      </c>
      <c r="M97" s="5">
        <f t="shared" si="34"/>
        <v>7.9326798505103016</v>
      </c>
      <c r="N97" s="5">
        <f t="shared" si="34"/>
        <v>8.1480119263908879</v>
      </c>
      <c r="O97" s="5">
        <f t="shared" si="34"/>
        <v>8.4762833299345068</v>
      </c>
      <c r="P97" s="5">
        <f t="shared" si="34"/>
        <v>8.9550997045474396</v>
      </c>
      <c r="Q97" s="5">
        <f t="shared" si="34"/>
        <v>9.610327854745659</v>
      </c>
      <c r="R97" s="5">
        <f t="shared" si="34"/>
        <v>10.432804255142756</v>
      </c>
      <c r="S97" s="5">
        <f t="shared" si="34"/>
        <v>11.360250000000001</v>
      </c>
      <c r="T97" s="5">
        <f t="shared" si="34"/>
        <v>12.287695744857245</v>
      </c>
      <c r="U97" s="5">
        <f t="shared" si="34"/>
        <v>13.110172145254342</v>
      </c>
      <c r="V97" s="5">
        <f t="shared" si="34"/>
        <v>13.76540029545256</v>
      </c>
      <c r="W97" s="5">
        <f t="shared" si="34"/>
        <v>14.244216670065491</v>
      </c>
      <c r="X97" s="5">
        <f t="shared" si="34"/>
        <v>14.572488073609113</v>
      </c>
      <c r="Y97" s="5">
        <f t="shared" si="34"/>
        <v>14.787820149489699</v>
      </c>
      <c r="Z97" s="5">
        <f t="shared" si="34"/>
        <v>14.925003820404603</v>
      </c>
      <c r="AA97" s="5">
        <f t="shared" si="34"/>
        <v>15.010781438852099</v>
      </c>
      <c r="AB97" s="5">
        <f t="shared" si="34"/>
        <v>15.063790389987204</v>
      </c>
      <c r="AC97" s="5">
        <f t="shared" si="33"/>
        <v>15.09631169352493</v>
      </c>
      <c r="AD97" s="300">
        <f t="shared" si="40"/>
        <v>1.8146955969537545E-3</v>
      </c>
      <c r="AE97" s="299">
        <f t="shared" si="40"/>
        <v>1.8146955969537545E-3</v>
      </c>
      <c r="AF97" s="299">
        <f t="shared" si="40"/>
        <v>1.8146955969537545E-3</v>
      </c>
      <c r="AG97" s="299">
        <f t="shared" si="40"/>
        <v>1.8146955969537545E-3</v>
      </c>
      <c r="AH97" s="299">
        <f t="shared" si="40"/>
        <v>1.8146955969537545E-3</v>
      </c>
      <c r="AI97" s="299">
        <f t="shared" si="40"/>
        <v>1.7325289010176237E-3</v>
      </c>
      <c r="AJ97" s="299">
        <f t="shared" si="40"/>
        <v>1.6867423891482817E-3</v>
      </c>
      <c r="AK97" s="299">
        <f t="shared" si="40"/>
        <v>1.6214178512642347E-3</v>
      </c>
      <c r="AL97" s="299">
        <f t="shared" si="40"/>
        <v>1.5347229575289039E-3</v>
      </c>
      <c r="AM97" s="299">
        <f t="shared" si="40"/>
        <v>1.4300861855345089E-3</v>
      </c>
      <c r="AN97" s="299">
        <f t="shared" si="40"/>
        <v>1.3173444806802044E-3</v>
      </c>
      <c r="AO97" s="299">
        <f t="shared" si="38"/>
        <v>1.2097970646358363E-3</v>
      </c>
      <c r="AP97" s="299">
        <f t="shared" si="38"/>
        <v>1.1184844895985768E-3</v>
      </c>
      <c r="AQ97" s="299">
        <f t="shared" si="38"/>
        <v>1.0483155332559235E-3</v>
      </c>
      <c r="AR97" s="299">
        <f t="shared" si="38"/>
        <v>9.9841608733089275E-4</v>
      </c>
      <c r="AS97" s="299">
        <f t="shared" si="38"/>
        <v>9.648545386431608E-4</v>
      </c>
      <c r="AT97" s="299">
        <f t="shared" si="35"/>
        <v>9.4311946141983937E-4</v>
      </c>
      <c r="AU97" s="299">
        <f t="shared" si="35"/>
        <v>9.2938627631358685E-4</v>
      </c>
      <c r="AV97" s="299">
        <f t="shared" si="35"/>
        <v>9.2084379132552092E-4</v>
      </c>
      <c r="AW97" s="299">
        <f t="shared" si="20"/>
        <v>9.1558172101267074E-4</v>
      </c>
      <c r="AX97" s="299">
        <f t="shared" si="20"/>
        <v>9.1235982098267459E-4</v>
      </c>
      <c r="AY97" s="299">
        <f t="shared" si="20"/>
        <v>9.1039436536171465E-4</v>
      </c>
      <c r="AZ97" s="298">
        <f t="shared" si="41"/>
        <v>0.10046116317240612</v>
      </c>
      <c r="BA97" s="1">
        <f t="shared" si="41"/>
        <v>0.10046116317240612</v>
      </c>
      <c r="BB97" s="1">
        <f t="shared" si="41"/>
        <v>0.10046116317240612</v>
      </c>
      <c r="BC97" s="1">
        <f t="shared" si="41"/>
        <v>0.10046116317240612</v>
      </c>
      <c r="BD97" s="1">
        <f t="shared" si="41"/>
        <v>0.10046116317240612</v>
      </c>
      <c r="BE97" s="1">
        <f t="shared" si="41"/>
        <v>9.5912432320998497E-2</v>
      </c>
      <c r="BF97" s="1">
        <f t="shared" si="41"/>
        <v>9.3377700739722458E-2</v>
      </c>
      <c r="BG97" s="1">
        <f t="shared" si="41"/>
        <v>8.9761348184204282E-2</v>
      </c>
      <c r="BH97" s="1">
        <f t="shared" si="41"/>
        <v>8.4961937263507911E-2</v>
      </c>
      <c r="BI97" s="1">
        <f t="shared" si="41"/>
        <v>7.9169267769622187E-2</v>
      </c>
      <c r="BJ97" s="1">
        <f t="shared" si="41"/>
        <v>7.2927910912463187E-2</v>
      </c>
      <c r="BK97" s="1">
        <f t="shared" si="39"/>
        <v>6.6974108781604078E-2</v>
      </c>
      <c r="BL97" s="1">
        <f t="shared" si="39"/>
        <v>6.1919064003896115E-2</v>
      </c>
      <c r="BM97" s="1">
        <f t="shared" si="39"/>
        <v>5.803452547048589E-2</v>
      </c>
      <c r="BN97" s="1">
        <f t="shared" si="39"/>
        <v>5.5272102732643699E-2</v>
      </c>
      <c r="BO97" s="1">
        <f t="shared" si="39"/>
        <v>5.3414142518987649E-2</v>
      </c>
      <c r="BP97" s="1">
        <f t="shared" si="36"/>
        <v>5.2210893256046616E-2</v>
      </c>
      <c r="BQ97" s="1">
        <f t="shared" si="36"/>
        <v>5.1450627042720229E-2</v>
      </c>
      <c r="BR97" s="1">
        <f t="shared" si="36"/>
        <v>5.0977716886479965E-2</v>
      </c>
      <c r="BS97" s="1">
        <f t="shared" si="21"/>
        <v>5.0686409790561895E-2</v>
      </c>
      <c r="BT97" s="1">
        <f t="shared" si="21"/>
        <v>5.0508046088582358E-2</v>
      </c>
      <c r="BU97" s="1">
        <f t="shared" si="21"/>
        <v>5.0399238882471963E-2</v>
      </c>
    </row>
    <row r="98" spans="1:73" x14ac:dyDescent="0.25">
      <c r="A98" s="1" t="s">
        <v>28</v>
      </c>
      <c r="B98" s="1" t="s">
        <v>5</v>
      </c>
      <c r="C98" s="1" t="s">
        <v>8</v>
      </c>
      <c r="D98" s="1" t="s">
        <v>8</v>
      </c>
      <c r="E98" s="5">
        <v>8.2747499999999992</v>
      </c>
      <c r="F98" s="1">
        <f t="shared" si="30"/>
        <v>2.02731375E-2</v>
      </c>
      <c r="G98" s="1">
        <f>LOOKUP(RIGHT(D98,5),Ref!$C$4:$C$21,Ref!$E$4:$E$21)*$G$3</f>
        <v>4</v>
      </c>
      <c r="H98" s="297">
        <f t="shared" si="37"/>
        <v>8.2747499999999992</v>
      </c>
      <c r="I98" s="5">
        <f t="shared" si="37"/>
        <v>8.2747499999999992</v>
      </c>
      <c r="J98" s="5">
        <f t="shared" si="37"/>
        <v>8.2747499999999992</v>
      </c>
      <c r="K98" s="5">
        <f t="shared" si="37"/>
        <v>8.2747499999999992</v>
      </c>
      <c r="L98" s="5">
        <f t="shared" si="37"/>
        <v>8.2747499999999992</v>
      </c>
      <c r="M98" s="5">
        <f t="shared" si="34"/>
        <v>8.6671872440760698</v>
      </c>
      <c r="N98" s="5">
        <f t="shared" si="34"/>
        <v>8.9024574751307828</v>
      </c>
      <c r="O98" s="5">
        <f t="shared" si="34"/>
        <v>9.2611243790025171</v>
      </c>
      <c r="P98" s="5">
        <f t="shared" si="34"/>
        <v>9.7842756031166456</v>
      </c>
      <c r="Q98" s="5">
        <f t="shared" si="34"/>
        <v>10.500173026481367</v>
      </c>
      <c r="R98" s="5">
        <f t="shared" si="34"/>
        <v>11.398804649137453</v>
      </c>
      <c r="S98" s="5">
        <f t="shared" si="34"/>
        <v>12.412125</v>
      </c>
      <c r="T98" s="5">
        <f t="shared" si="34"/>
        <v>13.425445350862544</v>
      </c>
      <c r="U98" s="5">
        <f t="shared" si="34"/>
        <v>14.324076973518631</v>
      </c>
      <c r="V98" s="5">
        <f t="shared" si="34"/>
        <v>15.039974396883352</v>
      </c>
      <c r="W98" s="5">
        <f t="shared" si="34"/>
        <v>15.563125620997479</v>
      </c>
      <c r="X98" s="5">
        <f t="shared" si="34"/>
        <v>15.921792524869215</v>
      </c>
      <c r="Y98" s="5">
        <f t="shared" si="34"/>
        <v>16.157062755923928</v>
      </c>
      <c r="Z98" s="5">
        <f t="shared" si="34"/>
        <v>16.306948618590212</v>
      </c>
      <c r="AA98" s="5">
        <f t="shared" si="34"/>
        <v>16.400668609116181</v>
      </c>
      <c r="AB98" s="5">
        <f t="shared" si="34"/>
        <v>16.458585796467499</v>
      </c>
      <c r="AC98" s="5">
        <f t="shared" si="33"/>
        <v>16.494118331814274</v>
      </c>
      <c r="AD98" s="300">
        <f t="shared" si="40"/>
        <v>1.6609078345000466E-3</v>
      </c>
      <c r="AE98" s="299">
        <f t="shared" si="40"/>
        <v>1.6609078345000466E-3</v>
      </c>
      <c r="AF98" s="299">
        <f t="shared" si="40"/>
        <v>1.6609078345000466E-3</v>
      </c>
      <c r="AG98" s="299">
        <f t="shared" si="40"/>
        <v>1.6609078345000466E-3</v>
      </c>
      <c r="AH98" s="299">
        <f t="shared" si="40"/>
        <v>1.6609078345000466E-3</v>
      </c>
      <c r="AI98" s="299">
        <f t="shared" si="40"/>
        <v>1.5857044178805369E-3</v>
      </c>
      <c r="AJ98" s="299">
        <f t="shared" si="40"/>
        <v>1.5437981188814785E-3</v>
      </c>
      <c r="AK98" s="299">
        <f t="shared" si="40"/>
        <v>1.4840095587842148E-3</v>
      </c>
      <c r="AL98" s="299">
        <f t="shared" si="40"/>
        <v>1.4046616899417088E-3</v>
      </c>
      <c r="AM98" s="299">
        <f t="shared" si="40"/>
        <v>1.3088924409976864E-3</v>
      </c>
      <c r="AN98" s="299">
        <f t="shared" si="40"/>
        <v>1.2057051179106958E-3</v>
      </c>
      <c r="AO98" s="299">
        <f t="shared" si="38"/>
        <v>1.1072718896666977E-3</v>
      </c>
      <c r="AP98" s="299">
        <f t="shared" si="38"/>
        <v>1.023697668446155E-3</v>
      </c>
      <c r="AQ98" s="299">
        <f t="shared" si="38"/>
        <v>9.5947523382745555E-4</v>
      </c>
      <c r="AR98" s="299">
        <f t="shared" si="38"/>
        <v>9.1380455450624089E-4</v>
      </c>
      <c r="AS98" s="299">
        <f t="shared" si="38"/>
        <v>8.8308720485984226E-4</v>
      </c>
      <c r="AT98" s="299">
        <f t="shared" si="35"/>
        <v>8.631940833334124E-4</v>
      </c>
      <c r="AU98" s="299">
        <f t="shared" si="35"/>
        <v>8.5062472747345248E-4</v>
      </c>
      <c r="AV98" s="299">
        <f t="shared" si="35"/>
        <v>8.428061818911549E-4</v>
      </c>
      <c r="AW98" s="299">
        <f t="shared" si="20"/>
        <v>8.3799004974041062E-4</v>
      </c>
      <c r="AX98" s="299">
        <f t="shared" si="20"/>
        <v>8.3504119208583781E-4</v>
      </c>
      <c r="AY98" s="299">
        <f t="shared" si="20"/>
        <v>8.3324230050055238E-4</v>
      </c>
      <c r="AZ98" s="298">
        <f t="shared" si="41"/>
        <v>9.1947505276439509E-2</v>
      </c>
      <c r="BA98" s="1">
        <f t="shared" si="41"/>
        <v>9.1947505276439509E-2</v>
      </c>
      <c r="BB98" s="1">
        <f t="shared" si="41"/>
        <v>9.1947505276439509E-2</v>
      </c>
      <c r="BC98" s="1">
        <f t="shared" si="41"/>
        <v>9.1947505276439509E-2</v>
      </c>
      <c r="BD98" s="1">
        <f t="shared" si="41"/>
        <v>9.1947505276439509E-2</v>
      </c>
      <c r="BE98" s="1">
        <f t="shared" si="41"/>
        <v>8.7784260090405408E-2</v>
      </c>
      <c r="BF98" s="1">
        <f t="shared" si="41"/>
        <v>8.5464336270254473E-2</v>
      </c>
      <c r="BG98" s="1">
        <f t="shared" si="41"/>
        <v>8.2154454270288668E-2</v>
      </c>
      <c r="BH98" s="1">
        <f t="shared" si="41"/>
        <v>7.776177308863437E-2</v>
      </c>
      <c r="BI98" s="1">
        <f t="shared" si="41"/>
        <v>7.2460007789145728E-2</v>
      </c>
      <c r="BJ98" s="1">
        <f t="shared" si="41"/>
        <v>6.6747579479203609E-2</v>
      </c>
      <c r="BK98" s="1">
        <f t="shared" si="39"/>
        <v>6.1298336850959673E-2</v>
      </c>
      <c r="BL98" s="1">
        <f t="shared" si="39"/>
        <v>5.6671685698481203E-2</v>
      </c>
      <c r="BM98" s="1">
        <f t="shared" si="39"/>
        <v>5.3116345345868447E-2</v>
      </c>
      <c r="BN98" s="1">
        <f t="shared" si="39"/>
        <v>5.0588026229877285E-2</v>
      </c>
      <c r="BO98" s="1">
        <f t="shared" si="39"/>
        <v>4.8887520271615817E-2</v>
      </c>
      <c r="BP98" s="1">
        <f t="shared" si="36"/>
        <v>4.7786241285195208E-2</v>
      </c>
      <c r="BQ98" s="1">
        <f t="shared" si="36"/>
        <v>4.7090404411981229E-2</v>
      </c>
      <c r="BR98" s="1">
        <f t="shared" si="36"/>
        <v>4.6657571387625739E-2</v>
      </c>
      <c r="BS98" s="1">
        <f t="shared" si="21"/>
        <v>4.6390951333734616E-2</v>
      </c>
      <c r="BT98" s="1">
        <f t="shared" si="21"/>
        <v>4.6227703199719451E-2</v>
      </c>
      <c r="BU98" s="1">
        <f t="shared" si="21"/>
        <v>4.6128116943279424E-2</v>
      </c>
    </row>
    <row r="99" spans="1:73" x14ac:dyDescent="0.25">
      <c r="A99" s="1" t="s">
        <v>28</v>
      </c>
      <c r="B99" s="1" t="s">
        <v>5</v>
      </c>
      <c r="C99" s="1" t="s">
        <v>9</v>
      </c>
      <c r="D99" s="1" t="s">
        <v>9</v>
      </c>
      <c r="E99" s="5">
        <v>7.7137500000000001</v>
      </c>
      <c r="F99" s="1">
        <f t="shared" si="30"/>
        <v>1.8898687500000001E-2</v>
      </c>
      <c r="G99" s="1">
        <f>LOOKUP(RIGHT(D99,5),Ref!$C$4:$C$21,Ref!$E$4:$E$21)*$G$3</f>
        <v>4.5</v>
      </c>
      <c r="H99" s="297">
        <f t="shared" si="37"/>
        <v>7.7137500000000001</v>
      </c>
      <c r="I99" s="5">
        <f t="shared" si="37"/>
        <v>7.7137500000000001</v>
      </c>
      <c r="J99" s="5">
        <f t="shared" si="37"/>
        <v>7.7137500000000001</v>
      </c>
      <c r="K99" s="5">
        <f t="shared" si="37"/>
        <v>7.7137500000000001</v>
      </c>
      <c r="L99" s="5">
        <f t="shared" si="37"/>
        <v>7.7137500000000001</v>
      </c>
      <c r="M99" s="5">
        <f t="shared" si="34"/>
        <v>8.0795813292234548</v>
      </c>
      <c r="N99" s="5">
        <f t="shared" si="34"/>
        <v>8.2989010361388669</v>
      </c>
      <c r="O99" s="5">
        <f t="shared" si="34"/>
        <v>8.6332515397481089</v>
      </c>
      <c r="P99" s="5">
        <f t="shared" si="34"/>
        <v>9.1209348842612812</v>
      </c>
      <c r="Q99" s="5">
        <f t="shared" si="34"/>
        <v>9.7882968890928002</v>
      </c>
      <c r="R99" s="5">
        <f t="shared" si="34"/>
        <v>10.626004333941696</v>
      </c>
      <c r="S99" s="5">
        <f t="shared" si="34"/>
        <v>11.570625</v>
      </c>
      <c r="T99" s="5">
        <f t="shared" si="34"/>
        <v>12.515245666058306</v>
      </c>
      <c r="U99" s="5">
        <f t="shared" si="34"/>
        <v>13.352953110907199</v>
      </c>
      <c r="V99" s="5">
        <f t="shared" si="34"/>
        <v>14.020315115738718</v>
      </c>
      <c r="W99" s="5">
        <f t="shared" si="34"/>
        <v>14.507998460251889</v>
      </c>
      <c r="X99" s="5">
        <f t="shared" si="34"/>
        <v>14.842348963861134</v>
      </c>
      <c r="Y99" s="5">
        <f t="shared" si="34"/>
        <v>15.061668670776545</v>
      </c>
      <c r="Z99" s="5">
        <f t="shared" si="34"/>
        <v>15.201392780041726</v>
      </c>
      <c r="AA99" s="5">
        <f t="shared" si="34"/>
        <v>15.288758872904916</v>
      </c>
      <c r="AB99" s="5">
        <f t="shared" si="34"/>
        <v>15.342749471283263</v>
      </c>
      <c r="AC99" s="5">
        <f t="shared" si="33"/>
        <v>15.375873021182798</v>
      </c>
      <c r="AD99" s="300">
        <f t="shared" si="40"/>
        <v>1.7817011315545952E-3</v>
      </c>
      <c r="AE99" s="299">
        <f t="shared" si="40"/>
        <v>1.7817011315545952E-3</v>
      </c>
      <c r="AF99" s="299">
        <f t="shared" si="40"/>
        <v>1.7817011315545952E-3</v>
      </c>
      <c r="AG99" s="299">
        <f t="shared" si="40"/>
        <v>1.7817011315545952E-3</v>
      </c>
      <c r="AH99" s="299">
        <f t="shared" si="40"/>
        <v>1.7817011315545952E-3</v>
      </c>
      <c r="AI99" s="299">
        <f t="shared" si="40"/>
        <v>1.701028375544576E-3</v>
      </c>
      <c r="AJ99" s="299">
        <f t="shared" si="40"/>
        <v>1.6560743457092221E-3</v>
      </c>
      <c r="AK99" s="299">
        <f t="shared" si="40"/>
        <v>1.591937526695794E-3</v>
      </c>
      <c r="AL99" s="299">
        <f t="shared" si="40"/>
        <v>1.5068189037556511E-3</v>
      </c>
      <c r="AM99" s="299">
        <f t="shared" si="40"/>
        <v>1.4040846185247907E-3</v>
      </c>
      <c r="AN99" s="299">
        <f t="shared" si="40"/>
        <v>1.2933927628496552E-3</v>
      </c>
      <c r="AO99" s="299">
        <f t="shared" si="38"/>
        <v>1.1878007543697302E-3</v>
      </c>
      <c r="AP99" s="299">
        <f t="shared" si="38"/>
        <v>1.0981484079695117E-3</v>
      </c>
      <c r="AQ99" s="299">
        <f t="shared" si="38"/>
        <v>1.0292552508330886E-3</v>
      </c>
      <c r="AR99" s="299">
        <f t="shared" si="38"/>
        <v>9.8026306756124012E-4</v>
      </c>
      <c r="AS99" s="299">
        <f t="shared" si="38"/>
        <v>9.4731172884964876E-4</v>
      </c>
      <c r="AT99" s="299">
        <f t="shared" si="35"/>
        <v>9.2597183484856955E-4</v>
      </c>
      <c r="AU99" s="299">
        <f t="shared" si="35"/>
        <v>9.1248834401697618E-4</v>
      </c>
      <c r="AV99" s="299">
        <f t="shared" si="35"/>
        <v>9.0410117693778423E-4</v>
      </c>
      <c r="AW99" s="299">
        <f t="shared" si="20"/>
        <v>8.9893478063062221E-4</v>
      </c>
      <c r="AX99" s="299">
        <f t="shared" si="20"/>
        <v>8.9577146060117153E-4</v>
      </c>
      <c r="AY99" s="299">
        <f t="shared" si="20"/>
        <v>8.9384174053695623E-4</v>
      </c>
      <c r="AZ99" s="298">
        <f t="shared" si="41"/>
        <v>9.8634596569271468E-2</v>
      </c>
      <c r="BA99" s="1">
        <f t="shared" si="41"/>
        <v>9.8634596569271468E-2</v>
      </c>
      <c r="BB99" s="1">
        <f t="shared" si="41"/>
        <v>9.8634596569271468E-2</v>
      </c>
      <c r="BC99" s="1">
        <f t="shared" si="41"/>
        <v>9.8634596569271468E-2</v>
      </c>
      <c r="BD99" s="1">
        <f t="shared" si="41"/>
        <v>9.8634596569271468E-2</v>
      </c>
      <c r="BE99" s="1">
        <f t="shared" si="41"/>
        <v>9.4168569915162162E-2</v>
      </c>
      <c r="BF99" s="1">
        <f t="shared" si="41"/>
        <v>9.1679924362636597E-2</v>
      </c>
      <c r="BG99" s="1">
        <f t="shared" si="41"/>
        <v>8.8129323671764209E-2</v>
      </c>
      <c r="BH99" s="1">
        <f t="shared" si="41"/>
        <v>8.3417174767807759E-2</v>
      </c>
      <c r="BI99" s="1">
        <f t="shared" si="41"/>
        <v>7.7729826537447241E-2</v>
      </c>
      <c r="BJ99" s="1">
        <f t="shared" si="41"/>
        <v>7.1601948895872944E-2</v>
      </c>
      <c r="BK99" s="1">
        <f t="shared" si="39"/>
        <v>6.575639771284765E-2</v>
      </c>
      <c r="BL99" s="1">
        <f t="shared" si="39"/>
        <v>6.0793262840188919E-2</v>
      </c>
      <c r="BM99" s="1">
        <f t="shared" si="39"/>
        <v>5.6979352280113423E-2</v>
      </c>
      <c r="BN99" s="1">
        <f t="shared" si="39"/>
        <v>5.4267155410231992E-2</v>
      </c>
      <c r="BO99" s="1">
        <f t="shared" si="39"/>
        <v>5.2442976291369688E-2</v>
      </c>
      <c r="BP99" s="1">
        <f t="shared" si="36"/>
        <v>5.1261604287754857E-2</v>
      </c>
      <c r="BQ99" s="1">
        <f t="shared" si="36"/>
        <v>5.0515161096488952E-2</v>
      </c>
      <c r="BR99" s="1">
        <f t="shared" si="36"/>
        <v>5.0050849306725785E-2</v>
      </c>
      <c r="BS99" s="1">
        <f t="shared" si="21"/>
        <v>4.9764838703460768E-2</v>
      </c>
      <c r="BT99" s="1">
        <f t="shared" si="21"/>
        <v>4.9589717977880865E-2</v>
      </c>
      <c r="BU99" s="1">
        <f t="shared" si="21"/>
        <v>4.9482889084608836E-2</v>
      </c>
    </row>
    <row r="100" spans="1:73" x14ac:dyDescent="0.25">
      <c r="A100" s="1" t="s">
        <v>28</v>
      </c>
      <c r="B100" s="1" t="s">
        <v>5</v>
      </c>
      <c r="C100" s="1" t="s">
        <v>10</v>
      </c>
      <c r="D100" s="1" t="s">
        <v>10</v>
      </c>
      <c r="E100" s="5">
        <v>8.0602499999999999</v>
      </c>
      <c r="F100" s="1">
        <f t="shared" si="30"/>
        <v>1.9747612499999997E-2</v>
      </c>
      <c r="G100" s="1">
        <f>LOOKUP(RIGHT(D100,5),Ref!$C$4:$C$21,Ref!$E$4:$E$21)*$G$3</f>
        <v>4.5</v>
      </c>
      <c r="H100" s="297">
        <f t="shared" si="37"/>
        <v>8.0602499999999999</v>
      </c>
      <c r="I100" s="5">
        <f t="shared" si="37"/>
        <v>8.0602499999999999</v>
      </c>
      <c r="J100" s="5">
        <f t="shared" si="37"/>
        <v>8.0602499999999999</v>
      </c>
      <c r="K100" s="5">
        <f t="shared" si="37"/>
        <v>8.0602499999999999</v>
      </c>
      <c r="L100" s="5">
        <f t="shared" si="37"/>
        <v>8.0602499999999999</v>
      </c>
      <c r="M100" s="5">
        <f t="shared" si="34"/>
        <v>8.4425143942794829</v>
      </c>
      <c r="N100" s="5">
        <f t="shared" si="34"/>
        <v>8.6716858955162266</v>
      </c>
      <c r="O100" s="5">
        <f t="shared" si="34"/>
        <v>9.0210553522287729</v>
      </c>
      <c r="P100" s="5">
        <f t="shared" si="34"/>
        <v>9.5306453282601833</v>
      </c>
      <c r="Q100" s="5">
        <f t="shared" si="34"/>
        <v>10.227985091597503</v>
      </c>
      <c r="R100" s="5">
        <f t="shared" si="34"/>
        <v>11.103322175680253</v>
      </c>
      <c r="S100" s="5">
        <f t="shared" si="34"/>
        <v>12.090375</v>
      </c>
      <c r="T100" s="5">
        <f t="shared" si="34"/>
        <v>13.077427824319747</v>
      </c>
      <c r="U100" s="5">
        <f t="shared" si="34"/>
        <v>13.952764908402497</v>
      </c>
      <c r="V100" s="5">
        <f t="shared" si="34"/>
        <v>14.650104671739816</v>
      </c>
      <c r="W100" s="5">
        <f t="shared" si="34"/>
        <v>15.159694647771225</v>
      </c>
      <c r="X100" s="5">
        <f t="shared" si="34"/>
        <v>15.509064104483773</v>
      </c>
      <c r="Y100" s="5">
        <f t="shared" si="34"/>
        <v>15.738235605720517</v>
      </c>
      <c r="Z100" s="5">
        <f t="shared" si="34"/>
        <v>15.884236092086381</v>
      </c>
      <c r="AA100" s="5">
        <f t="shared" si="34"/>
        <v>15.975526651153052</v>
      </c>
      <c r="AB100" s="5">
        <f t="shared" ref="AB100:AC115" si="42">AB$3*$E100</f>
        <v>16.031942495661763</v>
      </c>
      <c r="AC100" s="5">
        <f t="shared" si="42"/>
        <v>16.066553948337535</v>
      </c>
      <c r="AD100" s="300">
        <f t="shared" si="40"/>
        <v>1.7051080429923713E-3</v>
      </c>
      <c r="AE100" s="299">
        <f t="shared" si="40"/>
        <v>1.7051080429923713E-3</v>
      </c>
      <c r="AF100" s="299">
        <f t="shared" si="40"/>
        <v>1.7051080429923713E-3</v>
      </c>
      <c r="AG100" s="299">
        <f t="shared" si="40"/>
        <v>1.7051080429923713E-3</v>
      </c>
      <c r="AH100" s="299">
        <f t="shared" si="40"/>
        <v>1.7051080429923713E-3</v>
      </c>
      <c r="AI100" s="299">
        <f t="shared" si="40"/>
        <v>1.6279033071997732E-3</v>
      </c>
      <c r="AJ100" s="299">
        <f t="shared" si="40"/>
        <v>1.5848817945118966E-3</v>
      </c>
      <c r="AK100" s="299">
        <f t="shared" si="40"/>
        <v>1.5235021366024231E-3</v>
      </c>
      <c r="AL100" s="299">
        <f t="shared" si="40"/>
        <v>1.442042656101877E-3</v>
      </c>
      <c r="AM100" s="299">
        <f t="shared" si="40"/>
        <v>1.3437247884551477E-3</v>
      </c>
      <c r="AN100" s="299">
        <f t="shared" si="40"/>
        <v>1.2377914362993118E-3</v>
      </c>
      <c r="AO100" s="299">
        <f t="shared" si="38"/>
        <v>1.1367386953282474E-3</v>
      </c>
      <c r="AP100" s="299">
        <f t="shared" si="38"/>
        <v>1.0509403904314161E-3</v>
      </c>
      <c r="AQ100" s="299">
        <f t="shared" si="38"/>
        <v>9.8500886338683501E-4</v>
      </c>
      <c r="AR100" s="299">
        <f t="shared" si="38"/>
        <v>9.3812279239484082E-4</v>
      </c>
      <c r="AS100" s="299">
        <f t="shared" si="38"/>
        <v>9.0658799025017563E-4</v>
      </c>
      <c r="AT100" s="299">
        <f t="shared" si="35"/>
        <v>8.8616547142621551E-4</v>
      </c>
      <c r="AU100" s="299">
        <f t="shared" si="35"/>
        <v>8.7326161889035082E-4</v>
      </c>
      <c r="AV100" s="299">
        <f t="shared" si="35"/>
        <v>8.6523500556481912E-4</v>
      </c>
      <c r="AW100" s="299">
        <f t="shared" si="20"/>
        <v>8.6029070613063638E-4</v>
      </c>
      <c r="AX100" s="299">
        <f t="shared" si="20"/>
        <v>8.5726337324677098E-4</v>
      </c>
      <c r="AY100" s="299">
        <f t="shared" si="20"/>
        <v>8.5541660941868371E-4</v>
      </c>
      <c r="AZ100" s="298">
        <f t="shared" si="41"/>
        <v>9.4394419439374433E-2</v>
      </c>
      <c r="BA100" s="1">
        <f t="shared" si="41"/>
        <v>9.4394419439374433E-2</v>
      </c>
      <c r="BB100" s="1">
        <f t="shared" si="41"/>
        <v>9.4394419439374433E-2</v>
      </c>
      <c r="BC100" s="1">
        <f t="shared" si="41"/>
        <v>9.4394419439374433E-2</v>
      </c>
      <c r="BD100" s="1">
        <f t="shared" si="41"/>
        <v>9.4394419439374433E-2</v>
      </c>
      <c r="BE100" s="1">
        <f t="shared" si="41"/>
        <v>9.0120381648594275E-2</v>
      </c>
      <c r="BF100" s="1">
        <f t="shared" si="41"/>
        <v>8.7738719835276591E-2</v>
      </c>
      <c r="BG100" s="1">
        <f t="shared" si="41"/>
        <v>8.4340754998054782E-2</v>
      </c>
      <c r="BH100" s="1">
        <f t="shared" si="41"/>
        <v>7.9831175443091359E-2</v>
      </c>
      <c r="BI100" s="1">
        <f t="shared" si="41"/>
        <v>7.4388319153032928E-2</v>
      </c>
      <c r="BJ100" s="1">
        <f t="shared" si="41"/>
        <v>6.8523871256541663E-2</v>
      </c>
      <c r="BK100" s="1">
        <f t="shared" si="39"/>
        <v>6.2929612959582951E-2</v>
      </c>
      <c r="BL100" s="1">
        <f t="shared" si="39"/>
        <v>5.8179837006731468E-2</v>
      </c>
      <c r="BM100" s="1">
        <f t="shared" si="39"/>
        <v>5.4529881660088077E-2</v>
      </c>
      <c r="BN100" s="1">
        <f t="shared" si="39"/>
        <v>5.1934278719106358E-2</v>
      </c>
      <c r="BO100" s="1">
        <f t="shared" si="39"/>
        <v>5.0188518764002724E-2</v>
      </c>
      <c r="BP100" s="1">
        <f t="shared" si="36"/>
        <v>4.9057932455527933E-2</v>
      </c>
      <c r="BQ100" s="1">
        <f t="shared" si="36"/>
        <v>4.8343577917315431E-2</v>
      </c>
      <c r="BR100" s="1">
        <f t="shared" si="36"/>
        <v>4.7899226306846072E-2</v>
      </c>
      <c r="BS100" s="1">
        <f t="shared" si="21"/>
        <v>4.762551093934065E-2</v>
      </c>
      <c r="BT100" s="1">
        <f t="shared" si="21"/>
        <v>4.7457918433284139E-2</v>
      </c>
      <c r="BU100" s="1">
        <f t="shared" si="21"/>
        <v>4.7355681979640997E-2</v>
      </c>
    </row>
    <row r="101" spans="1:73" x14ac:dyDescent="0.25">
      <c r="A101" s="1" t="s">
        <v>29</v>
      </c>
      <c r="B101" s="1" t="s">
        <v>5</v>
      </c>
      <c r="C101" s="1" t="s">
        <v>16</v>
      </c>
      <c r="D101" s="1" t="s">
        <v>16</v>
      </c>
      <c r="E101" s="5">
        <v>7.7714999999999996</v>
      </c>
      <c r="F101" s="1">
        <f t="shared" si="30"/>
        <v>1.9040175000000003E-2</v>
      </c>
      <c r="G101" s="1">
        <f>LOOKUP(RIGHT(D101,5),Ref!$C$4:$C$21,Ref!$E$4:$E$21)*$G$3</f>
        <v>3</v>
      </c>
      <c r="H101" s="297">
        <f t="shared" si="37"/>
        <v>7.7714999999999996</v>
      </c>
      <c r="I101" s="5">
        <f t="shared" si="37"/>
        <v>7.7714999999999996</v>
      </c>
      <c r="J101" s="5">
        <f t="shared" si="37"/>
        <v>7.7714999999999996</v>
      </c>
      <c r="K101" s="5">
        <f t="shared" si="37"/>
        <v>7.7714999999999996</v>
      </c>
      <c r="L101" s="5">
        <f t="shared" si="37"/>
        <v>7.7714999999999996</v>
      </c>
      <c r="M101" s="5">
        <f t="shared" ref="M101:AB116" si="43">M$3*$E101</f>
        <v>8.1400701733994598</v>
      </c>
      <c r="N101" s="5">
        <f t="shared" si="43"/>
        <v>8.3610318460350932</v>
      </c>
      <c r="O101" s="5">
        <f t="shared" si="43"/>
        <v>8.6978855084948865</v>
      </c>
      <c r="P101" s="5">
        <f t="shared" si="43"/>
        <v>9.1892199582610985</v>
      </c>
      <c r="Q101" s="5">
        <f t="shared" si="43"/>
        <v>9.8615782561769176</v>
      </c>
      <c r="R101" s="5">
        <f t="shared" si="43"/>
        <v>10.705557307564787</v>
      </c>
      <c r="S101" s="5">
        <f t="shared" si="43"/>
        <v>11.657249999999999</v>
      </c>
      <c r="T101" s="5">
        <f t="shared" si="43"/>
        <v>12.608942692435212</v>
      </c>
      <c r="U101" s="5">
        <f t="shared" si="43"/>
        <v>13.452921743823081</v>
      </c>
      <c r="V101" s="5">
        <f t="shared" si="43"/>
        <v>14.1252800417389</v>
      </c>
      <c r="W101" s="5">
        <f t="shared" si="43"/>
        <v>14.616614491505111</v>
      </c>
      <c r="X101" s="5">
        <f t="shared" si="43"/>
        <v>14.953468153964906</v>
      </c>
      <c r="Y101" s="5">
        <f t="shared" si="43"/>
        <v>15.174429826600539</v>
      </c>
      <c r="Z101" s="5">
        <f t="shared" si="43"/>
        <v>15.315199998715833</v>
      </c>
      <c r="AA101" s="5">
        <f t="shared" si="43"/>
        <v>15.403220169279605</v>
      </c>
      <c r="AB101" s="5">
        <f t="shared" si="43"/>
        <v>15.457614975346345</v>
      </c>
      <c r="AC101" s="5">
        <f t="shared" si="42"/>
        <v>15.490986509041921</v>
      </c>
      <c r="AD101" s="300">
        <f t="shared" si="40"/>
        <v>1.7684613142288181E-3</v>
      </c>
      <c r="AE101" s="299">
        <f t="shared" si="40"/>
        <v>1.7684613142288181E-3</v>
      </c>
      <c r="AF101" s="299">
        <f t="shared" si="40"/>
        <v>1.7684613142288181E-3</v>
      </c>
      <c r="AG101" s="299">
        <f t="shared" si="40"/>
        <v>1.7684613142288181E-3</v>
      </c>
      <c r="AH101" s="299">
        <f t="shared" si="40"/>
        <v>1.7684613142288181E-3</v>
      </c>
      <c r="AI101" s="299">
        <f t="shared" si="40"/>
        <v>1.6883880372974293E-3</v>
      </c>
      <c r="AJ101" s="299">
        <f t="shared" si="40"/>
        <v>1.6437680607623384E-3</v>
      </c>
      <c r="AK101" s="299">
        <f t="shared" si="40"/>
        <v>1.5801078423148273E-3</v>
      </c>
      <c r="AL101" s="299">
        <f t="shared" si="40"/>
        <v>1.4956217356810336E-3</v>
      </c>
      <c r="AM101" s="299">
        <f t="shared" si="40"/>
        <v>1.3936508687056044E-3</v>
      </c>
      <c r="AN101" s="299">
        <f t="shared" si="40"/>
        <v>1.2837815639749764E-3</v>
      </c>
      <c r="AO101" s="299">
        <f t="shared" si="38"/>
        <v>1.1789742094858787E-3</v>
      </c>
      <c r="AP101" s="299">
        <f t="shared" si="38"/>
        <v>1.0899880694814157E-3</v>
      </c>
      <c r="AQ101" s="299">
        <f t="shared" si="38"/>
        <v>1.0216068572494032E-3</v>
      </c>
      <c r="AR101" s="299">
        <f t="shared" si="38"/>
        <v>9.7297873478743055E-4</v>
      </c>
      <c r="AS101" s="299">
        <f t="shared" si="38"/>
        <v>9.4027225740384468E-4</v>
      </c>
      <c r="AT101" s="299">
        <f t="shared" si="35"/>
        <v>9.1909094010977986E-4</v>
      </c>
      <c r="AU101" s="299">
        <f t="shared" si="35"/>
        <v>9.0570764506992863E-4</v>
      </c>
      <c r="AV101" s="299">
        <f t="shared" si="35"/>
        <v>8.9738280301149503E-4</v>
      </c>
      <c r="AW101" s="299">
        <f t="shared" si="20"/>
        <v>8.9225479818432255E-4</v>
      </c>
      <c r="AX101" s="299">
        <f t="shared" si="20"/>
        <v>8.8911498477929445E-4</v>
      </c>
      <c r="AY101" s="299">
        <f t="shared" si="20"/>
        <v>8.8719960446077926E-4</v>
      </c>
      <c r="AZ101" s="298">
        <f t="shared" si="41"/>
        <v>9.790164309158049E-2</v>
      </c>
      <c r="BA101" s="1">
        <f t="shared" si="41"/>
        <v>9.790164309158049E-2</v>
      </c>
      <c r="BB101" s="1">
        <f t="shared" si="41"/>
        <v>9.790164309158049E-2</v>
      </c>
      <c r="BC101" s="1">
        <f t="shared" si="41"/>
        <v>9.790164309158049E-2</v>
      </c>
      <c r="BD101" s="1">
        <f t="shared" si="41"/>
        <v>9.790164309158049E-2</v>
      </c>
      <c r="BE101" s="1">
        <f t="shared" si="41"/>
        <v>9.3468803472055856E-2</v>
      </c>
      <c r="BF101" s="1">
        <f t="shared" si="41"/>
        <v>9.0998651039347372E-2</v>
      </c>
      <c r="BG101" s="1">
        <f t="shared" si="41"/>
        <v>8.7474434854670408E-2</v>
      </c>
      <c r="BH101" s="1">
        <f t="shared" si="41"/>
        <v>8.2797301919214708E-2</v>
      </c>
      <c r="BI101" s="1">
        <f t="shared" si="41"/>
        <v>7.715221636147894E-2</v>
      </c>
      <c r="BJ101" s="1">
        <f t="shared" si="41"/>
        <v>7.1069874965648858E-2</v>
      </c>
      <c r="BK101" s="1">
        <f t="shared" si="39"/>
        <v>6.5267762061053669E-2</v>
      </c>
      <c r="BL101" s="1">
        <f t="shared" si="39"/>
        <v>6.0341508233096218E-2</v>
      </c>
      <c r="BM101" s="1">
        <f t="shared" si="39"/>
        <v>5.6555938834295175E-2</v>
      </c>
      <c r="BN101" s="1">
        <f t="shared" si="39"/>
        <v>5.3863896293595455E-2</v>
      </c>
      <c r="BO101" s="1">
        <f t="shared" si="39"/>
        <v>5.2053272645892421E-2</v>
      </c>
      <c r="BP101" s="1">
        <f t="shared" si="36"/>
        <v>5.0880679415128235E-2</v>
      </c>
      <c r="BQ101" s="1">
        <f t="shared" si="36"/>
        <v>5.0139783041631816E-2</v>
      </c>
      <c r="BR101" s="1">
        <f t="shared" si="36"/>
        <v>4.9678921551792585E-2</v>
      </c>
      <c r="BS101" s="1">
        <f t="shared" si="21"/>
        <v>4.9395036292713183E-2</v>
      </c>
      <c r="BT101" s="1">
        <f t="shared" si="21"/>
        <v>4.9221216888873258E-2</v>
      </c>
      <c r="BU101" s="1">
        <f t="shared" si="21"/>
        <v>4.9115181840880318E-2</v>
      </c>
    </row>
    <row r="102" spans="1:73" x14ac:dyDescent="0.25">
      <c r="A102" s="1" t="s">
        <v>29</v>
      </c>
      <c r="B102" s="1" t="s">
        <v>5</v>
      </c>
      <c r="C102" s="1" t="s">
        <v>7</v>
      </c>
      <c r="D102" s="1" t="s">
        <v>7</v>
      </c>
      <c r="E102" s="5">
        <v>7.6147500000000008</v>
      </c>
      <c r="F102" s="1">
        <f t="shared" si="30"/>
        <v>1.8656137500000003E-2</v>
      </c>
      <c r="G102" s="1">
        <f>LOOKUP(RIGHT(D102,5),Ref!$C$4:$C$21,Ref!$E$4:$E$21)*$G$3</f>
        <v>3.5</v>
      </c>
      <c r="H102" s="297">
        <f t="shared" ref="H102:L117" si="44">$E102</f>
        <v>7.6147500000000008</v>
      </c>
      <c r="I102" s="5">
        <f t="shared" si="44"/>
        <v>7.6147500000000008</v>
      </c>
      <c r="J102" s="5">
        <f t="shared" si="44"/>
        <v>7.6147500000000008</v>
      </c>
      <c r="K102" s="5">
        <f t="shared" si="44"/>
        <v>7.6147500000000008</v>
      </c>
      <c r="L102" s="5">
        <f t="shared" si="44"/>
        <v>7.6147500000000008</v>
      </c>
      <c r="M102" s="5">
        <f t="shared" si="43"/>
        <v>7.975886167778877</v>
      </c>
      <c r="N102" s="5">
        <f t="shared" si="43"/>
        <v>8.1923910763167651</v>
      </c>
      <c r="O102" s="5">
        <f t="shared" si="43"/>
        <v>8.5224504504679199</v>
      </c>
      <c r="P102" s="5">
        <f t="shared" si="43"/>
        <v>9.0038747574044535</v>
      </c>
      <c r="Q102" s="5">
        <f t="shared" si="43"/>
        <v>9.6626716883771717</v>
      </c>
      <c r="R102" s="5">
        <f t="shared" si="43"/>
        <v>10.489627807730679</v>
      </c>
      <c r="S102" s="5">
        <f t="shared" si="43"/>
        <v>11.422125000000001</v>
      </c>
      <c r="T102" s="5">
        <f t="shared" si="43"/>
        <v>12.354622192269323</v>
      </c>
      <c r="U102" s="5">
        <f t="shared" si="43"/>
        <v>13.181578311622831</v>
      </c>
      <c r="V102" s="5">
        <f t="shared" si="43"/>
        <v>13.840375242595549</v>
      </c>
      <c r="W102" s="5">
        <f t="shared" si="43"/>
        <v>14.321799549532081</v>
      </c>
      <c r="X102" s="5">
        <f t="shared" si="43"/>
        <v>14.651858923683237</v>
      </c>
      <c r="Y102" s="5">
        <f t="shared" si="43"/>
        <v>14.868363832221124</v>
      </c>
      <c r="Z102" s="5">
        <f t="shared" si="43"/>
        <v>15.006294690886111</v>
      </c>
      <c r="AA102" s="5">
        <f t="shared" si="43"/>
        <v>15.092539507691164</v>
      </c>
      <c r="AB102" s="5">
        <f t="shared" si="43"/>
        <v>15.145837178603694</v>
      </c>
      <c r="AC102" s="5">
        <f t="shared" si="42"/>
        <v>15.178535613424305</v>
      </c>
      <c r="AD102" s="300">
        <f t="shared" si="40"/>
        <v>1.8048651766018921E-3</v>
      </c>
      <c r="AE102" s="299">
        <f t="shared" si="40"/>
        <v>1.8048651766018921E-3</v>
      </c>
      <c r="AF102" s="299">
        <f t="shared" si="40"/>
        <v>1.8048651766018921E-3</v>
      </c>
      <c r="AG102" s="299">
        <f t="shared" si="40"/>
        <v>1.8048651766018921E-3</v>
      </c>
      <c r="AH102" s="299">
        <f t="shared" si="40"/>
        <v>1.8048651766018921E-3</v>
      </c>
      <c r="AI102" s="299">
        <f t="shared" si="40"/>
        <v>1.7231435873609733E-3</v>
      </c>
      <c r="AJ102" s="299">
        <f t="shared" si="40"/>
        <v>1.6776051064335022E-3</v>
      </c>
      <c r="AK102" s="299">
        <f t="shared" si="40"/>
        <v>1.6126344392855549E-3</v>
      </c>
      <c r="AL102" s="299">
        <f t="shared" si="40"/>
        <v>1.5264091820276636E-3</v>
      </c>
      <c r="AM102" s="299">
        <f t="shared" si="40"/>
        <v>1.422339239784051E-3</v>
      </c>
      <c r="AN102" s="299">
        <f t="shared" si="40"/>
        <v>1.310208270058968E-3</v>
      </c>
      <c r="AO102" s="299">
        <f t="shared" si="38"/>
        <v>1.2032434510679281E-3</v>
      </c>
      <c r="AP102" s="299">
        <f t="shared" si="38"/>
        <v>1.1124255270330372E-3</v>
      </c>
      <c r="AQ102" s="299">
        <f t="shared" si="38"/>
        <v>1.042636684213367E-3</v>
      </c>
      <c r="AR102" s="299">
        <f t="shared" si="38"/>
        <v>9.9300754947969608E-4</v>
      </c>
      <c r="AS102" s="299">
        <f t="shared" si="38"/>
        <v>9.5962780766459537E-4</v>
      </c>
      <c r="AT102" s="299">
        <f t="shared" si="35"/>
        <v>9.38010471921357E-4</v>
      </c>
      <c r="AU102" s="299">
        <f t="shared" si="35"/>
        <v>9.2435168110062047E-4</v>
      </c>
      <c r="AV102" s="299">
        <f t="shared" si="35"/>
        <v>9.1585547176254399E-4</v>
      </c>
      <c r="AW102" s="299">
        <f t="shared" si="20"/>
        <v>9.1062190670599319E-4</v>
      </c>
      <c r="AX102" s="299">
        <f t="shared" si="20"/>
        <v>9.0741746008894382E-4</v>
      </c>
      <c r="AY102" s="299">
        <f t="shared" si="20"/>
        <v>9.054626515731895E-4</v>
      </c>
      <c r="AZ102" s="298">
        <f t="shared" si="41"/>
        <v>9.991695318772352E-2</v>
      </c>
      <c r="BA102" s="1">
        <f t="shared" si="41"/>
        <v>9.991695318772352E-2</v>
      </c>
      <c r="BB102" s="1">
        <f t="shared" si="41"/>
        <v>9.991695318772352E-2</v>
      </c>
      <c r="BC102" s="1">
        <f t="shared" si="41"/>
        <v>9.991695318772352E-2</v>
      </c>
      <c r="BD102" s="1">
        <f t="shared" si="41"/>
        <v>9.991695318772352E-2</v>
      </c>
      <c r="BE102" s="1">
        <f t="shared" si="41"/>
        <v>9.5392863348512033E-2</v>
      </c>
      <c r="BF102" s="1">
        <f t="shared" si="41"/>
        <v>9.2871862707546257E-2</v>
      </c>
      <c r="BG102" s="1">
        <f t="shared" si="41"/>
        <v>8.9275100360887885E-2</v>
      </c>
      <c r="BH102" s="1">
        <f t="shared" si="41"/>
        <v>8.450168841592659E-2</v>
      </c>
      <c r="BI102" s="1">
        <f t="shared" si="41"/>
        <v>7.874039849676398E-2</v>
      </c>
      <c r="BJ102" s="1">
        <f t="shared" si="41"/>
        <v>7.2532851806761875E-2</v>
      </c>
      <c r="BK102" s="1">
        <f t="shared" si="39"/>
        <v>6.6611302125149013E-2</v>
      </c>
      <c r="BL102" s="1">
        <f t="shared" si="39"/>
        <v>6.158364112196818E-2</v>
      </c>
      <c r="BM102" s="1">
        <f t="shared" si="39"/>
        <v>5.7720145592530928E-2</v>
      </c>
      <c r="BN102" s="1">
        <f t="shared" si="39"/>
        <v>5.4972687224882889E-2</v>
      </c>
      <c r="BO102" s="1">
        <f t="shared" si="39"/>
        <v>5.3124791801116636E-2</v>
      </c>
      <c r="BP102" s="1">
        <f t="shared" si="36"/>
        <v>5.1928060681528485E-2</v>
      </c>
      <c r="BQ102" s="1">
        <f t="shared" si="36"/>
        <v>5.1171912920061936E-2</v>
      </c>
      <c r="BR102" s="1">
        <f t="shared" si="36"/>
        <v>5.0701564573985489E-2</v>
      </c>
      <c r="BS102" s="1">
        <f t="shared" si="21"/>
        <v>5.0411835523007383E-2</v>
      </c>
      <c r="BT102" s="1">
        <f t="shared" si="21"/>
        <v>5.0234438038265009E-2</v>
      </c>
      <c r="BU102" s="1">
        <f t="shared" si="21"/>
        <v>5.0126220253639497E-2</v>
      </c>
    </row>
    <row r="103" spans="1:73" x14ac:dyDescent="0.25">
      <c r="A103" s="1" t="s">
        <v>29</v>
      </c>
      <c r="B103" s="1" t="s">
        <v>5</v>
      </c>
      <c r="C103" s="1" t="s">
        <v>8</v>
      </c>
      <c r="D103" s="1" t="s">
        <v>8</v>
      </c>
      <c r="E103" s="5">
        <v>7.6230000000000002</v>
      </c>
      <c r="F103" s="1">
        <f t="shared" si="30"/>
        <v>1.8676349999999998E-2</v>
      </c>
      <c r="G103" s="1">
        <f>LOOKUP(RIGHT(D103,5),Ref!$C$4:$C$21,Ref!$E$4:$E$21)*$G$3</f>
        <v>4</v>
      </c>
      <c r="H103" s="297">
        <f t="shared" si="44"/>
        <v>7.6230000000000002</v>
      </c>
      <c r="I103" s="5">
        <f t="shared" si="44"/>
        <v>7.6230000000000002</v>
      </c>
      <c r="J103" s="5">
        <f t="shared" si="44"/>
        <v>7.6230000000000002</v>
      </c>
      <c r="K103" s="5">
        <f t="shared" si="44"/>
        <v>7.6230000000000002</v>
      </c>
      <c r="L103" s="5">
        <f t="shared" si="44"/>
        <v>7.6230000000000002</v>
      </c>
      <c r="M103" s="5">
        <f t="shared" si="43"/>
        <v>7.9845274312325918</v>
      </c>
      <c r="N103" s="5">
        <f t="shared" si="43"/>
        <v>8.2012669063019388</v>
      </c>
      <c r="O103" s="5">
        <f t="shared" si="43"/>
        <v>8.5316838745746022</v>
      </c>
      <c r="P103" s="5">
        <f t="shared" si="43"/>
        <v>9.0136297679758552</v>
      </c>
      <c r="Q103" s="5">
        <f t="shared" si="43"/>
        <v>9.6731404551034732</v>
      </c>
      <c r="R103" s="5">
        <f t="shared" si="43"/>
        <v>10.500992518248264</v>
      </c>
      <c r="S103" s="5">
        <f t="shared" si="43"/>
        <v>11.4345</v>
      </c>
      <c r="T103" s="5">
        <f t="shared" si="43"/>
        <v>12.368007481751738</v>
      </c>
      <c r="U103" s="5">
        <f t="shared" si="43"/>
        <v>13.195859544896527</v>
      </c>
      <c r="V103" s="5">
        <f t="shared" si="43"/>
        <v>13.855370232024146</v>
      </c>
      <c r="W103" s="5">
        <f t="shared" si="43"/>
        <v>14.337316125425396</v>
      </c>
      <c r="X103" s="5">
        <f t="shared" si="43"/>
        <v>14.667733093698061</v>
      </c>
      <c r="Y103" s="5">
        <f t="shared" si="43"/>
        <v>14.884472568767409</v>
      </c>
      <c r="Z103" s="5">
        <f t="shared" si="43"/>
        <v>15.022552864982412</v>
      </c>
      <c r="AA103" s="5">
        <f t="shared" si="43"/>
        <v>15.108891121458976</v>
      </c>
      <c r="AB103" s="5">
        <f t="shared" si="43"/>
        <v>15.16224653632699</v>
      </c>
      <c r="AC103" s="5">
        <f t="shared" si="42"/>
        <v>15.194980397404178</v>
      </c>
      <c r="AD103" s="300">
        <f t="shared" si="40"/>
        <v>1.8029118593111976E-3</v>
      </c>
      <c r="AE103" s="299">
        <f t="shared" si="40"/>
        <v>1.8029118593111976E-3</v>
      </c>
      <c r="AF103" s="299">
        <f t="shared" si="40"/>
        <v>1.8029118593111976E-3</v>
      </c>
      <c r="AG103" s="299">
        <f t="shared" si="40"/>
        <v>1.8029118593111976E-3</v>
      </c>
      <c r="AH103" s="299">
        <f t="shared" si="40"/>
        <v>1.8029118593111976E-3</v>
      </c>
      <c r="AI103" s="299">
        <f t="shared" si="40"/>
        <v>1.7212787133486778E-3</v>
      </c>
      <c r="AJ103" s="299">
        <f t="shared" si="40"/>
        <v>1.6757895164914748E-3</v>
      </c>
      <c r="AK103" s="299">
        <f t="shared" si="40"/>
        <v>1.6108891639183629E-3</v>
      </c>
      <c r="AL103" s="299">
        <f t="shared" si="40"/>
        <v>1.5247572240384563E-3</v>
      </c>
      <c r="AM103" s="299">
        <f t="shared" si="40"/>
        <v>1.4207999116024668E-3</v>
      </c>
      <c r="AN103" s="299">
        <f t="shared" si="40"/>
        <v>1.3087902957407225E-3</v>
      </c>
      <c r="AO103" s="299">
        <f t="shared" si="38"/>
        <v>1.2019412395407984E-3</v>
      </c>
      <c r="AP103" s="299">
        <f t="shared" si="38"/>
        <v>1.1112216033024821E-3</v>
      </c>
      <c r="AQ103" s="299">
        <f t="shared" si="38"/>
        <v>1.0415082895334825E-3</v>
      </c>
      <c r="AR103" s="299">
        <f t="shared" si="38"/>
        <v>9.9193286598458813E-4</v>
      </c>
      <c r="AS103" s="299">
        <f t="shared" si="38"/>
        <v>9.5858924943119221E-4</v>
      </c>
      <c r="AT103" s="299">
        <f t="shared" si="35"/>
        <v>9.3699530907295737E-4</v>
      </c>
      <c r="AU103" s="299">
        <f t="shared" si="35"/>
        <v>9.2335130049336868E-4</v>
      </c>
      <c r="AV103" s="299">
        <f t="shared" si="35"/>
        <v>9.1486428618704351E-4</v>
      </c>
      <c r="AW103" s="299">
        <f t="shared" si="20"/>
        <v>9.0963638516193914E-4</v>
      </c>
      <c r="AX103" s="299">
        <f t="shared" si="20"/>
        <v>9.0643540656070918E-4</v>
      </c>
      <c r="AY103" s="299">
        <f t="shared" si="20"/>
        <v>9.0448271363858656E-4</v>
      </c>
      <c r="AZ103" s="298">
        <f t="shared" si="41"/>
        <v>9.9808817957000889E-2</v>
      </c>
      <c r="BA103" s="1">
        <f t="shared" si="41"/>
        <v>9.9808817957000889E-2</v>
      </c>
      <c r="BB103" s="1">
        <f t="shared" si="41"/>
        <v>9.9808817957000889E-2</v>
      </c>
      <c r="BC103" s="1">
        <f t="shared" si="41"/>
        <v>9.9808817957000889E-2</v>
      </c>
      <c r="BD103" s="1">
        <f t="shared" si="41"/>
        <v>9.9808817957000889E-2</v>
      </c>
      <c r="BE103" s="1">
        <f t="shared" si="41"/>
        <v>9.5289624318914079E-2</v>
      </c>
      <c r="BF103" s="1">
        <f t="shared" si="41"/>
        <v>9.2771352033620372E-2</v>
      </c>
      <c r="BG103" s="1">
        <f t="shared" si="41"/>
        <v>8.9178482286904254E-2</v>
      </c>
      <c r="BH103" s="1">
        <f t="shared" si="41"/>
        <v>8.441023637218642E-2</v>
      </c>
      <c r="BI103" s="1">
        <f t="shared" si="41"/>
        <v>7.8655181615273989E-2</v>
      </c>
      <c r="BJ103" s="1">
        <f t="shared" si="41"/>
        <v>7.2454353049395251E-2</v>
      </c>
      <c r="BK103" s="1">
        <f t="shared" si="39"/>
        <v>6.6539211971333931E-2</v>
      </c>
      <c r="BL103" s="1">
        <f t="shared" si="39"/>
        <v>6.151699215971497E-2</v>
      </c>
      <c r="BM103" s="1">
        <f t="shared" si="39"/>
        <v>5.7657677902495728E-2</v>
      </c>
      <c r="BN103" s="1">
        <f t="shared" si="39"/>
        <v>5.4913192974639514E-2</v>
      </c>
      <c r="BO103" s="1">
        <f t="shared" si="39"/>
        <v>5.3067297437695518E-2</v>
      </c>
      <c r="BP103" s="1">
        <f t="shared" si="36"/>
        <v>5.1871861481656706E-2</v>
      </c>
      <c r="BQ103" s="1">
        <f t="shared" si="36"/>
        <v>5.1116532061923341E-2</v>
      </c>
      <c r="BR103" s="1">
        <f t="shared" si="36"/>
        <v>5.064669275085347E-2</v>
      </c>
      <c r="BS103" s="1">
        <f t="shared" si="21"/>
        <v>5.0357277259454346E-2</v>
      </c>
      <c r="BT103" s="1">
        <f t="shared" si="21"/>
        <v>5.0180071763331828E-2</v>
      </c>
      <c r="BU103" s="1">
        <f t="shared" si="21"/>
        <v>5.0071971097520845E-2</v>
      </c>
    </row>
    <row r="104" spans="1:73" x14ac:dyDescent="0.25">
      <c r="A104" s="1" t="s">
        <v>29</v>
      </c>
      <c r="B104" s="1" t="s">
        <v>5</v>
      </c>
      <c r="C104" s="1" t="s">
        <v>9</v>
      </c>
      <c r="D104" s="1" t="s">
        <v>9</v>
      </c>
      <c r="E104" s="5">
        <v>8.39025</v>
      </c>
      <c r="F104" s="1">
        <f t="shared" si="30"/>
        <v>2.0556112500000001E-2</v>
      </c>
      <c r="G104" s="1">
        <f>LOOKUP(RIGHT(D104,5),Ref!$C$4:$C$21,Ref!$E$4:$E$21)*$G$3</f>
        <v>4.5</v>
      </c>
      <c r="H104" s="297">
        <f t="shared" si="44"/>
        <v>8.39025</v>
      </c>
      <c r="I104" s="5">
        <f t="shared" si="44"/>
        <v>8.39025</v>
      </c>
      <c r="J104" s="5">
        <f t="shared" si="44"/>
        <v>8.39025</v>
      </c>
      <c r="K104" s="5">
        <f t="shared" si="44"/>
        <v>8.39025</v>
      </c>
      <c r="L104" s="5">
        <f t="shared" si="44"/>
        <v>8.39025</v>
      </c>
      <c r="M104" s="5">
        <f t="shared" si="43"/>
        <v>8.7881649324280797</v>
      </c>
      <c r="N104" s="5">
        <f t="shared" si="43"/>
        <v>9.0267190949232372</v>
      </c>
      <c r="O104" s="5">
        <f t="shared" si="43"/>
        <v>9.3903923164960723</v>
      </c>
      <c r="P104" s="5">
        <f t="shared" si="43"/>
        <v>9.920845751116282</v>
      </c>
      <c r="Q104" s="5">
        <f t="shared" si="43"/>
        <v>10.646735760649602</v>
      </c>
      <c r="R104" s="5">
        <f t="shared" si="43"/>
        <v>11.557910596383641</v>
      </c>
      <c r="S104" s="5">
        <f t="shared" si="43"/>
        <v>12.585374999999999</v>
      </c>
      <c r="T104" s="5">
        <f t="shared" si="43"/>
        <v>13.612839403616359</v>
      </c>
      <c r="U104" s="5">
        <f t="shared" si="43"/>
        <v>14.524014239350398</v>
      </c>
      <c r="V104" s="5">
        <f t="shared" si="43"/>
        <v>15.249904248883718</v>
      </c>
      <c r="W104" s="5">
        <f t="shared" si="43"/>
        <v>15.780357683503926</v>
      </c>
      <c r="X104" s="5">
        <f t="shared" si="43"/>
        <v>16.144030905076761</v>
      </c>
      <c r="Y104" s="5">
        <f t="shared" si="43"/>
        <v>16.38258506757192</v>
      </c>
      <c r="Z104" s="5">
        <f t="shared" si="43"/>
        <v>16.534563055938435</v>
      </c>
      <c r="AA104" s="5">
        <f t="shared" si="43"/>
        <v>16.629591201865562</v>
      </c>
      <c r="AB104" s="5">
        <f t="shared" si="43"/>
        <v>16.688316804593665</v>
      </c>
      <c r="AC104" s="5">
        <f t="shared" si="42"/>
        <v>16.72434530753252</v>
      </c>
      <c r="AD104" s="300">
        <f t="shared" si="40"/>
        <v>1.6380438131794951E-3</v>
      </c>
      <c r="AE104" s="299">
        <f t="shared" si="40"/>
        <v>1.6380438131794951E-3</v>
      </c>
      <c r="AF104" s="299">
        <f t="shared" si="40"/>
        <v>1.6380438131794951E-3</v>
      </c>
      <c r="AG104" s="299">
        <f t="shared" si="40"/>
        <v>1.6380438131794951E-3</v>
      </c>
      <c r="AH104" s="299">
        <f t="shared" si="40"/>
        <v>1.6380438131794951E-3</v>
      </c>
      <c r="AI104" s="299">
        <f t="shared" si="40"/>
        <v>1.5638756451663504E-3</v>
      </c>
      <c r="AJ104" s="299">
        <f t="shared" si="40"/>
        <v>1.5225462273727856E-3</v>
      </c>
      <c r="AK104" s="299">
        <f t="shared" si="40"/>
        <v>1.4635807153004594E-3</v>
      </c>
      <c r="AL104" s="299">
        <f t="shared" si="40"/>
        <v>1.3853251475039663E-3</v>
      </c>
      <c r="AM104" s="299">
        <f t="shared" si="40"/>
        <v>1.2908742559692029E-3</v>
      </c>
      <c r="AN104" s="299">
        <f t="shared" si="40"/>
        <v>1.1891074073396536E-3</v>
      </c>
      <c r="AO104" s="299">
        <f t="shared" si="38"/>
        <v>1.0920292087863302E-3</v>
      </c>
      <c r="AP104" s="299">
        <f t="shared" si="38"/>
        <v>1.0096054684872111E-3</v>
      </c>
      <c r="AQ104" s="299">
        <f t="shared" si="38"/>
        <v>9.4626711851419638E-4</v>
      </c>
      <c r="AR104" s="299">
        <f t="shared" si="38"/>
        <v>9.0122514077655802E-4</v>
      </c>
      <c r="AS104" s="299">
        <f t="shared" si="38"/>
        <v>8.7093064550090621E-4</v>
      </c>
      <c r="AT104" s="299">
        <f t="shared" si="35"/>
        <v>8.5131137225507637E-4</v>
      </c>
      <c r="AU104" s="299">
        <f t="shared" si="35"/>
        <v>8.3891504587598105E-4</v>
      </c>
      <c r="AV104" s="299">
        <f t="shared" si="35"/>
        <v>8.3120413022303656E-4</v>
      </c>
      <c r="AW104" s="299">
        <f t="shared" si="20"/>
        <v>8.2645429684329572E-4</v>
      </c>
      <c r="AX104" s="299">
        <f t="shared" si="20"/>
        <v>8.2354603309940547E-4</v>
      </c>
      <c r="AY104" s="299">
        <f t="shared" si="20"/>
        <v>8.2177190501676899E-4</v>
      </c>
      <c r="AZ104" s="298">
        <f t="shared" si="41"/>
        <v>9.0681757907835614E-2</v>
      </c>
      <c r="BA104" s="1">
        <f t="shared" si="41"/>
        <v>9.0681757907835614E-2</v>
      </c>
      <c r="BB104" s="1">
        <f t="shared" si="41"/>
        <v>9.0681757907835614E-2</v>
      </c>
      <c r="BC104" s="1">
        <f t="shared" si="41"/>
        <v>9.0681757907835614E-2</v>
      </c>
      <c r="BD104" s="1">
        <f t="shared" si="41"/>
        <v>9.0681757907835614E-2</v>
      </c>
      <c r="BE104" s="1">
        <f t="shared" si="41"/>
        <v>8.657582386497209E-2</v>
      </c>
      <c r="BF104" s="1">
        <f t="shared" si="41"/>
        <v>8.4287836065944172E-2</v>
      </c>
      <c r="BG104" s="1">
        <f t="shared" si="41"/>
        <v>8.1023517829989691E-2</v>
      </c>
      <c r="BH104" s="1">
        <f t="shared" si="41"/>
        <v>7.6691306202458454E-2</v>
      </c>
      <c r="BI104" s="1">
        <f t="shared" si="41"/>
        <v>7.1462524889393475E-2</v>
      </c>
      <c r="BJ104" s="1">
        <f t="shared" si="41"/>
        <v>6.5828733743993326E-2</v>
      </c>
      <c r="BK104" s="1">
        <f t="shared" si="39"/>
        <v>6.0454505271890412E-2</v>
      </c>
      <c r="BL104" s="1">
        <f t="shared" si="39"/>
        <v>5.5891544499092075E-2</v>
      </c>
      <c r="BM104" s="1">
        <f t="shared" si="39"/>
        <v>5.2385146884863371E-2</v>
      </c>
      <c r="BN104" s="1">
        <f t="shared" si="39"/>
        <v>4.9891632555129711E-2</v>
      </c>
      <c r="BO104" s="1">
        <f t="shared" si="39"/>
        <v>4.8214535725103896E-2</v>
      </c>
      <c r="BP104" s="1">
        <f t="shared" si="36"/>
        <v>4.7128416921387216E-2</v>
      </c>
      <c r="BQ104" s="1">
        <f t="shared" si="36"/>
        <v>4.6442158923517378E-2</v>
      </c>
      <c r="BR104" s="1">
        <f t="shared" si="36"/>
        <v>4.6015284269212003E-2</v>
      </c>
      <c r="BS104" s="1">
        <f t="shared" si="21"/>
        <v>4.5752334501215158E-2</v>
      </c>
      <c r="BT104" s="1">
        <f t="shared" si="21"/>
        <v>4.5591333637481427E-2</v>
      </c>
      <c r="BU104" s="1">
        <f t="shared" si="21"/>
        <v>4.5493118283293277E-2</v>
      </c>
    </row>
    <row r="105" spans="1:73" x14ac:dyDescent="0.25">
      <c r="A105" s="1" t="s">
        <v>29</v>
      </c>
      <c r="B105" s="1" t="s">
        <v>5</v>
      </c>
      <c r="C105" s="1" t="s">
        <v>10</v>
      </c>
      <c r="D105" s="1" t="s">
        <v>10</v>
      </c>
      <c r="E105" s="5">
        <v>8.2747499999999992</v>
      </c>
      <c r="F105" s="1">
        <f t="shared" si="30"/>
        <v>2.02731375E-2</v>
      </c>
      <c r="G105" s="1">
        <f>LOOKUP(RIGHT(D105,5),Ref!$C$4:$C$21,Ref!$E$4:$E$21)*$G$3</f>
        <v>4.5</v>
      </c>
      <c r="H105" s="297">
        <f t="shared" si="44"/>
        <v>8.2747499999999992</v>
      </c>
      <c r="I105" s="5">
        <f t="shared" si="44"/>
        <v>8.2747499999999992</v>
      </c>
      <c r="J105" s="5">
        <f t="shared" si="44"/>
        <v>8.2747499999999992</v>
      </c>
      <c r="K105" s="5">
        <f t="shared" si="44"/>
        <v>8.2747499999999992</v>
      </c>
      <c r="L105" s="5">
        <f t="shared" si="44"/>
        <v>8.2747499999999992</v>
      </c>
      <c r="M105" s="5">
        <f t="shared" si="43"/>
        <v>8.6671872440760698</v>
      </c>
      <c r="N105" s="5">
        <f t="shared" si="43"/>
        <v>8.9024574751307828</v>
      </c>
      <c r="O105" s="5">
        <f t="shared" si="43"/>
        <v>9.2611243790025171</v>
      </c>
      <c r="P105" s="5">
        <f t="shared" si="43"/>
        <v>9.7842756031166456</v>
      </c>
      <c r="Q105" s="5">
        <f t="shared" si="43"/>
        <v>10.500173026481367</v>
      </c>
      <c r="R105" s="5">
        <f t="shared" si="43"/>
        <v>11.398804649137453</v>
      </c>
      <c r="S105" s="5">
        <f t="shared" si="43"/>
        <v>12.412125</v>
      </c>
      <c r="T105" s="5">
        <f t="shared" si="43"/>
        <v>13.425445350862544</v>
      </c>
      <c r="U105" s="5">
        <f t="shared" si="43"/>
        <v>14.324076973518631</v>
      </c>
      <c r="V105" s="5">
        <f t="shared" si="43"/>
        <v>15.039974396883352</v>
      </c>
      <c r="W105" s="5">
        <f t="shared" si="43"/>
        <v>15.563125620997479</v>
      </c>
      <c r="X105" s="5">
        <f t="shared" si="43"/>
        <v>15.921792524869215</v>
      </c>
      <c r="Y105" s="5">
        <f t="shared" si="43"/>
        <v>16.157062755923928</v>
      </c>
      <c r="Z105" s="5">
        <f t="shared" si="43"/>
        <v>16.306948618590212</v>
      </c>
      <c r="AA105" s="5">
        <f t="shared" si="43"/>
        <v>16.400668609116181</v>
      </c>
      <c r="AB105" s="5">
        <f t="shared" si="43"/>
        <v>16.458585796467499</v>
      </c>
      <c r="AC105" s="5">
        <f t="shared" si="42"/>
        <v>16.494118331814274</v>
      </c>
      <c r="AD105" s="300">
        <f t="shared" si="40"/>
        <v>1.6609078345000466E-3</v>
      </c>
      <c r="AE105" s="299">
        <f t="shared" si="40"/>
        <v>1.6609078345000466E-3</v>
      </c>
      <c r="AF105" s="299">
        <f t="shared" si="40"/>
        <v>1.6609078345000466E-3</v>
      </c>
      <c r="AG105" s="299">
        <f t="shared" si="40"/>
        <v>1.6609078345000466E-3</v>
      </c>
      <c r="AH105" s="299">
        <f t="shared" si="40"/>
        <v>1.6609078345000466E-3</v>
      </c>
      <c r="AI105" s="299">
        <f t="shared" si="40"/>
        <v>1.5857044178805369E-3</v>
      </c>
      <c r="AJ105" s="299">
        <f t="shared" si="40"/>
        <v>1.5437981188814785E-3</v>
      </c>
      <c r="AK105" s="299">
        <f t="shared" si="40"/>
        <v>1.4840095587842148E-3</v>
      </c>
      <c r="AL105" s="299">
        <f t="shared" si="40"/>
        <v>1.4046616899417088E-3</v>
      </c>
      <c r="AM105" s="299">
        <f t="shared" si="40"/>
        <v>1.3088924409976864E-3</v>
      </c>
      <c r="AN105" s="299">
        <f t="shared" si="40"/>
        <v>1.2057051179106958E-3</v>
      </c>
      <c r="AO105" s="299">
        <f t="shared" si="38"/>
        <v>1.1072718896666977E-3</v>
      </c>
      <c r="AP105" s="299">
        <f t="shared" si="38"/>
        <v>1.023697668446155E-3</v>
      </c>
      <c r="AQ105" s="299">
        <f t="shared" si="38"/>
        <v>9.5947523382745555E-4</v>
      </c>
      <c r="AR105" s="299">
        <f t="shared" si="38"/>
        <v>9.1380455450624089E-4</v>
      </c>
      <c r="AS105" s="299">
        <f t="shared" si="38"/>
        <v>8.8308720485984226E-4</v>
      </c>
      <c r="AT105" s="299">
        <f t="shared" si="35"/>
        <v>8.631940833334124E-4</v>
      </c>
      <c r="AU105" s="299">
        <f t="shared" si="35"/>
        <v>8.5062472747345248E-4</v>
      </c>
      <c r="AV105" s="299">
        <f t="shared" si="35"/>
        <v>8.428061818911549E-4</v>
      </c>
      <c r="AW105" s="299">
        <f t="shared" si="20"/>
        <v>8.3799004974041062E-4</v>
      </c>
      <c r="AX105" s="299">
        <f t="shared" si="20"/>
        <v>8.3504119208583781E-4</v>
      </c>
      <c r="AY105" s="299">
        <f t="shared" si="20"/>
        <v>8.3324230050055238E-4</v>
      </c>
      <c r="AZ105" s="298">
        <f t="shared" si="41"/>
        <v>9.1947505276439509E-2</v>
      </c>
      <c r="BA105" s="1">
        <f t="shared" si="41"/>
        <v>9.1947505276439509E-2</v>
      </c>
      <c r="BB105" s="1">
        <f t="shared" si="41"/>
        <v>9.1947505276439509E-2</v>
      </c>
      <c r="BC105" s="1">
        <f t="shared" si="41"/>
        <v>9.1947505276439509E-2</v>
      </c>
      <c r="BD105" s="1">
        <f t="shared" si="41"/>
        <v>9.1947505276439509E-2</v>
      </c>
      <c r="BE105" s="1">
        <f t="shared" si="41"/>
        <v>8.7784260090405408E-2</v>
      </c>
      <c r="BF105" s="1">
        <f t="shared" si="41"/>
        <v>8.5464336270254473E-2</v>
      </c>
      <c r="BG105" s="1">
        <f t="shared" si="41"/>
        <v>8.2154454270288668E-2</v>
      </c>
      <c r="BH105" s="1">
        <f t="shared" si="41"/>
        <v>7.776177308863437E-2</v>
      </c>
      <c r="BI105" s="1">
        <f t="shared" si="41"/>
        <v>7.2460007789145728E-2</v>
      </c>
      <c r="BJ105" s="1">
        <f t="shared" si="41"/>
        <v>6.6747579479203609E-2</v>
      </c>
      <c r="BK105" s="1">
        <f t="shared" si="39"/>
        <v>6.1298336850959673E-2</v>
      </c>
      <c r="BL105" s="1">
        <f t="shared" si="39"/>
        <v>5.6671685698481203E-2</v>
      </c>
      <c r="BM105" s="1">
        <f t="shared" si="39"/>
        <v>5.3116345345868447E-2</v>
      </c>
      <c r="BN105" s="1">
        <f t="shared" si="39"/>
        <v>5.0588026229877285E-2</v>
      </c>
      <c r="BO105" s="1">
        <f t="shared" si="39"/>
        <v>4.8887520271615817E-2</v>
      </c>
      <c r="BP105" s="1">
        <f t="shared" si="36"/>
        <v>4.7786241285195208E-2</v>
      </c>
      <c r="BQ105" s="1">
        <f t="shared" si="36"/>
        <v>4.7090404411981229E-2</v>
      </c>
      <c r="BR105" s="1">
        <f t="shared" si="36"/>
        <v>4.6657571387625739E-2</v>
      </c>
      <c r="BS105" s="1">
        <f t="shared" si="21"/>
        <v>4.6390951333734616E-2</v>
      </c>
      <c r="BT105" s="1">
        <f t="shared" si="21"/>
        <v>4.6227703199719451E-2</v>
      </c>
      <c r="BU105" s="1">
        <f t="shared" si="21"/>
        <v>4.6128116943279424E-2</v>
      </c>
    </row>
    <row r="106" spans="1:73" x14ac:dyDescent="0.25">
      <c r="A106" s="1" t="s">
        <v>29</v>
      </c>
      <c r="B106" s="1" t="s">
        <v>5</v>
      </c>
      <c r="C106" s="1" t="s">
        <v>11</v>
      </c>
      <c r="D106" s="1" t="s">
        <v>11</v>
      </c>
      <c r="E106" s="5">
        <v>8.9265000000000008</v>
      </c>
      <c r="F106" s="1">
        <f t="shared" si="30"/>
        <v>2.1869925000000002E-2</v>
      </c>
      <c r="G106" s="1">
        <f>LOOKUP(RIGHT(D106,5),Ref!$C$4:$C$21,Ref!$E$4:$E$21)*$G$3</f>
        <v>4.5</v>
      </c>
      <c r="H106" s="297">
        <f t="shared" si="44"/>
        <v>8.9265000000000008</v>
      </c>
      <c r="I106" s="5">
        <f t="shared" si="44"/>
        <v>8.9265000000000008</v>
      </c>
      <c r="J106" s="5">
        <f t="shared" si="44"/>
        <v>8.9265000000000008</v>
      </c>
      <c r="K106" s="5">
        <f t="shared" si="44"/>
        <v>8.9265000000000008</v>
      </c>
      <c r="L106" s="5">
        <f t="shared" si="44"/>
        <v>8.9265000000000008</v>
      </c>
      <c r="M106" s="5">
        <f t="shared" si="43"/>
        <v>9.3498470569195504</v>
      </c>
      <c r="N106" s="5">
        <f t="shared" si="43"/>
        <v>9.6036480439596303</v>
      </c>
      <c r="O106" s="5">
        <f t="shared" si="43"/>
        <v>9.9905648834304337</v>
      </c>
      <c r="P106" s="5">
        <f t="shared" si="43"/>
        <v>10.554921438257441</v>
      </c>
      <c r="Q106" s="5">
        <f t="shared" si="43"/>
        <v>11.327205597859264</v>
      </c>
      <c r="R106" s="5">
        <f t="shared" si="43"/>
        <v>12.296616780026646</v>
      </c>
      <c r="S106" s="5">
        <f t="shared" si="43"/>
        <v>13.389750000000001</v>
      </c>
      <c r="T106" s="5">
        <f t="shared" si="43"/>
        <v>14.482883219973356</v>
      </c>
      <c r="U106" s="5">
        <f t="shared" si="43"/>
        <v>15.452294402140739</v>
      </c>
      <c r="V106" s="5">
        <f t="shared" si="43"/>
        <v>16.224578561742561</v>
      </c>
      <c r="W106" s="5">
        <f t="shared" si="43"/>
        <v>16.788935116569569</v>
      </c>
      <c r="X106" s="5">
        <f t="shared" si="43"/>
        <v>17.175851956040372</v>
      </c>
      <c r="Y106" s="5">
        <f t="shared" si="43"/>
        <v>17.429652943080452</v>
      </c>
      <c r="Z106" s="5">
        <f t="shared" si="43"/>
        <v>17.591344372198019</v>
      </c>
      <c r="AA106" s="5">
        <f t="shared" si="43"/>
        <v>17.692446096773391</v>
      </c>
      <c r="AB106" s="5">
        <f t="shared" si="43"/>
        <v>17.754925056608013</v>
      </c>
      <c r="AC106" s="5">
        <f t="shared" si="42"/>
        <v>17.793256266224375</v>
      </c>
      <c r="AD106" s="300">
        <f t="shared" si="40"/>
        <v>1.5396400720920022E-3</v>
      </c>
      <c r="AE106" s="299">
        <f t="shared" si="40"/>
        <v>1.5396400720920022E-3</v>
      </c>
      <c r="AF106" s="299">
        <f t="shared" si="40"/>
        <v>1.5396400720920022E-3</v>
      </c>
      <c r="AG106" s="299">
        <f t="shared" si="40"/>
        <v>1.5396400720920022E-3</v>
      </c>
      <c r="AH106" s="299">
        <f t="shared" si="40"/>
        <v>1.5396400720920022E-3</v>
      </c>
      <c r="AI106" s="299">
        <f t="shared" si="40"/>
        <v>1.4699274779428635E-3</v>
      </c>
      <c r="AJ106" s="299">
        <f t="shared" si="40"/>
        <v>1.4310808809964164E-3</v>
      </c>
      <c r="AK106" s="299">
        <f t="shared" si="40"/>
        <v>1.3756576593905426E-3</v>
      </c>
      <c r="AL106" s="299">
        <f t="shared" si="40"/>
        <v>1.302103211655761E-3</v>
      </c>
      <c r="AM106" s="299">
        <f t="shared" si="40"/>
        <v>1.2133263570431414E-3</v>
      </c>
      <c r="AN106" s="299">
        <f t="shared" si="40"/>
        <v>1.1176730436824654E-3</v>
      </c>
      <c r="AO106" s="299">
        <f t="shared" si="38"/>
        <v>1.0264267147280016E-3</v>
      </c>
      <c r="AP106" s="299">
        <f t="shared" si="38"/>
        <v>9.4895449302356133E-4</v>
      </c>
      <c r="AQ106" s="299">
        <f t="shared" si="38"/>
        <v>8.8942112710622707E-4</v>
      </c>
      <c r="AR106" s="299">
        <f t="shared" si="38"/>
        <v>8.4708499830846531E-4</v>
      </c>
      <c r="AS106" s="299">
        <f t="shared" si="38"/>
        <v>8.1861041263809752E-4</v>
      </c>
      <c r="AT106" s="299">
        <f t="shared" si="35"/>
        <v>8.0016974638023332E-4</v>
      </c>
      <c r="AU106" s="299">
        <f t="shared" si="35"/>
        <v>7.8851811613296911E-4</v>
      </c>
      <c r="AV106" s="299">
        <f t="shared" si="35"/>
        <v>7.8127042554235508E-4</v>
      </c>
      <c r="AW106" s="299">
        <f t="shared" si="20"/>
        <v>7.7680593335455791E-4</v>
      </c>
      <c r="AX106" s="299">
        <f t="shared" si="20"/>
        <v>7.7407238046404362E-4</v>
      </c>
      <c r="AY106" s="299">
        <f t="shared" si="20"/>
        <v>7.7240483124034552E-4</v>
      </c>
      <c r="AZ106" s="298">
        <f t="shared" si="41"/>
        <v>8.5234147682318684E-2</v>
      </c>
      <c r="BA106" s="1">
        <f t="shared" si="41"/>
        <v>8.5234147682318684E-2</v>
      </c>
      <c r="BB106" s="1">
        <f t="shared" si="41"/>
        <v>8.5234147682318684E-2</v>
      </c>
      <c r="BC106" s="1">
        <f t="shared" si="41"/>
        <v>8.5234147682318684E-2</v>
      </c>
      <c r="BD106" s="1">
        <f t="shared" si="41"/>
        <v>8.5234147682318684E-2</v>
      </c>
      <c r="BE106" s="1">
        <f t="shared" si="41"/>
        <v>8.1374873263102221E-2</v>
      </c>
      <c r="BF106" s="1">
        <f t="shared" si="41"/>
        <v>7.9224333899320903E-2</v>
      </c>
      <c r="BG106" s="1">
        <f t="shared" si="41"/>
        <v>7.6156116111921912E-2</v>
      </c>
      <c r="BH106" s="1">
        <f t="shared" si="41"/>
        <v>7.2084157493438314E-2</v>
      </c>
      <c r="BI106" s="1">
        <f t="shared" si="41"/>
        <v>6.716948966036336E-2</v>
      </c>
      <c r="BJ106" s="1">
        <f t="shared" si="41"/>
        <v>6.1874142530167479E-2</v>
      </c>
      <c r="BK106" s="1">
        <f t="shared" si="39"/>
        <v>5.6822765121545785E-2</v>
      </c>
      <c r="BL106" s="1">
        <f t="shared" si="39"/>
        <v>5.2533919367446051E-2</v>
      </c>
      <c r="BM106" s="1">
        <f t="shared" si="39"/>
        <v>4.9238164863129437E-2</v>
      </c>
      <c r="BN106" s="1">
        <f t="shared" si="39"/>
        <v>4.6894445756531337E-2</v>
      </c>
      <c r="BO106" s="1">
        <f t="shared" si="39"/>
        <v>4.531809873607269E-2</v>
      </c>
      <c r="BP106" s="1">
        <f t="shared" si="36"/>
        <v>4.4297227365111637E-2</v>
      </c>
      <c r="BQ106" s="1">
        <f t="shared" si="36"/>
        <v>4.3652195587076864E-2</v>
      </c>
      <c r="BR106" s="1">
        <f t="shared" si="36"/>
        <v>4.3250964973926623E-2</v>
      </c>
      <c r="BS106" s="1">
        <f t="shared" si="21"/>
        <v>4.3003811633766924E-2</v>
      </c>
      <c r="BT106" s="1">
        <f t="shared" si="21"/>
        <v>4.2852482725802776E-2</v>
      </c>
      <c r="BU106" s="1">
        <f t="shared" si="21"/>
        <v>4.2760167554629622E-2</v>
      </c>
    </row>
    <row r="107" spans="1:73" x14ac:dyDescent="0.25">
      <c r="A107" s="1" t="s">
        <v>30</v>
      </c>
      <c r="B107" s="1" t="s">
        <v>5</v>
      </c>
      <c r="C107" s="1" t="s">
        <v>7</v>
      </c>
      <c r="D107" s="1" t="s">
        <v>7</v>
      </c>
      <c r="E107" s="5">
        <v>9.0502500000000001</v>
      </c>
      <c r="F107" s="1">
        <f t="shared" si="30"/>
        <v>2.2173112499999998E-2</v>
      </c>
      <c r="G107" s="1">
        <f>LOOKUP(RIGHT(D107,5),Ref!$C$4:$C$21,Ref!$E$4:$E$21)*$G$3</f>
        <v>3.5</v>
      </c>
      <c r="H107" s="297">
        <f t="shared" si="44"/>
        <v>9.0502500000000001</v>
      </c>
      <c r="I107" s="5">
        <f t="shared" si="44"/>
        <v>9.0502500000000001</v>
      </c>
      <c r="J107" s="5">
        <f t="shared" si="44"/>
        <v>9.0502500000000001</v>
      </c>
      <c r="K107" s="5">
        <f t="shared" si="44"/>
        <v>9.0502500000000001</v>
      </c>
      <c r="L107" s="5">
        <f t="shared" si="44"/>
        <v>9.0502500000000001</v>
      </c>
      <c r="M107" s="5">
        <f t="shared" si="43"/>
        <v>9.4794660087252733</v>
      </c>
      <c r="N107" s="5">
        <f t="shared" si="43"/>
        <v>9.7367854937372584</v>
      </c>
      <c r="O107" s="5">
        <f t="shared" si="43"/>
        <v>10.129066245030669</v>
      </c>
      <c r="P107" s="5">
        <f t="shared" si="43"/>
        <v>10.701246596828478</v>
      </c>
      <c r="Q107" s="5">
        <f t="shared" si="43"/>
        <v>11.4842370987538</v>
      </c>
      <c r="R107" s="5">
        <f t="shared" si="43"/>
        <v>12.467087437790417</v>
      </c>
      <c r="S107" s="5">
        <f t="shared" si="43"/>
        <v>13.575375000000001</v>
      </c>
      <c r="T107" s="5">
        <f t="shared" si="43"/>
        <v>14.683662562209584</v>
      </c>
      <c r="U107" s="5">
        <f t="shared" si="43"/>
        <v>15.6665129012462</v>
      </c>
      <c r="V107" s="5">
        <f t="shared" si="43"/>
        <v>16.449503403171523</v>
      </c>
      <c r="W107" s="5">
        <f t="shared" si="43"/>
        <v>17.021683754969327</v>
      </c>
      <c r="X107" s="5">
        <f t="shared" si="43"/>
        <v>17.41396450626274</v>
      </c>
      <c r="Y107" s="5">
        <f t="shared" si="43"/>
        <v>17.671283991274727</v>
      </c>
      <c r="Z107" s="5">
        <f t="shared" si="43"/>
        <v>17.835216983642539</v>
      </c>
      <c r="AA107" s="5">
        <f t="shared" si="43"/>
        <v>17.937720303290583</v>
      </c>
      <c r="AB107" s="5">
        <f t="shared" si="43"/>
        <v>18.001065422457476</v>
      </c>
      <c r="AC107" s="5">
        <f t="shared" si="42"/>
        <v>18.039928025922492</v>
      </c>
      <c r="AD107" s="300">
        <f t="shared" si="40"/>
        <v>1.5185875642694136E-3</v>
      </c>
      <c r="AE107" s="299">
        <f t="shared" si="40"/>
        <v>1.5185875642694136E-3</v>
      </c>
      <c r="AF107" s="299">
        <f t="shared" si="40"/>
        <v>1.5185875642694136E-3</v>
      </c>
      <c r="AG107" s="299">
        <f t="shared" si="40"/>
        <v>1.5185875642694136E-3</v>
      </c>
      <c r="AH107" s="299">
        <f t="shared" si="40"/>
        <v>1.5185875642694136E-3</v>
      </c>
      <c r="AI107" s="299">
        <f t="shared" si="40"/>
        <v>1.449828196111375E-3</v>
      </c>
      <c r="AJ107" s="299">
        <f t="shared" si="40"/>
        <v>1.4115127741459643E-3</v>
      </c>
      <c r="AK107" s="299">
        <f t="shared" si="40"/>
        <v>1.3568473905748106E-3</v>
      </c>
      <c r="AL107" s="299">
        <f t="shared" si="40"/>
        <v>1.2842987010132484E-3</v>
      </c>
      <c r="AM107" s="299">
        <f t="shared" si="40"/>
        <v>1.196735750520218E-3</v>
      </c>
      <c r="AN107" s="299">
        <f t="shared" si="40"/>
        <v>1.1023903676065886E-3</v>
      </c>
      <c r="AO107" s="299">
        <f t="shared" si="38"/>
        <v>1.0123917095129422E-3</v>
      </c>
      <c r="AP107" s="299">
        <f t="shared" si="38"/>
        <v>9.3597881627301139E-4</v>
      </c>
      <c r="AQ107" s="299">
        <f t="shared" si="38"/>
        <v>8.772594890874547E-4</v>
      </c>
      <c r="AR107" s="299">
        <f t="shared" si="38"/>
        <v>8.3550224992685461E-4</v>
      </c>
      <c r="AS107" s="299">
        <f t="shared" si="38"/>
        <v>8.0741701592928138E-4</v>
      </c>
      <c r="AT107" s="299">
        <f t="shared" si="35"/>
        <v>7.8922850098761413E-4</v>
      </c>
      <c r="AU107" s="299">
        <f t="shared" si="35"/>
        <v>7.7773619111747743E-4</v>
      </c>
      <c r="AV107" s="299">
        <f t="shared" si="35"/>
        <v>7.7058760295061824E-4</v>
      </c>
      <c r="AW107" s="299">
        <f t="shared" si="20"/>
        <v>7.6618415669063968E-4</v>
      </c>
      <c r="AX107" s="299">
        <f t="shared" si="20"/>
        <v>7.634879814604333E-4</v>
      </c>
      <c r="AY107" s="299">
        <f t="shared" si="20"/>
        <v>7.6184323373022246E-4</v>
      </c>
      <c r="AZ107" s="298">
        <f t="shared" si="41"/>
        <v>8.406868531656228E-2</v>
      </c>
      <c r="BA107" s="1">
        <f t="shared" si="41"/>
        <v>8.406868531656228E-2</v>
      </c>
      <c r="BB107" s="1">
        <f t="shared" si="41"/>
        <v>8.406868531656228E-2</v>
      </c>
      <c r="BC107" s="1">
        <f t="shared" si="41"/>
        <v>8.406868531656228E-2</v>
      </c>
      <c r="BD107" s="1">
        <f t="shared" si="41"/>
        <v>8.406868531656228E-2</v>
      </c>
      <c r="BE107" s="1">
        <f t="shared" si="41"/>
        <v>8.0262181285940398E-2</v>
      </c>
      <c r="BF107" s="1">
        <f t="shared" si="41"/>
        <v>7.8141047656394916E-2</v>
      </c>
      <c r="BG107" s="1">
        <f t="shared" si="41"/>
        <v>7.5114783621786266E-2</v>
      </c>
      <c r="BH107" s="1">
        <f t="shared" si="41"/>
        <v>7.1098503562352103E-2</v>
      </c>
      <c r="BI107" s="1">
        <f t="shared" si="41"/>
        <v>6.625103720374946E-2</v>
      </c>
      <c r="BJ107" s="1">
        <f t="shared" si="41"/>
        <v>6.1028096825561727E-2</v>
      </c>
      <c r="BK107" s="1">
        <f t="shared" si="39"/>
        <v>5.6045790211041516E-2</v>
      </c>
      <c r="BL107" s="1">
        <f t="shared" si="39"/>
        <v>5.1815588655949534E-2</v>
      </c>
      <c r="BM107" s="1">
        <f t="shared" si="39"/>
        <v>4.856489916308665E-2</v>
      </c>
      <c r="BN107" s="1">
        <f t="shared" si="39"/>
        <v>4.6253227263962547E-2</v>
      </c>
      <c r="BO107" s="1">
        <f t="shared" si="39"/>
        <v>4.4698434669490118E-2</v>
      </c>
      <c r="BP107" s="1">
        <f t="shared" si="36"/>
        <v>4.3691522341887688E-2</v>
      </c>
      <c r="BQ107" s="1">
        <f t="shared" si="36"/>
        <v>4.3055310506123219E-2</v>
      </c>
      <c r="BR107" s="1">
        <f t="shared" si="36"/>
        <v>4.2659566182122702E-2</v>
      </c>
      <c r="BS107" s="1">
        <f t="shared" si="21"/>
        <v>4.2415792331573207E-2</v>
      </c>
      <c r="BT107" s="1">
        <f t="shared" si="21"/>
        <v>4.2266532642952243E-2</v>
      </c>
      <c r="BU107" s="1">
        <f t="shared" si="21"/>
        <v>4.2175479757620107E-2</v>
      </c>
    </row>
    <row r="108" spans="1:73" x14ac:dyDescent="0.25">
      <c r="A108" s="1" t="s">
        <v>30</v>
      </c>
      <c r="B108" s="1" t="s">
        <v>5</v>
      </c>
      <c r="C108" s="1" t="s">
        <v>8</v>
      </c>
      <c r="D108" s="1" t="s">
        <v>8</v>
      </c>
      <c r="E108" s="5">
        <v>8.2004999999999999</v>
      </c>
      <c r="F108" s="1">
        <f t="shared" si="30"/>
        <v>2.0091224999999997E-2</v>
      </c>
      <c r="G108" s="1">
        <f>LOOKUP(RIGHT(D108,5),Ref!$C$4:$C$21,Ref!$E$4:$E$21)*$G$3</f>
        <v>4</v>
      </c>
      <c r="H108" s="297">
        <f t="shared" si="44"/>
        <v>8.2004999999999999</v>
      </c>
      <c r="I108" s="5">
        <f t="shared" si="44"/>
        <v>8.2004999999999999</v>
      </c>
      <c r="J108" s="5">
        <f t="shared" si="44"/>
        <v>8.2004999999999999</v>
      </c>
      <c r="K108" s="5">
        <f t="shared" si="44"/>
        <v>8.2004999999999999</v>
      </c>
      <c r="L108" s="5">
        <f t="shared" si="44"/>
        <v>8.2004999999999999</v>
      </c>
      <c r="M108" s="5">
        <f t="shared" si="43"/>
        <v>8.5894158729926353</v>
      </c>
      <c r="N108" s="5">
        <f t="shared" si="43"/>
        <v>8.8225750052642073</v>
      </c>
      <c r="O108" s="5">
        <f t="shared" si="43"/>
        <v>9.1780235620423749</v>
      </c>
      <c r="P108" s="5">
        <f t="shared" si="43"/>
        <v>9.6964805079740248</v>
      </c>
      <c r="Q108" s="5">
        <f t="shared" si="43"/>
        <v>10.405954125944646</v>
      </c>
      <c r="R108" s="5">
        <f t="shared" si="43"/>
        <v>11.296522254479193</v>
      </c>
      <c r="S108" s="5">
        <f t="shared" si="43"/>
        <v>12.300750000000001</v>
      </c>
      <c r="T108" s="5">
        <f t="shared" si="43"/>
        <v>13.304977745520807</v>
      </c>
      <c r="U108" s="5">
        <f t="shared" si="43"/>
        <v>14.195545874055354</v>
      </c>
      <c r="V108" s="5">
        <f t="shared" si="43"/>
        <v>14.905019492025975</v>
      </c>
      <c r="W108" s="5">
        <f t="shared" si="43"/>
        <v>15.423476437957623</v>
      </c>
      <c r="X108" s="5">
        <f t="shared" si="43"/>
        <v>15.778924994735792</v>
      </c>
      <c r="Y108" s="5">
        <f t="shared" si="43"/>
        <v>16.012084127007363</v>
      </c>
      <c r="Z108" s="5">
        <f t="shared" si="43"/>
        <v>16.160625051723503</v>
      </c>
      <c r="AA108" s="5">
        <f t="shared" si="43"/>
        <v>16.253504085205869</v>
      </c>
      <c r="AB108" s="5">
        <f t="shared" si="43"/>
        <v>16.310901576957821</v>
      </c>
      <c r="AC108" s="5">
        <f t="shared" si="42"/>
        <v>16.346115275995402</v>
      </c>
      <c r="AD108" s="300">
        <f t="shared" si="40"/>
        <v>1.675946235416043E-3</v>
      </c>
      <c r="AE108" s="299">
        <f t="shared" si="40"/>
        <v>1.675946235416043E-3</v>
      </c>
      <c r="AF108" s="299">
        <f t="shared" si="40"/>
        <v>1.675946235416043E-3</v>
      </c>
      <c r="AG108" s="299">
        <f t="shared" si="40"/>
        <v>1.675946235416043E-3</v>
      </c>
      <c r="AH108" s="299">
        <f t="shared" si="40"/>
        <v>1.675946235416043E-3</v>
      </c>
      <c r="AI108" s="299">
        <f t="shared" si="40"/>
        <v>1.6000619025494755E-3</v>
      </c>
      <c r="AJ108" s="299">
        <f t="shared" si="40"/>
        <v>1.5577761702596808E-3</v>
      </c>
      <c r="AK108" s="299">
        <f t="shared" si="40"/>
        <v>1.4974462650508725E-3</v>
      </c>
      <c r="AL108" s="299">
        <f t="shared" si="40"/>
        <v>1.4173799547399736E-3</v>
      </c>
      <c r="AM108" s="299">
        <f t="shared" si="40"/>
        <v>1.3207435797994761E-3</v>
      </c>
      <c r="AN108" s="299">
        <f t="shared" si="40"/>
        <v>1.2166219650547561E-3</v>
      </c>
      <c r="AO108" s="299">
        <f t="shared" si="38"/>
        <v>1.1172974902773618E-3</v>
      </c>
      <c r="AP108" s="299">
        <f t="shared" si="38"/>
        <v>1.032966560816392E-3</v>
      </c>
      <c r="AQ108" s="299">
        <f t="shared" si="38"/>
        <v>9.6816263534098377E-4</v>
      </c>
      <c r="AR108" s="299">
        <f t="shared" si="38"/>
        <v>9.220784388025749E-4</v>
      </c>
      <c r="AS108" s="299">
        <f t="shared" si="38"/>
        <v>8.910829642599815E-4</v>
      </c>
      <c r="AT108" s="299">
        <f t="shared" si="35"/>
        <v>8.7100972392697442E-4</v>
      </c>
      <c r="AU108" s="299">
        <f t="shared" si="35"/>
        <v>8.5832656102200475E-4</v>
      </c>
      <c r="AV108" s="299">
        <f t="shared" si="35"/>
        <v>8.5043722377950524E-4</v>
      </c>
      <c r="AW108" s="299">
        <f t="shared" si="20"/>
        <v>8.4557748479842224E-4</v>
      </c>
      <c r="AX108" s="299">
        <f t="shared" si="20"/>
        <v>8.4260192722544801E-4</v>
      </c>
      <c r="AY108" s="299">
        <f t="shared" si="20"/>
        <v>8.4078674788939044E-4</v>
      </c>
      <c r="AZ108" s="298">
        <f t="shared" si="41"/>
        <v>9.2780027960029002E-2</v>
      </c>
      <c r="BA108" s="1">
        <f t="shared" si="41"/>
        <v>9.2780027960029002E-2</v>
      </c>
      <c r="BB108" s="1">
        <f t="shared" si="41"/>
        <v>9.2780027960029002E-2</v>
      </c>
      <c r="BC108" s="1">
        <f t="shared" si="41"/>
        <v>9.2780027960029002E-2</v>
      </c>
      <c r="BD108" s="1">
        <f t="shared" si="41"/>
        <v>9.2780027960029002E-2</v>
      </c>
      <c r="BE108" s="1">
        <f t="shared" si="41"/>
        <v>8.8579087395046913E-2</v>
      </c>
      <c r="BF108" s="1">
        <f t="shared" si="41"/>
        <v>8.6238158228435821E-2</v>
      </c>
      <c r="BG108" s="1">
        <f t="shared" si="41"/>
        <v>8.2898307477967337E-2</v>
      </c>
      <c r="BH108" s="1">
        <f t="shared" si="41"/>
        <v>7.8465853529074703E-2</v>
      </c>
      <c r="BI108" s="1">
        <f t="shared" si="41"/>
        <v>7.3116084318423702E-2</v>
      </c>
      <c r="BJ108" s="1">
        <f t="shared" si="41"/>
        <v>6.7351933820564591E-2</v>
      </c>
      <c r="BK108" s="1">
        <f t="shared" si="39"/>
        <v>6.1853351973352656E-2</v>
      </c>
      <c r="BL108" s="1">
        <f t="shared" si="39"/>
        <v>5.7184809613256178E-2</v>
      </c>
      <c r="BM108" s="1">
        <f t="shared" si="39"/>
        <v>5.3597278050207295E-2</v>
      </c>
      <c r="BN108" s="1">
        <f t="shared" si="39"/>
        <v>5.104606670881983E-2</v>
      </c>
      <c r="BO108" s="1">
        <f t="shared" si="39"/>
        <v>4.9330163815322597E-2</v>
      </c>
      <c r="BP108" s="1">
        <f t="shared" si="36"/>
        <v>4.8218913489990738E-2</v>
      </c>
      <c r="BQ108" s="1">
        <f t="shared" si="36"/>
        <v>4.7516776282914661E-2</v>
      </c>
      <c r="BR108" s="1">
        <f t="shared" si="36"/>
        <v>4.7080024247272242E-2</v>
      </c>
      <c r="BS108" s="1">
        <f t="shared" si="21"/>
        <v>4.6810990128506855E-2</v>
      </c>
      <c r="BT108" s="1">
        <f t="shared" si="21"/>
        <v>4.6646263892674657E-2</v>
      </c>
      <c r="BU108" s="1">
        <f t="shared" si="21"/>
        <v>4.6545775949808112E-2</v>
      </c>
    </row>
    <row r="109" spans="1:73" x14ac:dyDescent="0.25">
      <c r="A109" s="1" t="s">
        <v>30</v>
      </c>
      <c r="B109" s="1" t="s">
        <v>5</v>
      </c>
      <c r="C109" s="1" t="s">
        <v>9</v>
      </c>
      <c r="D109" s="1" t="s">
        <v>9</v>
      </c>
      <c r="E109" s="5">
        <v>7.92</v>
      </c>
      <c r="F109" s="1">
        <f t="shared" si="30"/>
        <v>1.9404000000000001E-2</v>
      </c>
      <c r="G109" s="1">
        <f>LOOKUP(RIGHT(D109,5),Ref!$C$4:$C$21,Ref!$E$4:$E$21)*$G$3</f>
        <v>4.5</v>
      </c>
      <c r="H109" s="297">
        <f t="shared" si="44"/>
        <v>7.92</v>
      </c>
      <c r="I109" s="5">
        <f t="shared" si="44"/>
        <v>7.92</v>
      </c>
      <c r="J109" s="5">
        <f t="shared" si="44"/>
        <v>7.92</v>
      </c>
      <c r="K109" s="5">
        <f t="shared" si="44"/>
        <v>7.92</v>
      </c>
      <c r="L109" s="5">
        <f t="shared" si="44"/>
        <v>7.92</v>
      </c>
      <c r="M109" s="5">
        <f t="shared" si="43"/>
        <v>8.2956129155663287</v>
      </c>
      <c r="N109" s="5">
        <f t="shared" si="43"/>
        <v>8.5207967857682476</v>
      </c>
      <c r="O109" s="5">
        <f t="shared" si="43"/>
        <v>8.8640871424151708</v>
      </c>
      <c r="P109" s="5">
        <f t="shared" si="43"/>
        <v>9.3648101485463418</v>
      </c>
      <c r="Q109" s="5">
        <f t="shared" si="43"/>
        <v>10.050016057250362</v>
      </c>
      <c r="R109" s="5">
        <f t="shared" si="43"/>
        <v>10.910122096881313</v>
      </c>
      <c r="S109" s="5">
        <f t="shared" si="43"/>
        <v>11.879999999999999</v>
      </c>
      <c r="T109" s="5">
        <f t="shared" si="43"/>
        <v>12.849877903118687</v>
      </c>
      <c r="U109" s="5">
        <f t="shared" si="43"/>
        <v>13.709983942749638</v>
      </c>
      <c r="V109" s="5">
        <f t="shared" si="43"/>
        <v>14.395189851453658</v>
      </c>
      <c r="W109" s="5">
        <f t="shared" si="43"/>
        <v>14.895912857584827</v>
      </c>
      <c r="X109" s="5">
        <f t="shared" si="43"/>
        <v>15.239203214231752</v>
      </c>
      <c r="Y109" s="5">
        <f t="shared" si="43"/>
        <v>15.464387084433671</v>
      </c>
      <c r="Z109" s="5">
        <f t="shared" si="43"/>
        <v>15.607847132449258</v>
      </c>
      <c r="AA109" s="5">
        <f t="shared" si="43"/>
        <v>15.697549217100235</v>
      </c>
      <c r="AB109" s="5">
        <f t="shared" si="43"/>
        <v>15.752983414365703</v>
      </c>
      <c r="AC109" s="5">
        <f t="shared" si="42"/>
        <v>15.786992620679666</v>
      </c>
      <c r="AD109" s="300">
        <f t="shared" si="40"/>
        <v>1.7353026645870278E-3</v>
      </c>
      <c r="AE109" s="299">
        <f t="shared" si="40"/>
        <v>1.7353026645870278E-3</v>
      </c>
      <c r="AF109" s="299">
        <f t="shared" si="40"/>
        <v>1.7353026645870278E-3</v>
      </c>
      <c r="AG109" s="299">
        <f t="shared" si="40"/>
        <v>1.7353026645870278E-3</v>
      </c>
      <c r="AH109" s="299">
        <f t="shared" si="40"/>
        <v>1.7353026645870278E-3</v>
      </c>
      <c r="AI109" s="299">
        <f t="shared" si="40"/>
        <v>1.6567307615981024E-3</v>
      </c>
      <c r="AJ109" s="299">
        <f t="shared" si="40"/>
        <v>1.6129474096230447E-3</v>
      </c>
      <c r="AK109" s="299">
        <f t="shared" si="40"/>
        <v>1.5504808202714243E-3</v>
      </c>
      <c r="AL109" s="299">
        <f t="shared" si="40"/>
        <v>1.4675788281370145E-3</v>
      </c>
      <c r="AM109" s="299">
        <f t="shared" si="40"/>
        <v>1.3675199149173743E-3</v>
      </c>
      <c r="AN109" s="299">
        <f t="shared" si="40"/>
        <v>1.2597106596504454E-3</v>
      </c>
      <c r="AO109" s="299">
        <f t="shared" si="38"/>
        <v>1.1568684430580186E-3</v>
      </c>
      <c r="AP109" s="299">
        <f t="shared" si="38"/>
        <v>1.0695507931786391E-3</v>
      </c>
      <c r="AQ109" s="299">
        <f t="shared" si="38"/>
        <v>1.0024517286759769E-3</v>
      </c>
      <c r="AR109" s="299">
        <f t="shared" si="38"/>
        <v>9.5473538351016607E-4</v>
      </c>
      <c r="AS109" s="299">
        <f t="shared" si="38"/>
        <v>9.2264215257752255E-4</v>
      </c>
      <c r="AT109" s="299">
        <f t="shared" si="35"/>
        <v>9.0185798498272141E-4</v>
      </c>
      <c r="AU109" s="299">
        <f t="shared" si="35"/>
        <v>8.8872562672486746E-4</v>
      </c>
      <c r="AV109" s="299">
        <f t="shared" si="35"/>
        <v>8.8055687545502944E-4</v>
      </c>
      <c r="AW109" s="299">
        <f t="shared" si="20"/>
        <v>8.7552502071836641E-4</v>
      </c>
      <c r="AX109" s="299">
        <f t="shared" si="20"/>
        <v>8.7244407881468264E-4</v>
      </c>
      <c r="AY109" s="299">
        <f t="shared" si="20"/>
        <v>8.7056461187713955E-4</v>
      </c>
      <c r="AZ109" s="298">
        <f t="shared" si="41"/>
        <v>9.606598728361336E-2</v>
      </c>
      <c r="BA109" s="1">
        <f t="shared" si="41"/>
        <v>9.606598728361336E-2</v>
      </c>
      <c r="BB109" s="1">
        <f t="shared" si="41"/>
        <v>9.606598728361336E-2</v>
      </c>
      <c r="BC109" s="1">
        <f t="shared" si="41"/>
        <v>9.606598728361336E-2</v>
      </c>
      <c r="BD109" s="1">
        <f t="shared" si="41"/>
        <v>9.606598728361336E-2</v>
      </c>
      <c r="BE109" s="1">
        <f t="shared" si="41"/>
        <v>9.1716263406954809E-2</v>
      </c>
      <c r="BF109" s="1">
        <f t="shared" si="41"/>
        <v>8.9292426332359606E-2</v>
      </c>
      <c r="BG109" s="1">
        <f t="shared" si="41"/>
        <v>8.5834289201145345E-2</v>
      </c>
      <c r="BH109" s="1">
        <f t="shared" si="41"/>
        <v>8.1244852508229437E-2</v>
      </c>
      <c r="BI109" s="1">
        <f t="shared" si="41"/>
        <v>7.5705612304701214E-2</v>
      </c>
      <c r="BJ109" s="1">
        <f t="shared" si="41"/>
        <v>6.973731481004293E-2</v>
      </c>
      <c r="BK109" s="1">
        <f t="shared" si="39"/>
        <v>6.4043991522408902E-2</v>
      </c>
      <c r="BL109" s="1">
        <f t="shared" si="39"/>
        <v>5.9210104953725667E-2</v>
      </c>
      <c r="BM109" s="1">
        <f t="shared" si="39"/>
        <v>5.5495514981152134E-2</v>
      </c>
      <c r="BN109" s="1">
        <f t="shared" si="39"/>
        <v>5.2853948238090531E-2</v>
      </c>
      <c r="BO109" s="1">
        <f t="shared" si="39"/>
        <v>5.1077273783781935E-2</v>
      </c>
      <c r="BP109" s="1">
        <f t="shared" si="36"/>
        <v>4.9926666676094578E-2</v>
      </c>
      <c r="BQ109" s="1">
        <f t="shared" si="36"/>
        <v>4.9199662109601222E-2</v>
      </c>
      <c r="BR109" s="1">
        <f t="shared" si="36"/>
        <v>4.8747441772696472E-2</v>
      </c>
      <c r="BS109" s="1">
        <f t="shared" si="21"/>
        <v>4.8468879362224805E-2</v>
      </c>
      <c r="BT109" s="1">
        <f t="shared" si="21"/>
        <v>4.8298319072206886E-2</v>
      </c>
      <c r="BU109" s="1">
        <f t="shared" si="21"/>
        <v>4.8194272181363809E-2</v>
      </c>
    </row>
    <row r="110" spans="1:73" x14ac:dyDescent="0.25">
      <c r="A110" s="1" t="s">
        <v>31</v>
      </c>
      <c r="B110" s="1" t="s">
        <v>5</v>
      </c>
      <c r="C110" s="1" t="s">
        <v>6</v>
      </c>
      <c r="D110" s="1" t="s">
        <v>6</v>
      </c>
      <c r="E110" s="5">
        <v>7.7549999999999999</v>
      </c>
      <c r="F110" s="1">
        <f t="shared" si="30"/>
        <v>1.8999749999999999E-2</v>
      </c>
      <c r="G110" s="1">
        <f>LOOKUP(RIGHT(D110,5),Ref!$C$4:$C$21,Ref!$E$4:$E$21)*$G$3</f>
        <v>3</v>
      </c>
      <c r="H110" s="297">
        <f t="shared" si="44"/>
        <v>7.7549999999999999</v>
      </c>
      <c r="I110" s="5">
        <f t="shared" si="44"/>
        <v>7.7549999999999999</v>
      </c>
      <c r="J110" s="5">
        <f t="shared" si="44"/>
        <v>7.7549999999999999</v>
      </c>
      <c r="K110" s="5">
        <f t="shared" si="44"/>
        <v>7.7549999999999999</v>
      </c>
      <c r="L110" s="5">
        <f t="shared" si="44"/>
        <v>7.7549999999999999</v>
      </c>
      <c r="M110" s="5">
        <f t="shared" si="43"/>
        <v>8.1227876464920303</v>
      </c>
      <c r="N110" s="5">
        <f t="shared" si="43"/>
        <v>8.3432801860647423</v>
      </c>
      <c r="O110" s="5">
        <f t="shared" si="43"/>
        <v>8.679418660281522</v>
      </c>
      <c r="P110" s="5">
        <f t="shared" si="43"/>
        <v>9.1697099371182933</v>
      </c>
      <c r="Q110" s="5">
        <f t="shared" si="43"/>
        <v>9.8406407227243129</v>
      </c>
      <c r="R110" s="5">
        <f t="shared" si="43"/>
        <v>10.682827886529619</v>
      </c>
      <c r="S110" s="5">
        <f t="shared" si="43"/>
        <v>11.6325</v>
      </c>
      <c r="T110" s="5">
        <f t="shared" si="43"/>
        <v>12.582172113470381</v>
      </c>
      <c r="U110" s="5">
        <f t="shared" si="43"/>
        <v>13.424359277275688</v>
      </c>
      <c r="V110" s="5">
        <f t="shared" si="43"/>
        <v>14.095290062881705</v>
      </c>
      <c r="W110" s="5">
        <f t="shared" si="43"/>
        <v>14.585581339718477</v>
      </c>
      <c r="X110" s="5">
        <f t="shared" si="43"/>
        <v>14.921719813935256</v>
      </c>
      <c r="Y110" s="5">
        <f t="shared" si="43"/>
        <v>15.14221235350797</v>
      </c>
      <c r="Z110" s="5">
        <f t="shared" si="43"/>
        <v>15.282683650523232</v>
      </c>
      <c r="AA110" s="5">
        <f t="shared" si="43"/>
        <v>15.370516941743979</v>
      </c>
      <c r="AB110" s="5">
        <f t="shared" si="43"/>
        <v>15.42479625989975</v>
      </c>
      <c r="AC110" s="5">
        <f t="shared" si="42"/>
        <v>15.458096941082172</v>
      </c>
      <c r="AD110" s="300">
        <f t="shared" si="40"/>
        <v>1.7722239978761134E-3</v>
      </c>
      <c r="AE110" s="299">
        <f t="shared" si="40"/>
        <v>1.7722239978761134E-3</v>
      </c>
      <c r="AF110" s="299">
        <f t="shared" si="40"/>
        <v>1.7722239978761134E-3</v>
      </c>
      <c r="AG110" s="299">
        <f t="shared" si="40"/>
        <v>1.7722239978761134E-3</v>
      </c>
      <c r="AH110" s="299">
        <f t="shared" si="40"/>
        <v>1.7722239978761134E-3</v>
      </c>
      <c r="AI110" s="299">
        <f t="shared" si="40"/>
        <v>1.6919803522704026E-3</v>
      </c>
      <c r="AJ110" s="299">
        <f t="shared" si="40"/>
        <v>1.6472654396150243E-3</v>
      </c>
      <c r="AK110" s="299">
        <f t="shared" si="40"/>
        <v>1.5834697738942205E-3</v>
      </c>
      <c r="AL110" s="299">
        <f t="shared" si="40"/>
        <v>1.4988039095867381E-3</v>
      </c>
      <c r="AM110" s="299">
        <f t="shared" si="40"/>
        <v>1.3966160833198714E-3</v>
      </c>
      <c r="AN110" s="299">
        <f t="shared" si="40"/>
        <v>1.2865130141110931E-3</v>
      </c>
      <c r="AO110" s="299">
        <f t="shared" si="38"/>
        <v>1.1814826652507423E-3</v>
      </c>
      <c r="AP110" s="299">
        <f t="shared" si="38"/>
        <v>1.0923071930335037E-3</v>
      </c>
      <c r="AQ110" s="299">
        <f t="shared" si="38"/>
        <v>1.023780488860572E-3</v>
      </c>
      <c r="AR110" s="299">
        <f t="shared" si="38"/>
        <v>9.7504890230825487E-4</v>
      </c>
      <c r="AS110" s="299">
        <f t="shared" si="38"/>
        <v>9.422728366749166E-4</v>
      </c>
      <c r="AT110" s="299">
        <f t="shared" si="35"/>
        <v>9.210464527483113E-4</v>
      </c>
      <c r="AU110" s="299">
        <f t="shared" si="35"/>
        <v>9.0763468261263053E-4</v>
      </c>
      <c r="AV110" s="299">
        <f t="shared" si="35"/>
        <v>8.9929212812428537E-4</v>
      </c>
      <c r="AW110" s="299">
        <f t="shared" si="20"/>
        <v>8.9415321264854446E-4</v>
      </c>
      <c r="AX110" s="299">
        <f t="shared" si="20"/>
        <v>8.9100671878946313E-4</v>
      </c>
      <c r="AY110" s="299">
        <f t="shared" si="20"/>
        <v>8.8908726319367453E-4</v>
      </c>
      <c r="AZ110" s="298">
        <f t="shared" si="41"/>
        <v>9.8109944459860446E-2</v>
      </c>
      <c r="BA110" s="1">
        <f t="shared" si="41"/>
        <v>9.8109944459860446E-2</v>
      </c>
      <c r="BB110" s="1">
        <f t="shared" si="41"/>
        <v>9.8109944459860446E-2</v>
      </c>
      <c r="BC110" s="1">
        <f t="shared" si="41"/>
        <v>9.8109944459860446E-2</v>
      </c>
      <c r="BD110" s="1">
        <f t="shared" si="41"/>
        <v>9.8109944459860446E-2</v>
      </c>
      <c r="BE110" s="1">
        <f t="shared" si="41"/>
        <v>9.3667673266677257E-2</v>
      </c>
      <c r="BF110" s="1">
        <f t="shared" si="41"/>
        <v>9.119226519049492E-2</v>
      </c>
      <c r="BG110" s="1">
        <f t="shared" si="41"/>
        <v>8.7660550673510126E-2</v>
      </c>
      <c r="BH110" s="1">
        <f t="shared" si="41"/>
        <v>8.2973466391383255E-2</v>
      </c>
      <c r="BI110" s="1">
        <f t="shared" si="41"/>
        <v>7.7316370013311875E-2</v>
      </c>
      <c r="BJ110" s="1">
        <f t="shared" si="41"/>
        <v>7.1221087465575747E-2</v>
      </c>
      <c r="BK110" s="1">
        <f t="shared" si="39"/>
        <v>6.5406629639906969E-2</v>
      </c>
      <c r="BL110" s="1">
        <f t="shared" si="39"/>
        <v>6.046989442082621E-2</v>
      </c>
      <c r="BM110" s="1">
        <f t="shared" si="39"/>
        <v>5.6676270619048986E-2</v>
      </c>
      <c r="BN110" s="1">
        <f t="shared" si="39"/>
        <v>5.3978500328262673E-2</v>
      </c>
      <c r="BO110" s="1">
        <f t="shared" si="39"/>
        <v>5.2164024289819852E-2</v>
      </c>
      <c r="BP110" s="1">
        <f t="shared" si="36"/>
        <v>5.0988936179841272E-2</v>
      </c>
      <c r="BQ110" s="1">
        <f t="shared" si="36"/>
        <v>5.0246463431082092E-2</v>
      </c>
      <c r="BR110" s="1">
        <f t="shared" si="36"/>
        <v>4.9784621384881503E-2</v>
      </c>
      <c r="BS110" s="1">
        <f t="shared" si="21"/>
        <v>4.9500132114612572E-2</v>
      </c>
      <c r="BT110" s="1">
        <f t="shared" si="21"/>
        <v>4.9325942882253844E-2</v>
      </c>
      <c r="BU110" s="1">
        <f t="shared" si="21"/>
        <v>4.9219682227775813E-2</v>
      </c>
    </row>
    <row r="111" spans="1:73" x14ac:dyDescent="0.25">
      <c r="A111" s="1" t="s">
        <v>31</v>
      </c>
      <c r="B111" s="1" t="s">
        <v>5</v>
      </c>
      <c r="C111" s="1" t="s">
        <v>7</v>
      </c>
      <c r="D111" s="1" t="s">
        <v>7</v>
      </c>
      <c r="E111" s="5">
        <v>7.6065000000000005</v>
      </c>
      <c r="F111" s="1">
        <f t="shared" si="30"/>
        <v>1.8635925000000001E-2</v>
      </c>
      <c r="G111" s="1">
        <f>LOOKUP(RIGHT(D111,5),Ref!$C$4:$C$21,Ref!$E$4:$E$21)*$G$3</f>
        <v>3.5</v>
      </c>
      <c r="H111" s="297">
        <f t="shared" si="44"/>
        <v>7.6065000000000005</v>
      </c>
      <c r="I111" s="5">
        <f t="shared" si="44"/>
        <v>7.6065000000000005</v>
      </c>
      <c r="J111" s="5">
        <f t="shared" si="44"/>
        <v>7.6065000000000005</v>
      </c>
      <c r="K111" s="5">
        <f t="shared" si="44"/>
        <v>7.6065000000000005</v>
      </c>
      <c r="L111" s="5">
        <f t="shared" si="44"/>
        <v>7.6065000000000005</v>
      </c>
      <c r="M111" s="5">
        <f t="shared" si="43"/>
        <v>7.9672449043251623</v>
      </c>
      <c r="N111" s="5">
        <f t="shared" si="43"/>
        <v>8.1835152463315897</v>
      </c>
      <c r="O111" s="5">
        <f t="shared" si="43"/>
        <v>8.5132170263612377</v>
      </c>
      <c r="P111" s="5">
        <f t="shared" si="43"/>
        <v>8.99411974683305</v>
      </c>
      <c r="Q111" s="5">
        <f t="shared" si="43"/>
        <v>9.6522029216508685</v>
      </c>
      <c r="R111" s="5">
        <f t="shared" si="43"/>
        <v>10.478263097213095</v>
      </c>
      <c r="S111" s="5">
        <f t="shared" si="43"/>
        <v>11.409750000000001</v>
      </c>
      <c r="T111" s="5">
        <f t="shared" si="43"/>
        <v>12.341236902786907</v>
      </c>
      <c r="U111" s="5">
        <f t="shared" si="43"/>
        <v>13.167297078349133</v>
      </c>
      <c r="V111" s="5">
        <f t="shared" si="43"/>
        <v>13.825380253166951</v>
      </c>
      <c r="W111" s="5">
        <f t="shared" si="43"/>
        <v>14.306282973638762</v>
      </c>
      <c r="X111" s="5">
        <f t="shared" si="43"/>
        <v>14.635984753668412</v>
      </c>
      <c r="Y111" s="5">
        <f t="shared" si="43"/>
        <v>14.85225509567484</v>
      </c>
      <c r="Z111" s="5">
        <f t="shared" si="43"/>
        <v>14.990036516789809</v>
      </c>
      <c r="AA111" s="5">
        <f t="shared" si="43"/>
        <v>15.076187893923352</v>
      </c>
      <c r="AB111" s="5">
        <f t="shared" si="43"/>
        <v>15.129427820880395</v>
      </c>
      <c r="AC111" s="5">
        <f t="shared" si="42"/>
        <v>15.162090829444429</v>
      </c>
      <c r="AD111" s="300">
        <f t="shared" si="40"/>
        <v>1.8068227310233693E-3</v>
      </c>
      <c r="AE111" s="299">
        <f t="shared" si="40"/>
        <v>1.8068227310233693E-3</v>
      </c>
      <c r="AF111" s="299">
        <f t="shared" si="40"/>
        <v>1.8068227310233693E-3</v>
      </c>
      <c r="AG111" s="299">
        <f t="shared" si="40"/>
        <v>1.8068227310233693E-3</v>
      </c>
      <c r="AH111" s="299">
        <f t="shared" si="40"/>
        <v>1.8068227310233693E-3</v>
      </c>
      <c r="AI111" s="299">
        <f t="shared" si="40"/>
        <v>1.7250125066531217E-3</v>
      </c>
      <c r="AJ111" s="299">
        <f t="shared" si="40"/>
        <v>1.679424634748506E-3</v>
      </c>
      <c r="AK111" s="299">
        <f t="shared" si="40"/>
        <v>1.6143835004995305E-3</v>
      </c>
      <c r="AL111" s="299">
        <f t="shared" si="40"/>
        <v>1.5280647234398412E-3</v>
      </c>
      <c r="AM111" s="299">
        <f t="shared" si="40"/>
        <v>1.4238819070723201E-3</v>
      </c>
      <c r="AN111" s="299">
        <f t="shared" si="40"/>
        <v>1.311629320243414E-3</v>
      </c>
      <c r="AO111" s="299">
        <f t="shared" si="38"/>
        <v>1.2045484873489129E-3</v>
      </c>
      <c r="AP111" s="299">
        <f t="shared" si="38"/>
        <v>1.113632062311815E-3</v>
      </c>
      <c r="AQ111" s="299">
        <f t="shared" si="38"/>
        <v>1.0437675266040539E-3</v>
      </c>
      <c r="AR111" s="299">
        <f t="shared" si="38"/>
        <v>9.9408456417544411E-4</v>
      </c>
      <c r="AS111" s="299">
        <f t="shared" si="38"/>
        <v>9.606686187358151E-4</v>
      </c>
      <c r="AT111" s="299">
        <f t="shared" si="35"/>
        <v>9.390278368583651E-4</v>
      </c>
      <c r="AU111" s="299">
        <f t="shared" si="35"/>
        <v>9.2535423173088142E-4</v>
      </c>
      <c r="AV111" s="299">
        <f t="shared" si="35"/>
        <v>9.1684880741521493E-4</v>
      </c>
      <c r="AW111" s="299">
        <f t="shared" si="20"/>
        <v>9.1160956604081521E-4</v>
      </c>
      <c r="AX111" s="299">
        <f t="shared" si="20"/>
        <v>9.0840164388513583E-4</v>
      </c>
      <c r="AY111" s="299">
        <f t="shared" si="20"/>
        <v>9.0644471518660954E-4</v>
      </c>
      <c r="AZ111" s="298">
        <f t="shared" si="41"/>
        <v>0.10002532298510718</v>
      </c>
      <c r="BA111" s="1">
        <f t="shared" si="41"/>
        <v>0.10002532298510718</v>
      </c>
      <c r="BB111" s="1">
        <f t="shared" si="41"/>
        <v>0.10002532298510718</v>
      </c>
      <c r="BC111" s="1">
        <f t="shared" si="41"/>
        <v>0.10002532298510718</v>
      </c>
      <c r="BD111" s="1">
        <f t="shared" si="41"/>
        <v>0.10002532298510718</v>
      </c>
      <c r="BE111" s="1">
        <f t="shared" si="41"/>
        <v>9.5496326323944267E-2</v>
      </c>
      <c r="BF111" s="1">
        <f t="shared" si="41"/>
        <v>9.2972591408964425E-2</v>
      </c>
      <c r="BG111" s="1">
        <f t="shared" si="41"/>
        <v>8.9371928018546112E-2</v>
      </c>
      <c r="BH111" s="1">
        <f t="shared" si="41"/>
        <v>8.4593338837202006E-2</v>
      </c>
      <c r="BI111" s="1">
        <f t="shared" si="41"/>
        <v>7.8825800230491502E-2</v>
      </c>
      <c r="BJ111" s="1">
        <f t="shared" si="41"/>
        <v>7.2611520843428645E-2</v>
      </c>
      <c r="BK111" s="1">
        <f t="shared" si="39"/>
        <v>6.6683548656738117E-2</v>
      </c>
      <c r="BL111" s="1">
        <f t="shared" si="39"/>
        <v>6.1650434658976828E-2</v>
      </c>
      <c r="BM111" s="1">
        <f t="shared" si="39"/>
        <v>5.7782748787316748E-2</v>
      </c>
      <c r="BN111" s="1">
        <f t="shared" si="39"/>
        <v>5.5032310529899035E-2</v>
      </c>
      <c r="BO111" s="1">
        <f t="shared" si="39"/>
        <v>5.3182410881161234E-2</v>
      </c>
      <c r="BP111" s="1">
        <f t="shared" si="36"/>
        <v>5.1984381788558347E-2</v>
      </c>
      <c r="BQ111" s="1">
        <f t="shared" si="36"/>
        <v>5.1227413910213848E-2</v>
      </c>
      <c r="BR111" s="1">
        <f t="shared" si="36"/>
        <v>5.0756555424933417E-2</v>
      </c>
      <c r="BS111" s="1">
        <f t="shared" si="21"/>
        <v>5.0466512134203702E-2</v>
      </c>
      <c r="BT111" s="1">
        <f t="shared" si="21"/>
        <v>5.0288922244380266E-2</v>
      </c>
      <c r="BU111" s="1">
        <f t="shared" si="21"/>
        <v>5.01805870868864E-2</v>
      </c>
    </row>
    <row r="112" spans="1:73" x14ac:dyDescent="0.25">
      <c r="A112" s="1" t="s">
        <v>31</v>
      </c>
      <c r="B112" s="1" t="s">
        <v>5</v>
      </c>
      <c r="C112" s="1" t="s">
        <v>8</v>
      </c>
      <c r="D112" s="1" t="s">
        <v>8</v>
      </c>
      <c r="E112" s="5">
        <v>8.91</v>
      </c>
      <c r="F112" s="1">
        <f t="shared" si="30"/>
        <v>2.1829499999999998E-2</v>
      </c>
      <c r="G112" s="1">
        <f>LOOKUP(RIGHT(D112,5),Ref!$C$4:$C$21,Ref!$E$4:$E$21)*$G$3</f>
        <v>4</v>
      </c>
      <c r="H112" s="297">
        <f t="shared" si="44"/>
        <v>8.91</v>
      </c>
      <c r="I112" s="5">
        <f t="shared" si="44"/>
        <v>8.91</v>
      </c>
      <c r="J112" s="5">
        <f t="shared" si="44"/>
        <v>8.91</v>
      </c>
      <c r="K112" s="5">
        <f t="shared" si="44"/>
        <v>8.91</v>
      </c>
      <c r="L112" s="5">
        <f t="shared" si="44"/>
        <v>8.91</v>
      </c>
      <c r="M112" s="5">
        <f t="shared" si="43"/>
        <v>9.3325645300121192</v>
      </c>
      <c r="N112" s="5">
        <f t="shared" si="43"/>
        <v>9.5858963839892795</v>
      </c>
      <c r="O112" s="5">
        <f t="shared" si="43"/>
        <v>9.9720980352170674</v>
      </c>
      <c r="P112" s="5">
        <f t="shared" si="43"/>
        <v>10.535411417114636</v>
      </c>
      <c r="Q112" s="5">
        <f t="shared" si="43"/>
        <v>11.306268064406657</v>
      </c>
      <c r="R112" s="5">
        <f t="shared" si="43"/>
        <v>12.273887358991477</v>
      </c>
      <c r="S112" s="5">
        <f t="shared" si="43"/>
        <v>13.365</v>
      </c>
      <c r="T112" s="5">
        <f t="shared" si="43"/>
        <v>14.456112641008524</v>
      </c>
      <c r="U112" s="5">
        <f t="shared" si="43"/>
        <v>15.423731935593343</v>
      </c>
      <c r="V112" s="5">
        <f t="shared" si="43"/>
        <v>16.194588582885366</v>
      </c>
      <c r="W112" s="5">
        <f t="shared" si="43"/>
        <v>16.757901964782931</v>
      </c>
      <c r="X112" s="5">
        <f t="shared" si="43"/>
        <v>17.144103616010721</v>
      </c>
      <c r="Y112" s="5">
        <f t="shared" si="43"/>
        <v>17.397435469987879</v>
      </c>
      <c r="Z112" s="5">
        <f t="shared" si="43"/>
        <v>17.558828024005415</v>
      </c>
      <c r="AA112" s="5">
        <f t="shared" si="43"/>
        <v>17.659742869237764</v>
      </c>
      <c r="AB112" s="5">
        <f t="shared" si="43"/>
        <v>17.722106341161417</v>
      </c>
      <c r="AC112" s="5">
        <f t="shared" si="42"/>
        <v>17.760366698264622</v>
      </c>
      <c r="AD112" s="300">
        <f t="shared" si="40"/>
        <v>1.5424912574106913E-3</v>
      </c>
      <c r="AE112" s="299">
        <f t="shared" si="40"/>
        <v>1.5424912574106913E-3</v>
      </c>
      <c r="AF112" s="299">
        <f t="shared" si="40"/>
        <v>1.5424912574106913E-3</v>
      </c>
      <c r="AG112" s="299">
        <f t="shared" si="40"/>
        <v>1.5424912574106913E-3</v>
      </c>
      <c r="AH112" s="299">
        <f t="shared" si="40"/>
        <v>1.5424912574106913E-3</v>
      </c>
      <c r="AI112" s="299">
        <f t="shared" si="40"/>
        <v>1.4726495658649802E-3</v>
      </c>
      <c r="AJ112" s="299">
        <f t="shared" si="40"/>
        <v>1.4337310307760394E-3</v>
      </c>
      <c r="AK112" s="299">
        <f t="shared" si="40"/>
        <v>1.3782051735745993E-3</v>
      </c>
      <c r="AL112" s="299">
        <f t="shared" si="40"/>
        <v>1.3045145138995682E-3</v>
      </c>
      <c r="AM112" s="299">
        <f t="shared" si="40"/>
        <v>1.2155732577043327E-3</v>
      </c>
      <c r="AN112" s="299">
        <f t="shared" si="40"/>
        <v>1.1197428085781738E-3</v>
      </c>
      <c r="AO112" s="299">
        <f t="shared" si="38"/>
        <v>1.0283275049404609E-3</v>
      </c>
      <c r="AP112" s="299">
        <f t="shared" si="38"/>
        <v>9.5071181615879032E-4</v>
      </c>
      <c r="AQ112" s="299">
        <f t="shared" si="38"/>
        <v>8.9106820326753493E-4</v>
      </c>
      <c r="AR112" s="299">
        <f t="shared" si="38"/>
        <v>8.4865367423125871E-4</v>
      </c>
      <c r="AS112" s="299">
        <f t="shared" si="38"/>
        <v>8.2012635784668665E-4</v>
      </c>
      <c r="AT112" s="299">
        <f t="shared" si="35"/>
        <v>8.0165154220686351E-4</v>
      </c>
      <c r="AU112" s="299">
        <f t="shared" si="35"/>
        <v>7.8997833486654887E-4</v>
      </c>
      <c r="AV112" s="299">
        <f t="shared" si="35"/>
        <v>7.8271722262669284E-4</v>
      </c>
      <c r="AW112" s="299">
        <f t="shared" si="35"/>
        <v>7.782444628607702E-4</v>
      </c>
      <c r="AX112" s="299">
        <f t="shared" si="35"/>
        <v>7.7550584783527335E-4</v>
      </c>
      <c r="AY112" s="299">
        <f t="shared" si="35"/>
        <v>7.7383521055745749E-4</v>
      </c>
      <c r="AZ112" s="298">
        <f t="shared" si="41"/>
        <v>8.5391988696545199E-2</v>
      </c>
      <c r="BA112" s="1">
        <f t="shared" si="41"/>
        <v>8.5391988696545199E-2</v>
      </c>
      <c r="BB112" s="1">
        <f t="shared" si="41"/>
        <v>8.5391988696545199E-2</v>
      </c>
      <c r="BC112" s="1">
        <f t="shared" si="41"/>
        <v>8.5391988696545199E-2</v>
      </c>
      <c r="BD112" s="1">
        <f t="shared" si="41"/>
        <v>8.5391988696545199E-2</v>
      </c>
      <c r="BE112" s="1">
        <f t="shared" si="41"/>
        <v>8.1525567472848726E-2</v>
      </c>
      <c r="BF112" s="1">
        <f t="shared" si="41"/>
        <v>7.9371045628764084E-2</v>
      </c>
      <c r="BG112" s="1">
        <f t="shared" si="41"/>
        <v>7.6297145956573637E-2</v>
      </c>
      <c r="BH112" s="1">
        <f t="shared" si="41"/>
        <v>7.2217646673981714E-2</v>
      </c>
      <c r="BI112" s="1">
        <f t="shared" si="41"/>
        <v>6.7293877604178862E-2</v>
      </c>
      <c r="BJ112" s="1">
        <f t="shared" si="41"/>
        <v>6.1988724275593717E-2</v>
      </c>
      <c r="BK112" s="1">
        <f t="shared" si="39"/>
        <v>5.6927992464363468E-2</v>
      </c>
      <c r="BL112" s="1">
        <f t="shared" si="39"/>
        <v>5.2631204403311704E-2</v>
      </c>
      <c r="BM112" s="1">
        <f t="shared" si="39"/>
        <v>4.9329346649913008E-2</v>
      </c>
      <c r="BN112" s="1">
        <f t="shared" si="39"/>
        <v>4.6981287322747138E-2</v>
      </c>
      <c r="BO112" s="1">
        <f t="shared" si="39"/>
        <v>4.5402021141139497E-2</v>
      </c>
      <c r="BP112" s="1">
        <f t="shared" si="36"/>
        <v>4.4379259267639623E-2</v>
      </c>
      <c r="BQ112" s="1">
        <f t="shared" si="36"/>
        <v>4.3733032986312197E-2</v>
      </c>
      <c r="BR112" s="1">
        <f t="shared" si="36"/>
        <v>4.3331059353507978E-2</v>
      </c>
      <c r="BS112" s="1">
        <f t="shared" si="36"/>
        <v>4.3083448321977608E-2</v>
      </c>
      <c r="BT112" s="1">
        <f t="shared" si="36"/>
        <v>4.2931839175295007E-2</v>
      </c>
      <c r="BU112" s="1">
        <f t="shared" si="36"/>
        <v>4.283935305010117E-2</v>
      </c>
    </row>
    <row r="113" spans="1:73" x14ac:dyDescent="0.25">
      <c r="A113" s="1" t="s">
        <v>31</v>
      </c>
      <c r="B113" s="1" t="s">
        <v>5</v>
      </c>
      <c r="C113" s="1" t="s">
        <v>9</v>
      </c>
      <c r="D113" s="1" t="s">
        <v>9</v>
      </c>
      <c r="E113" s="5">
        <v>8.7697500000000002</v>
      </c>
      <c r="F113" s="1">
        <f t="shared" si="30"/>
        <v>2.1485887500000002E-2</v>
      </c>
      <c r="G113" s="1">
        <f>LOOKUP(RIGHT(D113,5),Ref!$C$4:$C$21,Ref!$E$4:$E$21)*$G$3</f>
        <v>4.5</v>
      </c>
      <c r="H113" s="297">
        <f t="shared" si="44"/>
        <v>8.7697500000000002</v>
      </c>
      <c r="I113" s="5">
        <f t="shared" si="44"/>
        <v>8.7697500000000002</v>
      </c>
      <c r="J113" s="5">
        <f t="shared" si="44"/>
        <v>8.7697500000000002</v>
      </c>
      <c r="K113" s="5">
        <f t="shared" si="44"/>
        <v>8.7697500000000002</v>
      </c>
      <c r="L113" s="5">
        <f t="shared" si="44"/>
        <v>8.7697500000000002</v>
      </c>
      <c r="M113" s="5">
        <f t="shared" si="43"/>
        <v>9.1856630512989668</v>
      </c>
      <c r="N113" s="5">
        <f t="shared" si="43"/>
        <v>9.4350072742413005</v>
      </c>
      <c r="O113" s="5">
        <f t="shared" si="43"/>
        <v>9.8151298254034653</v>
      </c>
      <c r="P113" s="5">
        <f t="shared" si="43"/>
        <v>10.369576237400794</v>
      </c>
      <c r="Q113" s="5">
        <f t="shared" si="43"/>
        <v>11.128299030059516</v>
      </c>
      <c r="R113" s="5">
        <f t="shared" si="43"/>
        <v>12.080687280192537</v>
      </c>
      <c r="S113" s="5">
        <f t="shared" si="43"/>
        <v>13.154624999999999</v>
      </c>
      <c r="T113" s="5">
        <f t="shared" si="43"/>
        <v>14.228562719807464</v>
      </c>
      <c r="U113" s="5">
        <f t="shared" si="43"/>
        <v>15.180950969940485</v>
      </c>
      <c r="V113" s="5">
        <f t="shared" si="43"/>
        <v>15.939673762599206</v>
      </c>
      <c r="W113" s="5">
        <f t="shared" si="43"/>
        <v>16.494120174596532</v>
      </c>
      <c r="X113" s="5">
        <f t="shared" si="43"/>
        <v>16.874242725758702</v>
      </c>
      <c r="Y113" s="5">
        <f t="shared" si="43"/>
        <v>17.123586948701035</v>
      </c>
      <c r="Z113" s="5">
        <f t="shared" si="43"/>
        <v>17.282439064368294</v>
      </c>
      <c r="AA113" s="5">
        <f t="shared" si="43"/>
        <v>17.381765435184949</v>
      </c>
      <c r="AB113" s="5">
        <f t="shared" si="43"/>
        <v>17.443147259865356</v>
      </c>
      <c r="AC113" s="5">
        <f t="shared" si="42"/>
        <v>17.480805370606753</v>
      </c>
      <c r="AD113" s="300">
        <f t="shared" si="40"/>
        <v>1.5671595089403073E-3</v>
      </c>
      <c r="AE113" s="299">
        <f t="shared" si="40"/>
        <v>1.5671595089403073E-3</v>
      </c>
      <c r="AF113" s="299">
        <f t="shared" ref="AF113:AQ140" si="45">Algae_electricity_factor/J113</f>
        <v>1.5671595089403073E-3</v>
      </c>
      <c r="AG113" s="299">
        <f t="shared" si="45"/>
        <v>1.5671595089403073E-3</v>
      </c>
      <c r="AH113" s="299">
        <f t="shared" si="45"/>
        <v>1.5671595089403073E-3</v>
      </c>
      <c r="AI113" s="299">
        <f t="shared" si="45"/>
        <v>1.4962008759493682E-3</v>
      </c>
      <c r="AJ113" s="299">
        <f t="shared" si="45"/>
        <v>1.4566599371948472E-3</v>
      </c>
      <c r="AK113" s="299">
        <f t="shared" si="45"/>
        <v>1.400246084158577E-3</v>
      </c>
      <c r="AL113" s="299">
        <f t="shared" si="45"/>
        <v>1.3253769285150833E-3</v>
      </c>
      <c r="AM113" s="299">
        <f t="shared" si="45"/>
        <v>1.2350132815810717E-3</v>
      </c>
      <c r="AN113" s="299">
        <f t="shared" si="45"/>
        <v>1.1376502664764137E-3</v>
      </c>
      <c r="AO113" s="299">
        <f t="shared" si="38"/>
        <v>1.0447730059602049E-3</v>
      </c>
      <c r="AP113" s="299">
        <f t="shared" si="38"/>
        <v>9.6591605028362507E-4</v>
      </c>
      <c r="AQ113" s="299">
        <f t="shared" si="38"/>
        <v>9.0531858845619741E-4</v>
      </c>
      <c r="AR113" s="299">
        <f t="shared" si="38"/>
        <v>8.6222574616158E-4</v>
      </c>
      <c r="AS113" s="299">
        <f t="shared" si="38"/>
        <v>8.3324220740773442E-4</v>
      </c>
      <c r="AT113" s="299">
        <f t="shared" si="35"/>
        <v>8.1447193375673804E-4</v>
      </c>
      <c r="AU113" s="299">
        <f t="shared" si="35"/>
        <v>8.0261204295002133E-4</v>
      </c>
      <c r="AV113" s="299">
        <f t="shared" si="35"/>
        <v>7.9523480756051577E-4</v>
      </c>
      <c r="AW113" s="299">
        <f t="shared" si="35"/>
        <v>7.9069051729974756E-4</v>
      </c>
      <c r="AX113" s="299">
        <f t="shared" si="35"/>
        <v>7.8790810504430423E-4</v>
      </c>
      <c r="AY113" s="299">
        <f t="shared" si="35"/>
        <v>7.8621075014304238E-4</v>
      </c>
      <c r="AZ113" s="298">
        <f t="shared" si="41"/>
        <v>8.675761786666869E-2</v>
      </c>
      <c r="BA113" s="1">
        <f t="shared" si="41"/>
        <v>8.675761786666869E-2</v>
      </c>
      <c r="BB113" s="1">
        <f t="shared" ref="BB113:BM140" si="46">Algae_yield_cost_factor/J113</f>
        <v>8.675761786666869E-2</v>
      </c>
      <c r="BC113" s="1">
        <f t="shared" si="46"/>
        <v>8.675761786666869E-2</v>
      </c>
      <c r="BD113" s="1">
        <f t="shared" si="46"/>
        <v>8.675761786666869E-2</v>
      </c>
      <c r="BE113" s="1">
        <f t="shared" si="46"/>
        <v>8.2829363001577241E-2</v>
      </c>
      <c r="BF113" s="1">
        <f t="shared" si="46"/>
        <v>8.0640385022638955E-2</v>
      </c>
      <c r="BG113" s="1">
        <f t="shared" si="46"/>
        <v>7.7517326089463337E-2</v>
      </c>
      <c r="BH113" s="1">
        <f t="shared" si="46"/>
        <v>7.3372585520131942E-2</v>
      </c>
      <c r="BI113" s="1">
        <f t="shared" si="46"/>
        <v>6.8370073200859041E-2</v>
      </c>
      <c r="BJ113" s="1">
        <f t="shared" si="46"/>
        <v>6.2980077344911775E-2</v>
      </c>
      <c r="BK113" s="1">
        <f t="shared" si="39"/>
        <v>5.7838411911112463E-2</v>
      </c>
      <c r="BL113" s="1">
        <f t="shared" si="39"/>
        <v>5.3472907578152998E-2</v>
      </c>
      <c r="BM113" s="1">
        <f t="shared" si="39"/>
        <v>5.011824495005273E-2</v>
      </c>
      <c r="BN113" s="1">
        <f t="shared" si="39"/>
        <v>4.7732634344841873E-2</v>
      </c>
      <c r="BO113" s="1">
        <f t="shared" si="39"/>
        <v>4.6128111789680772E-2</v>
      </c>
      <c r="BP113" s="1">
        <f t="shared" si="36"/>
        <v>4.5088993423377979E-2</v>
      </c>
      <c r="BQ113" s="1">
        <f t="shared" si="36"/>
        <v>4.4432432384964408E-2</v>
      </c>
      <c r="BR113" s="1">
        <f t="shared" si="36"/>
        <v>4.4024030199236695E-2</v>
      </c>
      <c r="BS113" s="1">
        <f t="shared" si="36"/>
        <v>4.3772459254690324E-2</v>
      </c>
      <c r="BT113" s="1">
        <f t="shared" si="36"/>
        <v>4.3618425502651562E-2</v>
      </c>
      <c r="BU113" s="1">
        <f t="shared" si="36"/>
        <v>4.3524460295493193E-2</v>
      </c>
    </row>
    <row r="114" spans="1:73" x14ac:dyDescent="0.25">
      <c r="A114" s="1" t="s">
        <v>31</v>
      </c>
      <c r="B114" s="1" t="s">
        <v>5</v>
      </c>
      <c r="C114" s="1" t="s">
        <v>10</v>
      </c>
      <c r="D114" s="1" t="s">
        <v>10</v>
      </c>
      <c r="E114" s="5">
        <v>8.464500000000001</v>
      </c>
      <c r="F114" s="1">
        <f t="shared" si="30"/>
        <v>2.0738025000000004E-2</v>
      </c>
      <c r="G114" s="1">
        <f>LOOKUP(RIGHT(D114,5),Ref!$C$4:$C$21,Ref!$E$4:$E$21)*$G$3</f>
        <v>4.5</v>
      </c>
      <c r="H114" s="297">
        <f t="shared" si="44"/>
        <v>8.464500000000001</v>
      </c>
      <c r="I114" s="5">
        <f t="shared" si="44"/>
        <v>8.464500000000001</v>
      </c>
      <c r="J114" s="5">
        <f t="shared" si="44"/>
        <v>8.464500000000001</v>
      </c>
      <c r="K114" s="5">
        <f t="shared" si="44"/>
        <v>8.464500000000001</v>
      </c>
      <c r="L114" s="5">
        <f t="shared" si="44"/>
        <v>8.464500000000001</v>
      </c>
      <c r="M114" s="5">
        <f t="shared" si="43"/>
        <v>8.8659363035115142</v>
      </c>
      <c r="N114" s="5">
        <f t="shared" si="43"/>
        <v>9.1066015647898162</v>
      </c>
      <c r="O114" s="5">
        <f t="shared" si="43"/>
        <v>9.4734931334562162</v>
      </c>
      <c r="P114" s="5">
        <f t="shared" si="43"/>
        <v>10.008640846258904</v>
      </c>
      <c r="Q114" s="5">
        <f t="shared" si="43"/>
        <v>10.740954661186326</v>
      </c>
      <c r="R114" s="5">
        <f t="shared" si="43"/>
        <v>11.660192991041905</v>
      </c>
      <c r="S114" s="5">
        <f t="shared" si="43"/>
        <v>12.696750000000002</v>
      </c>
      <c r="T114" s="5">
        <f t="shared" si="43"/>
        <v>13.733307008958098</v>
      </c>
      <c r="U114" s="5">
        <f t="shared" si="43"/>
        <v>14.652545338813677</v>
      </c>
      <c r="V114" s="5">
        <f t="shared" si="43"/>
        <v>15.384859153741099</v>
      </c>
      <c r="W114" s="5">
        <f t="shared" si="43"/>
        <v>15.920006866543785</v>
      </c>
      <c r="X114" s="5">
        <f t="shared" si="43"/>
        <v>16.286898435210187</v>
      </c>
      <c r="Y114" s="5">
        <f t="shared" si="43"/>
        <v>16.527563696488489</v>
      </c>
      <c r="Z114" s="5">
        <f t="shared" si="43"/>
        <v>16.680886622805147</v>
      </c>
      <c r="AA114" s="5">
        <f t="shared" si="43"/>
        <v>16.776755725775878</v>
      </c>
      <c r="AB114" s="5">
        <f t="shared" si="43"/>
        <v>16.836001024103346</v>
      </c>
      <c r="AC114" s="5">
        <f t="shared" si="42"/>
        <v>16.872348363351392</v>
      </c>
      <c r="AD114" s="300">
        <f t="shared" ref="AD114:AD155" si="47">Algae_electricity_factor/H114</f>
        <v>1.6236750078007275E-3</v>
      </c>
      <c r="AE114" s="299">
        <f t="shared" ref="AE114:AE155" si="48">Algae_electricity_factor/I114</f>
        <v>1.6236750078007275E-3</v>
      </c>
      <c r="AF114" s="299">
        <f t="shared" si="45"/>
        <v>1.6236750078007275E-3</v>
      </c>
      <c r="AG114" s="299">
        <f t="shared" si="45"/>
        <v>1.6236750078007275E-3</v>
      </c>
      <c r="AH114" s="299">
        <f t="shared" si="45"/>
        <v>1.6236750078007275E-3</v>
      </c>
      <c r="AI114" s="299">
        <f t="shared" si="45"/>
        <v>1.5501574377526106E-3</v>
      </c>
      <c r="AJ114" s="299">
        <f t="shared" si="45"/>
        <v>1.5091905587116205E-3</v>
      </c>
      <c r="AK114" s="299">
        <f t="shared" si="45"/>
        <v>1.4507422879732621E-3</v>
      </c>
      <c r="AL114" s="299">
        <f t="shared" si="45"/>
        <v>1.3731731725258611E-3</v>
      </c>
      <c r="AM114" s="299">
        <f t="shared" si="45"/>
        <v>1.2795507975835079E-3</v>
      </c>
      <c r="AN114" s="299">
        <f t="shared" si="45"/>
        <v>1.1786766406086037E-3</v>
      </c>
      <c r="AO114" s="299">
        <f t="shared" si="38"/>
        <v>1.082450005200485E-3</v>
      </c>
      <c r="AP114" s="299">
        <f t="shared" si="38"/>
        <v>1.0007492801671475E-3</v>
      </c>
      <c r="AQ114" s="299">
        <f t="shared" si="38"/>
        <v>9.3796652975529989E-4</v>
      </c>
      <c r="AR114" s="299">
        <f t="shared" si="38"/>
        <v>8.9331965708553545E-4</v>
      </c>
      <c r="AS114" s="299">
        <f t="shared" si="38"/>
        <v>8.6329090299651226E-4</v>
      </c>
      <c r="AT114" s="299">
        <f t="shared" si="35"/>
        <v>8.4384372863880353E-4</v>
      </c>
      <c r="AU114" s="299">
        <f t="shared" si="35"/>
        <v>8.3155614196478813E-4</v>
      </c>
      <c r="AV114" s="299">
        <f t="shared" si="35"/>
        <v>8.2391286592283441E-4</v>
      </c>
      <c r="AW114" s="299">
        <f t="shared" si="35"/>
        <v>8.1920469774817903E-4</v>
      </c>
      <c r="AX114" s="299">
        <f t="shared" si="35"/>
        <v>8.163219450897615E-4</v>
      </c>
      <c r="AY114" s="299">
        <f t="shared" si="35"/>
        <v>8.1456337953416573E-4</v>
      </c>
      <c r="AZ114" s="298">
        <f t="shared" ref="AZ114:AZ155" si="49">Algae_yield_cost_factor/H114</f>
        <v>8.9886303891100208E-2</v>
      </c>
      <c r="BA114" s="1">
        <f t="shared" ref="BA114:BA155" si="50">Algae_yield_cost_factor/I114</f>
        <v>8.9886303891100208E-2</v>
      </c>
      <c r="BB114" s="1">
        <f t="shared" si="46"/>
        <v>8.9886303891100208E-2</v>
      </c>
      <c r="BC114" s="1">
        <f t="shared" si="46"/>
        <v>8.9886303891100208E-2</v>
      </c>
      <c r="BD114" s="1">
        <f t="shared" si="46"/>
        <v>8.9886303891100208E-2</v>
      </c>
      <c r="BE114" s="1">
        <f t="shared" si="46"/>
        <v>8.5816386813524964E-2</v>
      </c>
      <c r="BF114" s="1">
        <f t="shared" si="46"/>
        <v>8.3548469082909554E-2</v>
      </c>
      <c r="BG114" s="1">
        <f t="shared" si="46"/>
        <v>8.031278521744592E-2</v>
      </c>
      <c r="BH114" s="1">
        <f t="shared" si="46"/>
        <v>7.6018575446296532E-2</v>
      </c>
      <c r="BI114" s="1">
        <f t="shared" si="46"/>
        <v>7.0835660635977737E-2</v>
      </c>
      <c r="BJ114" s="1">
        <f t="shared" si="46"/>
        <v>6.5251288711151267E-2</v>
      </c>
      <c r="BK114" s="1">
        <f t="shared" si="39"/>
        <v>5.9924202594066805E-2</v>
      </c>
      <c r="BL114" s="1">
        <f t="shared" si="39"/>
        <v>5.5401267792959681E-2</v>
      </c>
      <c r="BM114" s="1">
        <f t="shared" si="39"/>
        <v>5.1925628052540002E-2</v>
      </c>
      <c r="BN114" s="1">
        <f t="shared" si="39"/>
        <v>4.9453986655523301E-2</v>
      </c>
      <c r="BO114" s="1">
        <f t="shared" si="39"/>
        <v>4.779160120119947E-2</v>
      </c>
      <c r="BP114" s="1">
        <f t="shared" si="36"/>
        <v>4.6715009755410125E-2</v>
      </c>
      <c r="BQ114" s="1">
        <f t="shared" si="36"/>
        <v>4.6034771564539147E-2</v>
      </c>
      <c r="BR114" s="1">
        <f t="shared" si="36"/>
        <v>4.5611641424745226E-2</v>
      </c>
      <c r="BS114" s="1">
        <f t="shared" si="36"/>
        <v>4.5350998233660636E-2</v>
      </c>
      <c r="BT114" s="1">
        <f t="shared" si="36"/>
        <v>4.519140965820527E-2</v>
      </c>
      <c r="BU114" s="1">
        <f t="shared" si="36"/>
        <v>4.5094055842211753E-2</v>
      </c>
    </row>
    <row r="115" spans="1:73" x14ac:dyDescent="0.25">
      <c r="A115" s="1" t="s">
        <v>31</v>
      </c>
      <c r="B115" s="1" t="s">
        <v>5</v>
      </c>
      <c r="C115" s="1" t="s">
        <v>11</v>
      </c>
      <c r="D115" s="1" t="s">
        <v>11</v>
      </c>
      <c r="E115" s="5">
        <v>8.2334999999999994</v>
      </c>
      <c r="F115" s="1">
        <f t="shared" si="30"/>
        <v>2.0172075000000001E-2</v>
      </c>
      <c r="G115" s="1">
        <f>LOOKUP(RIGHT(D115,5),Ref!$C$4:$C$21,Ref!$E$4:$E$21)*$G$3</f>
        <v>4.5</v>
      </c>
      <c r="H115" s="297">
        <f t="shared" si="44"/>
        <v>8.2334999999999994</v>
      </c>
      <c r="I115" s="5">
        <f t="shared" si="44"/>
        <v>8.2334999999999994</v>
      </c>
      <c r="J115" s="5">
        <f t="shared" si="44"/>
        <v>8.2334999999999994</v>
      </c>
      <c r="K115" s="5">
        <f t="shared" si="44"/>
        <v>8.2334999999999994</v>
      </c>
      <c r="L115" s="5">
        <f t="shared" si="44"/>
        <v>8.2334999999999994</v>
      </c>
      <c r="M115" s="5">
        <f t="shared" si="43"/>
        <v>8.6239809268074943</v>
      </c>
      <c r="N115" s="5">
        <f t="shared" si="43"/>
        <v>8.8580783252049073</v>
      </c>
      <c r="O115" s="5">
        <f t="shared" si="43"/>
        <v>9.214957258469104</v>
      </c>
      <c r="P115" s="5">
        <f t="shared" si="43"/>
        <v>9.7355005502596335</v>
      </c>
      <c r="Q115" s="5">
        <f t="shared" si="43"/>
        <v>10.447829192849856</v>
      </c>
      <c r="R115" s="5">
        <f t="shared" si="43"/>
        <v>11.34198109654953</v>
      </c>
      <c r="S115" s="5">
        <f t="shared" si="43"/>
        <v>12.350249999999999</v>
      </c>
      <c r="T115" s="5">
        <f t="shared" si="43"/>
        <v>13.358518903450468</v>
      </c>
      <c r="U115" s="5">
        <f t="shared" si="43"/>
        <v>14.252670807150142</v>
      </c>
      <c r="V115" s="5">
        <f t="shared" si="43"/>
        <v>14.964999449740365</v>
      </c>
      <c r="W115" s="5">
        <f t="shared" si="43"/>
        <v>15.485542741530892</v>
      </c>
      <c r="X115" s="5">
        <f t="shared" si="43"/>
        <v>15.842421674795091</v>
      </c>
      <c r="Y115" s="5">
        <f t="shared" si="43"/>
        <v>16.076519073192504</v>
      </c>
      <c r="Z115" s="5">
        <f t="shared" si="43"/>
        <v>16.225657748108706</v>
      </c>
      <c r="AA115" s="5">
        <f t="shared" si="43"/>
        <v>16.31891054027712</v>
      </c>
      <c r="AB115" s="5">
        <f t="shared" si="43"/>
        <v>16.376539007851012</v>
      </c>
      <c r="AC115" s="5">
        <f t="shared" si="42"/>
        <v>16.411894411914901</v>
      </c>
      <c r="AD115" s="300">
        <f t="shared" si="47"/>
        <v>1.6692290160356181E-3</v>
      </c>
      <c r="AE115" s="299">
        <f t="shared" si="48"/>
        <v>1.6692290160356181E-3</v>
      </c>
      <c r="AF115" s="299">
        <f t="shared" si="45"/>
        <v>1.6692290160356181E-3</v>
      </c>
      <c r="AG115" s="299">
        <f t="shared" si="45"/>
        <v>1.6692290160356181E-3</v>
      </c>
      <c r="AH115" s="299">
        <f t="shared" si="45"/>
        <v>1.6692290160356181E-3</v>
      </c>
      <c r="AI115" s="299">
        <f t="shared" si="45"/>
        <v>1.5936488287917622E-3</v>
      </c>
      <c r="AJ115" s="299">
        <f t="shared" si="45"/>
        <v>1.5515325783949127E-3</v>
      </c>
      <c r="AK115" s="299">
        <f t="shared" si="45"/>
        <v>1.4914444764133942E-3</v>
      </c>
      <c r="AL115" s="299">
        <f t="shared" si="45"/>
        <v>1.4116990731578496E-3</v>
      </c>
      <c r="AM115" s="299">
        <f t="shared" si="45"/>
        <v>1.3154500183573941E-3</v>
      </c>
      <c r="AN115" s="299">
        <f t="shared" si="45"/>
        <v>1.2117457247138555E-3</v>
      </c>
      <c r="AO115" s="299">
        <f t="shared" si="38"/>
        <v>1.1128193440237454E-3</v>
      </c>
      <c r="AP115" s="299">
        <f t="shared" si="38"/>
        <v>1.0288264142800537E-3</v>
      </c>
      <c r="AQ115" s="299">
        <f t="shared" si="38"/>
        <v>9.6428222397689173E-4</v>
      </c>
      <c r="AR115" s="299">
        <f t="shared" si="38"/>
        <v>9.1838273363703364E-4</v>
      </c>
      <c r="AS115" s="299">
        <f t="shared" si="38"/>
        <v>8.8751148945332835E-4</v>
      </c>
      <c r="AT115" s="299">
        <f t="shared" si="35"/>
        <v>8.6751870298939148E-4</v>
      </c>
      <c r="AU115" s="299">
        <f t="shared" si="35"/>
        <v>8.5488637440468208E-4</v>
      </c>
      <c r="AV115" s="299">
        <f t="shared" si="35"/>
        <v>8.4702865775233306E-4</v>
      </c>
      <c r="AW115" s="299">
        <f t="shared" si="35"/>
        <v>8.4218839668299776E-4</v>
      </c>
      <c r="AX115" s="299">
        <f t="shared" si="35"/>
        <v>8.392247651924803E-4</v>
      </c>
      <c r="AY115" s="299">
        <f t="shared" si="35"/>
        <v>8.3741686112430273E-4</v>
      </c>
      <c r="AZ115" s="298">
        <f t="shared" si="49"/>
        <v>9.2408164120509853E-2</v>
      </c>
      <c r="BA115" s="1">
        <f t="shared" si="50"/>
        <v>9.2408164120509853E-2</v>
      </c>
      <c r="BB115" s="1">
        <f t="shared" si="46"/>
        <v>9.2408164120509853E-2</v>
      </c>
      <c r="BC115" s="1">
        <f t="shared" si="46"/>
        <v>9.2408164120509853E-2</v>
      </c>
      <c r="BD115" s="1">
        <f t="shared" si="46"/>
        <v>9.2408164120509853E-2</v>
      </c>
      <c r="BE115" s="1">
        <f t="shared" si="46"/>
        <v>8.822406099266196E-2</v>
      </c>
      <c r="BF115" s="1">
        <f t="shared" si="46"/>
        <v>8.5892514307680579E-2</v>
      </c>
      <c r="BG115" s="1">
        <f t="shared" si="46"/>
        <v>8.2566049732564664E-2</v>
      </c>
      <c r="BH115" s="1">
        <f t="shared" si="46"/>
        <v>7.8151361130160593E-2</v>
      </c>
      <c r="BI115" s="1">
        <f t="shared" si="46"/>
        <v>7.282303388027371E-2</v>
      </c>
      <c r="BJ115" s="1">
        <f t="shared" si="46"/>
        <v>6.7081986190021259E-2</v>
      </c>
      <c r="BK115" s="1">
        <f t="shared" si="39"/>
        <v>6.1605442747006564E-2</v>
      </c>
      <c r="BL115" s="1">
        <f t="shared" si="39"/>
        <v>5.6955611979535713E-2</v>
      </c>
      <c r="BM115" s="1">
        <f t="shared" si="39"/>
        <v>5.3382459300507071E-2</v>
      </c>
      <c r="BN115" s="1">
        <f t="shared" si="39"/>
        <v>5.0841473255077069E-2</v>
      </c>
      <c r="BO115" s="1">
        <f t="shared" si="39"/>
        <v>4.9132447727886434E-2</v>
      </c>
      <c r="BP115" s="1">
        <f t="shared" si="36"/>
        <v>4.8025651311674147E-2</v>
      </c>
      <c r="BQ115" s="1">
        <f t="shared" si="36"/>
        <v>4.7326328281780732E-2</v>
      </c>
      <c r="BR115" s="1">
        <f t="shared" si="36"/>
        <v>4.6891326755299216E-2</v>
      </c>
      <c r="BS115" s="1">
        <f t="shared" si="36"/>
        <v>4.6623370929595002E-2</v>
      </c>
      <c r="BT115" s="1">
        <f t="shared" si="36"/>
        <v>4.6459304919156924E-2</v>
      </c>
      <c r="BU115" s="1">
        <f t="shared" si="36"/>
        <v>4.6359219733576415E-2</v>
      </c>
    </row>
    <row r="116" spans="1:73" x14ac:dyDescent="0.25">
      <c r="A116" s="1" t="s">
        <v>32</v>
      </c>
      <c r="B116" s="1" t="s">
        <v>5</v>
      </c>
      <c r="C116" s="1" t="s">
        <v>9</v>
      </c>
      <c r="D116" s="1" t="s">
        <v>9</v>
      </c>
      <c r="E116" s="5">
        <v>2</v>
      </c>
      <c r="F116" s="1">
        <f t="shared" si="30"/>
        <v>4.9000000000000007E-3</v>
      </c>
      <c r="G116" s="1">
        <f>LOOKUP(RIGHT(D116,5),Ref!$C$4:$C$21,Ref!$E$4:$E$21)*$G$3</f>
        <v>4.5</v>
      </c>
      <c r="H116" s="297">
        <f t="shared" si="44"/>
        <v>2</v>
      </c>
      <c r="I116" s="5">
        <f t="shared" si="44"/>
        <v>2</v>
      </c>
      <c r="J116" s="5">
        <f t="shared" si="44"/>
        <v>2</v>
      </c>
      <c r="K116" s="5">
        <f t="shared" si="44"/>
        <v>2</v>
      </c>
      <c r="L116" s="5">
        <f t="shared" si="44"/>
        <v>2</v>
      </c>
      <c r="M116" s="5">
        <f t="shared" si="43"/>
        <v>2.0948517463551335</v>
      </c>
      <c r="N116" s="5">
        <f t="shared" si="43"/>
        <v>2.1517163600424869</v>
      </c>
      <c r="O116" s="5">
        <f t="shared" si="43"/>
        <v>2.2384058440442351</v>
      </c>
      <c r="P116" s="5">
        <f t="shared" si="43"/>
        <v>2.3648510476127127</v>
      </c>
      <c r="Q116" s="5">
        <f t="shared" si="43"/>
        <v>2.5378828427399904</v>
      </c>
      <c r="R116" s="5">
        <f t="shared" si="43"/>
        <v>2.755081337596291</v>
      </c>
      <c r="S116" s="5">
        <f t="shared" si="43"/>
        <v>3</v>
      </c>
      <c r="T116" s="5">
        <f t="shared" si="43"/>
        <v>3.244918662403709</v>
      </c>
      <c r="U116" s="5">
        <f t="shared" si="43"/>
        <v>3.4621171572600096</v>
      </c>
      <c r="V116" s="5">
        <f t="shared" si="43"/>
        <v>3.6351489523872873</v>
      </c>
      <c r="W116" s="5">
        <f t="shared" si="43"/>
        <v>3.7615941559557644</v>
      </c>
      <c r="X116" s="5">
        <f t="shared" si="43"/>
        <v>3.8482836399575131</v>
      </c>
      <c r="Y116" s="5">
        <f t="shared" si="43"/>
        <v>3.9051482536448665</v>
      </c>
      <c r="Z116" s="5">
        <f t="shared" si="43"/>
        <v>3.9413755384972875</v>
      </c>
      <c r="AA116" s="5">
        <f t="shared" si="43"/>
        <v>3.9640275800758169</v>
      </c>
      <c r="AB116" s="5">
        <f t="shared" ref="AB116:AC131" si="51">AB$3*$E116</f>
        <v>3.9780261147388138</v>
      </c>
      <c r="AC116" s="5">
        <f t="shared" si="51"/>
        <v>3.9866142981514305</v>
      </c>
      <c r="AD116" s="300">
        <f t="shared" si="47"/>
        <v>6.8717985517646298E-3</v>
      </c>
      <c r="AE116" s="299">
        <f t="shared" si="48"/>
        <v>6.8717985517646298E-3</v>
      </c>
      <c r="AF116" s="299">
        <f t="shared" si="45"/>
        <v>6.8717985517646298E-3</v>
      </c>
      <c r="AG116" s="299">
        <f t="shared" si="45"/>
        <v>6.8717985517646298E-3</v>
      </c>
      <c r="AH116" s="299">
        <f t="shared" si="45"/>
        <v>6.8717985517646298E-3</v>
      </c>
      <c r="AI116" s="299">
        <f t="shared" si="45"/>
        <v>6.5606538159284859E-3</v>
      </c>
      <c r="AJ116" s="299">
        <f t="shared" si="45"/>
        <v>6.3872717421072566E-3</v>
      </c>
      <c r="AK116" s="299">
        <f t="shared" si="45"/>
        <v>6.1399040482748397E-3</v>
      </c>
      <c r="AL116" s="299">
        <f t="shared" si="45"/>
        <v>5.8116121594225766E-3</v>
      </c>
      <c r="AM116" s="299">
        <f t="shared" si="45"/>
        <v>5.4153788630728018E-3</v>
      </c>
      <c r="AN116" s="299">
        <f t="shared" si="45"/>
        <v>4.9884542122157639E-3</v>
      </c>
      <c r="AO116" s="299">
        <f t="shared" si="38"/>
        <v>4.5811990345097529E-3</v>
      </c>
      <c r="AP116" s="299">
        <f t="shared" si="38"/>
        <v>4.2354211409874106E-3</v>
      </c>
      <c r="AQ116" s="299">
        <f t="shared" si="38"/>
        <v>3.9697088455568682E-3</v>
      </c>
      <c r="AR116" s="299">
        <f t="shared" si="38"/>
        <v>3.780752118700258E-3</v>
      </c>
      <c r="AS116" s="299">
        <f t="shared" si="38"/>
        <v>3.6536629242069894E-3</v>
      </c>
      <c r="AT116" s="299">
        <f t="shared" si="35"/>
        <v>3.5713576205315769E-3</v>
      </c>
      <c r="AU116" s="299">
        <f t="shared" si="35"/>
        <v>3.5193534818304751E-3</v>
      </c>
      <c r="AV116" s="299">
        <f t="shared" si="35"/>
        <v>3.4870052268019163E-3</v>
      </c>
      <c r="AW116" s="299">
        <f t="shared" si="35"/>
        <v>3.4670790820447309E-3</v>
      </c>
      <c r="AX116" s="299">
        <f t="shared" si="35"/>
        <v>3.4548785521061431E-3</v>
      </c>
      <c r="AY116" s="299">
        <f t="shared" si="35"/>
        <v>3.4474358630334728E-3</v>
      </c>
      <c r="AZ116" s="298">
        <f t="shared" si="49"/>
        <v>0.38042130964310888</v>
      </c>
      <c r="BA116" s="1">
        <f t="shared" si="50"/>
        <v>0.38042130964310888</v>
      </c>
      <c r="BB116" s="1">
        <f t="shared" si="46"/>
        <v>0.38042130964310888</v>
      </c>
      <c r="BC116" s="1">
        <f t="shared" si="46"/>
        <v>0.38042130964310888</v>
      </c>
      <c r="BD116" s="1">
        <f t="shared" si="46"/>
        <v>0.38042130964310888</v>
      </c>
      <c r="BE116" s="1">
        <f t="shared" si="46"/>
        <v>0.36319640309154105</v>
      </c>
      <c r="BF116" s="1">
        <f t="shared" si="46"/>
        <v>0.35359800827614402</v>
      </c>
      <c r="BG116" s="1">
        <f t="shared" si="46"/>
        <v>0.33990378523653553</v>
      </c>
      <c r="BH116" s="1">
        <f t="shared" si="46"/>
        <v>0.32172961593258859</v>
      </c>
      <c r="BI116" s="1">
        <f t="shared" si="46"/>
        <v>0.29979422472661682</v>
      </c>
      <c r="BJ116" s="1">
        <f t="shared" si="46"/>
        <v>0.27615976664776998</v>
      </c>
      <c r="BK116" s="1">
        <f t="shared" si="39"/>
        <v>0.25361420642873928</v>
      </c>
      <c r="BL116" s="1">
        <f t="shared" si="39"/>
        <v>0.23447201561675363</v>
      </c>
      <c r="BM116" s="1">
        <f t="shared" si="39"/>
        <v>0.21976223932536246</v>
      </c>
      <c r="BN116" s="1">
        <f t="shared" si="39"/>
        <v>0.20930163502283852</v>
      </c>
      <c r="BO116" s="1">
        <f t="shared" si="39"/>
        <v>0.20226600418377647</v>
      </c>
      <c r="BP116" s="1">
        <f t="shared" si="36"/>
        <v>0.19770960003733454</v>
      </c>
      <c r="BQ116" s="1">
        <f t="shared" si="36"/>
        <v>0.19483066195402082</v>
      </c>
      <c r="BR116" s="1">
        <f t="shared" si="36"/>
        <v>0.19303986941987802</v>
      </c>
      <c r="BS116" s="1">
        <f t="shared" si="36"/>
        <v>0.19193676227441023</v>
      </c>
      <c r="BT116" s="1">
        <f t="shared" si="36"/>
        <v>0.19126134352593926</v>
      </c>
      <c r="BU116" s="1">
        <f t="shared" si="36"/>
        <v>0.19084931783820069</v>
      </c>
    </row>
    <row r="117" spans="1:73" x14ac:dyDescent="0.25">
      <c r="A117" s="1" t="s">
        <v>33</v>
      </c>
      <c r="B117" s="1" t="s">
        <v>5</v>
      </c>
      <c r="C117" s="1" t="s">
        <v>13</v>
      </c>
      <c r="D117" s="1" t="s">
        <v>13</v>
      </c>
      <c r="E117" s="5">
        <v>7.6477500000000003</v>
      </c>
      <c r="F117" s="1">
        <f t="shared" si="30"/>
        <v>1.8736987499999996E-2</v>
      </c>
      <c r="G117" s="1">
        <f>LOOKUP(RIGHT(D117,5),Ref!$C$4:$C$21,Ref!$E$4:$E$21)*$G$3</f>
        <v>1.5</v>
      </c>
      <c r="H117" s="297">
        <f t="shared" si="44"/>
        <v>7.6477500000000003</v>
      </c>
      <c r="I117" s="5">
        <f t="shared" si="44"/>
        <v>7.6477500000000003</v>
      </c>
      <c r="J117" s="5">
        <f t="shared" si="44"/>
        <v>7.6477500000000003</v>
      </c>
      <c r="K117" s="5">
        <f t="shared" si="44"/>
        <v>7.6477500000000003</v>
      </c>
      <c r="L117" s="5">
        <f t="shared" si="44"/>
        <v>7.6477500000000003</v>
      </c>
      <c r="M117" s="5">
        <f t="shared" ref="M117:AB132" si="52">M$3*$E117</f>
        <v>8.0104512215937369</v>
      </c>
      <c r="N117" s="5">
        <f t="shared" si="52"/>
        <v>8.2278943962574651</v>
      </c>
      <c r="O117" s="5">
        <f t="shared" si="52"/>
        <v>8.5593841468946508</v>
      </c>
      <c r="P117" s="5">
        <f t="shared" si="52"/>
        <v>9.0428947996900622</v>
      </c>
      <c r="Q117" s="5">
        <f t="shared" si="52"/>
        <v>9.7045467552823812</v>
      </c>
      <c r="R117" s="5">
        <f t="shared" si="52"/>
        <v>10.535086649801018</v>
      </c>
      <c r="S117" s="5">
        <f t="shared" si="52"/>
        <v>11.471625</v>
      </c>
      <c r="T117" s="5">
        <f t="shared" si="52"/>
        <v>12.408163350198983</v>
      </c>
      <c r="U117" s="5">
        <f t="shared" si="52"/>
        <v>13.23870324471762</v>
      </c>
      <c r="V117" s="5">
        <f t="shared" si="52"/>
        <v>13.900355200309939</v>
      </c>
      <c r="W117" s="5">
        <f t="shared" si="52"/>
        <v>14.383865853105348</v>
      </c>
      <c r="X117" s="5">
        <f t="shared" si="52"/>
        <v>14.715355603742536</v>
      </c>
      <c r="Y117" s="5">
        <f t="shared" si="52"/>
        <v>14.932798778406264</v>
      </c>
      <c r="Z117" s="5">
        <f t="shared" si="52"/>
        <v>15.071327387271316</v>
      </c>
      <c r="AA117" s="5">
        <f t="shared" si="52"/>
        <v>15.157945962762415</v>
      </c>
      <c r="AB117" s="5">
        <f t="shared" si="52"/>
        <v>15.211474609496882</v>
      </c>
      <c r="AC117" s="5">
        <f t="shared" si="51"/>
        <v>15.244314749343802</v>
      </c>
      <c r="AD117" s="300">
        <f t="shared" si="47"/>
        <v>1.7970771930998345E-3</v>
      </c>
      <c r="AE117" s="299">
        <f t="shared" si="48"/>
        <v>1.7970771930998345E-3</v>
      </c>
      <c r="AF117" s="299">
        <f t="shared" si="45"/>
        <v>1.7970771930998345E-3</v>
      </c>
      <c r="AG117" s="299">
        <f t="shared" si="45"/>
        <v>1.7970771930998345E-3</v>
      </c>
      <c r="AH117" s="299">
        <f t="shared" si="45"/>
        <v>1.7970771930998345E-3</v>
      </c>
      <c r="AI117" s="299">
        <f t="shared" si="45"/>
        <v>1.7157082320757048E-3</v>
      </c>
      <c r="AJ117" s="299">
        <f t="shared" si="45"/>
        <v>1.6703662494478131E-3</v>
      </c>
      <c r="AK117" s="299">
        <f t="shared" si="45"/>
        <v>1.6056759303781738E-3</v>
      </c>
      <c r="AL117" s="299">
        <f t="shared" si="45"/>
        <v>1.5198227346402736E-3</v>
      </c>
      <c r="AM117" s="299">
        <f t="shared" si="45"/>
        <v>1.4162018536361155E-3</v>
      </c>
      <c r="AN117" s="299">
        <f t="shared" si="45"/>
        <v>1.3045547284405907E-3</v>
      </c>
      <c r="AO117" s="299">
        <f t="shared" si="38"/>
        <v>1.1980514620665563E-3</v>
      </c>
      <c r="AP117" s="299">
        <f t="shared" si="38"/>
        <v>1.1076254168840274E-3</v>
      </c>
      <c r="AQ117" s="299">
        <f t="shared" si="38"/>
        <v>1.0381377125447009E-3</v>
      </c>
      <c r="AR117" s="299">
        <f t="shared" si="38"/>
        <v>9.8872272725971906E-4</v>
      </c>
      <c r="AS117" s="299">
        <f t="shared" si="38"/>
        <v>9.5548701885050881E-4</v>
      </c>
      <c r="AT117" s="299">
        <f t="shared" si="35"/>
        <v>9.3396296179440409E-4</v>
      </c>
      <c r="AU117" s="299">
        <f t="shared" si="35"/>
        <v>9.20363108582387E-4</v>
      </c>
      <c r="AV117" s="299">
        <f t="shared" si="35"/>
        <v>9.1190356034177801E-4</v>
      </c>
      <c r="AW117" s="299">
        <f t="shared" si="35"/>
        <v>9.0669257809021758E-4</v>
      </c>
      <c r="AX117" s="299">
        <f t="shared" si="35"/>
        <v>9.0350195864303704E-4</v>
      </c>
      <c r="AY117" s="299">
        <f t="shared" si="35"/>
        <v>9.0155558511548434E-4</v>
      </c>
      <c r="AZ117" s="298">
        <f t="shared" si="49"/>
        <v>9.9485812073644889E-2</v>
      </c>
      <c r="BA117" s="1">
        <f t="shared" si="50"/>
        <v>9.9485812073644889E-2</v>
      </c>
      <c r="BB117" s="1">
        <f t="shared" si="46"/>
        <v>9.9485812073644889E-2</v>
      </c>
      <c r="BC117" s="1">
        <f t="shared" si="46"/>
        <v>9.9485812073644889E-2</v>
      </c>
      <c r="BD117" s="1">
        <f t="shared" si="46"/>
        <v>9.9485812073644889E-2</v>
      </c>
      <c r="BE117" s="1">
        <f t="shared" si="46"/>
        <v>9.4981243657687814E-2</v>
      </c>
      <c r="BF117" s="1">
        <f t="shared" si="46"/>
        <v>9.247112112089019E-2</v>
      </c>
      <c r="BG117" s="1">
        <f t="shared" si="46"/>
        <v>8.8889878784357626E-2</v>
      </c>
      <c r="BH117" s="1">
        <f t="shared" si="46"/>
        <v>8.4137064086192287E-2</v>
      </c>
      <c r="BI117" s="1">
        <f t="shared" si="46"/>
        <v>7.8400634101955941E-2</v>
      </c>
      <c r="BJ117" s="1">
        <f t="shared" si="46"/>
        <v>7.221987294243927E-2</v>
      </c>
      <c r="BK117" s="1">
        <f t="shared" si="39"/>
        <v>6.6323874715763273E-2</v>
      </c>
      <c r="BL117" s="1">
        <f t="shared" si="39"/>
        <v>6.1317908042693242E-2</v>
      </c>
      <c r="BM117" s="1">
        <f t="shared" si="39"/>
        <v>5.7471083475626808E-2</v>
      </c>
      <c r="BN117" s="1">
        <f t="shared" si="39"/>
        <v>5.4735480376016082E-2</v>
      </c>
      <c r="BO117" s="1">
        <f t="shared" si="39"/>
        <v>5.2895558611036314E-2</v>
      </c>
      <c r="BP117" s="1">
        <f t="shared" si="36"/>
        <v>5.1703991379774321E-2</v>
      </c>
      <c r="BQ117" s="1">
        <f t="shared" si="36"/>
        <v>5.0951106391820031E-2</v>
      </c>
      <c r="BR117" s="1">
        <f t="shared" si="36"/>
        <v>5.0482787596319967E-2</v>
      </c>
      <c r="BS117" s="1">
        <f t="shared" si="36"/>
        <v>5.0194308724634103E-2</v>
      </c>
      <c r="BT117" s="1">
        <f t="shared" si="36"/>
        <v>5.0017676709081561E-2</v>
      </c>
      <c r="BU117" s="1">
        <f t="shared" si="36"/>
        <v>4.990992588361301E-2</v>
      </c>
    </row>
    <row r="118" spans="1:73" x14ac:dyDescent="0.25">
      <c r="A118" s="1" t="s">
        <v>33</v>
      </c>
      <c r="B118" s="1" t="s">
        <v>5</v>
      </c>
      <c r="C118" s="1" t="s">
        <v>14</v>
      </c>
      <c r="D118" s="1" t="s">
        <v>14</v>
      </c>
      <c r="E118" s="5">
        <v>8.2417499999999997</v>
      </c>
      <c r="F118" s="1">
        <f t="shared" si="30"/>
        <v>2.0192287499999999E-2</v>
      </c>
      <c r="G118" s="1">
        <f>LOOKUP(RIGHT(D118,5),Ref!$C$4:$C$21,Ref!$E$4:$E$21)*$G$3</f>
        <v>2</v>
      </c>
      <c r="H118" s="297">
        <f t="shared" ref="H118:L133" si="53">$E118</f>
        <v>8.2417499999999997</v>
      </c>
      <c r="I118" s="5">
        <f t="shared" si="53"/>
        <v>8.2417499999999997</v>
      </c>
      <c r="J118" s="5">
        <f t="shared" si="53"/>
        <v>8.2417499999999997</v>
      </c>
      <c r="K118" s="5">
        <f t="shared" si="53"/>
        <v>8.2417499999999997</v>
      </c>
      <c r="L118" s="5">
        <f t="shared" si="53"/>
        <v>8.2417499999999997</v>
      </c>
      <c r="M118" s="5">
        <f t="shared" si="52"/>
        <v>8.6326221902612108</v>
      </c>
      <c r="N118" s="5">
        <f t="shared" si="52"/>
        <v>8.8669541551900828</v>
      </c>
      <c r="O118" s="5">
        <f t="shared" si="52"/>
        <v>9.224190682575788</v>
      </c>
      <c r="P118" s="5">
        <f t="shared" si="52"/>
        <v>9.7452555608310369</v>
      </c>
      <c r="Q118" s="5">
        <f t="shared" si="52"/>
        <v>10.458297959576157</v>
      </c>
      <c r="R118" s="5">
        <f t="shared" si="52"/>
        <v>11.353345807067116</v>
      </c>
      <c r="S118" s="5">
        <f t="shared" si="52"/>
        <v>12.362625</v>
      </c>
      <c r="T118" s="5">
        <f t="shared" si="52"/>
        <v>13.371904192932883</v>
      </c>
      <c r="U118" s="5">
        <f t="shared" si="52"/>
        <v>14.266952040423842</v>
      </c>
      <c r="V118" s="5">
        <f t="shared" si="52"/>
        <v>14.979994439168962</v>
      </c>
      <c r="W118" s="5">
        <f t="shared" si="52"/>
        <v>15.501059317424209</v>
      </c>
      <c r="X118" s="5">
        <f t="shared" si="52"/>
        <v>15.858295844809916</v>
      </c>
      <c r="Y118" s="5">
        <f t="shared" si="52"/>
        <v>16.09262780973879</v>
      </c>
      <c r="Z118" s="5">
        <f t="shared" si="52"/>
        <v>16.24191592220501</v>
      </c>
      <c r="AA118" s="5">
        <f t="shared" si="52"/>
        <v>16.33526215404493</v>
      </c>
      <c r="AB118" s="5">
        <f t="shared" si="52"/>
        <v>16.392948365574309</v>
      </c>
      <c r="AC118" s="5">
        <f t="shared" si="51"/>
        <v>16.428339195894775</v>
      </c>
      <c r="AD118" s="300">
        <f t="shared" si="47"/>
        <v>1.6675581161196664E-3</v>
      </c>
      <c r="AE118" s="299">
        <f t="shared" si="48"/>
        <v>1.6675581161196664E-3</v>
      </c>
      <c r="AF118" s="299">
        <f t="shared" si="45"/>
        <v>1.6675581161196664E-3</v>
      </c>
      <c r="AG118" s="299">
        <f t="shared" si="45"/>
        <v>1.6675581161196664E-3</v>
      </c>
      <c r="AH118" s="299">
        <f t="shared" si="45"/>
        <v>1.6675581161196664E-3</v>
      </c>
      <c r="AI118" s="299">
        <f t="shared" si="45"/>
        <v>1.5920535847188974E-3</v>
      </c>
      <c r="AJ118" s="299">
        <f t="shared" si="45"/>
        <v>1.5499794927308537E-3</v>
      </c>
      <c r="AK118" s="299">
        <f t="shared" si="45"/>
        <v>1.4899515389995668E-3</v>
      </c>
      <c r="AL118" s="299">
        <f t="shared" si="45"/>
        <v>1.4102859609725063E-3</v>
      </c>
      <c r="AM118" s="299">
        <f t="shared" si="45"/>
        <v>1.3141332515722516E-3</v>
      </c>
      <c r="AN118" s="299">
        <f t="shared" si="45"/>
        <v>1.2105327660304581E-3</v>
      </c>
      <c r="AO118" s="299">
        <f t="shared" si="38"/>
        <v>1.1117054107464442E-3</v>
      </c>
      <c r="AP118" s="299">
        <f t="shared" si="38"/>
        <v>1.0277965580095031E-3</v>
      </c>
      <c r="AQ118" s="299">
        <f t="shared" si="38"/>
        <v>9.6331697650544322E-4</v>
      </c>
      <c r="AR118" s="299">
        <f t="shared" si="38"/>
        <v>9.1746343160136086E-4</v>
      </c>
      <c r="AS118" s="299">
        <f t="shared" si="38"/>
        <v>8.8662308956398569E-4</v>
      </c>
      <c r="AT118" s="299">
        <f t="shared" si="35"/>
        <v>8.6665031589931198E-4</v>
      </c>
      <c r="AU118" s="299">
        <f t="shared" si="35"/>
        <v>8.5403063228816083E-4</v>
      </c>
      <c r="AV118" s="299">
        <f t="shared" si="35"/>
        <v>8.4618078121804629E-4</v>
      </c>
      <c r="AW118" s="299">
        <f t="shared" si="35"/>
        <v>8.4134536525488674E-4</v>
      </c>
      <c r="AX118" s="299">
        <f t="shared" si="35"/>
        <v>8.3838470036245777E-4</v>
      </c>
      <c r="AY118" s="299">
        <f t="shared" si="35"/>
        <v>8.3657860600806213E-4</v>
      </c>
      <c r="AZ118" s="298">
        <f t="shared" si="49"/>
        <v>9.2315663455724548E-2</v>
      </c>
      <c r="BA118" s="1">
        <f t="shared" si="50"/>
        <v>9.2315663455724548E-2</v>
      </c>
      <c r="BB118" s="1">
        <f t="shared" si="46"/>
        <v>9.2315663455724548E-2</v>
      </c>
      <c r="BC118" s="1">
        <f t="shared" si="46"/>
        <v>9.2315663455724548E-2</v>
      </c>
      <c r="BD118" s="1">
        <f t="shared" si="46"/>
        <v>9.2315663455724548E-2</v>
      </c>
      <c r="BE118" s="1">
        <f t="shared" si="46"/>
        <v>8.8135748619295906E-2</v>
      </c>
      <c r="BF118" s="1">
        <f t="shared" si="46"/>
        <v>8.5806535814880097E-2</v>
      </c>
      <c r="BG118" s="1">
        <f t="shared" si="46"/>
        <v>8.2483401034133652E-2</v>
      </c>
      <c r="BH118" s="1">
        <f t="shared" si="46"/>
        <v>7.8073131539439705E-2</v>
      </c>
      <c r="BI118" s="1">
        <f t="shared" si="46"/>
        <v>7.2750137950463631E-2</v>
      </c>
      <c r="BJ118" s="1">
        <f t="shared" si="46"/>
        <v>6.7014837054695908E-2</v>
      </c>
      <c r="BK118" s="1">
        <f t="shared" si="39"/>
        <v>6.1543775637149696E-2</v>
      </c>
      <c r="BL118" s="1">
        <f t="shared" si="39"/>
        <v>5.6898599354931578E-2</v>
      </c>
      <c r="BM118" s="1">
        <f t="shared" si="39"/>
        <v>5.3329023405311364E-2</v>
      </c>
      <c r="BN118" s="1">
        <f t="shared" si="39"/>
        <v>5.0790580889456372E-2</v>
      </c>
      <c r="BO118" s="1">
        <f t="shared" si="39"/>
        <v>4.9083266098529192E-2</v>
      </c>
      <c r="BP118" s="1">
        <f t="shared" si="36"/>
        <v>4.7977577586637433E-2</v>
      </c>
      <c r="BQ118" s="1">
        <f t="shared" si="36"/>
        <v>4.7278954579796965E-2</v>
      </c>
      <c r="BR118" s="1">
        <f t="shared" si="36"/>
        <v>4.6844388490278888E-2</v>
      </c>
      <c r="BS118" s="1">
        <f t="shared" si="36"/>
        <v>4.6576700888624444E-2</v>
      </c>
      <c r="BT118" s="1">
        <f t="shared" si="36"/>
        <v>4.6412799108427036E-2</v>
      </c>
      <c r="BU118" s="1">
        <f t="shared" si="36"/>
        <v>4.6312814108217477E-2</v>
      </c>
    </row>
    <row r="119" spans="1:73" x14ac:dyDescent="0.25">
      <c r="A119" s="1" t="s">
        <v>33</v>
      </c>
      <c r="B119" s="1" t="s">
        <v>5</v>
      </c>
      <c r="C119" s="1" t="s">
        <v>15</v>
      </c>
      <c r="D119" s="1" t="s">
        <v>15</v>
      </c>
      <c r="E119" s="5">
        <v>7.6065000000000005</v>
      </c>
      <c r="F119" s="1">
        <f t="shared" si="30"/>
        <v>1.8635925000000001E-2</v>
      </c>
      <c r="G119" s="1">
        <f>LOOKUP(RIGHT(D119,5),Ref!$C$4:$C$21,Ref!$E$4:$E$21)*$G$3</f>
        <v>2.5</v>
      </c>
      <c r="H119" s="297">
        <f t="shared" si="53"/>
        <v>7.6065000000000005</v>
      </c>
      <c r="I119" s="5">
        <f t="shared" si="53"/>
        <v>7.6065000000000005</v>
      </c>
      <c r="J119" s="5">
        <f t="shared" si="53"/>
        <v>7.6065000000000005</v>
      </c>
      <c r="K119" s="5">
        <f t="shared" si="53"/>
        <v>7.6065000000000005</v>
      </c>
      <c r="L119" s="5">
        <f t="shared" si="53"/>
        <v>7.6065000000000005</v>
      </c>
      <c r="M119" s="5">
        <f t="shared" si="52"/>
        <v>7.9672449043251623</v>
      </c>
      <c r="N119" s="5">
        <f t="shared" si="52"/>
        <v>8.1835152463315897</v>
      </c>
      <c r="O119" s="5">
        <f t="shared" si="52"/>
        <v>8.5132170263612377</v>
      </c>
      <c r="P119" s="5">
        <f t="shared" si="52"/>
        <v>8.99411974683305</v>
      </c>
      <c r="Q119" s="5">
        <f t="shared" si="52"/>
        <v>9.6522029216508685</v>
      </c>
      <c r="R119" s="5">
        <f t="shared" si="52"/>
        <v>10.478263097213095</v>
      </c>
      <c r="S119" s="5">
        <f t="shared" si="52"/>
        <v>11.409750000000001</v>
      </c>
      <c r="T119" s="5">
        <f t="shared" si="52"/>
        <v>12.341236902786907</v>
      </c>
      <c r="U119" s="5">
        <f t="shared" si="52"/>
        <v>13.167297078349133</v>
      </c>
      <c r="V119" s="5">
        <f t="shared" si="52"/>
        <v>13.825380253166951</v>
      </c>
      <c r="W119" s="5">
        <f t="shared" si="52"/>
        <v>14.306282973638762</v>
      </c>
      <c r="X119" s="5">
        <f t="shared" si="52"/>
        <v>14.635984753668412</v>
      </c>
      <c r="Y119" s="5">
        <f t="shared" si="52"/>
        <v>14.85225509567484</v>
      </c>
      <c r="Z119" s="5">
        <f t="shared" si="52"/>
        <v>14.990036516789809</v>
      </c>
      <c r="AA119" s="5">
        <f t="shared" si="52"/>
        <v>15.076187893923352</v>
      </c>
      <c r="AB119" s="5">
        <f t="shared" si="52"/>
        <v>15.129427820880395</v>
      </c>
      <c r="AC119" s="5">
        <f t="shared" si="51"/>
        <v>15.162090829444429</v>
      </c>
      <c r="AD119" s="300">
        <f t="shared" si="47"/>
        <v>1.8068227310233693E-3</v>
      </c>
      <c r="AE119" s="299">
        <f t="shared" si="48"/>
        <v>1.8068227310233693E-3</v>
      </c>
      <c r="AF119" s="299">
        <f t="shared" si="45"/>
        <v>1.8068227310233693E-3</v>
      </c>
      <c r="AG119" s="299">
        <f t="shared" si="45"/>
        <v>1.8068227310233693E-3</v>
      </c>
      <c r="AH119" s="299">
        <f t="shared" si="45"/>
        <v>1.8068227310233693E-3</v>
      </c>
      <c r="AI119" s="299">
        <f t="shared" si="45"/>
        <v>1.7250125066531217E-3</v>
      </c>
      <c r="AJ119" s="299">
        <f t="shared" si="45"/>
        <v>1.679424634748506E-3</v>
      </c>
      <c r="AK119" s="299">
        <f t="shared" si="45"/>
        <v>1.6143835004995305E-3</v>
      </c>
      <c r="AL119" s="299">
        <f t="shared" si="45"/>
        <v>1.5280647234398412E-3</v>
      </c>
      <c r="AM119" s="299">
        <f t="shared" si="45"/>
        <v>1.4238819070723201E-3</v>
      </c>
      <c r="AN119" s="299">
        <f t="shared" si="45"/>
        <v>1.311629320243414E-3</v>
      </c>
      <c r="AO119" s="299">
        <f t="shared" si="38"/>
        <v>1.2045484873489129E-3</v>
      </c>
      <c r="AP119" s="299">
        <f t="shared" si="38"/>
        <v>1.113632062311815E-3</v>
      </c>
      <c r="AQ119" s="299">
        <f t="shared" si="38"/>
        <v>1.0437675266040539E-3</v>
      </c>
      <c r="AR119" s="299">
        <f t="shared" si="38"/>
        <v>9.9408456417544411E-4</v>
      </c>
      <c r="AS119" s="299">
        <f t="shared" si="38"/>
        <v>9.606686187358151E-4</v>
      </c>
      <c r="AT119" s="299">
        <f t="shared" si="35"/>
        <v>9.390278368583651E-4</v>
      </c>
      <c r="AU119" s="299">
        <f t="shared" si="35"/>
        <v>9.2535423173088142E-4</v>
      </c>
      <c r="AV119" s="299">
        <f t="shared" si="35"/>
        <v>9.1684880741521493E-4</v>
      </c>
      <c r="AW119" s="299">
        <f t="shared" si="35"/>
        <v>9.1160956604081521E-4</v>
      </c>
      <c r="AX119" s="299">
        <f t="shared" si="35"/>
        <v>9.0840164388513583E-4</v>
      </c>
      <c r="AY119" s="299">
        <f t="shared" si="35"/>
        <v>9.0644471518660954E-4</v>
      </c>
      <c r="AZ119" s="298">
        <f t="shared" si="49"/>
        <v>0.10002532298510718</v>
      </c>
      <c r="BA119" s="1">
        <f t="shared" si="50"/>
        <v>0.10002532298510718</v>
      </c>
      <c r="BB119" s="1">
        <f t="shared" si="46"/>
        <v>0.10002532298510718</v>
      </c>
      <c r="BC119" s="1">
        <f t="shared" si="46"/>
        <v>0.10002532298510718</v>
      </c>
      <c r="BD119" s="1">
        <f t="shared" si="46"/>
        <v>0.10002532298510718</v>
      </c>
      <c r="BE119" s="1">
        <f t="shared" si="46"/>
        <v>9.5496326323944267E-2</v>
      </c>
      <c r="BF119" s="1">
        <f t="shared" si="46"/>
        <v>9.2972591408964425E-2</v>
      </c>
      <c r="BG119" s="1">
        <f t="shared" si="46"/>
        <v>8.9371928018546112E-2</v>
      </c>
      <c r="BH119" s="1">
        <f t="shared" si="46"/>
        <v>8.4593338837202006E-2</v>
      </c>
      <c r="BI119" s="1">
        <f t="shared" si="46"/>
        <v>7.8825800230491502E-2</v>
      </c>
      <c r="BJ119" s="1">
        <f t="shared" si="46"/>
        <v>7.2611520843428645E-2</v>
      </c>
      <c r="BK119" s="1">
        <f t="shared" si="39"/>
        <v>6.6683548656738117E-2</v>
      </c>
      <c r="BL119" s="1">
        <f t="shared" si="39"/>
        <v>6.1650434658976828E-2</v>
      </c>
      <c r="BM119" s="1">
        <f t="shared" si="39"/>
        <v>5.7782748787316748E-2</v>
      </c>
      <c r="BN119" s="1">
        <f t="shared" si="39"/>
        <v>5.5032310529899035E-2</v>
      </c>
      <c r="BO119" s="1">
        <f t="shared" si="39"/>
        <v>5.3182410881161234E-2</v>
      </c>
      <c r="BP119" s="1">
        <f t="shared" si="36"/>
        <v>5.1984381788558347E-2</v>
      </c>
      <c r="BQ119" s="1">
        <f t="shared" si="36"/>
        <v>5.1227413910213848E-2</v>
      </c>
      <c r="BR119" s="1">
        <f t="shared" si="36"/>
        <v>5.0756555424933417E-2</v>
      </c>
      <c r="BS119" s="1">
        <f t="shared" si="36"/>
        <v>5.0466512134203702E-2</v>
      </c>
      <c r="BT119" s="1">
        <f t="shared" si="36"/>
        <v>5.0288922244380266E-2</v>
      </c>
      <c r="BU119" s="1">
        <f t="shared" si="36"/>
        <v>5.01805870868864E-2</v>
      </c>
    </row>
    <row r="120" spans="1:73" x14ac:dyDescent="0.25">
      <c r="A120" s="1" t="s">
        <v>33</v>
      </c>
      <c r="B120" s="1" t="s">
        <v>5</v>
      </c>
      <c r="C120" s="1" t="s">
        <v>16</v>
      </c>
      <c r="D120" s="1" t="s">
        <v>16</v>
      </c>
      <c r="E120" s="5">
        <v>8.2087500000000002</v>
      </c>
      <c r="F120" s="1">
        <f t="shared" si="30"/>
        <v>2.0111437500000003E-2</v>
      </c>
      <c r="G120" s="1">
        <f>LOOKUP(RIGHT(D120,5),Ref!$C$4:$C$21,Ref!$E$4:$E$21)*$G$3</f>
        <v>3</v>
      </c>
      <c r="H120" s="297">
        <f t="shared" si="53"/>
        <v>8.2087500000000002</v>
      </c>
      <c r="I120" s="5">
        <f t="shared" si="53"/>
        <v>8.2087500000000002</v>
      </c>
      <c r="J120" s="5">
        <f t="shared" si="53"/>
        <v>8.2087500000000002</v>
      </c>
      <c r="K120" s="5">
        <f t="shared" si="53"/>
        <v>8.2087500000000002</v>
      </c>
      <c r="L120" s="5">
        <f t="shared" si="53"/>
        <v>8.2087500000000002</v>
      </c>
      <c r="M120" s="5">
        <f t="shared" si="52"/>
        <v>8.5980571364463518</v>
      </c>
      <c r="N120" s="5">
        <f t="shared" si="52"/>
        <v>8.8314508352493828</v>
      </c>
      <c r="O120" s="5">
        <f t="shared" si="52"/>
        <v>9.1872569861490572</v>
      </c>
      <c r="P120" s="5">
        <f t="shared" si="52"/>
        <v>9.7062355185454283</v>
      </c>
      <c r="Q120" s="5">
        <f t="shared" si="52"/>
        <v>10.416422892670948</v>
      </c>
      <c r="R120" s="5">
        <f t="shared" si="52"/>
        <v>11.307886964996777</v>
      </c>
      <c r="S120" s="5">
        <f t="shared" si="52"/>
        <v>12.313124999999999</v>
      </c>
      <c r="T120" s="5">
        <f t="shared" si="52"/>
        <v>13.318363035003223</v>
      </c>
      <c r="U120" s="5">
        <f t="shared" si="52"/>
        <v>14.209827107329053</v>
      </c>
      <c r="V120" s="5">
        <f t="shared" si="52"/>
        <v>14.920014481454572</v>
      </c>
      <c r="W120" s="5">
        <f t="shared" si="52"/>
        <v>15.438993013850942</v>
      </c>
      <c r="X120" s="5">
        <f t="shared" si="52"/>
        <v>15.794799164750618</v>
      </c>
      <c r="Y120" s="5">
        <f t="shared" si="52"/>
        <v>16.028192863553649</v>
      </c>
      <c r="Z120" s="5">
        <f t="shared" si="52"/>
        <v>16.176883225819804</v>
      </c>
      <c r="AA120" s="5">
        <f t="shared" si="52"/>
        <v>16.269855698973682</v>
      </c>
      <c r="AB120" s="5">
        <f t="shared" si="52"/>
        <v>16.327310934681119</v>
      </c>
      <c r="AC120" s="5">
        <f t="shared" si="51"/>
        <v>16.362560059975277</v>
      </c>
      <c r="AD120" s="300">
        <f t="shared" si="47"/>
        <v>1.6742618673402478E-3</v>
      </c>
      <c r="AE120" s="299">
        <f t="shared" si="48"/>
        <v>1.6742618673402478E-3</v>
      </c>
      <c r="AF120" s="299">
        <f t="shared" si="45"/>
        <v>1.6742618673402478E-3</v>
      </c>
      <c r="AG120" s="299">
        <f t="shared" si="45"/>
        <v>1.6742618673402478E-3</v>
      </c>
      <c r="AH120" s="299">
        <f t="shared" si="45"/>
        <v>1.6742618673402478E-3</v>
      </c>
      <c r="AI120" s="299">
        <f t="shared" si="45"/>
        <v>1.5984538001348526E-3</v>
      </c>
      <c r="AJ120" s="299">
        <f t="shared" si="45"/>
        <v>1.556210566068465E-3</v>
      </c>
      <c r="AK120" s="299">
        <f t="shared" si="45"/>
        <v>1.4959412939302185E-3</v>
      </c>
      <c r="AL120" s="299">
        <f t="shared" si="45"/>
        <v>1.4159554522728982E-3</v>
      </c>
      <c r="AM120" s="299">
        <f t="shared" si="45"/>
        <v>1.3194161993172657E-3</v>
      </c>
      <c r="AN120" s="299">
        <f t="shared" si="45"/>
        <v>1.2153992294114851E-3</v>
      </c>
      <c r="AO120" s="299">
        <f t="shared" si="38"/>
        <v>1.116174578226832E-3</v>
      </c>
      <c r="AP120" s="299">
        <f t="shared" si="38"/>
        <v>1.0319284034688376E-3</v>
      </c>
      <c r="AQ120" s="299">
        <f t="shared" si="38"/>
        <v>9.6718960756677155E-4</v>
      </c>
      <c r="AR120" s="299">
        <f t="shared" si="38"/>
        <v>9.2115172680377845E-4</v>
      </c>
      <c r="AS120" s="299">
        <f t="shared" si="38"/>
        <v>8.9018740349188093E-4</v>
      </c>
      <c r="AT120" s="299">
        <f t="shared" si="35"/>
        <v>8.7013433726976144E-4</v>
      </c>
      <c r="AU120" s="299">
        <f t="shared" si="35"/>
        <v>8.5746392126218366E-4</v>
      </c>
      <c r="AV120" s="299">
        <f t="shared" si="35"/>
        <v>8.4958251300183739E-4</v>
      </c>
      <c r="AW120" s="299">
        <f t="shared" si="35"/>
        <v>8.4472765818053436E-4</v>
      </c>
      <c r="AX120" s="299">
        <f t="shared" si="35"/>
        <v>8.4175509111768373E-4</v>
      </c>
      <c r="AY120" s="299">
        <f t="shared" si="35"/>
        <v>8.3994173608246644E-4</v>
      </c>
      <c r="AZ120" s="298">
        <f t="shared" si="49"/>
        <v>9.2686781700772686E-2</v>
      </c>
      <c r="BA120" s="1">
        <f t="shared" si="50"/>
        <v>9.2686781700772686E-2</v>
      </c>
      <c r="BB120" s="1">
        <f t="shared" si="46"/>
        <v>9.2686781700772686E-2</v>
      </c>
      <c r="BC120" s="1">
        <f t="shared" si="46"/>
        <v>9.2686781700772686E-2</v>
      </c>
      <c r="BD120" s="1">
        <f t="shared" si="46"/>
        <v>9.2686781700772686E-2</v>
      </c>
      <c r="BE120" s="1">
        <f t="shared" si="46"/>
        <v>8.8490063186609652E-2</v>
      </c>
      <c r="BF120" s="1">
        <f t="shared" si="46"/>
        <v>8.6151486712628358E-2</v>
      </c>
      <c r="BG120" s="1">
        <f t="shared" si="46"/>
        <v>8.2814992596079925E-2</v>
      </c>
      <c r="BH120" s="1">
        <f t="shared" si="46"/>
        <v>7.838699337477413E-2</v>
      </c>
      <c r="BI120" s="1">
        <f t="shared" si="46"/>
        <v>7.3042600816596151E-2</v>
      </c>
      <c r="BJ120" s="1">
        <f t="shared" si="46"/>
        <v>6.7284243434815288E-2</v>
      </c>
      <c r="BK120" s="1">
        <f t="shared" si="39"/>
        <v>6.1791187800515124E-2</v>
      </c>
      <c r="BL120" s="1">
        <f t="shared" si="39"/>
        <v>5.7127337442790589E-2</v>
      </c>
      <c r="BM120" s="1">
        <f t="shared" si="39"/>
        <v>5.3543411439101553E-2</v>
      </c>
      <c r="BN120" s="1">
        <f t="shared" si="39"/>
        <v>5.0994764129212979E-2</v>
      </c>
      <c r="BO120" s="1">
        <f t="shared" si="39"/>
        <v>4.9280585761236839E-2</v>
      </c>
      <c r="BP120" s="1">
        <f t="shared" si="36"/>
        <v>4.8170452270402807E-2</v>
      </c>
      <c r="BQ120" s="1">
        <f t="shared" si="36"/>
        <v>4.7469020728861479E-2</v>
      </c>
      <c r="BR120" s="1">
        <f t="shared" si="36"/>
        <v>4.7032707639988555E-2</v>
      </c>
      <c r="BS120" s="1">
        <f t="shared" si="36"/>
        <v>4.6763943907272176E-2</v>
      </c>
      <c r="BT120" s="1">
        <f t="shared" si="36"/>
        <v>4.6599383225445837E-2</v>
      </c>
      <c r="BU120" s="1">
        <f t="shared" si="36"/>
        <v>4.6498996275486697E-2</v>
      </c>
    </row>
    <row r="121" spans="1:73" x14ac:dyDescent="0.25">
      <c r="A121" s="1" t="s">
        <v>33</v>
      </c>
      <c r="B121" s="1" t="s">
        <v>5</v>
      </c>
      <c r="C121" s="1" t="s">
        <v>17</v>
      </c>
      <c r="D121" s="1" t="s">
        <v>17</v>
      </c>
      <c r="E121" s="5">
        <v>8.5387499999999985</v>
      </c>
      <c r="F121" s="1">
        <f t="shared" si="30"/>
        <v>2.0919937499999996E-2</v>
      </c>
      <c r="G121" s="1">
        <f>LOOKUP(RIGHT(D121,5),Ref!$C$4:$C$21,Ref!$E$4:$E$21)*$G$3</f>
        <v>3</v>
      </c>
      <c r="H121" s="297">
        <f t="shared" si="53"/>
        <v>8.5387499999999985</v>
      </c>
      <c r="I121" s="5">
        <f t="shared" si="53"/>
        <v>8.5387499999999985</v>
      </c>
      <c r="J121" s="5">
        <f t="shared" si="53"/>
        <v>8.5387499999999985</v>
      </c>
      <c r="K121" s="5">
        <f t="shared" si="53"/>
        <v>8.5387499999999985</v>
      </c>
      <c r="L121" s="5">
        <f t="shared" si="53"/>
        <v>8.5387499999999985</v>
      </c>
      <c r="M121" s="5">
        <f t="shared" si="52"/>
        <v>8.9437076745949469</v>
      </c>
      <c r="N121" s="5">
        <f t="shared" si="52"/>
        <v>9.1864840346563916</v>
      </c>
      <c r="O121" s="5">
        <f t="shared" si="52"/>
        <v>9.5565939504163548</v>
      </c>
      <c r="P121" s="5">
        <f t="shared" si="52"/>
        <v>10.096435941401523</v>
      </c>
      <c r="Q121" s="5">
        <f t="shared" si="52"/>
        <v>10.835173561723044</v>
      </c>
      <c r="R121" s="5">
        <f t="shared" si="52"/>
        <v>11.762475385700164</v>
      </c>
      <c r="S121" s="5">
        <f t="shared" si="52"/>
        <v>12.808124999999997</v>
      </c>
      <c r="T121" s="5">
        <f t="shared" si="52"/>
        <v>13.853774614299832</v>
      </c>
      <c r="U121" s="5">
        <f t="shared" si="52"/>
        <v>14.781076438276951</v>
      </c>
      <c r="V121" s="5">
        <f t="shared" si="52"/>
        <v>15.519814058598472</v>
      </c>
      <c r="W121" s="5">
        <f t="shared" si="52"/>
        <v>16.059656049583637</v>
      </c>
      <c r="X121" s="5">
        <f t="shared" si="52"/>
        <v>16.429765965343606</v>
      </c>
      <c r="Y121" s="5">
        <f t="shared" si="52"/>
        <v>16.67254232540505</v>
      </c>
      <c r="Z121" s="5">
        <f t="shared" si="52"/>
        <v>16.827210189671852</v>
      </c>
      <c r="AA121" s="5">
        <f t="shared" si="52"/>
        <v>16.923920249686187</v>
      </c>
      <c r="AB121" s="5">
        <f t="shared" si="52"/>
        <v>16.983685243613021</v>
      </c>
      <c r="AC121" s="5">
        <f t="shared" si="51"/>
        <v>17.020351419170261</v>
      </c>
      <c r="AD121" s="300">
        <f t="shared" si="47"/>
        <v>1.6095560946894174E-3</v>
      </c>
      <c r="AE121" s="299">
        <f t="shared" si="48"/>
        <v>1.6095560946894174E-3</v>
      </c>
      <c r="AF121" s="299">
        <f t="shared" si="45"/>
        <v>1.6095560946894174E-3</v>
      </c>
      <c r="AG121" s="299">
        <f t="shared" si="45"/>
        <v>1.6095560946894174E-3</v>
      </c>
      <c r="AH121" s="299">
        <f t="shared" si="45"/>
        <v>1.6095560946894174E-3</v>
      </c>
      <c r="AI121" s="299">
        <f t="shared" si="45"/>
        <v>1.5366778078591099E-3</v>
      </c>
      <c r="AJ121" s="299">
        <f t="shared" si="45"/>
        <v>1.496067162548911E-3</v>
      </c>
      <c r="AK121" s="299">
        <f t="shared" si="45"/>
        <v>1.4381271376430603E-3</v>
      </c>
      <c r="AL121" s="299">
        <f t="shared" si="45"/>
        <v>1.361232536243028E-3</v>
      </c>
      <c r="AM121" s="299">
        <f t="shared" si="45"/>
        <v>1.2684242689088691E-3</v>
      </c>
      <c r="AN121" s="299">
        <f t="shared" si="45"/>
        <v>1.1684272785163555E-3</v>
      </c>
      <c r="AO121" s="299">
        <f t="shared" si="38"/>
        <v>1.0730373964596117E-3</v>
      </c>
      <c r="AP121" s="299">
        <f t="shared" si="38"/>
        <v>9.9204711251352044E-4</v>
      </c>
      <c r="AQ121" s="299">
        <f t="shared" si="38"/>
        <v>9.2981029906177577E-4</v>
      </c>
      <c r="AR121" s="299">
        <f t="shared" si="38"/>
        <v>8.8555166006740063E-4</v>
      </c>
      <c r="AS121" s="299">
        <f t="shared" si="38"/>
        <v>8.5578402557915159E-4</v>
      </c>
      <c r="AT121" s="299">
        <f t="shared" si="35"/>
        <v>8.3650595708542282E-4</v>
      </c>
      <c r="AU121" s="299">
        <f t="shared" si="35"/>
        <v>8.2432521899118141E-4</v>
      </c>
      <c r="AV121" s="299">
        <f t="shared" si="35"/>
        <v>8.1674840621915787E-4</v>
      </c>
      <c r="AW121" s="299">
        <f t="shared" si="35"/>
        <v>8.1208117863732551E-4</v>
      </c>
      <c r="AX121" s="299">
        <f t="shared" si="35"/>
        <v>8.0922349339332899E-4</v>
      </c>
      <c r="AY121" s="299">
        <f t="shared" si="35"/>
        <v>8.0748021971212963E-4</v>
      </c>
      <c r="AZ121" s="298">
        <f t="shared" si="49"/>
        <v>8.9104683857264583E-2</v>
      </c>
      <c r="BA121" s="1">
        <f t="shared" si="50"/>
        <v>8.9104683857264583E-2</v>
      </c>
      <c r="BB121" s="1">
        <f t="shared" si="46"/>
        <v>8.9104683857264583E-2</v>
      </c>
      <c r="BC121" s="1">
        <f t="shared" si="46"/>
        <v>8.9104683857264583E-2</v>
      </c>
      <c r="BD121" s="1">
        <f t="shared" si="46"/>
        <v>8.9104683857264583E-2</v>
      </c>
      <c r="BE121" s="1">
        <f t="shared" si="46"/>
        <v>8.507015736297259E-2</v>
      </c>
      <c r="BF121" s="1">
        <f t="shared" si="46"/>
        <v>8.2821960656101673E-2</v>
      </c>
      <c r="BG121" s="1">
        <f t="shared" si="46"/>
        <v>7.9614413172076848E-2</v>
      </c>
      <c r="BH121" s="1">
        <f t="shared" si="46"/>
        <v>7.5357544355459202E-2</v>
      </c>
      <c r="BI121" s="1">
        <f t="shared" si="46"/>
        <v>7.0219698369577949E-2</v>
      </c>
      <c r="BJ121" s="1">
        <f t="shared" si="46"/>
        <v>6.4683886200619531E-2</v>
      </c>
      <c r="BK121" s="1">
        <f t="shared" si="39"/>
        <v>5.9403122571509724E-2</v>
      </c>
      <c r="BL121" s="1">
        <f t="shared" si="39"/>
        <v>5.491951763823831E-2</v>
      </c>
      <c r="BM121" s="1">
        <f t="shared" si="39"/>
        <v>5.1474100852083149E-2</v>
      </c>
      <c r="BN121" s="1">
        <f t="shared" si="39"/>
        <v>4.9023951988953547E-2</v>
      </c>
      <c r="BO121" s="1">
        <f t="shared" si="39"/>
        <v>4.7376022060319489E-2</v>
      </c>
      <c r="BP121" s="1">
        <f t="shared" si="36"/>
        <v>4.6308792279276131E-2</v>
      </c>
      <c r="BQ121" s="1">
        <f t="shared" si="36"/>
        <v>4.5634469203108381E-2</v>
      </c>
      <c r="BR121" s="1">
        <f t="shared" si="36"/>
        <v>4.5215018455834415E-2</v>
      </c>
      <c r="BS121" s="1">
        <f t="shared" si="36"/>
        <v>4.4956641727280991E-2</v>
      </c>
      <c r="BT121" s="1">
        <f t="shared" si="36"/>
        <v>4.4798440878568713E-2</v>
      </c>
      <c r="BU121" s="1">
        <f t="shared" si="36"/>
        <v>4.4701933617496879E-2</v>
      </c>
    </row>
    <row r="122" spans="1:73" x14ac:dyDescent="0.25">
      <c r="A122" s="1" t="s">
        <v>33</v>
      </c>
      <c r="B122" s="1" t="s">
        <v>5</v>
      </c>
      <c r="C122" s="1" t="s">
        <v>18</v>
      </c>
      <c r="D122" s="1" t="s">
        <v>18</v>
      </c>
      <c r="E122" s="5">
        <v>7.6972500000000004</v>
      </c>
      <c r="F122" s="1">
        <f t="shared" si="30"/>
        <v>1.8858262499999997E-2</v>
      </c>
      <c r="G122" s="1">
        <f>LOOKUP(RIGHT(D122,5),Ref!$C$4:$C$21,Ref!$E$4:$E$21)*$G$3</f>
        <v>3</v>
      </c>
      <c r="H122" s="297">
        <f t="shared" si="53"/>
        <v>7.6972500000000004</v>
      </c>
      <c r="I122" s="5">
        <f t="shared" si="53"/>
        <v>7.6972500000000004</v>
      </c>
      <c r="J122" s="5">
        <f t="shared" si="53"/>
        <v>7.6972500000000004</v>
      </c>
      <c r="K122" s="5">
        <f t="shared" si="53"/>
        <v>7.6972500000000004</v>
      </c>
      <c r="L122" s="5">
        <f t="shared" si="53"/>
        <v>7.6972500000000004</v>
      </c>
      <c r="M122" s="5">
        <f t="shared" si="52"/>
        <v>8.0622988023160254</v>
      </c>
      <c r="N122" s="5">
        <f t="shared" si="52"/>
        <v>8.281149376168516</v>
      </c>
      <c r="O122" s="5">
        <f t="shared" si="52"/>
        <v>8.6147846915347444</v>
      </c>
      <c r="P122" s="5">
        <f t="shared" si="52"/>
        <v>9.101424863118476</v>
      </c>
      <c r="Q122" s="5">
        <f t="shared" si="52"/>
        <v>9.7673593556401954</v>
      </c>
      <c r="R122" s="5">
        <f t="shared" si="52"/>
        <v>10.603274912906526</v>
      </c>
      <c r="S122" s="5">
        <f t="shared" si="52"/>
        <v>11.545875000000001</v>
      </c>
      <c r="T122" s="5">
        <f t="shared" si="52"/>
        <v>12.488475087093475</v>
      </c>
      <c r="U122" s="5">
        <f t="shared" si="52"/>
        <v>13.324390644359806</v>
      </c>
      <c r="V122" s="5">
        <f t="shared" si="52"/>
        <v>13.990325136881525</v>
      </c>
      <c r="W122" s="5">
        <f t="shared" si="52"/>
        <v>14.476965308465255</v>
      </c>
      <c r="X122" s="5">
        <f t="shared" si="52"/>
        <v>14.810600623831485</v>
      </c>
      <c r="Y122" s="5">
        <f t="shared" si="52"/>
        <v>15.029451197683976</v>
      </c>
      <c r="Z122" s="5">
        <f t="shared" si="52"/>
        <v>15.168876431849124</v>
      </c>
      <c r="AA122" s="5">
        <f t="shared" si="52"/>
        <v>15.256055645369292</v>
      </c>
      <c r="AB122" s="5">
        <f t="shared" si="52"/>
        <v>15.309930755836668</v>
      </c>
      <c r="AC122" s="5">
        <f t="shared" si="51"/>
        <v>15.34298345322305</v>
      </c>
      <c r="AD122" s="300">
        <f t="shared" si="47"/>
        <v>1.7855204265847229E-3</v>
      </c>
      <c r="AE122" s="299">
        <f t="shared" si="48"/>
        <v>1.7855204265847229E-3</v>
      </c>
      <c r="AF122" s="299">
        <f t="shared" si="45"/>
        <v>1.7855204265847229E-3</v>
      </c>
      <c r="AG122" s="299">
        <f t="shared" si="45"/>
        <v>1.7855204265847229E-3</v>
      </c>
      <c r="AH122" s="299">
        <f t="shared" si="45"/>
        <v>1.7855204265847229E-3</v>
      </c>
      <c r="AI122" s="299">
        <f t="shared" si="45"/>
        <v>1.7046747386218418E-3</v>
      </c>
      <c r="AJ122" s="299">
        <f t="shared" si="45"/>
        <v>1.6596243443066697E-3</v>
      </c>
      <c r="AK122" s="299">
        <f t="shared" si="45"/>
        <v>1.5953500401506616E-3</v>
      </c>
      <c r="AL122" s="299">
        <f t="shared" si="45"/>
        <v>1.5100489549962849E-3</v>
      </c>
      <c r="AM122" s="299">
        <f t="shared" si="45"/>
        <v>1.407094446217234E-3</v>
      </c>
      <c r="AN122" s="299">
        <f t="shared" si="45"/>
        <v>1.2961653089650885E-3</v>
      </c>
      <c r="AO122" s="299">
        <f t="shared" si="38"/>
        <v>1.1903469510564819E-3</v>
      </c>
      <c r="AP122" s="299">
        <f t="shared" si="38"/>
        <v>1.1005024238494034E-3</v>
      </c>
      <c r="AQ122" s="299">
        <f t="shared" si="38"/>
        <v>1.0314615857759247E-3</v>
      </c>
      <c r="AR122" s="299">
        <f t="shared" si="38"/>
        <v>9.8236438174679466E-4</v>
      </c>
      <c r="AS122" s="299">
        <f t="shared" si="38"/>
        <v>9.4934240779680765E-4</v>
      </c>
      <c r="AT122" s="299">
        <f t="shared" si="35"/>
        <v>9.2795676911405409E-4</v>
      </c>
      <c r="AU122" s="299">
        <f t="shared" si="35"/>
        <v>9.1444437476513683E-4</v>
      </c>
      <c r="AV122" s="299">
        <f t="shared" si="35"/>
        <v>9.0603922876401736E-4</v>
      </c>
      <c r="AW122" s="299">
        <f t="shared" si="35"/>
        <v>9.0086175765233831E-4</v>
      </c>
      <c r="AX122" s="299">
        <f t="shared" si="35"/>
        <v>8.9769165665819434E-4</v>
      </c>
      <c r="AY122" s="299">
        <f t="shared" si="35"/>
        <v>8.9575780000220148E-4</v>
      </c>
      <c r="AZ122" s="298">
        <f t="shared" si="49"/>
        <v>9.8846031931692196E-2</v>
      </c>
      <c r="BA122" s="1">
        <f t="shared" si="50"/>
        <v>9.8846031931692196E-2</v>
      </c>
      <c r="BB122" s="1">
        <f t="shared" si="46"/>
        <v>9.8846031931692196E-2</v>
      </c>
      <c r="BC122" s="1">
        <f t="shared" si="46"/>
        <v>9.8846031931692196E-2</v>
      </c>
      <c r="BD122" s="1">
        <f t="shared" si="46"/>
        <v>9.8846031931692196E-2</v>
      </c>
      <c r="BE122" s="1">
        <f t="shared" si="46"/>
        <v>9.4370431801368296E-2</v>
      </c>
      <c r="BF122" s="1">
        <f t="shared" si="46"/>
        <v>9.1876451531688344E-2</v>
      </c>
      <c r="BG122" s="1">
        <f t="shared" si="46"/>
        <v>8.8318239692496817E-2</v>
      </c>
      <c r="BH122" s="1">
        <f t="shared" si="46"/>
        <v>8.3595989719078528E-2</v>
      </c>
      <c r="BI122" s="1">
        <f t="shared" si="46"/>
        <v>7.7896449959821187E-2</v>
      </c>
      <c r="BJ122" s="1">
        <f t="shared" si="46"/>
        <v>7.1755436460494329E-2</v>
      </c>
      <c r="BK122" s="1">
        <f t="shared" si="39"/>
        <v>6.5897354621128126E-2</v>
      </c>
      <c r="BL122" s="1">
        <f t="shared" si="39"/>
        <v>6.0923580659782033E-2</v>
      </c>
      <c r="BM122" s="1">
        <f t="shared" si="39"/>
        <v>5.7101494514368752E-2</v>
      </c>
      <c r="BN122" s="1">
        <f t="shared" si="39"/>
        <v>5.4383483717649415E-2</v>
      </c>
      <c r="BO122" s="1">
        <f t="shared" si="39"/>
        <v>5.2555394246978193E-2</v>
      </c>
      <c r="BP122" s="1">
        <f t="shared" si="36"/>
        <v>5.137148982749281E-2</v>
      </c>
      <c r="BQ122" s="1">
        <f t="shared" si="36"/>
        <v>5.0623446543641121E-2</v>
      </c>
      <c r="BR122" s="1">
        <f t="shared" si="36"/>
        <v>5.0158139444575138E-2</v>
      </c>
      <c r="BS122" s="1">
        <f t="shared" si="36"/>
        <v>4.9871515742482116E-2</v>
      </c>
      <c r="BT122" s="1">
        <f t="shared" si="36"/>
        <v>4.9696019624135702E-2</v>
      </c>
      <c r="BU122" s="1">
        <f t="shared" si="36"/>
        <v>4.9588961730020642E-2</v>
      </c>
    </row>
    <row r="123" spans="1:73" x14ac:dyDescent="0.25">
      <c r="A123" s="1" t="s">
        <v>33</v>
      </c>
      <c r="B123" s="1" t="s">
        <v>5</v>
      </c>
      <c r="C123" s="1" t="s">
        <v>6</v>
      </c>
      <c r="D123" s="1" t="s">
        <v>6</v>
      </c>
      <c r="E123" s="5">
        <v>8.2170000000000005</v>
      </c>
      <c r="F123" s="1">
        <f t="shared" si="30"/>
        <v>2.0131650000000004E-2</v>
      </c>
      <c r="G123" s="1">
        <f>LOOKUP(RIGHT(D123,5),Ref!$C$4:$C$21,Ref!$E$4:$E$21)*$G$3</f>
        <v>3</v>
      </c>
      <c r="H123" s="297">
        <f t="shared" si="53"/>
        <v>8.2170000000000005</v>
      </c>
      <c r="I123" s="5">
        <f t="shared" si="53"/>
        <v>8.2170000000000005</v>
      </c>
      <c r="J123" s="5">
        <f t="shared" si="53"/>
        <v>8.2170000000000005</v>
      </c>
      <c r="K123" s="5">
        <f t="shared" si="53"/>
        <v>8.2170000000000005</v>
      </c>
      <c r="L123" s="5">
        <f t="shared" si="53"/>
        <v>8.2170000000000005</v>
      </c>
      <c r="M123" s="5">
        <f t="shared" si="52"/>
        <v>8.6066983999000666</v>
      </c>
      <c r="N123" s="5">
        <f t="shared" si="52"/>
        <v>8.8403266652345582</v>
      </c>
      <c r="O123" s="5">
        <f t="shared" si="52"/>
        <v>9.1964904102557412</v>
      </c>
      <c r="P123" s="5">
        <f t="shared" si="52"/>
        <v>9.71599052911683</v>
      </c>
      <c r="Q123" s="5">
        <f t="shared" si="52"/>
        <v>10.426891659397251</v>
      </c>
      <c r="R123" s="5">
        <f t="shared" si="52"/>
        <v>11.319251675514362</v>
      </c>
      <c r="S123" s="5">
        <f t="shared" si="52"/>
        <v>12.325500000000002</v>
      </c>
      <c r="T123" s="5">
        <f t="shared" si="52"/>
        <v>13.331748324485639</v>
      </c>
      <c r="U123" s="5">
        <f t="shared" si="52"/>
        <v>14.224108340602751</v>
      </c>
      <c r="V123" s="5">
        <f t="shared" si="52"/>
        <v>14.935009470883172</v>
      </c>
      <c r="W123" s="5">
        <f t="shared" si="52"/>
        <v>15.454509589744259</v>
      </c>
      <c r="X123" s="5">
        <f t="shared" si="52"/>
        <v>15.810673334765443</v>
      </c>
      <c r="Y123" s="5">
        <f t="shared" si="52"/>
        <v>16.044301600099935</v>
      </c>
      <c r="Z123" s="5">
        <f t="shared" si="52"/>
        <v>16.193141399916108</v>
      </c>
      <c r="AA123" s="5">
        <f t="shared" si="52"/>
        <v>16.286207312741496</v>
      </c>
      <c r="AB123" s="5">
        <f t="shared" si="52"/>
        <v>16.343720292404416</v>
      </c>
      <c r="AC123" s="5">
        <f t="shared" si="51"/>
        <v>16.379004843955155</v>
      </c>
      <c r="AD123" s="300">
        <f t="shared" si="47"/>
        <v>1.6725808815296651E-3</v>
      </c>
      <c r="AE123" s="299">
        <f t="shared" si="48"/>
        <v>1.6725808815296651E-3</v>
      </c>
      <c r="AF123" s="299">
        <f t="shared" si="45"/>
        <v>1.6725808815296651E-3</v>
      </c>
      <c r="AG123" s="299">
        <f t="shared" si="45"/>
        <v>1.6725808815296651E-3</v>
      </c>
      <c r="AH123" s="299">
        <f t="shared" si="45"/>
        <v>1.6725808815296651E-3</v>
      </c>
      <c r="AI123" s="299">
        <f t="shared" si="45"/>
        <v>1.5968489268415446E-3</v>
      </c>
      <c r="AJ123" s="299">
        <f t="shared" si="45"/>
        <v>1.5546481056607656E-3</v>
      </c>
      <c r="AK123" s="299">
        <f t="shared" si="45"/>
        <v>1.4944393448399268E-3</v>
      </c>
      <c r="AL123" s="299">
        <f t="shared" si="45"/>
        <v>1.4145338102525438E-3</v>
      </c>
      <c r="AM123" s="299">
        <f t="shared" si="45"/>
        <v>1.3180914842577101E-3</v>
      </c>
      <c r="AN123" s="299">
        <f t="shared" si="45"/>
        <v>1.2141789490606703E-3</v>
      </c>
      <c r="AO123" s="299">
        <f t="shared" si="38"/>
        <v>1.1150539210197767E-3</v>
      </c>
      <c r="AP123" s="299">
        <f t="shared" si="38"/>
        <v>1.0308923307745918E-3</v>
      </c>
      <c r="AQ123" s="299">
        <f t="shared" si="38"/>
        <v>9.6621853366359207E-4</v>
      </c>
      <c r="AR123" s="299">
        <f t="shared" si="38"/>
        <v>9.2022687567244917E-4</v>
      </c>
      <c r="AS123" s="299">
        <f t="shared" si="38"/>
        <v>8.8929364103857594E-4</v>
      </c>
      <c r="AT123" s="299">
        <f t="shared" si="35"/>
        <v>8.6926070841708081E-4</v>
      </c>
      <c r="AU123" s="299">
        <f t="shared" si="35"/>
        <v>8.5660301371071556E-4</v>
      </c>
      <c r="AV123" s="299">
        <f t="shared" si="35"/>
        <v>8.4872951851087161E-4</v>
      </c>
      <c r="AW123" s="299">
        <f t="shared" si="35"/>
        <v>8.4387953804179879E-4</v>
      </c>
      <c r="AX123" s="299">
        <f t="shared" si="35"/>
        <v>8.4090995548403145E-4</v>
      </c>
      <c r="AY123" s="299">
        <f t="shared" si="35"/>
        <v>8.3909842108639951E-4</v>
      </c>
      <c r="AZ123" s="298">
        <f t="shared" si="49"/>
        <v>9.2593722683000812E-2</v>
      </c>
      <c r="BA123" s="1">
        <f t="shared" si="50"/>
        <v>9.2593722683000812E-2</v>
      </c>
      <c r="BB123" s="1">
        <f t="shared" si="46"/>
        <v>9.2593722683000812E-2</v>
      </c>
      <c r="BC123" s="1">
        <f t="shared" si="46"/>
        <v>9.2593722683000812E-2</v>
      </c>
      <c r="BD123" s="1">
        <f t="shared" si="46"/>
        <v>9.2593722683000812E-2</v>
      </c>
      <c r="BE123" s="1">
        <f t="shared" si="46"/>
        <v>8.8401217741643182E-2</v>
      </c>
      <c r="BF123" s="1">
        <f t="shared" si="46"/>
        <v>8.6064989236009248E-2</v>
      </c>
      <c r="BG123" s="1">
        <f t="shared" si="46"/>
        <v>8.2731845013152117E-2</v>
      </c>
      <c r="BH123" s="1">
        <f t="shared" si="46"/>
        <v>7.8308291574197053E-2</v>
      </c>
      <c r="BI123" s="1">
        <f t="shared" si="46"/>
        <v>7.2969264872001172E-2</v>
      </c>
      <c r="BJ123" s="1">
        <f t="shared" si="46"/>
        <v>6.7216688973535346E-2</v>
      </c>
      <c r="BK123" s="1">
        <f t="shared" si="39"/>
        <v>6.1729148455333872E-2</v>
      </c>
      <c r="BL123" s="1">
        <f t="shared" si="39"/>
        <v>5.7069980678289792E-2</v>
      </c>
      <c r="BM123" s="1">
        <f t="shared" si="39"/>
        <v>5.3489652993881573E-2</v>
      </c>
      <c r="BN123" s="1">
        <f t="shared" si="39"/>
        <v>5.0943564566834243E-2</v>
      </c>
      <c r="BO123" s="1">
        <f t="shared" si="39"/>
        <v>4.9231107261476566E-2</v>
      </c>
      <c r="BP123" s="1">
        <f t="shared" si="36"/>
        <v>4.8122088362500794E-2</v>
      </c>
      <c r="BQ123" s="1">
        <f t="shared" si="36"/>
        <v>4.7421361069495148E-2</v>
      </c>
      <c r="BR123" s="1">
        <f t="shared" si="36"/>
        <v>4.698548604597249E-2</v>
      </c>
      <c r="BS123" s="1">
        <f t="shared" si="36"/>
        <v>4.6716992156361256E-2</v>
      </c>
      <c r="BT123" s="1">
        <f t="shared" si="36"/>
        <v>4.6552596696103024E-2</v>
      </c>
      <c r="BU123" s="1">
        <f t="shared" si="36"/>
        <v>4.6452310536254274E-2</v>
      </c>
    </row>
    <row r="124" spans="1:73" x14ac:dyDescent="0.25">
      <c r="A124" s="1" t="s">
        <v>33</v>
      </c>
      <c r="B124" s="1" t="s">
        <v>5</v>
      </c>
      <c r="C124" s="1" t="s">
        <v>7</v>
      </c>
      <c r="D124" s="1" t="s">
        <v>7</v>
      </c>
      <c r="E124" s="5">
        <v>8.3819999999999997</v>
      </c>
      <c r="F124" s="1">
        <f t="shared" si="30"/>
        <v>2.0535899999999999E-2</v>
      </c>
      <c r="G124" s="1">
        <f>LOOKUP(RIGHT(D124,5),Ref!$C$4:$C$21,Ref!$E$4:$E$21)*$G$3</f>
        <v>3.5</v>
      </c>
      <c r="H124" s="297">
        <f t="shared" si="53"/>
        <v>8.3819999999999997</v>
      </c>
      <c r="I124" s="5">
        <f t="shared" si="53"/>
        <v>8.3819999999999997</v>
      </c>
      <c r="J124" s="5">
        <f t="shared" si="53"/>
        <v>8.3819999999999997</v>
      </c>
      <c r="K124" s="5">
        <f t="shared" si="53"/>
        <v>8.3819999999999997</v>
      </c>
      <c r="L124" s="5">
        <f t="shared" si="53"/>
        <v>8.3819999999999997</v>
      </c>
      <c r="M124" s="5">
        <f t="shared" si="52"/>
        <v>8.779523668974365</v>
      </c>
      <c r="N124" s="5">
        <f t="shared" si="52"/>
        <v>9.0178432649380618</v>
      </c>
      <c r="O124" s="5">
        <f t="shared" si="52"/>
        <v>9.3811588923893883</v>
      </c>
      <c r="P124" s="5">
        <f t="shared" si="52"/>
        <v>9.9110907405448785</v>
      </c>
      <c r="Q124" s="5">
        <f t="shared" si="52"/>
        <v>10.6362669939233</v>
      </c>
      <c r="R124" s="5">
        <f t="shared" si="52"/>
        <v>11.546545885866056</v>
      </c>
      <c r="S124" s="5">
        <f t="shared" si="52"/>
        <v>12.573</v>
      </c>
      <c r="T124" s="5">
        <f t="shared" si="52"/>
        <v>13.599454114133943</v>
      </c>
      <c r="U124" s="5">
        <f t="shared" si="52"/>
        <v>14.509733006076699</v>
      </c>
      <c r="V124" s="5">
        <f t="shared" si="52"/>
        <v>15.234909259455121</v>
      </c>
      <c r="W124" s="5">
        <f t="shared" si="52"/>
        <v>15.764841107610607</v>
      </c>
      <c r="X124" s="5">
        <f t="shared" si="52"/>
        <v>16.128156735061935</v>
      </c>
      <c r="Y124" s="5">
        <f t="shared" si="52"/>
        <v>16.366476331025634</v>
      </c>
      <c r="Z124" s="5">
        <f t="shared" si="52"/>
        <v>16.518304881842131</v>
      </c>
      <c r="AA124" s="5">
        <f t="shared" si="52"/>
        <v>16.613239588097748</v>
      </c>
      <c r="AB124" s="5">
        <f t="shared" si="52"/>
        <v>16.671907446870367</v>
      </c>
      <c r="AC124" s="5">
        <f t="shared" si="51"/>
        <v>16.707900523552645</v>
      </c>
      <c r="AD124" s="300">
        <f t="shared" si="47"/>
        <v>1.6396560610271128E-3</v>
      </c>
      <c r="AE124" s="299">
        <f t="shared" si="48"/>
        <v>1.6396560610271128E-3</v>
      </c>
      <c r="AF124" s="299">
        <f t="shared" si="45"/>
        <v>1.6396560610271128E-3</v>
      </c>
      <c r="AG124" s="299">
        <f t="shared" si="45"/>
        <v>1.6396560610271128E-3</v>
      </c>
      <c r="AH124" s="299">
        <f t="shared" si="45"/>
        <v>1.6396560610271128E-3</v>
      </c>
      <c r="AI124" s="299">
        <f t="shared" si="45"/>
        <v>1.5654148928486008E-3</v>
      </c>
      <c r="AJ124" s="299">
        <f t="shared" si="45"/>
        <v>1.5240447964942154E-3</v>
      </c>
      <c r="AK124" s="299">
        <f t="shared" si="45"/>
        <v>1.4650212475005586E-3</v>
      </c>
      <c r="AL124" s="299">
        <f t="shared" si="45"/>
        <v>1.3866886565074151E-3</v>
      </c>
      <c r="AM124" s="299">
        <f t="shared" si="45"/>
        <v>1.2921448014967315E-3</v>
      </c>
      <c r="AN124" s="299">
        <f t="shared" si="45"/>
        <v>1.1902777886460903E-3</v>
      </c>
      <c r="AO124" s="299">
        <f t="shared" si="38"/>
        <v>1.0931040406847419E-3</v>
      </c>
      <c r="AP124" s="299">
        <f t="shared" si="38"/>
        <v>1.0105991746569818E-3</v>
      </c>
      <c r="AQ124" s="299">
        <f t="shared" si="38"/>
        <v>9.4719848378832473E-4</v>
      </c>
      <c r="AR124" s="299">
        <f t="shared" si="38"/>
        <v>9.0211217339543261E-4</v>
      </c>
      <c r="AS124" s="299">
        <f t="shared" si="38"/>
        <v>8.7178786070317101E-4</v>
      </c>
      <c r="AT124" s="299">
        <f t="shared" si="35"/>
        <v>8.5214927714902819E-4</v>
      </c>
      <c r="AU124" s="299">
        <f t="shared" si="35"/>
        <v>8.3974074966129209E-4</v>
      </c>
      <c r="AV124" s="299">
        <f t="shared" si="35"/>
        <v>8.3202224452443734E-4</v>
      </c>
      <c r="AW124" s="299">
        <f t="shared" si="35"/>
        <v>8.2726773611184229E-4</v>
      </c>
      <c r="AX124" s="299">
        <f t="shared" si="35"/>
        <v>8.2435660990363719E-4</v>
      </c>
      <c r="AY124" s="299">
        <f t="shared" si="35"/>
        <v>8.225807356319429E-4</v>
      </c>
      <c r="AZ124" s="298">
        <f t="shared" si="49"/>
        <v>9.0771011606563798E-2</v>
      </c>
      <c r="BA124" s="1">
        <f t="shared" si="50"/>
        <v>9.0771011606563798E-2</v>
      </c>
      <c r="BB124" s="1">
        <f t="shared" si="46"/>
        <v>9.0771011606563798E-2</v>
      </c>
      <c r="BC124" s="1">
        <f t="shared" si="46"/>
        <v>9.0771011606563798E-2</v>
      </c>
      <c r="BD124" s="1">
        <f t="shared" si="46"/>
        <v>9.0771011606563798E-2</v>
      </c>
      <c r="BE124" s="1">
        <f t="shared" si="46"/>
        <v>8.6661036290036034E-2</v>
      </c>
      <c r="BF124" s="1">
        <f t="shared" si="46"/>
        <v>8.4370796534513015E-2</v>
      </c>
      <c r="BG124" s="1">
        <f t="shared" si="46"/>
        <v>8.1103265386908999E-2</v>
      </c>
      <c r="BH124" s="1">
        <f t="shared" si="46"/>
        <v>7.6766789771555377E-2</v>
      </c>
      <c r="BI124" s="1">
        <f t="shared" si="46"/>
        <v>7.1532862020190116E-2</v>
      </c>
      <c r="BJ124" s="1">
        <f t="shared" si="46"/>
        <v>6.5893525804764971E-2</v>
      </c>
      <c r="BK124" s="1">
        <f t="shared" si="39"/>
        <v>6.0514007737709201E-2</v>
      </c>
      <c r="BL124" s="1">
        <f t="shared" si="39"/>
        <v>5.5946555861788039E-2</v>
      </c>
      <c r="BM124" s="1">
        <f t="shared" si="39"/>
        <v>5.2436707068805176E-2</v>
      </c>
      <c r="BN124" s="1">
        <f t="shared" si="39"/>
        <v>4.9940738492683968E-2</v>
      </c>
      <c r="BO124" s="1">
        <f t="shared" si="39"/>
        <v>4.8261990976801832E-2</v>
      </c>
      <c r="BP124" s="1">
        <f t="shared" si="36"/>
        <v>4.7174803158514564E-2</v>
      </c>
      <c r="BQ124" s="1">
        <f t="shared" si="36"/>
        <v>4.6487869709859422E-2</v>
      </c>
      <c r="BR124" s="1">
        <f t="shared" si="36"/>
        <v>4.6060574903335247E-2</v>
      </c>
      <c r="BS124" s="1">
        <f t="shared" si="36"/>
        <v>4.5797366326511629E-2</v>
      </c>
      <c r="BT124" s="1">
        <f t="shared" si="36"/>
        <v>4.5636206997360838E-2</v>
      </c>
      <c r="BU124" s="1">
        <f t="shared" si="36"/>
        <v>4.553789497451699E-2</v>
      </c>
    </row>
    <row r="125" spans="1:73" x14ac:dyDescent="0.25">
      <c r="A125" s="1" t="s">
        <v>33</v>
      </c>
      <c r="B125" s="1" t="s">
        <v>5</v>
      </c>
      <c r="C125" s="1" t="s">
        <v>8</v>
      </c>
      <c r="D125" s="1" t="s">
        <v>8</v>
      </c>
      <c r="E125" s="5">
        <v>8.0107499999999998</v>
      </c>
      <c r="F125" s="1">
        <f t="shared" si="30"/>
        <v>1.9626337499999997E-2</v>
      </c>
      <c r="G125" s="1">
        <f>LOOKUP(RIGHT(D125,5),Ref!$C$4:$C$21,Ref!$E$4:$E$21)*$G$3</f>
        <v>4</v>
      </c>
      <c r="H125" s="297">
        <f t="shared" si="53"/>
        <v>8.0107499999999998</v>
      </c>
      <c r="I125" s="5">
        <f t="shared" si="53"/>
        <v>8.0107499999999998</v>
      </c>
      <c r="J125" s="5">
        <f t="shared" si="53"/>
        <v>8.0107499999999998</v>
      </c>
      <c r="K125" s="5">
        <f t="shared" si="53"/>
        <v>8.0107499999999998</v>
      </c>
      <c r="L125" s="5">
        <f t="shared" si="53"/>
        <v>8.0107499999999998</v>
      </c>
      <c r="M125" s="5">
        <f t="shared" si="52"/>
        <v>8.3906668135571927</v>
      </c>
      <c r="N125" s="5">
        <f t="shared" si="52"/>
        <v>8.6184309156051757</v>
      </c>
      <c r="O125" s="5">
        <f t="shared" si="52"/>
        <v>8.9656548075886775</v>
      </c>
      <c r="P125" s="5">
        <f t="shared" si="52"/>
        <v>9.4721152648317695</v>
      </c>
      <c r="Q125" s="5">
        <f t="shared" si="52"/>
        <v>10.165172491239689</v>
      </c>
      <c r="R125" s="5">
        <f t="shared" si="52"/>
        <v>11.035133912574745</v>
      </c>
      <c r="S125" s="5">
        <f t="shared" si="52"/>
        <v>12.016124999999999</v>
      </c>
      <c r="T125" s="5">
        <f t="shared" si="52"/>
        <v>12.997116087425255</v>
      </c>
      <c r="U125" s="5">
        <f t="shared" si="52"/>
        <v>13.86707750876031</v>
      </c>
      <c r="V125" s="5">
        <f t="shared" si="52"/>
        <v>14.56013473516823</v>
      </c>
      <c r="W125" s="5">
        <f t="shared" si="52"/>
        <v>15.06659519241132</v>
      </c>
      <c r="X125" s="5">
        <f t="shared" si="52"/>
        <v>15.413819084394824</v>
      </c>
      <c r="Y125" s="5">
        <f t="shared" si="52"/>
        <v>15.641583186442807</v>
      </c>
      <c r="Z125" s="5">
        <f t="shared" si="52"/>
        <v>15.786687047508572</v>
      </c>
      <c r="AA125" s="5">
        <f t="shared" si="52"/>
        <v>15.877416968546175</v>
      </c>
      <c r="AB125" s="5">
        <f t="shared" si="52"/>
        <v>15.933486349321976</v>
      </c>
      <c r="AC125" s="5">
        <f t="shared" si="51"/>
        <v>15.967885244458285</v>
      </c>
      <c r="AD125" s="300">
        <f t="shared" si="47"/>
        <v>1.7156442409923241E-3</v>
      </c>
      <c r="AE125" s="299">
        <f t="shared" si="48"/>
        <v>1.7156442409923241E-3</v>
      </c>
      <c r="AF125" s="299">
        <f t="shared" si="45"/>
        <v>1.7156442409923241E-3</v>
      </c>
      <c r="AG125" s="299">
        <f t="shared" si="45"/>
        <v>1.7156442409923241E-3</v>
      </c>
      <c r="AH125" s="299">
        <f t="shared" si="45"/>
        <v>1.7156442409923241E-3</v>
      </c>
      <c r="AI125" s="299">
        <f t="shared" si="45"/>
        <v>1.6379624419507503E-3</v>
      </c>
      <c r="AJ125" s="299">
        <f t="shared" si="45"/>
        <v>1.5946750908734529E-3</v>
      </c>
      <c r="AK125" s="299">
        <f t="shared" si="45"/>
        <v>1.5329161559841065E-3</v>
      </c>
      <c r="AL125" s="299">
        <f t="shared" si="45"/>
        <v>1.4509533213301067E-3</v>
      </c>
      <c r="AM125" s="299">
        <f t="shared" si="45"/>
        <v>1.3520279282396284E-3</v>
      </c>
      <c r="AN125" s="299">
        <f t="shared" si="45"/>
        <v>1.2454399930632621E-3</v>
      </c>
      <c r="AO125" s="299">
        <f t="shared" si="38"/>
        <v>1.1437628273282161E-3</v>
      </c>
      <c r="AP125" s="299">
        <f t="shared" si="38"/>
        <v>1.0574343578285206E-3</v>
      </c>
      <c r="AQ125" s="299">
        <f t="shared" si="38"/>
        <v>9.9109542690930781E-4</v>
      </c>
      <c r="AR125" s="299">
        <f t="shared" si="38"/>
        <v>9.4391963766195632E-4</v>
      </c>
      <c r="AS125" s="299">
        <f t="shared" si="38"/>
        <v>9.1218997577180395E-4</v>
      </c>
      <c r="AT125" s="299">
        <f t="shared" si="35"/>
        <v>8.9164126218683071E-4</v>
      </c>
      <c r="AU125" s="299">
        <f t="shared" si="35"/>
        <v>8.7865767420790188E-4</v>
      </c>
      <c r="AV125" s="299">
        <f t="shared" si="35"/>
        <v>8.7058146285976142E-4</v>
      </c>
      <c r="AW125" s="299">
        <f t="shared" si="35"/>
        <v>8.656066116268092E-4</v>
      </c>
      <c r="AX125" s="299">
        <f t="shared" si="35"/>
        <v>8.6256057225756475E-4</v>
      </c>
      <c r="AY125" s="299">
        <f t="shared" si="35"/>
        <v>8.6070239691251704E-4</v>
      </c>
      <c r="AZ125" s="298">
        <f t="shared" si="49"/>
        <v>9.4977701124890651E-2</v>
      </c>
      <c r="BA125" s="1">
        <f t="shared" si="50"/>
        <v>9.4977701124890651E-2</v>
      </c>
      <c r="BB125" s="1">
        <f t="shared" si="46"/>
        <v>9.4977701124890651E-2</v>
      </c>
      <c r="BC125" s="1">
        <f t="shared" si="46"/>
        <v>9.4977701124890651E-2</v>
      </c>
      <c r="BD125" s="1">
        <f t="shared" si="46"/>
        <v>9.4977701124890651E-2</v>
      </c>
      <c r="BE125" s="1">
        <f t="shared" si="46"/>
        <v>9.0677253213879108E-2</v>
      </c>
      <c r="BF125" s="1">
        <f t="shared" si="46"/>
        <v>8.8280874643733492E-2</v>
      </c>
      <c r="BG125" s="1">
        <f t="shared" si="46"/>
        <v>8.4861913113387782E-2</v>
      </c>
      <c r="BH125" s="1">
        <f t="shared" si="46"/>
        <v>8.0324467979299957E-2</v>
      </c>
      <c r="BI125" s="1">
        <f t="shared" si="46"/>
        <v>7.4847979209591312E-2</v>
      </c>
      <c r="BJ125" s="1">
        <f t="shared" si="46"/>
        <v>6.8947293735984766E-2</v>
      </c>
      <c r="BK125" s="1">
        <f t="shared" si="39"/>
        <v>6.3318467416593777E-2</v>
      </c>
      <c r="BL125" s="1">
        <f t="shared" si="39"/>
        <v>5.8539341663827647E-2</v>
      </c>
      <c r="BM125" s="1">
        <f t="shared" si="39"/>
        <v>5.4866832525134968E-2</v>
      </c>
      <c r="BN125" s="1">
        <f t="shared" si="39"/>
        <v>5.2255190843014332E-2</v>
      </c>
      <c r="BO125" s="1">
        <f t="shared" si="39"/>
        <v>5.0498643493749391E-2</v>
      </c>
      <c r="BP125" s="1">
        <f t="shared" si="36"/>
        <v>4.9361071070083209E-2</v>
      </c>
      <c r="BQ125" s="1">
        <f t="shared" si="36"/>
        <v>4.8642302394662378E-2</v>
      </c>
      <c r="BR125" s="1">
        <f t="shared" si="36"/>
        <v>4.8195205048186009E-2</v>
      </c>
      <c r="BS125" s="1">
        <f t="shared" si="36"/>
        <v>4.7919798339583743E-2</v>
      </c>
      <c r="BT125" s="1">
        <f t="shared" si="36"/>
        <v>4.7751170246466128E-2</v>
      </c>
      <c r="BU125" s="1">
        <f t="shared" si="36"/>
        <v>4.7648302053665562E-2</v>
      </c>
    </row>
    <row r="126" spans="1:73" x14ac:dyDescent="0.25">
      <c r="A126" s="1" t="s">
        <v>33</v>
      </c>
      <c r="B126" s="1" t="s">
        <v>5</v>
      </c>
      <c r="C126" s="1" t="s">
        <v>9</v>
      </c>
      <c r="D126" s="1" t="s">
        <v>9</v>
      </c>
      <c r="E126" s="5">
        <v>8.0767500000000005</v>
      </c>
      <c r="F126" s="1">
        <f t="shared" si="30"/>
        <v>1.9788037500000001E-2</v>
      </c>
      <c r="G126" s="1">
        <f>LOOKUP(RIGHT(D126,5),Ref!$C$4:$C$21,Ref!$E$4:$E$21)*$G$3</f>
        <v>4.5</v>
      </c>
      <c r="H126" s="297">
        <f t="shared" si="53"/>
        <v>8.0767500000000005</v>
      </c>
      <c r="I126" s="5">
        <f t="shared" si="53"/>
        <v>8.0767500000000005</v>
      </c>
      <c r="J126" s="5">
        <f t="shared" si="53"/>
        <v>8.0767500000000005</v>
      </c>
      <c r="K126" s="5">
        <f t="shared" si="53"/>
        <v>8.0767500000000005</v>
      </c>
      <c r="L126" s="5">
        <f t="shared" si="53"/>
        <v>8.0767500000000005</v>
      </c>
      <c r="M126" s="5">
        <f t="shared" si="52"/>
        <v>8.4597969211869124</v>
      </c>
      <c r="N126" s="5">
        <f t="shared" si="52"/>
        <v>8.6894375554865793</v>
      </c>
      <c r="O126" s="5">
        <f t="shared" si="52"/>
        <v>9.0395222004421392</v>
      </c>
      <c r="P126" s="5">
        <f t="shared" si="52"/>
        <v>9.5501553494029885</v>
      </c>
      <c r="Q126" s="5">
        <f t="shared" si="52"/>
        <v>10.24892262505011</v>
      </c>
      <c r="R126" s="5">
        <f t="shared" si="52"/>
        <v>11.126051596715422</v>
      </c>
      <c r="S126" s="5">
        <f t="shared" si="52"/>
        <v>12.115125000000001</v>
      </c>
      <c r="T126" s="5">
        <f t="shared" si="52"/>
        <v>13.104198403284579</v>
      </c>
      <c r="U126" s="5">
        <f t="shared" si="52"/>
        <v>13.981327374949892</v>
      </c>
      <c r="V126" s="5">
        <f t="shared" si="52"/>
        <v>14.680094650597013</v>
      </c>
      <c r="W126" s="5">
        <f t="shared" si="52"/>
        <v>15.190727799557861</v>
      </c>
      <c r="X126" s="5">
        <f t="shared" si="52"/>
        <v>15.540812444513422</v>
      </c>
      <c r="Y126" s="5">
        <f t="shared" si="52"/>
        <v>15.770453078813089</v>
      </c>
      <c r="Z126" s="5">
        <f t="shared" si="52"/>
        <v>15.916752440278984</v>
      </c>
      <c r="AA126" s="5">
        <f t="shared" si="52"/>
        <v>16.008229878688677</v>
      </c>
      <c r="AB126" s="5">
        <f t="shared" si="52"/>
        <v>16.064761211108358</v>
      </c>
      <c r="AC126" s="5">
        <f t="shared" si="51"/>
        <v>16.099443516297285</v>
      </c>
      <c r="AD126" s="300">
        <f t="shared" si="47"/>
        <v>1.7016246762038268E-3</v>
      </c>
      <c r="AE126" s="299">
        <f t="shared" si="48"/>
        <v>1.7016246762038268E-3</v>
      </c>
      <c r="AF126" s="299">
        <f t="shared" si="45"/>
        <v>1.7016246762038268E-3</v>
      </c>
      <c r="AG126" s="299">
        <f t="shared" si="45"/>
        <v>1.7016246762038268E-3</v>
      </c>
      <c r="AH126" s="299">
        <f t="shared" si="45"/>
        <v>1.7016246762038268E-3</v>
      </c>
      <c r="AI126" s="299">
        <f t="shared" si="45"/>
        <v>1.6245776620369544E-3</v>
      </c>
      <c r="AJ126" s="299">
        <f t="shared" si="45"/>
        <v>1.5816440380368973E-3</v>
      </c>
      <c r="AK126" s="299">
        <f t="shared" si="45"/>
        <v>1.5203897726869941E-3</v>
      </c>
      <c r="AL126" s="299">
        <f t="shared" si="45"/>
        <v>1.4390967058340487E-3</v>
      </c>
      <c r="AM126" s="299">
        <f t="shared" si="45"/>
        <v>1.340979691849519E-3</v>
      </c>
      <c r="AN126" s="299">
        <f t="shared" si="45"/>
        <v>1.2352627510361874E-3</v>
      </c>
      <c r="AO126" s="299">
        <f t="shared" si="38"/>
        <v>1.1344164508025512E-3</v>
      </c>
      <c r="AP126" s="299">
        <f t="shared" si="38"/>
        <v>1.0487934233416685E-3</v>
      </c>
      <c r="AQ126" s="299">
        <f t="shared" si="38"/>
        <v>9.8299658787429794E-4</v>
      </c>
      <c r="AR126" s="299">
        <f t="shared" si="38"/>
        <v>9.3620630047983597E-4</v>
      </c>
      <c r="AS126" s="299">
        <f t="shared" si="38"/>
        <v>9.0473592081146228E-4</v>
      </c>
      <c r="AT126" s="299">
        <f t="shared" si="35"/>
        <v>8.8435512316998221E-4</v>
      </c>
      <c r="AU126" s="299">
        <f t="shared" si="35"/>
        <v>8.7147763192632545E-4</v>
      </c>
      <c r="AV126" s="299">
        <f t="shared" si="35"/>
        <v>8.6346741617653543E-4</v>
      </c>
      <c r="AW126" s="299">
        <f t="shared" si="35"/>
        <v>8.5853321745621219E-4</v>
      </c>
      <c r="AX126" s="299">
        <f t="shared" si="35"/>
        <v>8.5551206911347829E-4</v>
      </c>
      <c r="AY126" s="299">
        <f t="shared" si="35"/>
        <v>8.5366907804091308E-4</v>
      </c>
      <c r="AZ126" s="298">
        <f t="shared" si="49"/>
        <v>9.4201580993124423E-2</v>
      </c>
      <c r="BA126" s="1">
        <f t="shared" si="50"/>
        <v>9.4201580993124423E-2</v>
      </c>
      <c r="BB126" s="1">
        <f t="shared" si="46"/>
        <v>9.4201580993124423E-2</v>
      </c>
      <c r="BC126" s="1">
        <f t="shared" si="46"/>
        <v>9.4201580993124423E-2</v>
      </c>
      <c r="BD126" s="1">
        <f t="shared" si="46"/>
        <v>9.4201580993124423E-2</v>
      </c>
      <c r="BE126" s="1">
        <f t="shared" si="46"/>
        <v>8.9936274638076213E-2</v>
      </c>
      <c r="BF126" s="1">
        <f t="shared" si="46"/>
        <v>8.7559478323866402E-2</v>
      </c>
      <c r="BG126" s="1">
        <f t="shared" si="46"/>
        <v>8.4168455192134339E-2</v>
      </c>
      <c r="BH126" s="1">
        <f t="shared" si="46"/>
        <v>7.9668088261389436E-2</v>
      </c>
      <c r="BI126" s="1">
        <f t="shared" si="46"/>
        <v>7.4236351187449603E-2</v>
      </c>
      <c r="BJ126" s="1">
        <f t="shared" si="46"/>
        <v>6.838388377695731E-2</v>
      </c>
      <c r="BK126" s="1">
        <f t="shared" si="39"/>
        <v>6.2801053995416287E-2</v>
      </c>
      <c r="BL126" s="1">
        <f t="shared" si="39"/>
        <v>5.806098136422537E-2</v>
      </c>
      <c r="BM126" s="1">
        <f t="shared" si="39"/>
        <v>5.4418482514715066E-2</v>
      </c>
      <c r="BN126" s="1">
        <f t="shared" si="39"/>
        <v>5.1828182133367623E-2</v>
      </c>
      <c r="BO126" s="1">
        <f t="shared" si="39"/>
        <v>5.0085988592881166E-2</v>
      </c>
      <c r="BP126" s="1">
        <f t="shared" si="36"/>
        <v>4.8957711960215311E-2</v>
      </c>
      <c r="BQ126" s="1">
        <f t="shared" si="36"/>
        <v>4.8244816777545621E-2</v>
      </c>
      <c r="BR126" s="1">
        <f t="shared" si="36"/>
        <v>4.7801372933389791E-2</v>
      </c>
      <c r="BS126" s="1">
        <f t="shared" si="36"/>
        <v>4.7528216739260283E-2</v>
      </c>
      <c r="BT126" s="1">
        <f t="shared" si="36"/>
        <v>4.7360966608088466E-2</v>
      </c>
      <c r="BU126" s="1">
        <f t="shared" si="36"/>
        <v>4.7258939013390455E-2</v>
      </c>
    </row>
    <row r="127" spans="1:73" x14ac:dyDescent="0.25">
      <c r="A127" s="1" t="s">
        <v>33</v>
      </c>
      <c r="B127" s="1" t="s">
        <v>5</v>
      </c>
      <c r="C127" s="1" t="s">
        <v>10</v>
      </c>
      <c r="D127" s="1" t="s">
        <v>10</v>
      </c>
      <c r="E127" s="5">
        <v>8.4150000000000009</v>
      </c>
      <c r="F127" s="1">
        <f t="shared" si="30"/>
        <v>2.0616750000000003E-2</v>
      </c>
      <c r="G127" s="1">
        <f>LOOKUP(RIGHT(D127,5),Ref!$C$4:$C$21,Ref!$E$4:$E$21)*$G$3</f>
        <v>4.5</v>
      </c>
      <c r="H127" s="297">
        <f t="shared" si="53"/>
        <v>8.4150000000000009</v>
      </c>
      <c r="I127" s="5">
        <f t="shared" si="53"/>
        <v>8.4150000000000009</v>
      </c>
      <c r="J127" s="5">
        <f t="shared" si="53"/>
        <v>8.4150000000000009</v>
      </c>
      <c r="K127" s="5">
        <f t="shared" si="53"/>
        <v>8.4150000000000009</v>
      </c>
      <c r="L127" s="5">
        <f t="shared" si="53"/>
        <v>8.4150000000000009</v>
      </c>
      <c r="M127" s="5">
        <f t="shared" si="52"/>
        <v>8.8140887227892257</v>
      </c>
      <c r="N127" s="5">
        <f t="shared" si="52"/>
        <v>9.0533465848787653</v>
      </c>
      <c r="O127" s="5">
        <f t="shared" si="52"/>
        <v>9.4180925888161209</v>
      </c>
      <c r="P127" s="5">
        <f t="shared" si="52"/>
        <v>9.9501107828304889</v>
      </c>
      <c r="Q127" s="5">
        <f t="shared" si="52"/>
        <v>10.678142060828511</v>
      </c>
      <c r="R127" s="5">
        <f t="shared" si="52"/>
        <v>11.592004727936397</v>
      </c>
      <c r="S127" s="5">
        <f t="shared" si="52"/>
        <v>12.622500000000002</v>
      </c>
      <c r="T127" s="5">
        <f t="shared" si="52"/>
        <v>13.652995272063606</v>
      </c>
      <c r="U127" s="5">
        <f t="shared" si="52"/>
        <v>14.566857939171491</v>
      </c>
      <c r="V127" s="5">
        <f t="shared" si="52"/>
        <v>15.294889217169514</v>
      </c>
      <c r="W127" s="5">
        <f t="shared" si="52"/>
        <v>15.82690741118388</v>
      </c>
      <c r="X127" s="5">
        <f t="shared" si="52"/>
        <v>16.191653415121237</v>
      </c>
      <c r="Y127" s="5">
        <f t="shared" si="52"/>
        <v>16.430911277210779</v>
      </c>
      <c r="Z127" s="5">
        <f t="shared" si="52"/>
        <v>16.58333757822734</v>
      </c>
      <c r="AA127" s="5">
        <f t="shared" si="52"/>
        <v>16.678646043169003</v>
      </c>
      <c r="AB127" s="5">
        <f t="shared" si="52"/>
        <v>16.737544877763561</v>
      </c>
      <c r="AC127" s="5">
        <f t="shared" si="51"/>
        <v>16.773679659472148</v>
      </c>
      <c r="AD127" s="300">
        <f t="shared" si="47"/>
        <v>1.6332260372583789E-3</v>
      </c>
      <c r="AE127" s="299">
        <f t="shared" si="48"/>
        <v>1.6332260372583789E-3</v>
      </c>
      <c r="AF127" s="299">
        <f t="shared" si="45"/>
        <v>1.6332260372583789E-3</v>
      </c>
      <c r="AG127" s="299">
        <f t="shared" si="45"/>
        <v>1.6332260372583789E-3</v>
      </c>
      <c r="AH127" s="299">
        <f t="shared" si="45"/>
        <v>1.6332260372583789E-3</v>
      </c>
      <c r="AI127" s="299">
        <f t="shared" si="45"/>
        <v>1.5592760109158609E-3</v>
      </c>
      <c r="AJ127" s="299">
        <f t="shared" si="45"/>
        <v>1.5180681502334533E-3</v>
      </c>
      <c r="AK127" s="299">
        <f t="shared" si="45"/>
        <v>1.4592760661378107E-3</v>
      </c>
      <c r="AL127" s="299">
        <f t="shared" si="45"/>
        <v>1.3812506617760134E-3</v>
      </c>
      <c r="AM127" s="299">
        <f t="shared" si="45"/>
        <v>1.2870775669810578E-3</v>
      </c>
      <c r="AN127" s="299">
        <f t="shared" si="45"/>
        <v>1.1856100326121837E-3</v>
      </c>
      <c r="AO127" s="299">
        <f t="shared" si="38"/>
        <v>1.0888173581722524E-3</v>
      </c>
      <c r="AP127" s="299">
        <f t="shared" si="38"/>
        <v>1.0066360406387192E-3</v>
      </c>
      <c r="AQ127" s="299">
        <f t="shared" si="38"/>
        <v>9.4348397993033106E-4</v>
      </c>
      <c r="AR127" s="299">
        <f t="shared" si="38"/>
        <v>8.9857447859780328E-4</v>
      </c>
      <c r="AS127" s="299">
        <f t="shared" si="38"/>
        <v>8.6836908477884466E-4</v>
      </c>
      <c r="AT127" s="299">
        <f t="shared" si="35"/>
        <v>8.4880751527785547E-4</v>
      </c>
      <c r="AU127" s="299">
        <f t="shared" si="35"/>
        <v>8.3644764868222798E-4</v>
      </c>
      <c r="AV127" s="299">
        <f t="shared" si="35"/>
        <v>8.2875941219296876E-4</v>
      </c>
      <c r="AW127" s="299">
        <f t="shared" si="35"/>
        <v>8.2402354891140353E-4</v>
      </c>
      <c r="AX127" s="299">
        <f t="shared" si="35"/>
        <v>8.2112383888440714E-4</v>
      </c>
      <c r="AY127" s="299">
        <f t="shared" si="35"/>
        <v>8.1935492882554296E-4</v>
      </c>
      <c r="AZ127" s="298">
        <f t="shared" si="49"/>
        <v>9.0415046855165507E-2</v>
      </c>
      <c r="BA127" s="1">
        <f t="shared" si="50"/>
        <v>9.0415046855165507E-2</v>
      </c>
      <c r="BB127" s="1">
        <f t="shared" si="46"/>
        <v>9.0415046855165507E-2</v>
      </c>
      <c r="BC127" s="1">
        <f t="shared" si="46"/>
        <v>9.0415046855165507E-2</v>
      </c>
      <c r="BD127" s="1">
        <f t="shared" si="46"/>
        <v>9.0415046855165507E-2</v>
      </c>
      <c r="BE127" s="1">
        <f t="shared" si="46"/>
        <v>8.6321189088898631E-2</v>
      </c>
      <c r="BF127" s="1">
        <f t="shared" si="46"/>
        <v>8.4039930665750204E-2</v>
      </c>
      <c r="BG127" s="1">
        <f t="shared" si="46"/>
        <v>8.0785213365783828E-2</v>
      </c>
      <c r="BH127" s="1">
        <f t="shared" si="46"/>
        <v>7.6465743537157113E-2</v>
      </c>
      <c r="BI127" s="1">
        <f t="shared" si="46"/>
        <v>7.1252340992659952E-2</v>
      </c>
      <c r="BJ127" s="1">
        <f t="shared" si="46"/>
        <v>6.5635119821216864E-2</v>
      </c>
      <c r="BK127" s="1">
        <f t="shared" si="39"/>
        <v>6.0276697903443664E-2</v>
      </c>
      <c r="BL127" s="1">
        <f t="shared" si="39"/>
        <v>5.5727157603506508E-2</v>
      </c>
      <c r="BM127" s="1">
        <f t="shared" si="39"/>
        <v>5.2231072923437302E-2</v>
      </c>
      <c r="BN127" s="1">
        <f t="shared" si="39"/>
        <v>4.9744892459379318E-2</v>
      </c>
      <c r="BO127" s="1">
        <f t="shared" si="39"/>
        <v>4.8072728267088881E-2</v>
      </c>
      <c r="BP127" s="1">
        <f t="shared" si="36"/>
        <v>4.6989803930441949E-2</v>
      </c>
      <c r="BQ127" s="1">
        <f t="shared" si="36"/>
        <v>4.63055643384482E-2</v>
      </c>
      <c r="BR127" s="1">
        <f t="shared" si="36"/>
        <v>4.5879945197831964E-2</v>
      </c>
      <c r="BS127" s="1">
        <f t="shared" si="36"/>
        <v>4.5617768811505692E-2</v>
      </c>
      <c r="BT127" s="1">
        <f t="shared" si="36"/>
        <v>4.5457241479724124E-2</v>
      </c>
      <c r="BU127" s="1">
        <f t="shared" si="36"/>
        <v>4.5359314994224756E-2</v>
      </c>
    </row>
    <row r="128" spans="1:73" x14ac:dyDescent="0.25">
      <c r="A128" s="1" t="s">
        <v>33</v>
      </c>
      <c r="B128" s="1" t="s">
        <v>5</v>
      </c>
      <c r="C128" s="1" t="s">
        <v>11</v>
      </c>
      <c r="D128" s="1" t="s">
        <v>11</v>
      </c>
      <c r="E128" s="5">
        <v>8.3737499999999994</v>
      </c>
      <c r="F128" s="1">
        <f t="shared" si="30"/>
        <v>2.0515687499999997E-2</v>
      </c>
      <c r="G128" s="1">
        <f>LOOKUP(RIGHT(D128,5),Ref!$C$4:$C$21,Ref!$E$4:$E$21)*$G$3</f>
        <v>4.5</v>
      </c>
      <c r="H128" s="297">
        <f t="shared" si="53"/>
        <v>8.3737499999999994</v>
      </c>
      <c r="I128" s="5">
        <f t="shared" si="53"/>
        <v>8.3737499999999994</v>
      </c>
      <c r="J128" s="5">
        <f t="shared" si="53"/>
        <v>8.3737499999999994</v>
      </c>
      <c r="K128" s="5">
        <f t="shared" si="53"/>
        <v>8.3737499999999994</v>
      </c>
      <c r="L128" s="5">
        <f t="shared" si="53"/>
        <v>8.3737499999999994</v>
      </c>
      <c r="M128" s="5">
        <f t="shared" si="52"/>
        <v>8.7708824055206485</v>
      </c>
      <c r="N128" s="5">
        <f t="shared" si="52"/>
        <v>9.0089674349528863</v>
      </c>
      <c r="O128" s="5">
        <f t="shared" si="52"/>
        <v>9.371925468282706</v>
      </c>
      <c r="P128" s="5">
        <f t="shared" si="52"/>
        <v>9.901335729973475</v>
      </c>
      <c r="Q128" s="5">
        <f t="shared" si="52"/>
        <v>10.625798227196997</v>
      </c>
      <c r="R128" s="5">
        <f t="shared" si="52"/>
        <v>11.53518117534847</v>
      </c>
      <c r="S128" s="5">
        <f t="shared" si="52"/>
        <v>12.560624999999998</v>
      </c>
      <c r="T128" s="5">
        <f t="shared" si="52"/>
        <v>13.586068824651528</v>
      </c>
      <c r="U128" s="5">
        <f t="shared" si="52"/>
        <v>14.495451772803001</v>
      </c>
      <c r="V128" s="5">
        <f t="shared" si="52"/>
        <v>15.219914270026523</v>
      </c>
      <c r="W128" s="5">
        <f t="shared" si="52"/>
        <v>15.74932453171729</v>
      </c>
      <c r="X128" s="5">
        <f t="shared" si="52"/>
        <v>16.11228256504711</v>
      </c>
      <c r="Y128" s="5">
        <f t="shared" si="52"/>
        <v>16.350367594479348</v>
      </c>
      <c r="Z128" s="5">
        <f t="shared" si="52"/>
        <v>16.50204670774583</v>
      </c>
      <c r="AA128" s="5">
        <f t="shared" si="52"/>
        <v>16.596887974329935</v>
      </c>
      <c r="AB128" s="5">
        <f t="shared" si="52"/>
        <v>16.65549808914707</v>
      </c>
      <c r="AC128" s="5">
        <f t="shared" si="51"/>
        <v>16.691455739572771</v>
      </c>
      <c r="AD128" s="300">
        <f t="shared" si="47"/>
        <v>1.6412714857177799E-3</v>
      </c>
      <c r="AE128" s="299">
        <f t="shared" si="48"/>
        <v>1.6412714857177799E-3</v>
      </c>
      <c r="AF128" s="299">
        <f t="shared" si="45"/>
        <v>1.6412714857177799E-3</v>
      </c>
      <c r="AG128" s="299">
        <f t="shared" si="45"/>
        <v>1.6412714857177799E-3</v>
      </c>
      <c r="AH128" s="299">
        <f t="shared" si="45"/>
        <v>1.6412714857177799E-3</v>
      </c>
      <c r="AI128" s="299">
        <f t="shared" si="45"/>
        <v>1.5669571735312106E-3</v>
      </c>
      <c r="AJ128" s="299">
        <f t="shared" si="45"/>
        <v>1.5255463184612049E-3</v>
      </c>
      <c r="AK128" s="299">
        <f t="shared" si="45"/>
        <v>1.4664646181877512E-3</v>
      </c>
      <c r="AL128" s="299">
        <f t="shared" si="45"/>
        <v>1.3880548522281122E-3</v>
      </c>
      <c r="AM128" s="299">
        <f t="shared" si="45"/>
        <v>1.2934178505622457E-3</v>
      </c>
      <c r="AN128" s="299">
        <f t="shared" si="45"/>
        <v>1.191450476122589E-3</v>
      </c>
      <c r="AO128" s="299">
        <f t="shared" si="38"/>
        <v>1.0941809904785201E-3</v>
      </c>
      <c r="AP128" s="299">
        <f t="shared" si="38"/>
        <v>1.0115948388684667E-3</v>
      </c>
      <c r="AQ128" s="299">
        <f t="shared" si="38"/>
        <v>9.4813168426496344E-4</v>
      </c>
      <c r="AR128" s="299">
        <f t="shared" si="38"/>
        <v>9.0300095386183202E-4</v>
      </c>
      <c r="AS128" s="299">
        <f t="shared" si="38"/>
        <v>8.7264676499943026E-4</v>
      </c>
      <c r="AT128" s="299">
        <f t="shared" si="35"/>
        <v>8.5298883308710608E-4</v>
      </c>
      <c r="AU128" s="299">
        <f t="shared" si="35"/>
        <v>8.4056808044913583E-4</v>
      </c>
      <c r="AV128" s="299">
        <f t="shared" si="35"/>
        <v>8.3284197087372242E-4</v>
      </c>
      <c r="AW128" s="299">
        <f t="shared" si="35"/>
        <v>8.2808277821638603E-4</v>
      </c>
      <c r="AX128" s="299">
        <f t="shared" si="35"/>
        <v>8.2516878390354227E-4</v>
      </c>
      <c r="AY128" s="299">
        <f t="shared" si="35"/>
        <v>8.2339116000202371E-4</v>
      </c>
      <c r="AZ128" s="298">
        <f t="shared" si="49"/>
        <v>9.0860441174649087E-2</v>
      </c>
      <c r="BA128" s="1">
        <f t="shared" si="50"/>
        <v>9.0860441174649087E-2</v>
      </c>
      <c r="BB128" s="1">
        <f t="shared" si="46"/>
        <v>9.0860441174649087E-2</v>
      </c>
      <c r="BC128" s="1">
        <f t="shared" si="46"/>
        <v>9.0860441174649087E-2</v>
      </c>
      <c r="BD128" s="1">
        <f t="shared" si="46"/>
        <v>9.0860441174649087E-2</v>
      </c>
      <c r="BE128" s="1">
        <f t="shared" si="46"/>
        <v>8.6746416621356279E-2</v>
      </c>
      <c r="BF128" s="1">
        <f t="shared" si="46"/>
        <v>8.4453920471985439E-2</v>
      </c>
      <c r="BG128" s="1">
        <f t="shared" si="46"/>
        <v>8.1183170081871467E-2</v>
      </c>
      <c r="BH128" s="1">
        <f t="shared" si="46"/>
        <v>7.6842422076749031E-2</v>
      </c>
      <c r="BI128" s="1">
        <f t="shared" si="46"/>
        <v>7.1603337746318385E-2</v>
      </c>
      <c r="BJ128" s="1">
        <f t="shared" si="46"/>
        <v>6.5958445534621893E-2</v>
      </c>
      <c r="BK128" s="1">
        <f t="shared" si="39"/>
        <v>6.0573627449766063E-2</v>
      </c>
      <c r="BL128" s="1">
        <f t="shared" si="39"/>
        <v>5.6001675621257775E-2</v>
      </c>
      <c r="BM128" s="1">
        <f t="shared" si="39"/>
        <v>5.2488368849168528E-2</v>
      </c>
      <c r="BN128" s="1">
        <f t="shared" si="39"/>
        <v>4.9989941190706315E-2</v>
      </c>
      <c r="BO128" s="1">
        <f t="shared" si="39"/>
        <v>4.8309539736384889E-2</v>
      </c>
      <c r="BP128" s="1">
        <f t="shared" si="36"/>
        <v>4.7221280797094388E-2</v>
      </c>
      <c r="BQ128" s="1">
        <f t="shared" si="36"/>
        <v>4.653367056671643E-2</v>
      </c>
      <c r="BR128" s="1">
        <f t="shared" si="36"/>
        <v>4.6105954780087305E-2</v>
      </c>
      <c r="BS128" s="1">
        <f t="shared" si="36"/>
        <v>4.5842486884468785E-2</v>
      </c>
      <c r="BT128" s="1">
        <f t="shared" si="36"/>
        <v>4.5681168777653804E-2</v>
      </c>
      <c r="BU128" s="1">
        <f t="shared" si="36"/>
        <v>4.5582759895674146E-2</v>
      </c>
    </row>
    <row r="129" spans="1:73" x14ac:dyDescent="0.25">
      <c r="A129" s="1" t="s">
        <v>34</v>
      </c>
      <c r="B129" s="1" t="s">
        <v>5</v>
      </c>
      <c r="C129" s="1" t="s">
        <v>16</v>
      </c>
      <c r="D129" s="1" t="s">
        <v>16</v>
      </c>
      <c r="E129" s="5">
        <v>7.6807500000000006</v>
      </c>
      <c r="F129" s="1">
        <f t="shared" si="30"/>
        <v>1.8817837500000004E-2</v>
      </c>
      <c r="G129" s="1">
        <f>LOOKUP(RIGHT(D129,5),Ref!$C$4:$C$21,Ref!$E$4:$E$21)*$G$3</f>
        <v>3</v>
      </c>
      <c r="H129" s="297">
        <f t="shared" si="53"/>
        <v>7.6807500000000006</v>
      </c>
      <c r="I129" s="5">
        <f t="shared" si="53"/>
        <v>7.6807500000000006</v>
      </c>
      <c r="J129" s="5">
        <f t="shared" si="53"/>
        <v>7.6807500000000006</v>
      </c>
      <c r="K129" s="5">
        <f t="shared" si="53"/>
        <v>7.6807500000000006</v>
      </c>
      <c r="L129" s="5">
        <f t="shared" si="53"/>
        <v>7.6807500000000006</v>
      </c>
      <c r="M129" s="5">
        <f t="shared" si="52"/>
        <v>8.0450162754085959</v>
      </c>
      <c r="N129" s="5">
        <f t="shared" si="52"/>
        <v>8.2633977161981669</v>
      </c>
      <c r="O129" s="5">
        <f t="shared" si="52"/>
        <v>8.5963178433213798</v>
      </c>
      <c r="P129" s="5">
        <f t="shared" si="52"/>
        <v>9.0819148419756726</v>
      </c>
      <c r="Q129" s="5">
        <f t="shared" si="52"/>
        <v>9.7464218221875907</v>
      </c>
      <c r="R129" s="5">
        <f t="shared" si="52"/>
        <v>10.580545491871357</v>
      </c>
      <c r="S129" s="5">
        <f t="shared" si="52"/>
        <v>11.521125000000001</v>
      </c>
      <c r="T129" s="5">
        <f t="shared" si="52"/>
        <v>12.461704508128644</v>
      </c>
      <c r="U129" s="5">
        <f t="shared" si="52"/>
        <v>13.29582817781241</v>
      </c>
      <c r="V129" s="5">
        <f t="shared" si="52"/>
        <v>13.96033515802433</v>
      </c>
      <c r="W129" s="5">
        <f t="shared" si="52"/>
        <v>14.445932156678619</v>
      </c>
      <c r="X129" s="5">
        <f t="shared" si="52"/>
        <v>14.778852283801836</v>
      </c>
      <c r="Y129" s="5">
        <f t="shared" si="52"/>
        <v>14.997233724591405</v>
      </c>
      <c r="Z129" s="5">
        <f t="shared" si="52"/>
        <v>15.136360083656522</v>
      </c>
      <c r="AA129" s="5">
        <f t="shared" si="52"/>
        <v>15.223352417833667</v>
      </c>
      <c r="AB129" s="5">
        <f t="shared" si="52"/>
        <v>15.277112040390074</v>
      </c>
      <c r="AC129" s="5">
        <f t="shared" si="51"/>
        <v>15.310093885263301</v>
      </c>
      <c r="AD129" s="300">
        <f t="shared" si="47"/>
        <v>1.7893561310456997E-3</v>
      </c>
      <c r="AE129" s="299">
        <f t="shared" si="48"/>
        <v>1.7893561310456997E-3</v>
      </c>
      <c r="AF129" s="299">
        <f t="shared" si="45"/>
        <v>1.7893561310456997E-3</v>
      </c>
      <c r="AG129" s="299">
        <f t="shared" si="45"/>
        <v>1.7893561310456997E-3</v>
      </c>
      <c r="AH129" s="299">
        <f t="shared" si="45"/>
        <v>1.7893561310456997E-3</v>
      </c>
      <c r="AI129" s="299">
        <f t="shared" si="45"/>
        <v>1.70833676813553E-3</v>
      </c>
      <c r="AJ129" s="299">
        <f t="shared" si="45"/>
        <v>1.6631895953148469E-3</v>
      </c>
      <c r="AK129" s="299">
        <f t="shared" si="45"/>
        <v>1.5987772153174728E-3</v>
      </c>
      <c r="AL129" s="299">
        <f t="shared" si="45"/>
        <v>1.5132928840080918E-3</v>
      </c>
      <c r="AM129" s="299">
        <f t="shared" si="45"/>
        <v>1.4101172055001926E-3</v>
      </c>
      <c r="AN129" s="299">
        <f t="shared" si="45"/>
        <v>1.2989497672013185E-3</v>
      </c>
      <c r="AO129" s="299">
        <f t="shared" si="38"/>
        <v>1.1929040873637998E-3</v>
      </c>
      <c r="AP129" s="299">
        <f t="shared" si="38"/>
        <v>1.1028665536535914E-3</v>
      </c>
      <c r="AQ129" s="299">
        <f t="shared" si="38"/>
        <v>1.0336774001384937E-3</v>
      </c>
      <c r="AR129" s="299">
        <f t="shared" si="38"/>
        <v>9.8447472413507996E-4</v>
      </c>
      <c r="AS129" s="299">
        <f t="shared" si="38"/>
        <v>9.5138181146554412E-4</v>
      </c>
      <c r="AT129" s="299">
        <f t="shared" si="35"/>
        <v>9.2995023156113054E-4</v>
      </c>
      <c r="AU129" s="299">
        <f t="shared" si="35"/>
        <v>9.1640880951221557E-4</v>
      </c>
      <c r="AV129" s="299">
        <f t="shared" si="35"/>
        <v>9.0798560734353185E-4</v>
      </c>
      <c r="AW129" s="299">
        <f t="shared" si="35"/>
        <v>9.0279701384493203E-4</v>
      </c>
      <c r="AX129" s="299">
        <f t="shared" si="35"/>
        <v>8.9962010275198201E-4</v>
      </c>
      <c r="AY129" s="299">
        <f t="shared" si="35"/>
        <v>8.9768209173152951E-4</v>
      </c>
      <c r="AZ129" s="298">
        <f t="shared" si="49"/>
        <v>9.9058375716722671E-2</v>
      </c>
      <c r="BA129" s="1">
        <f t="shared" si="50"/>
        <v>9.9058375716722671E-2</v>
      </c>
      <c r="BB129" s="1">
        <f t="shared" si="46"/>
        <v>9.9058375716722671E-2</v>
      </c>
      <c r="BC129" s="1">
        <f t="shared" si="46"/>
        <v>9.9058375716722671E-2</v>
      </c>
      <c r="BD129" s="1">
        <f t="shared" si="46"/>
        <v>9.9058375716722671E-2</v>
      </c>
      <c r="BE129" s="1">
        <f t="shared" si="46"/>
        <v>9.4573160978170367E-2</v>
      </c>
      <c r="BF129" s="1">
        <f t="shared" si="46"/>
        <v>9.2073823070961555E-2</v>
      </c>
      <c r="BG129" s="1">
        <f t="shared" si="46"/>
        <v>8.8507967382491434E-2</v>
      </c>
      <c r="BH129" s="1">
        <f t="shared" si="46"/>
        <v>8.3775572940816598E-2</v>
      </c>
      <c r="BI129" s="1">
        <f t="shared" si="46"/>
        <v>7.8063789272301995E-2</v>
      </c>
      <c r="BJ129" s="1">
        <f t="shared" si="46"/>
        <v>7.1909583477595282E-2</v>
      </c>
      <c r="BK129" s="1">
        <f t="shared" si="39"/>
        <v>6.6038917144481776E-2</v>
      </c>
      <c r="BL129" s="1">
        <f t="shared" si="39"/>
        <v>6.1054458384078018E-2</v>
      </c>
      <c r="BM129" s="1">
        <f t="shared" si="39"/>
        <v>5.7224161527288986E-2</v>
      </c>
      <c r="BN129" s="1">
        <f t="shared" si="39"/>
        <v>5.4500311824454251E-2</v>
      </c>
      <c r="BO129" s="1">
        <f t="shared" si="39"/>
        <v>5.2668295201321866E-2</v>
      </c>
      <c r="BP129" s="1">
        <f t="shared" si="36"/>
        <v>5.1481847485554018E-2</v>
      </c>
      <c r="BQ129" s="1">
        <f t="shared" si="36"/>
        <v>5.0732197234390083E-2</v>
      </c>
      <c r="BR129" s="1">
        <f t="shared" si="36"/>
        <v>5.0265890549719236E-2</v>
      </c>
      <c r="BS129" s="1">
        <f t="shared" si="36"/>
        <v>4.9978651114646416E-2</v>
      </c>
      <c r="BT129" s="1">
        <f t="shared" si="36"/>
        <v>4.9802777990675194E-2</v>
      </c>
      <c r="BU129" s="1">
        <f t="shared" si="36"/>
        <v>4.9695490111825197E-2</v>
      </c>
    </row>
    <row r="130" spans="1:73" x14ac:dyDescent="0.25">
      <c r="A130" s="1" t="s">
        <v>34</v>
      </c>
      <c r="B130" s="1" t="s">
        <v>5</v>
      </c>
      <c r="C130" s="1" t="s">
        <v>17</v>
      </c>
      <c r="D130" s="1" t="s">
        <v>17</v>
      </c>
      <c r="E130" s="5">
        <v>7.8787499999999993</v>
      </c>
      <c r="F130" s="1">
        <f t="shared" si="30"/>
        <v>1.9302937499999999E-2</v>
      </c>
      <c r="G130" s="1">
        <f>LOOKUP(RIGHT(D130,5),Ref!$C$4:$C$21,Ref!$E$4:$E$21)*$G$3</f>
        <v>3</v>
      </c>
      <c r="H130" s="297">
        <f t="shared" si="53"/>
        <v>7.8787499999999993</v>
      </c>
      <c r="I130" s="5">
        <f t="shared" si="53"/>
        <v>7.8787499999999993</v>
      </c>
      <c r="J130" s="5">
        <f t="shared" si="53"/>
        <v>7.8787499999999993</v>
      </c>
      <c r="K130" s="5">
        <f t="shared" si="53"/>
        <v>7.8787499999999993</v>
      </c>
      <c r="L130" s="5">
        <f t="shared" si="53"/>
        <v>7.8787499999999993</v>
      </c>
      <c r="M130" s="5">
        <f t="shared" si="52"/>
        <v>8.2524065982977532</v>
      </c>
      <c r="N130" s="5">
        <f t="shared" si="52"/>
        <v>8.4764176358423704</v>
      </c>
      <c r="O130" s="5">
        <f t="shared" si="52"/>
        <v>8.8179200218817577</v>
      </c>
      <c r="P130" s="5">
        <f t="shared" si="52"/>
        <v>9.3160350956893296</v>
      </c>
      <c r="Q130" s="5">
        <f t="shared" si="52"/>
        <v>9.9976722236188493</v>
      </c>
      <c r="R130" s="5">
        <f t="shared" si="52"/>
        <v>10.853298544293388</v>
      </c>
      <c r="S130" s="5">
        <f t="shared" si="52"/>
        <v>11.818124999999998</v>
      </c>
      <c r="T130" s="5">
        <f t="shared" si="52"/>
        <v>12.782951455706609</v>
      </c>
      <c r="U130" s="5">
        <f t="shared" si="52"/>
        <v>13.638577776381149</v>
      </c>
      <c r="V130" s="5">
        <f t="shared" si="52"/>
        <v>14.320214904310669</v>
      </c>
      <c r="W130" s="5">
        <f t="shared" si="52"/>
        <v>14.818329978118237</v>
      </c>
      <c r="X130" s="5">
        <f t="shared" si="52"/>
        <v>15.159832364157626</v>
      </c>
      <c r="Y130" s="5">
        <f t="shared" si="52"/>
        <v>15.383843401702245</v>
      </c>
      <c r="Z130" s="5">
        <f t="shared" si="52"/>
        <v>15.52655626196775</v>
      </c>
      <c r="AA130" s="5">
        <f t="shared" si="52"/>
        <v>15.61579114826117</v>
      </c>
      <c r="AB130" s="5">
        <f t="shared" si="52"/>
        <v>15.670936625749214</v>
      </c>
      <c r="AC130" s="5">
        <f t="shared" si="51"/>
        <v>15.70476870078029</v>
      </c>
      <c r="AD130" s="300">
        <f t="shared" si="47"/>
        <v>1.7443880188518814E-3</v>
      </c>
      <c r="AE130" s="299">
        <f t="shared" si="48"/>
        <v>1.7443880188518814E-3</v>
      </c>
      <c r="AF130" s="299">
        <f t="shared" si="45"/>
        <v>1.7443880188518814E-3</v>
      </c>
      <c r="AG130" s="299">
        <f t="shared" si="45"/>
        <v>1.7443880188518814E-3</v>
      </c>
      <c r="AH130" s="299">
        <f t="shared" si="45"/>
        <v>1.7443880188518814E-3</v>
      </c>
      <c r="AI130" s="299">
        <f t="shared" si="45"/>
        <v>1.665404744643119E-3</v>
      </c>
      <c r="AJ130" s="299">
        <f t="shared" si="45"/>
        <v>1.6213921604587675E-3</v>
      </c>
      <c r="AK130" s="299">
        <f t="shared" si="45"/>
        <v>1.5585985209011178E-3</v>
      </c>
      <c r="AL130" s="299">
        <f t="shared" si="45"/>
        <v>1.4752624869230719E-3</v>
      </c>
      <c r="AM130" s="299">
        <f t="shared" si="45"/>
        <v>1.3746797050478317E-3</v>
      </c>
      <c r="AN130" s="299">
        <f t="shared" si="45"/>
        <v>1.266306003418249E-3</v>
      </c>
      <c r="AO130" s="299">
        <f t="shared" si="38"/>
        <v>1.1629253459012542E-3</v>
      </c>
      <c r="AP130" s="299">
        <f t="shared" si="38"/>
        <v>1.0751505355513023E-3</v>
      </c>
      <c r="AQ130" s="299">
        <f t="shared" si="38"/>
        <v>1.0077001670460081E-3</v>
      </c>
      <c r="AR130" s="299">
        <f t="shared" si="38"/>
        <v>9.597339980835179E-4</v>
      </c>
      <c r="AS130" s="299">
        <f t="shared" si="38"/>
        <v>9.2747273976379236E-4</v>
      </c>
      <c r="AT130" s="299">
        <f t="shared" si="35"/>
        <v>9.0657975453760494E-4</v>
      </c>
      <c r="AU130" s="299">
        <f t="shared" si="35"/>
        <v>8.9337864047735367E-4</v>
      </c>
      <c r="AV130" s="299">
        <f t="shared" si="35"/>
        <v>8.8516712087626003E-4</v>
      </c>
      <c r="AW130" s="299">
        <f t="shared" si="35"/>
        <v>8.8010892135039983E-4</v>
      </c>
      <c r="AX130" s="299">
        <f t="shared" si="35"/>
        <v>8.7701184886083289E-4</v>
      </c>
      <c r="AY130" s="299">
        <f t="shared" si="35"/>
        <v>8.7512254178225555E-4</v>
      </c>
      <c r="AZ130" s="298">
        <f t="shared" si="49"/>
        <v>9.6568950567820763E-2</v>
      </c>
      <c r="BA130" s="1">
        <f t="shared" si="50"/>
        <v>9.6568950567820763E-2</v>
      </c>
      <c r="BB130" s="1">
        <f t="shared" si="46"/>
        <v>9.6568950567820763E-2</v>
      </c>
      <c r="BC130" s="1">
        <f t="shared" si="46"/>
        <v>9.6568950567820763E-2</v>
      </c>
      <c r="BD130" s="1">
        <f t="shared" si="46"/>
        <v>9.6568950567820763E-2</v>
      </c>
      <c r="BE130" s="1">
        <f t="shared" si="46"/>
        <v>9.2196453267724215E-2</v>
      </c>
      <c r="BF130" s="1">
        <f t="shared" si="46"/>
        <v>8.9759925946665167E-2</v>
      </c>
      <c r="BG130" s="1">
        <f t="shared" si="46"/>
        <v>8.6283683385444537E-2</v>
      </c>
      <c r="BH130" s="1">
        <f t="shared" si="46"/>
        <v>8.1670218228167807E-2</v>
      </c>
      <c r="BI130" s="1">
        <f t="shared" si="46"/>
        <v>7.6101976767029497E-2</v>
      </c>
      <c r="BJ130" s="1">
        <f t="shared" si="46"/>
        <v>7.010243164150913E-2</v>
      </c>
      <c r="BK130" s="1">
        <f t="shared" si="39"/>
        <v>6.437930037854718E-2</v>
      </c>
      <c r="BL130" s="1">
        <f t="shared" si="39"/>
        <v>5.9520105503221621E-2</v>
      </c>
      <c r="BM130" s="1">
        <f t="shared" si="39"/>
        <v>5.5786067415608431E-2</v>
      </c>
      <c r="BN130" s="1">
        <f t="shared" si="39"/>
        <v>5.313067048017478E-2</v>
      </c>
      <c r="BO130" s="1">
        <f t="shared" si="39"/>
        <v>5.1344694065372426E-2</v>
      </c>
      <c r="BP130" s="1">
        <f t="shared" si="36"/>
        <v>5.0188062836702407E-2</v>
      </c>
      <c r="BQ130" s="1">
        <f t="shared" si="36"/>
        <v>4.945725196357819E-2</v>
      </c>
      <c r="BR130" s="1">
        <f t="shared" si="36"/>
        <v>4.9002663980930485E-2</v>
      </c>
      <c r="BS130" s="1">
        <f t="shared" si="36"/>
        <v>4.8722643128519184E-2</v>
      </c>
      <c r="BT130" s="1">
        <f t="shared" si="36"/>
        <v>4.855118985268965E-2</v>
      </c>
      <c r="BU130" s="1">
        <f t="shared" si="36"/>
        <v>4.8446598213726981E-2</v>
      </c>
    </row>
    <row r="131" spans="1:73" x14ac:dyDescent="0.25">
      <c r="A131" s="1" t="s">
        <v>34</v>
      </c>
      <c r="B131" s="1" t="s">
        <v>5</v>
      </c>
      <c r="C131" s="1" t="s">
        <v>18</v>
      </c>
      <c r="D131" s="1" t="s">
        <v>18</v>
      </c>
      <c r="E131" s="5">
        <v>8.8192500000000003</v>
      </c>
      <c r="F131" s="1">
        <f t="shared" si="30"/>
        <v>2.1607162500000002E-2</v>
      </c>
      <c r="G131" s="1">
        <f>LOOKUP(RIGHT(D131,5),Ref!$C$4:$C$21,Ref!$E$4:$E$21)*$G$3</f>
        <v>3</v>
      </c>
      <c r="H131" s="297">
        <f t="shared" si="53"/>
        <v>8.8192500000000003</v>
      </c>
      <c r="I131" s="5">
        <f t="shared" si="53"/>
        <v>8.8192500000000003</v>
      </c>
      <c r="J131" s="5">
        <f t="shared" si="53"/>
        <v>8.8192500000000003</v>
      </c>
      <c r="K131" s="5">
        <f t="shared" si="53"/>
        <v>8.8192500000000003</v>
      </c>
      <c r="L131" s="5">
        <f t="shared" si="53"/>
        <v>8.8192500000000003</v>
      </c>
      <c r="M131" s="5">
        <f t="shared" si="52"/>
        <v>9.2375106320212552</v>
      </c>
      <c r="N131" s="5">
        <f t="shared" si="52"/>
        <v>9.4882622541523514</v>
      </c>
      <c r="O131" s="5">
        <f t="shared" si="52"/>
        <v>9.8705303700435607</v>
      </c>
      <c r="P131" s="5">
        <f t="shared" si="52"/>
        <v>10.428106300829208</v>
      </c>
      <c r="Q131" s="5">
        <f t="shared" si="52"/>
        <v>11.19111163041733</v>
      </c>
      <c r="R131" s="5">
        <f t="shared" si="52"/>
        <v>12.148875543298045</v>
      </c>
      <c r="S131" s="5">
        <f t="shared" si="52"/>
        <v>13.228875</v>
      </c>
      <c r="T131" s="5">
        <f t="shared" si="52"/>
        <v>14.308874456701956</v>
      </c>
      <c r="U131" s="5">
        <f t="shared" si="52"/>
        <v>15.266638369582671</v>
      </c>
      <c r="V131" s="5">
        <f t="shared" si="52"/>
        <v>16.029643699170791</v>
      </c>
      <c r="W131" s="5">
        <f t="shared" si="52"/>
        <v>16.587219629956437</v>
      </c>
      <c r="X131" s="5">
        <f t="shared" si="52"/>
        <v>16.969487745847648</v>
      </c>
      <c r="Y131" s="5">
        <f t="shared" si="52"/>
        <v>17.220239367978746</v>
      </c>
      <c r="Z131" s="5">
        <f t="shared" si="52"/>
        <v>17.379988108946101</v>
      </c>
      <c r="AA131" s="5">
        <f t="shared" si="52"/>
        <v>17.479875117791824</v>
      </c>
      <c r="AB131" s="5">
        <f t="shared" si="52"/>
        <v>17.541603406205141</v>
      </c>
      <c r="AC131" s="5">
        <f t="shared" si="51"/>
        <v>17.579474074486001</v>
      </c>
      <c r="AD131" s="300">
        <f t="shared" si="47"/>
        <v>1.5583634780201559E-3</v>
      </c>
      <c r="AE131" s="299">
        <f t="shared" si="48"/>
        <v>1.5583634780201559E-3</v>
      </c>
      <c r="AF131" s="299">
        <f t="shared" si="45"/>
        <v>1.5583634780201559E-3</v>
      </c>
      <c r="AG131" s="299">
        <f t="shared" si="45"/>
        <v>1.5583634780201559E-3</v>
      </c>
      <c r="AH131" s="299">
        <f t="shared" si="45"/>
        <v>1.5583634780201559E-3</v>
      </c>
      <c r="AI131" s="299">
        <f t="shared" si="45"/>
        <v>1.487803116121776E-3</v>
      </c>
      <c r="AJ131" s="299">
        <f t="shared" si="45"/>
        <v>1.448484109670835E-3</v>
      </c>
      <c r="AK131" s="299">
        <f t="shared" si="45"/>
        <v>1.3923868919182107E-3</v>
      </c>
      <c r="AL131" s="299">
        <f t="shared" si="45"/>
        <v>1.3179379560444655E-3</v>
      </c>
      <c r="AM131" s="299">
        <f t="shared" si="45"/>
        <v>1.2280814951549852E-3</v>
      </c>
      <c r="AN131" s="299">
        <f t="shared" si="45"/>
        <v>1.1312649516037677E-3</v>
      </c>
      <c r="AO131" s="299">
        <f t="shared" si="38"/>
        <v>1.0389089853467706E-3</v>
      </c>
      <c r="AP131" s="299">
        <f t="shared" si="38"/>
        <v>9.6049463185359537E-4</v>
      </c>
      <c r="AQ131" s="299">
        <f t="shared" si="38"/>
        <v>9.0023728674362745E-4</v>
      </c>
      <c r="AR131" s="299">
        <f t="shared" si="38"/>
        <v>8.5738631260033637E-4</v>
      </c>
      <c r="AS131" s="299">
        <f t="shared" si="38"/>
        <v>8.2856545039702682E-4</v>
      </c>
      <c r="AT131" s="299">
        <f t="shared" si="35"/>
        <v>8.0990052907709323E-4</v>
      </c>
      <c r="AU131" s="299">
        <f t="shared" si="35"/>
        <v>7.9810720454244401E-4</v>
      </c>
      <c r="AV131" s="299">
        <f t="shared" si="35"/>
        <v>7.9077137552556432E-4</v>
      </c>
      <c r="AW131" s="299">
        <f t="shared" si="35"/>
        <v>7.862525911034909E-4</v>
      </c>
      <c r="AX131" s="299">
        <f t="shared" si="35"/>
        <v>7.834857957550003E-4</v>
      </c>
      <c r="AY131" s="299">
        <f t="shared" si="35"/>
        <v>7.8179796763522367E-4</v>
      </c>
      <c r="AZ131" s="298">
        <f t="shared" si="49"/>
        <v>8.6270671461430137E-2</v>
      </c>
      <c r="BA131" s="1">
        <f t="shared" si="50"/>
        <v>8.6270671461430137E-2</v>
      </c>
      <c r="BB131" s="1">
        <f t="shared" si="46"/>
        <v>8.6270671461430137E-2</v>
      </c>
      <c r="BC131" s="1">
        <f t="shared" si="46"/>
        <v>8.6270671461430137E-2</v>
      </c>
      <c r="BD131" s="1">
        <f t="shared" si="46"/>
        <v>8.6270671461430137E-2</v>
      </c>
      <c r="BE131" s="1">
        <f t="shared" si="46"/>
        <v>8.2364464799510401E-2</v>
      </c>
      <c r="BF131" s="1">
        <f t="shared" si="46"/>
        <v>8.0187772945804689E-2</v>
      </c>
      <c r="BG131" s="1">
        <f t="shared" si="46"/>
        <v>7.7082242874742302E-2</v>
      </c>
      <c r="BH131" s="1">
        <f t="shared" si="46"/>
        <v>7.2960765582694348E-2</v>
      </c>
      <c r="BI131" s="1">
        <f t="shared" si="46"/>
        <v>6.7986330975222789E-2</v>
      </c>
      <c r="BJ131" s="1">
        <f t="shared" si="46"/>
        <v>6.2626587668513756E-2</v>
      </c>
      <c r="BK131" s="1">
        <f t="shared" si="39"/>
        <v>5.7513780974286756E-2</v>
      </c>
      <c r="BL131" s="1">
        <f t="shared" si="39"/>
        <v>5.3172779004281231E-2</v>
      </c>
      <c r="BM131" s="1">
        <f t="shared" si="39"/>
        <v>4.9836945165487416E-2</v>
      </c>
      <c r="BN131" s="1">
        <f t="shared" si="39"/>
        <v>4.7464724329810026E-2</v>
      </c>
      <c r="BO131" s="1">
        <f t="shared" si="39"/>
        <v>4.5869207513966941E-2</v>
      </c>
      <c r="BP131" s="1">
        <f t="shared" si="36"/>
        <v>4.4835921430356217E-2</v>
      </c>
      <c r="BQ131" s="1">
        <f t="shared" si="36"/>
        <v>4.4183045486639073E-2</v>
      </c>
      <c r="BR131" s="1">
        <f t="shared" si="36"/>
        <v>4.3776935548913577E-2</v>
      </c>
      <c r="BS131" s="1">
        <f t="shared" si="36"/>
        <v>4.3526776602185048E-2</v>
      </c>
      <c r="BT131" s="1">
        <f t="shared" si="36"/>
        <v>4.337360739880132E-2</v>
      </c>
      <c r="BU131" s="1">
        <f t="shared" si="36"/>
        <v>4.32801695922444E-2</v>
      </c>
    </row>
    <row r="132" spans="1:73" x14ac:dyDescent="0.25">
      <c r="A132" s="1" t="s">
        <v>35</v>
      </c>
      <c r="B132" s="1" t="s">
        <v>5</v>
      </c>
      <c r="C132" s="1" t="s">
        <v>8</v>
      </c>
      <c r="D132" s="1" t="s">
        <v>8</v>
      </c>
      <c r="E132" s="5">
        <v>8.0849999999999991</v>
      </c>
      <c r="F132" s="1">
        <f t="shared" si="30"/>
        <v>1.9808249999999996E-2</v>
      </c>
      <c r="G132" s="1">
        <f>LOOKUP(RIGHT(D132,5),Ref!$C$4:$C$21,Ref!$E$4:$E$21)*$G$3</f>
        <v>4</v>
      </c>
      <c r="H132" s="297">
        <f t="shared" si="53"/>
        <v>8.0849999999999991</v>
      </c>
      <c r="I132" s="5">
        <f t="shared" si="53"/>
        <v>8.0849999999999991</v>
      </c>
      <c r="J132" s="5">
        <f t="shared" si="53"/>
        <v>8.0849999999999991</v>
      </c>
      <c r="K132" s="5">
        <f t="shared" si="53"/>
        <v>8.0849999999999991</v>
      </c>
      <c r="L132" s="5">
        <f t="shared" si="53"/>
        <v>8.0849999999999991</v>
      </c>
      <c r="M132" s="5">
        <f t="shared" si="52"/>
        <v>8.4684381846406254</v>
      </c>
      <c r="N132" s="5">
        <f t="shared" si="52"/>
        <v>8.6983133854717529</v>
      </c>
      <c r="O132" s="5">
        <f t="shared" si="52"/>
        <v>9.0487556245488197</v>
      </c>
      <c r="P132" s="5">
        <f t="shared" si="52"/>
        <v>9.5599103599743902</v>
      </c>
      <c r="Q132" s="5">
        <f t="shared" si="52"/>
        <v>10.259391391776409</v>
      </c>
      <c r="R132" s="5">
        <f t="shared" si="52"/>
        <v>11.137416307233005</v>
      </c>
      <c r="S132" s="5">
        <f t="shared" si="52"/>
        <v>12.127499999999998</v>
      </c>
      <c r="T132" s="5">
        <f t="shared" si="52"/>
        <v>13.117583692766992</v>
      </c>
      <c r="U132" s="5">
        <f t="shared" si="52"/>
        <v>13.995608608223588</v>
      </c>
      <c r="V132" s="5">
        <f t="shared" si="52"/>
        <v>14.695089640025607</v>
      </c>
      <c r="W132" s="5">
        <f t="shared" si="52"/>
        <v>15.206244375451176</v>
      </c>
      <c r="X132" s="5">
        <f t="shared" si="52"/>
        <v>15.556686614528244</v>
      </c>
      <c r="Y132" s="5">
        <f t="shared" si="52"/>
        <v>15.786561815359372</v>
      </c>
      <c r="Z132" s="5">
        <f t="shared" si="52"/>
        <v>15.933010614375283</v>
      </c>
      <c r="AA132" s="5">
        <f t="shared" si="52"/>
        <v>16.024581492456488</v>
      </c>
      <c r="AB132" s="5">
        <f t="shared" ref="AB132:AC147" si="54">AB$3*$E132</f>
        <v>16.081170568831652</v>
      </c>
      <c r="AC132" s="5">
        <f t="shared" si="54"/>
        <v>16.115888300277156</v>
      </c>
      <c r="AD132" s="300">
        <f t="shared" si="47"/>
        <v>1.6998883244934151E-3</v>
      </c>
      <c r="AE132" s="299">
        <f t="shared" si="48"/>
        <v>1.6998883244934151E-3</v>
      </c>
      <c r="AF132" s="299">
        <f t="shared" si="45"/>
        <v>1.6998883244934151E-3</v>
      </c>
      <c r="AG132" s="299">
        <f t="shared" si="45"/>
        <v>1.6998883244934151E-3</v>
      </c>
      <c r="AH132" s="299">
        <f t="shared" si="45"/>
        <v>1.6998883244934151E-3</v>
      </c>
      <c r="AI132" s="299">
        <f t="shared" si="45"/>
        <v>1.6229199297287538E-3</v>
      </c>
      <c r="AJ132" s="299">
        <f t="shared" si="45"/>
        <v>1.5800301155491049E-3</v>
      </c>
      <c r="AK132" s="299">
        <f t="shared" si="45"/>
        <v>1.5188383545515995E-3</v>
      </c>
      <c r="AL132" s="299">
        <f t="shared" si="45"/>
        <v>1.4376282398076876E-3</v>
      </c>
      <c r="AM132" s="299">
        <f t="shared" si="45"/>
        <v>1.3396113452251832E-3</v>
      </c>
      <c r="AN132" s="299">
        <f t="shared" si="45"/>
        <v>1.2340022788412529E-3</v>
      </c>
      <c r="AO132" s="299">
        <f t="shared" si="38"/>
        <v>1.1332588829956101E-3</v>
      </c>
      <c r="AP132" s="299">
        <f t="shared" si="38"/>
        <v>1.0477232259709119E-3</v>
      </c>
      <c r="AQ132" s="299">
        <f t="shared" si="38"/>
        <v>9.819935301315693E-4</v>
      </c>
      <c r="AR132" s="299">
        <f t="shared" si="38"/>
        <v>9.3525098792832616E-4</v>
      </c>
      <c r="AS132" s="299">
        <f t="shared" si="38"/>
        <v>9.0381272089226704E-4</v>
      </c>
      <c r="AT132" s="299">
        <f t="shared" si="35"/>
        <v>8.834527199830742E-4</v>
      </c>
      <c r="AU132" s="299">
        <f t="shared" si="35"/>
        <v>8.7058836903660482E-4</v>
      </c>
      <c r="AV132" s="299">
        <f t="shared" si="35"/>
        <v>8.6258632697635543E-4</v>
      </c>
      <c r="AW132" s="299">
        <f t="shared" si="35"/>
        <v>8.5765716315268554E-4</v>
      </c>
      <c r="AX132" s="299">
        <f t="shared" si="35"/>
        <v>8.5463909761438318E-4</v>
      </c>
      <c r="AY132" s="299">
        <f t="shared" si="35"/>
        <v>8.5279798714495321E-4</v>
      </c>
      <c r="AZ132" s="298">
        <f t="shared" si="49"/>
        <v>9.4105456930886566E-2</v>
      </c>
      <c r="BA132" s="1">
        <f t="shared" si="50"/>
        <v>9.4105456930886566E-2</v>
      </c>
      <c r="BB132" s="1">
        <f t="shared" si="46"/>
        <v>9.4105456930886566E-2</v>
      </c>
      <c r="BC132" s="1">
        <f t="shared" si="46"/>
        <v>9.4105456930886566E-2</v>
      </c>
      <c r="BD132" s="1">
        <f t="shared" si="46"/>
        <v>9.4105456930886566E-2</v>
      </c>
      <c r="BE132" s="1">
        <f t="shared" si="46"/>
        <v>8.9844502929261869E-2</v>
      </c>
      <c r="BF132" s="1">
        <f t="shared" si="46"/>
        <v>8.7470131917413485E-2</v>
      </c>
      <c r="BG132" s="1">
        <f t="shared" si="46"/>
        <v>8.4082569013366873E-2</v>
      </c>
      <c r="BH132" s="1">
        <f t="shared" si="46"/>
        <v>7.9586794293775784E-2</v>
      </c>
      <c r="BI132" s="1">
        <f t="shared" si="46"/>
        <v>7.4160599808686917E-2</v>
      </c>
      <c r="BJ132" s="1">
        <f t="shared" si="46"/>
        <v>6.8314104303715525E-2</v>
      </c>
      <c r="BK132" s="1">
        <f t="shared" si="39"/>
        <v>6.2736971287257706E-2</v>
      </c>
      <c r="BL132" s="1">
        <f t="shared" si="39"/>
        <v>5.8001735464874131E-2</v>
      </c>
      <c r="BM132" s="1">
        <f t="shared" si="39"/>
        <v>5.4362953450924546E-2</v>
      </c>
      <c r="BN132" s="1">
        <f t="shared" si="39"/>
        <v>5.1775296233231551E-2</v>
      </c>
      <c r="BO132" s="1">
        <f t="shared" si="39"/>
        <v>5.0034880441255779E-2</v>
      </c>
      <c r="BP132" s="1">
        <f t="shared" si="36"/>
        <v>4.8907755111276326E-2</v>
      </c>
      <c r="BQ132" s="1">
        <f t="shared" si="36"/>
        <v>4.8195587372670587E-2</v>
      </c>
      <c r="BR132" s="1">
        <f t="shared" si="36"/>
        <v>4.7752596022233279E-2</v>
      </c>
      <c r="BS132" s="1">
        <f t="shared" si="36"/>
        <v>4.7479718558914107E-2</v>
      </c>
      <c r="BT132" s="1">
        <f t="shared" si="36"/>
        <v>4.7312639091141445E-2</v>
      </c>
      <c r="BU132" s="1">
        <f t="shared" si="36"/>
        <v>4.7210715606233945E-2</v>
      </c>
    </row>
    <row r="133" spans="1:73" x14ac:dyDescent="0.25">
      <c r="A133" s="1" t="s">
        <v>35</v>
      </c>
      <c r="B133" s="1" t="s">
        <v>5</v>
      </c>
      <c r="C133" s="1" t="s">
        <v>9</v>
      </c>
      <c r="D133" s="1" t="s">
        <v>9</v>
      </c>
      <c r="E133" s="5">
        <v>8.4067499999999988</v>
      </c>
      <c r="F133" s="1">
        <f t="shared" si="30"/>
        <v>2.0596537499999998E-2</v>
      </c>
      <c r="G133" s="1">
        <f>LOOKUP(RIGHT(D133,5),Ref!$C$4:$C$21,Ref!$E$4:$E$21)*$G$3</f>
        <v>4.5</v>
      </c>
      <c r="H133" s="297">
        <f t="shared" si="53"/>
        <v>8.4067499999999988</v>
      </c>
      <c r="I133" s="5">
        <f t="shared" si="53"/>
        <v>8.4067499999999988</v>
      </c>
      <c r="J133" s="5">
        <f t="shared" si="53"/>
        <v>8.4067499999999988</v>
      </c>
      <c r="K133" s="5">
        <f t="shared" si="53"/>
        <v>8.4067499999999988</v>
      </c>
      <c r="L133" s="5">
        <f t="shared" si="53"/>
        <v>8.4067499999999988</v>
      </c>
      <c r="M133" s="5">
        <f t="shared" ref="M133:AB148" si="55">M$3*$E133</f>
        <v>8.8054474593355074</v>
      </c>
      <c r="N133" s="5">
        <f t="shared" si="55"/>
        <v>9.0444707548935863</v>
      </c>
      <c r="O133" s="5">
        <f t="shared" si="55"/>
        <v>9.4088591647094351</v>
      </c>
      <c r="P133" s="5">
        <f t="shared" si="55"/>
        <v>9.9403557722590854</v>
      </c>
      <c r="Q133" s="5">
        <f t="shared" si="55"/>
        <v>10.667673294102206</v>
      </c>
      <c r="R133" s="5">
        <f t="shared" si="55"/>
        <v>11.580640017418808</v>
      </c>
      <c r="S133" s="5">
        <f t="shared" si="55"/>
        <v>12.610124999999998</v>
      </c>
      <c r="T133" s="5">
        <f t="shared" si="55"/>
        <v>13.639609982581188</v>
      </c>
      <c r="U133" s="5">
        <f t="shared" si="55"/>
        <v>14.55257670589779</v>
      </c>
      <c r="V133" s="5">
        <f t="shared" si="55"/>
        <v>15.279894227740911</v>
      </c>
      <c r="W133" s="5">
        <f t="shared" si="55"/>
        <v>15.81139083529056</v>
      </c>
      <c r="X133" s="5">
        <f t="shared" si="55"/>
        <v>16.175779245106408</v>
      </c>
      <c r="Y133" s="5">
        <f t="shared" si="55"/>
        <v>16.414802540664489</v>
      </c>
      <c r="Z133" s="5">
        <f t="shared" si="55"/>
        <v>16.567079404131032</v>
      </c>
      <c r="AA133" s="5">
        <f t="shared" si="55"/>
        <v>16.662294429401186</v>
      </c>
      <c r="AB133" s="5">
        <f t="shared" si="55"/>
        <v>16.72113552004026</v>
      </c>
      <c r="AC133" s="5">
        <f t="shared" si="54"/>
        <v>16.757234875492266</v>
      </c>
      <c r="AD133" s="300">
        <f t="shared" si="47"/>
        <v>1.6348288106021068E-3</v>
      </c>
      <c r="AE133" s="299">
        <f t="shared" si="48"/>
        <v>1.6348288106021068E-3</v>
      </c>
      <c r="AF133" s="299">
        <f t="shared" si="45"/>
        <v>1.6348288106021068E-3</v>
      </c>
      <c r="AG133" s="299">
        <f t="shared" si="45"/>
        <v>1.6348288106021068E-3</v>
      </c>
      <c r="AH133" s="299">
        <f t="shared" si="45"/>
        <v>1.6348288106021068E-3</v>
      </c>
      <c r="AI133" s="299">
        <f t="shared" si="45"/>
        <v>1.5608062130855532E-3</v>
      </c>
      <c r="AJ133" s="299">
        <f t="shared" si="45"/>
        <v>1.5195579128931532E-3</v>
      </c>
      <c r="AK133" s="299">
        <f t="shared" si="45"/>
        <v>1.4607081329348062E-3</v>
      </c>
      <c r="AL133" s="299">
        <f t="shared" si="45"/>
        <v>1.382606158009356E-3</v>
      </c>
      <c r="AM133" s="299">
        <f t="shared" si="45"/>
        <v>1.2883406460458089E-3</v>
      </c>
      <c r="AN133" s="299">
        <f t="shared" si="45"/>
        <v>1.1867735360789281E-3</v>
      </c>
      <c r="AO133" s="299">
        <f t="shared" si="38"/>
        <v>1.0898858737347378E-3</v>
      </c>
      <c r="AP133" s="299">
        <f t="shared" si="38"/>
        <v>1.0076239072144197E-3</v>
      </c>
      <c r="AQ133" s="299">
        <f t="shared" si="38"/>
        <v>9.4440987196166629E-4</v>
      </c>
      <c r="AR133" s="299">
        <f t="shared" si="38"/>
        <v>8.9945629849829214E-4</v>
      </c>
      <c r="AS133" s="299">
        <f t="shared" si="38"/>
        <v>8.6922126248716557E-4</v>
      </c>
      <c r="AT133" s="299">
        <f t="shared" si="35"/>
        <v>8.496404961564404E-4</v>
      </c>
      <c r="AU133" s="299">
        <f t="shared" si="35"/>
        <v>8.3726850015296641E-4</v>
      </c>
      <c r="AV133" s="299">
        <f t="shared" si="35"/>
        <v>8.2957271878000827E-4</v>
      </c>
      <c r="AW133" s="299">
        <f t="shared" si="35"/>
        <v>8.2483220793879472E-4</v>
      </c>
      <c r="AX133" s="299">
        <f t="shared" si="35"/>
        <v>8.219296522689847E-4</v>
      </c>
      <c r="AY133" s="299">
        <f t="shared" si="35"/>
        <v>8.2015900628268324E-4</v>
      </c>
      <c r="AZ133" s="298">
        <f t="shared" si="49"/>
        <v>9.0503776047368825E-2</v>
      </c>
      <c r="BA133" s="1">
        <f t="shared" si="50"/>
        <v>9.0503776047368825E-2</v>
      </c>
      <c r="BB133" s="1">
        <f t="shared" si="46"/>
        <v>9.0503776047368825E-2</v>
      </c>
      <c r="BC133" s="1">
        <f t="shared" si="46"/>
        <v>9.0503776047368825E-2</v>
      </c>
      <c r="BD133" s="1">
        <f t="shared" si="46"/>
        <v>9.0503776047368825E-2</v>
      </c>
      <c r="BE133" s="1">
        <f t="shared" si="46"/>
        <v>8.6405900756306803E-2</v>
      </c>
      <c r="BF133" s="1">
        <f t="shared" si="46"/>
        <v>8.412240361046637E-2</v>
      </c>
      <c r="BG133" s="1">
        <f t="shared" si="46"/>
        <v>8.0864492279783651E-2</v>
      </c>
      <c r="BH133" s="1">
        <f t="shared" si="46"/>
        <v>7.6540783521001243E-2</v>
      </c>
      <c r="BI133" s="1">
        <f t="shared" si="46"/>
        <v>7.1322264781661593E-2</v>
      </c>
      <c r="BJ133" s="1">
        <f t="shared" si="46"/>
        <v>6.5699531126242605E-2</v>
      </c>
      <c r="BK133" s="1">
        <f t="shared" si="39"/>
        <v>6.0335850698245881E-2</v>
      </c>
      <c r="BL133" s="1">
        <f t="shared" si="39"/>
        <v>5.5781845687513883E-2</v>
      </c>
      <c r="BM133" s="1">
        <f t="shared" si="39"/>
        <v>5.2282330109819489E-2</v>
      </c>
      <c r="BN133" s="1">
        <f t="shared" si="39"/>
        <v>4.9793709821949875E-2</v>
      </c>
      <c r="BO133" s="1">
        <f t="shared" si="39"/>
        <v>4.8119904644191032E-2</v>
      </c>
      <c r="BP133" s="1">
        <f t="shared" si="36"/>
        <v>4.7035917575123459E-2</v>
      </c>
      <c r="BQ133" s="1">
        <f t="shared" si="36"/>
        <v>4.6351006501685159E-2</v>
      </c>
      <c r="BR133" s="1">
        <f t="shared" si="36"/>
        <v>4.5924969677908357E-2</v>
      </c>
      <c r="BS133" s="1">
        <f t="shared" si="36"/>
        <v>4.5662536003666161E-2</v>
      </c>
      <c r="BT133" s="1">
        <f t="shared" si="36"/>
        <v>4.5501851137702269E-2</v>
      </c>
      <c r="BU133" s="1">
        <f t="shared" si="36"/>
        <v>4.5403828551628334E-2</v>
      </c>
    </row>
    <row r="134" spans="1:73" x14ac:dyDescent="0.25">
      <c r="A134" s="1" t="s">
        <v>35</v>
      </c>
      <c r="B134" s="1" t="s">
        <v>5</v>
      </c>
      <c r="C134" s="1" t="s">
        <v>10</v>
      </c>
      <c r="D134" s="1" t="s">
        <v>10</v>
      </c>
      <c r="E134" s="5">
        <v>7.7137500000000001</v>
      </c>
      <c r="F134" s="1">
        <f t="shared" si="30"/>
        <v>1.8898687500000001E-2</v>
      </c>
      <c r="G134" s="1">
        <f>LOOKUP(RIGHT(D134,5),Ref!$C$4:$C$21,Ref!$E$4:$E$21)*$G$3</f>
        <v>4.5</v>
      </c>
      <c r="H134" s="297">
        <f t="shared" ref="H134:L149" si="56">$E134</f>
        <v>7.7137500000000001</v>
      </c>
      <c r="I134" s="5">
        <f t="shared" si="56"/>
        <v>7.7137500000000001</v>
      </c>
      <c r="J134" s="5">
        <f t="shared" si="56"/>
        <v>7.7137500000000001</v>
      </c>
      <c r="K134" s="5">
        <f t="shared" si="56"/>
        <v>7.7137500000000001</v>
      </c>
      <c r="L134" s="5">
        <f t="shared" si="56"/>
        <v>7.7137500000000001</v>
      </c>
      <c r="M134" s="5">
        <f t="shared" si="55"/>
        <v>8.0795813292234548</v>
      </c>
      <c r="N134" s="5">
        <f t="shared" si="55"/>
        <v>8.2989010361388669</v>
      </c>
      <c r="O134" s="5">
        <f t="shared" si="55"/>
        <v>8.6332515397481089</v>
      </c>
      <c r="P134" s="5">
        <f t="shared" si="55"/>
        <v>9.1209348842612812</v>
      </c>
      <c r="Q134" s="5">
        <f t="shared" si="55"/>
        <v>9.7882968890928002</v>
      </c>
      <c r="R134" s="5">
        <f t="shared" si="55"/>
        <v>10.626004333941696</v>
      </c>
      <c r="S134" s="5">
        <f t="shared" si="55"/>
        <v>11.570625</v>
      </c>
      <c r="T134" s="5">
        <f t="shared" si="55"/>
        <v>12.515245666058306</v>
      </c>
      <c r="U134" s="5">
        <f t="shared" si="55"/>
        <v>13.352953110907199</v>
      </c>
      <c r="V134" s="5">
        <f t="shared" si="55"/>
        <v>14.020315115738718</v>
      </c>
      <c r="W134" s="5">
        <f t="shared" si="55"/>
        <v>14.507998460251889</v>
      </c>
      <c r="X134" s="5">
        <f t="shared" si="55"/>
        <v>14.842348963861134</v>
      </c>
      <c r="Y134" s="5">
        <f t="shared" si="55"/>
        <v>15.061668670776545</v>
      </c>
      <c r="Z134" s="5">
        <f t="shared" si="55"/>
        <v>15.201392780041726</v>
      </c>
      <c r="AA134" s="5">
        <f t="shared" si="55"/>
        <v>15.288758872904916</v>
      </c>
      <c r="AB134" s="5">
        <f t="shared" si="55"/>
        <v>15.342749471283263</v>
      </c>
      <c r="AC134" s="5">
        <f t="shared" si="54"/>
        <v>15.375873021182798</v>
      </c>
      <c r="AD134" s="300">
        <f t="shared" si="47"/>
        <v>1.7817011315545952E-3</v>
      </c>
      <c r="AE134" s="299">
        <f t="shared" si="48"/>
        <v>1.7817011315545952E-3</v>
      </c>
      <c r="AF134" s="299">
        <f t="shared" si="45"/>
        <v>1.7817011315545952E-3</v>
      </c>
      <c r="AG134" s="299">
        <f t="shared" si="45"/>
        <v>1.7817011315545952E-3</v>
      </c>
      <c r="AH134" s="299">
        <f t="shared" si="45"/>
        <v>1.7817011315545952E-3</v>
      </c>
      <c r="AI134" s="299">
        <f t="shared" si="45"/>
        <v>1.701028375544576E-3</v>
      </c>
      <c r="AJ134" s="299">
        <f t="shared" si="45"/>
        <v>1.6560743457092221E-3</v>
      </c>
      <c r="AK134" s="299">
        <f t="shared" si="45"/>
        <v>1.591937526695794E-3</v>
      </c>
      <c r="AL134" s="299">
        <f t="shared" si="45"/>
        <v>1.5068189037556511E-3</v>
      </c>
      <c r="AM134" s="299">
        <f t="shared" si="45"/>
        <v>1.4040846185247907E-3</v>
      </c>
      <c r="AN134" s="299">
        <f t="shared" si="45"/>
        <v>1.2933927628496552E-3</v>
      </c>
      <c r="AO134" s="299">
        <f t="shared" si="38"/>
        <v>1.1878007543697302E-3</v>
      </c>
      <c r="AP134" s="299">
        <f t="shared" si="38"/>
        <v>1.0981484079695117E-3</v>
      </c>
      <c r="AQ134" s="299">
        <f t="shared" si="38"/>
        <v>1.0292552508330886E-3</v>
      </c>
      <c r="AR134" s="299">
        <f t="shared" si="38"/>
        <v>9.8026306756124012E-4</v>
      </c>
      <c r="AS134" s="299">
        <f t="shared" si="38"/>
        <v>9.4731172884964876E-4</v>
      </c>
      <c r="AT134" s="299">
        <f t="shared" si="35"/>
        <v>9.2597183484856955E-4</v>
      </c>
      <c r="AU134" s="299">
        <f t="shared" si="35"/>
        <v>9.1248834401697618E-4</v>
      </c>
      <c r="AV134" s="299">
        <f t="shared" si="35"/>
        <v>9.0410117693778423E-4</v>
      </c>
      <c r="AW134" s="299">
        <f t="shared" si="35"/>
        <v>8.9893478063062221E-4</v>
      </c>
      <c r="AX134" s="299">
        <f t="shared" si="35"/>
        <v>8.9577146060117153E-4</v>
      </c>
      <c r="AY134" s="299">
        <f t="shared" si="35"/>
        <v>8.9384174053695623E-4</v>
      </c>
      <c r="AZ134" s="298">
        <f t="shared" si="49"/>
        <v>9.8634596569271468E-2</v>
      </c>
      <c r="BA134" s="1">
        <f t="shared" si="50"/>
        <v>9.8634596569271468E-2</v>
      </c>
      <c r="BB134" s="1">
        <f t="shared" si="46"/>
        <v>9.8634596569271468E-2</v>
      </c>
      <c r="BC134" s="1">
        <f t="shared" si="46"/>
        <v>9.8634596569271468E-2</v>
      </c>
      <c r="BD134" s="1">
        <f t="shared" si="46"/>
        <v>9.8634596569271468E-2</v>
      </c>
      <c r="BE134" s="1">
        <f t="shared" si="46"/>
        <v>9.4168569915162162E-2</v>
      </c>
      <c r="BF134" s="1">
        <f t="shared" si="46"/>
        <v>9.1679924362636597E-2</v>
      </c>
      <c r="BG134" s="1">
        <f t="shared" si="46"/>
        <v>8.8129323671764209E-2</v>
      </c>
      <c r="BH134" s="1">
        <f t="shared" si="46"/>
        <v>8.3417174767807759E-2</v>
      </c>
      <c r="BI134" s="1">
        <f t="shared" si="46"/>
        <v>7.7729826537447241E-2</v>
      </c>
      <c r="BJ134" s="1">
        <f t="shared" si="46"/>
        <v>7.1601948895872944E-2</v>
      </c>
      <c r="BK134" s="1">
        <f t="shared" si="39"/>
        <v>6.575639771284765E-2</v>
      </c>
      <c r="BL134" s="1">
        <f t="shared" si="39"/>
        <v>6.0793262840188919E-2</v>
      </c>
      <c r="BM134" s="1">
        <f t="shared" si="39"/>
        <v>5.6979352280113423E-2</v>
      </c>
      <c r="BN134" s="1">
        <f t="shared" si="39"/>
        <v>5.4267155410231992E-2</v>
      </c>
      <c r="BO134" s="1">
        <f t="shared" si="39"/>
        <v>5.2442976291369688E-2</v>
      </c>
      <c r="BP134" s="1">
        <f t="shared" si="36"/>
        <v>5.1261604287754857E-2</v>
      </c>
      <c r="BQ134" s="1">
        <f t="shared" si="36"/>
        <v>5.0515161096488952E-2</v>
      </c>
      <c r="BR134" s="1">
        <f t="shared" si="36"/>
        <v>5.0050849306725785E-2</v>
      </c>
      <c r="BS134" s="1">
        <f t="shared" si="36"/>
        <v>4.9764838703460768E-2</v>
      </c>
      <c r="BT134" s="1">
        <f t="shared" si="36"/>
        <v>4.9589717977880865E-2</v>
      </c>
      <c r="BU134" s="1">
        <f t="shared" si="36"/>
        <v>4.9482889084608836E-2</v>
      </c>
    </row>
    <row r="135" spans="1:73" x14ac:dyDescent="0.25">
      <c r="A135" s="1" t="s">
        <v>35</v>
      </c>
      <c r="B135" s="1" t="s">
        <v>5</v>
      </c>
      <c r="C135" s="1" t="s">
        <v>11</v>
      </c>
      <c r="D135" s="1" t="s">
        <v>11</v>
      </c>
      <c r="E135" s="5">
        <v>8.3819999999999997</v>
      </c>
      <c r="F135" s="1">
        <f t="shared" ref="F135:F198" si="57">E135/$B$2*$F$3/1000</f>
        <v>2.0535899999999999E-2</v>
      </c>
      <c r="G135" s="1">
        <f>LOOKUP(RIGHT(D135,5),Ref!$C$4:$C$21,Ref!$E$4:$E$21)*$G$3</f>
        <v>4.5</v>
      </c>
      <c r="H135" s="297">
        <f t="shared" si="56"/>
        <v>8.3819999999999997</v>
      </c>
      <c r="I135" s="5">
        <f t="shared" si="56"/>
        <v>8.3819999999999997</v>
      </c>
      <c r="J135" s="5">
        <f t="shared" si="56"/>
        <v>8.3819999999999997</v>
      </c>
      <c r="K135" s="5">
        <f t="shared" si="56"/>
        <v>8.3819999999999997</v>
      </c>
      <c r="L135" s="5">
        <f t="shared" si="56"/>
        <v>8.3819999999999997</v>
      </c>
      <c r="M135" s="5">
        <f t="shared" si="55"/>
        <v>8.779523668974365</v>
      </c>
      <c r="N135" s="5">
        <f t="shared" si="55"/>
        <v>9.0178432649380618</v>
      </c>
      <c r="O135" s="5">
        <f t="shared" si="55"/>
        <v>9.3811588923893883</v>
      </c>
      <c r="P135" s="5">
        <f t="shared" si="55"/>
        <v>9.9110907405448785</v>
      </c>
      <c r="Q135" s="5">
        <f t="shared" si="55"/>
        <v>10.6362669939233</v>
      </c>
      <c r="R135" s="5">
        <f t="shared" si="55"/>
        <v>11.546545885866056</v>
      </c>
      <c r="S135" s="5">
        <f t="shared" si="55"/>
        <v>12.573</v>
      </c>
      <c r="T135" s="5">
        <f t="shared" si="55"/>
        <v>13.599454114133943</v>
      </c>
      <c r="U135" s="5">
        <f t="shared" si="55"/>
        <v>14.509733006076699</v>
      </c>
      <c r="V135" s="5">
        <f t="shared" si="55"/>
        <v>15.234909259455121</v>
      </c>
      <c r="W135" s="5">
        <f t="shared" si="55"/>
        <v>15.764841107610607</v>
      </c>
      <c r="X135" s="5">
        <f t="shared" si="55"/>
        <v>16.128156735061935</v>
      </c>
      <c r="Y135" s="5">
        <f t="shared" si="55"/>
        <v>16.366476331025634</v>
      </c>
      <c r="Z135" s="5">
        <f t="shared" si="55"/>
        <v>16.518304881842131</v>
      </c>
      <c r="AA135" s="5">
        <f t="shared" si="55"/>
        <v>16.613239588097748</v>
      </c>
      <c r="AB135" s="5">
        <f t="shared" si="55"/>
        <v>16.671907446870367</v>
      </c>
      <c r="AC135" s="5">
        <f t="shared" si="54"/>
        <v>16.707900523552645</v>
      </c>
      <c r="AD135" s="300">
        <f t="shared" si="47"/>
        <v>1.6396560610271128E-3</v>
      </c>
      <c r="AE135" s="299">
        <f t="shared" si="48"/>
        <v>1.6396560610271128E-3</v>
      </c>
      <c r="AF135" s="299">
        <f t="shared" si="45"/>
        <v>1.6396560610271128E-3</v>
      </c>
      <c r="AG135" s="299">
        <f t="shared" si="45"/>
        <v>1.6396560610271128E-3</v>
      </c>
      <c r="AH135" s="299">
        <f t="shared" si="45"/>
        <v>1.6396560610271128E-3</v>
      </c>
      <c r="AI135" s="299">
        <f t="shared" si="45"/>
        <v>1.5654148928486008E-3</v>
      </c>
      <c r="AJ135" s="299">
        <f t="shared" si="45"/>
        <v>1.5240447964942154E-3</v>
      </c>
      <c r="AK135" s="299">
        <f t="shared" si="45"/>
        <v>1.4650212475005586E-3</v>
      </c>
      <c r="AL135" s="299">
        <f t="shared" si="45"/>
        <v>1.3866886565074151E-3</v>
      </c>
      <c r="AM135" s="299">
        <f t="shared" si="45"/>
        <v>1.2921448014967315E-3</v>
      </c>
      <c r="AN135" s="299">
        <f t="shared" si="45"/>
        <v>1.1902777886460903E-3</v>
      </c>
      <c r="AO135" s="299">
        <f t="shared" si="38"/>
        <v>1.0931040406847419E-3</v>
      </c>
      <c r="AP135" s="299">
        <f t="shared" si="38"/>
        <v>1.0105991746569818E-3</v>
      </c>
      <c r="AQ135" s="299">
        <f t="shared" si="38"/>
        <v>9.4719848378832473E-4</v>
      </c>
      <c r="AR135" s="299">
        <f t="shared" si="38"/>
        <v>9.0211217339543261E-4</v>
      </c>
      <c r="AS135" s="299">
        <f t="shared" si="38"/>
        <v>8.7178786070317101E-4</v>
      </c>
      <c r="AT135" s="299">
        <f t="shared" si="35"/>
        <v>8.5214927714902819E-4</v>
      </c>
      <c r="AU135" s="299">
        <f t="shared" si="35"/>
        <v>8.3974074966129209E-4</v>
      </c>
      <c r="AV135" s="299">
        <f t="shared" si="35"/>
        <v>8.3202224452443734E-4</v>
      </c>
      <c r="AW135" s="299">
        <f t="shared" si="35"/>
        <v>8.2726773611184229E-4</v>
      </c>
      <c r="AX135" s="299">
        <f t="shared" si="35"/>
        <v>8.2435660990363719E-4</v>
      </c>
      <c r="AY135" s="299">
        <f t="shared" si="35"/>
        <v>8.225807356319429E-4</v>
      </c>
      <c r="AZ135" s="298">
        <f t="shared" si="49"/>
        <v>9.0771011606563798E-2</v>
      </c>
      <c r="BA135" s="1">
        <f t="shared" si="50"/>
        <v>9.0771011606563798E-2</v>
      </c>
      <c r="BB135" s="1">
        <f t="shared" si="46"/>
        <v>9.0771011606563798E-2</v>
      </c>
      <c r="BC135" s="1">
        <f t="shared" si="46"/>
        <v>9.0771011606563798E-2</v>
      </c>
      <c r="BD135" s="1">
        <f t="shared" si="46"/>
        <v>9.0771011606563798E-2</v>
      </c>
      <c r="BE135" s="1">
        <f t="shared" si="46"/>
        <v>8.6661036290036034E-2</v>
      </c>
      <c r="BF135" s="1">
        <f t="shared" si="46"/>
        <v>8.4370796534513015E-2</v>
      </c>
      <c r="BG135" s="1">
        <f t="shared" si="46"/>
        <v>8.1103265386908999E-2</v>
      </c>
      <c r="BH135" s="1">
        <f t="shared" si="46"/>
        <v>7.6766789771555377E-2</v>
      </c>
      <c r="BI135" s="1">
        <f t="shared" si="46"/>
        <v>7.1532862020190116E-2</v>
      </c>
      <c r="BJ135" s="1">
        <f t="shared" si="46"/>
        <v>6.5893525804764971E-2</v>
      </c>
      <c r="BK135" s="1">
        <f t="shared" si="39"/>
        <v>6.0514007737709201E-2</v>
      </c>
      <c r="BL135" s="1">
        <f t="shared" si="39"/>
        <v>5.5946555861788039E-2</v>
      </c>
      <c r="BM135" s="1">
        <f t="shared" si="39"/>
        <v>5.2436707068805176E-2</v>
      </c>
      <c r="BN135" s="1">
        <f t="shared" si="39"/>
        <v>4.9940738492683968E-2</v>
      </c>
      <c r="BO135" s="1">
        <f t="shared" si="39"/>
        <v>4.8261990976801832E-2</v>
      </c>
      <c r="BP135" s="1">
        <f t="shared" si="36"/>
        <v>4.7174803158514564E-2</v>
      </c>
      <c r="BQ135" s="1">
        <f t="shared" si="36"/>
        <v>4.6487869709859422E-2</v>
      </c>
      <c r="BR135" s="1">
        <f t="shared" si="36"/>
        <v>4.6060574903335247E-2</v>
      </c>
      <c r="BS135" s="1">
        <f t="shared" si="36"/>
        <v>4.5797366326511629E-2</v>
      </c>
      <c r="BT135" s="1">
        <f t="shared" si="36"/>
        <v>4.5636206997360838E-2</v>
      </c>
      <c r="BU135" s="1">
        <f t="shared" si="36"/>
        <v>4.553789497451699E-2</v>
      </c>
    </row>
    <row r="136" spans="1:73" x14ac:dyDescent="0.25">
      <c r="A136" s="1" t="s">
        <v>36</v>
      </c>
      <c r="B136" s="1" t="s">
        <v>5</v>
      </c>
      <c r="C136" s="1" t="s">
        <v>13</v>
      </c>
      <c r="D136" s="1" t="s">
        <v>13</v>
      </c>
      <c r="E136" s="5">
        <v>7.9942500000000001</v>
      </c>
      <c r="F136" s="1">
        <f t="shared" si="57"/>
        <v>1.9585912500000004E-2</v>
      </c>
      <c r="G136" s="1">
        <f>LOOKUP(RIGHT(D136,5),Ref!$C$4:$C$21,Ref!$E$4:$E$21)*$G$3</f>
        <v>1.5</v>
      </c>
      <c r="H136" s="297">
        <f t="shared" si="56"/>
        <v>7.9942500000000001</v>
      </c>
      <c r="I136" s="5">
        <f t="shared" si="56"/>
        <v>7.9942500000000001</v>
      </c>
      <c r="J136" s="5">
        <f t="shared" si="56"/>
        <v>7.9942500000000001</v>
      </c>
      <c r="K136" s="5">
        <f t="shared" si="56"/>
        <v>7.9942500000000001</v>
      </c>
      <c r="L136" s="5">
        <f t="shared" si="56"/>
        <v>7.9942500000000001</v>
      </c>
      <c r="M136" s="5">
        <f t="shared" si="55"/>
        <v>8.3733842866497632</v>
      </c>
      <c r="N136" s="5">
        <f t="shared" si="55"/>
        <v>8.6006792556348248</v>
      </c>
      <c r="O136" s="5">
        <f t="shared" si="55"/>
        <v>8.947187959375313</v>
      </c>
      <c r="P136" s="5">
        <f t="shared" si="55"/>
        <v>9.4526052436889643</v>
      </c>
      <c r="Q136" s="5">
        <f t="shared" si="55"/>
        <v>10.144234957787084</v>
      </c>
      <c r="R136" s="5">
        <f t="shared" si="55"/>
        <v>11.012404491539575</v>
      </c>
      <c r="S136" s="5">
        <f t="shared" si="55"/>
        <v>11.991375</v>
      </c>
      <c r="T136" s="5">
        <f t="shared" si="55"/>
        <v>12.970345508460426</v>
      </c>
      <c r="U136" s="5">
        <f t="shared" si="55"/>
        <v>13.838515042212915</v>
      </c>
      <c r="V136" s="5">
        <f t="shared" si="55"/>
        <v>14.530144756311035</v>
      </c>
      <c r="W136" s="5">
        <f t="shared" si="55"/>
        <v>15.035562040624685</v>
      </c>
      <c r="X136" s="5">
        <f t="shared" si="55"/>
        <v>15.382070744365175</v>
      </c>
      <c r="Y136" s="5">
        <f t="shared" si="55"/>
        <v>15.609365713350238</v>
      </c>
      <c r="Z136" s="5">
        <f t="shared" si="55"/>
        <v>15.754170699315971</v>
      </c>
      <c r="AA136" s="5">
        <f t="shared" si="55"/>
        <v>15.844713741010549</v>
      </c>
      <c r="AB136" s="5">
        <f t="shared" si="55"/>
        <v>15.900667633875381</v>
      </c>
      <c r="AC136" s="5">
        <f t="shared" si="54"/>
        <v>15.934995676498536</v>
      </c>
      <c r="AD136" s="300">
        <f t="shared" si="47"/>
        <v>1.7191853023772411E-3</v>
      </c>
      <c r="AE136" s="299">
        <f t="shared" si="48"/>
        <v>1.7191853023772411E-3</v>
      </c>
      <c r="AF136" s="299">
        <f t="shared" si="45"/>
        <v>1.7191853023772411E-3</v>
      </c>
      <c r="AG136" s="299">
        <f t="shared" si="45"/>
        <v>1.7191853023772411E-3</v>
      </c>
      <c r="AH136" s="299">
        <f t="shared" si="45"/>
        <v>1.7191853023772411E-3</v>
      </c>
      <c r="AI136" s="299">
        <f t="shared" si="45"/>
        <v>1.641343169385117E-3</v>
      </c>
      <c r="AJ136" s="299">
        <f t="shared" si="45"/>
        <v>1.5979664739299514E-3</v>
      </c>
      <c r="AK136" s="299">
        <f t="shared" si="45"/>
        <v>1.5360800696187485E-3</v>
      </c>
      <c r="AL136" s="299">
        <f t="shared" si="45"/>
        <v>1.4539480650273826E-3</v>
      </c>
      <c r="AM136" s="299">
        <f t="shared" si="45"/>
        <v>1.3548184915590084E-3</v>
      </c>
      <c r="AN136" s="299">
        <f t="shared" si="45"/>
        <v>1.2480105606444041E-3</v>
      </c>
      <c r="AO136" s="299">
        <f t="shared" si="38"/>
        <v>1.1461235349181607E-3</v>
      </c>
      <c r="AP136" s="299">
        <f t="shared" si="38"/>
        <v>1.0596168848828623E-3</v>
      </c>
      <c r="AQ136" s="299">
        <f t="shared" si="38"/>
        <v>9.9314103150561182E-4</v>
      </c>
      <c r="AR136" s="299">
        <f t="shared" si="38"/>
        <v>9.4586787220821416E-4</v>
      </c>
      <c r="AS136" s="299">
        <f t="shared" si="38"/>
        <v>9.1407272081983658E-4</v>
      </c>
      <c r="AT136" s="299">
        <f t="shared" si="35"/>
        <v>8.934815950293215E-4</v>
      </c>
      <c r="AU136" s="299">
        <f t="shared" si="35"/>
        <v>8.8047120913918749E-4</v>
      </c>
      <c r="AV136" s="299">
        <f t="shared" si="35"/>
        <v>8.7237832862417772E-4</v>
      </c>
      <c r="AW136" s="299">
        <f t="shared" si="35"/>
        <v>8.6739320938042494E-4</v>
      </c>
      <c r="AX136" s="299">
        <f t="shared" si="35"/>
        <v>8.6434088303621816E-4</v>
      </c>
      <c r="AY136" s="299">
        <f t="shared" si="35"/>
        <v>8.6247887244794025E-4</v>
      </c>
      <c r="AZ136" s="298">
        <f t="shared" si="49"/>
        <v>9.5173733531753166E-2</v>
      </c>
      <c r="BA136" s="1">
        <f t="shared" si="50"/>
        <v>9.5173733531753166E-2</v>
      </c>
      <c r="BB136" s="1">
        <f t="shared" si="46"/>
        <v>9.5173733531753166E-2</v>
      </c>
      <c r="BC136" s="1">
        <f t="shared" si="46"/>
        <v>9.5173733531753166E-2</v>
      </c>
      <c r="BD136" s="1">
        <f t="shared" si="46"/>
        <v>9.5173733531753166E-2</v>
      </c>
      <c r="BE136" s="1">
        <f t="shared" si="46"/>
        <v>9.0864409567261731E-2</v>
      </c>
      <c r="BF136" s="1">
        <f t="shared" si="46"/>
        <v>8.846308491131602E-2</v>
      </c>
      <c r="BG136" s="1">
        <f t="shared" si="46"/>
        <v>8.5037066700825101E-2</v>
      </c>
      <c r="BH136" s="1">
        <f t="shared" si="46"/>
        <v>8.0490256354902229E-2</v>
      </c>
      <c r="BI136" s="1">
        <f t="shared" si="46"/>
        <v>7.5002464202799962E-2</v>
      </c>
      <c r="BJ136" s="1">
        <f t="shared" si="46"/>
        <v>6.9089599811807234E-2</v>
      </c>
      <c r="BK136" s="1">
        <f t="shared" si="39"/>
        <v>6.3449155687835448E-2</v>
      </c>
      <c r="BL136" s="1">
        <f t="shared" si="39"/>
        <v>5.8660165898427902E-2</v>
      </c>
      <c r="BM136" s="1">
        <f t="shared" si="39"/>
        <v>5.4980076761512953E-2</v>
      </c>
      <c r="BN136" s="1">
        <f t="shared" si="39"/>
        <v>5.2363044694083503E-2</v>
      </c>
      <c r="BO136" s="1">
        <f t="shared" si="39"/>
        <v>5.060287186009356E-2</v>
      </c>
      <c r="BP136" s="1">
        <f t="shared" si="36"/>
        <v>4.9462951505728374E-2</v>
      </c>
      <c r="BQ136" s="1">
        <f t="shared" si="36"/>
        <v>4.8742699303629691E-2</v>
      </c>
      <c r="BR136" s="1">
        <f t="shared" si="36"/>
        <v>4.8294679155612599E-2</v>
      </c>
      <c r="BS136" s="1">
        <f t="shared" si="36"/>
        <v>4.8018704012111266E-2</v>
      </c>
      <c r="BT136" s="1">
        <f t="shared" si="36"/>
        <v>4.7849727873393817E-2</v>
      </c>
      <c r="BU136" s="1">
        <f t="shared" si="36"/>
        <v>4.7746647362341861E-2</v>
      </c>
    </row>
    <row r="137" spans="1:73" x14ac:dyDescent="0.25">
      <c r="A137" s="1" t="s">
        <v>36</v>
      </c>
      <c r="B137" s="1" t="s">
        <v>5</v>
      </c>
      <c r="C137" s="1" t="s">
        <v>14</v>
      </c>
      <c r="D137" s="1" t="s">
        <v>14</v>
      </c>
      <c r="E137" s="5">
        <v>8.3572499999999987</v>
      </c>
      <c r="F137" s="1">
        <f t="shared" si="57"/>
        <v>2.0475262499999997E-2</v>
      </c>
      <c r="G137" s="1">
        <f>LOOKUP(RIGHT(D137,5),Ref!$C$4:$C$21,Ref!$E$4:$E$21)*$G$3</f>
        <v>2</v>
      </c>
      <c r="H137" s="297">
        <f t="shared" si="56"/>
        <v>8.3572499999999987</v>
      </c>
      <c r="I137" s="5">
        <f t="shared" si="56"/>
        <v>8.3572499999999987</v>
      </c>
      <c r="J137" s="5">
        <f t="shared" si="56"/>
        <v>8.3572499999999987</v>
      </c>
      <c r="K137" s="5">
        <f t="shared" si="56"/>
        <v>8.3572499999999987</v>
      </c>
      <c r="L137" s="5">
        <f t="shared" si="56"/>
        <v>8.3572499999999987</v>
      </c>
      <c r="M137" s="5">
        <f t="shared" si="55"/>
        <v>8.753599878613219</v>
      </c>
      <c r="N137" s="5">
        <f t="shared" si="55"/>
        <v>8.9912157749825354</v>
      </c>
      <c r="O137" s="5">
        <f t="shared" si="55"/>
        <v>9.3534586200693415</v>
      </c>
      <c r="P137" s="5">
        <f t="shared" si="55"/>
        <v>9.8818257088306698</v>
      </c>
      <c r="Q137" s="5">
        <f t="shared" si="55"/>
        <v>10.60486069374439</v>
      </c>
      <c r="R137" s="5">
        <f t="shared" si="55"/>
        <v>11.5124517543133</v>
      </c>
      <c r="S137" s="5">
        <f t="shared" si="55"/>
        <v>12.535874999999997</v>
      </c>
      <c r="T137" s="5">
        <f t="shared" si="55"/>
        <v>13.559298245686696</v>
      </c>
      <c r="U137" s="5">
        <f t="shared" si="55"/>
        <v>14.466889306255606</v>
      </c>
      <c r="V137" s="5">
        <f t="shared" si="55"/>
        <v>15.189924291169326</v>
      </c>
      <c r="W137" s="5">
        <f t="shared" si="55"/>
        <v>15.718291379930653</v>
      </c>
      <c r="X137" s="5">
        <f t="shared" si="55"/>
        <v>16.080534225017459</v>
      </c>
      <c r="Y137" s="5">
        <f t="shared" si="55"/>
        <v>16.318150121386779</v>
      </c>
      <c r="Z137" s="5">
        <f t="shared" si="55"/>
        <v>16.469530359553225</v>
      </c>
      <c r="AA137" s="5">
        <f t="shared" si="55"/>
        <v>16.564184746794307</v>
      </c>
      <c r="AB137" s="5">
        <f t="shared" si="55"/>
        <v>16.622679373700475</v>
      </c>
      <c r="AC137" s="5">
        <f t="shared" si="54"/>
        <v>16.658566171613018</v>
      </c>
      <c r="AD137" s="300">
        <f t="shared" si="47"/>
        <v>1.6445119032611518E-3</v>
      </c>
      <c r="AE137" s="299">
        <f t="shared" si="48"/>
        <v>1.6445119032611518E-3</v>
      </c>
      <c r="AF137" s="299">
        <f t="shared" si="45"/>
        <v>1.6445119032611518E-3</v>
      </c>
      <c r="AG137" s="299">
        <f t="shared" si="45"/>
        <v>1.6445119032611518E-3</v>
      </c>
      <c r="AH137" s="299">
        <f t="shared" si="45"/>
        <v>1.6445119032611518E-3</v>
      </c>
      <c r="AI137" s="299">
        <f t="shared" si="45"/>
        <v>1.570050869826435E-3</v>
      </c>
      <c r="AJ137" s="299">
        <f t="shared" si="45"/>
        <v>1.5285582559112763E-3</v>
      </c>
      <c r="AK137" s="299">
        <f t="shared" si="45"/>
        <v>1.4693599086481415E-3</v>
      </c>
      <c r="AL137" s="299">
        <f t="shared" si="45"/>
        <v>1.3907953356481085E-3</v>
      </c>
      <c r="AM137" s="299">
        <f t="shared" si="45"/>
        <v>1.2959714889641456E-3</v>
      </c>
      <c r="AN137" s="299">
        <f t="shared" si="45"/>
        <v>1.1938027969046671E-3</v>
      </c>
      <c r="AO137" s="299">
        <f t="shared" si="38"/>
        <v>1.096341268840768E-3</v>
      </c>
      <c r="AP137" s="299">
        <f t="shared" si="38"/>
        <v>1.0135920646115436E-3</v>
      </c>
      <c r="AQ137" s="299">
        <f t="shared" si="38"/>
        <v>9.5000361256558532E-4</v>
      </c>
      <c r="AR137" s="299">
        <f t="shared" si="38"/>
        <v>9.0478377904221088E-4</v>
      </c>
      <c r="AS137" s="299">
        <f t="shared" si="38"/>
        <v>8.7436966088294348E-4</v>
      </c>
      <c r="AT137" s="299">
        <f t="shared" si="35"/>
        <v>8.5467291765391196E-4</v>
      </c>
      <c r="AU137" s="299">
        <f t="shared" si="35"/>
        <v>8.4222764230589616E-4</v>
      </c>
      <c r="AV137" s="299">
        <f t="shared" si="35"/>
        <v>8.3448627881226891E-4</v>
      </c>
      <c r="AW137" s="299">
        <f t="shared" si="35"/>
        <v>8.2971768992066324E-4</v>
      </c>
      <c r="AX137" s="299">
        <f t="shared" si="35"/>
        <v>8.2679794241075555E-4</v>
      </c>
      <c r="AY137" s="299">
        <f t="shared" si="35"/>
        <v>8.2501680888652929E-4</v>
      </c>
      <c r="AZ137" s="298">
        <f t="shared" si="49"/>
        <v>9.1039830002239724E-2</v>
      </c>
      <c r="BA137" s="1">
        <f t="shared" si="50"/>
        <v>9.1039830002239724E-2</v>
      </c>
      <c r="BB137" s="1">
        <f t="shared" si="46"/>
        <v>9.1039830002239724E-2</v>
      </c>
      <c r="BC137" s="1">
        <f t="shared" si="46"/>
        <v>9.1039830002239724E-2</v>
      </c>
      <c r="BD137" s="1">
        <f t="shared" si="46"/>
        <v>9.1039830002239724E-2</v>
      </c>
      <c r="BE137" s="1">
        <f t="shared" si="46"/>
        <v>8.6917682991783443E-2</v>
      </c>
      <c r="BF137" s="1">
        <f t="shared" si="46"/>
        <v>8.462066069009401E-2</v>
      </c>
      <c r="BG137" s="1">
        <f t="shared" si="46"/>
        <v>8.1343452747383541E-2</v>
      </c>
      <c r="BH137" s="1">
        <f t="shared" si="46"/>
        <v>7.6994134657354663E-2</v>
      </c>
      <c r="BI137" s="1">
        <f t="shared" si="46"/>
        <v>7.1744706626370364E-2</v>
      </c>
      <c r="BJ137" s="1">
        <f t="shared" si="46"/>
        <v>6.6088669513959739E-2</v>
      </c>
      <c r="BK137" s="1">
        <f t="shared" si="39"/>
        <v>6.0693220001493152E-2</v>
      </c>
      <c r="BL137" s="1">
        <f t="shared" si="39"/>
        <v>5.611224161458702E-2</v>
      </c>
      <c r="BM137" s="1">
        <f t="shared" si="39"/>
        <v>5.2591998402671328E-2</v>
      </c>
      <c r="BN137" s="1">
        <f t="shared" si="39"/>
        <v>5.0088638014379981E-2</v>
      </c>
      <c r="BO137" s="1">
        <f t="shared" si="39"/>
        <v>4.8404918886900954E-2</v>
      </c>
      <c r="BP137" s="1">
        <f t="shared" si="36"/>
        <v>4.7314511361353215E-2</v>
      </c>
      <c r="BQ137" s="1">
        <f t="shared" si="36"/>
        <v>4.6625543558950815E-2</v>
      </c>
      <c r="BR137" s="1">
        <f t="shared" si="36"/>
        <v>4.6196983318646218E-2</v>
      </c>
      <c r="BS137" s="1">
        <f t="shared" si="36"/>
        <v>4.5932995249492424E-2</v>
      </c>
      <c r="BT137" s="1">
        <f t="shared" si="36"/>
        <v>4.5771358646908802E-2</v>
      </c>
      <c r="BU137" s="1">
        <f t="shared" si="36"/>
        <v>4.5672755472960784E-2</v>
      </c>
    </row>
    <row r="138" spans="1:73" x14ac:dyDescent="0.25">
      <c r="A138" s="1" t="s">
        <v>36</v>
      </c>
      <c r="B138" s="1" t="s">
        <v>5</v>
      </c>
      <c r="C138" s="1" t="s">
        <v>15</v>
      </c>
      <c r="D138" s="1" t="s">
        <v>15</v>
      </c>
      <c r="E138" s="5">
        <v>8.6377499999999987</v>
      </c>
      <c r="F138" s="1">
        <f t="shared" si="57"/>
        <v>2.1162487499999997E-2</v>
      </c>
      <c r="G138" s="1">
        <f>LOOKUP(RIGHT(D138,5),Ref!$C$4:$C$21,Ref!$E$4:$E$21)*$G$3</f>
        <v>2.5</v>
      </c>
      <c r="H138" s="297">
        <f t="shared" si="56"/>
        <v>8.6377499999999987</v>
      </c>
      <c r="I138" s="5">
        <f t="shared" si="56"/>
        <v>8.6377499999999987</v>
      </c>
      <c r="J138" s="5">
        <f t="shared" si="56"/>
        <v>8.6377499999999987</v>
      </c>
      <c r="K138" s="5">
        <f t="shared" si="56"/>
        <v>8.6377499999999987</v>
      </c>
      <c r="L138" s="5">
        <f t="shared" si="56"/>
        <v>8.6377499999999987</v>
      </c>
      <c r="M138" s="5">
        <f t="shared" si="55"/>
        <v>9.0474028360395256</v>
      </c>
      <c r="N138" s="5">
        <f t="shared" si="55"/>
        <v>9.2929939944784934</v>
      </c>
      <c r="O138" s="5">
        <f t="shared" si="55"/>
        <v>9.6673950396965438</v>
      </c>
      <c r="P138" s="5">
        <f t="shared" si="55"/>
        <v>10.213496068258353</v>
      </c>
      <c r="Q138" s="5">
        <f t="shared" si="55"/>
        <v>10.960798762438674</v>
      </c>
      <c r="R138" s="5">
        <f t="shared" si="55"/>
        <v>11.89885191191118</v>
      </c>
      <c r="S138" s="5">
        <f t="shared" si="55"/>
        <v>12.956624999999999</v>
      </c>
      <c r="T138" s="5">
        <f t="shared" si="55"/>
        <v>14.014398088088816</v>
      </c>
      <c r="U138" s="5">
        <f t="shared" si="55"/>
        <v>14.952451237561322</v>
      </c>
      <c r="V138" s="5">
        <f t="shared" si="55"/>
        <v>15.699753931741643</v>
      </c>
      <c r="W138" s="5">
        <f t="shared" si="55"/>
        <v>16.245854960303451</v>
      </c>
      <c r="X138" s="5">
        <f t="shared" si="55"/>
        <v>16.620256005521501</v>
      </c>
      <c r="Y138" s="5">
        <f t="shared" si="55"/>
        <v>16.865847163960471</v>
      </c>
      <c r="Z138" s="5">
        <f t="shared" si="55"/>
        <v>17.02230827882747</v>
      </c>
      <c r="AA138" s="5">
        <f t="shared" si="55"/>
        <v>17.120139614899941</v>
      </c>
      <c r="AB138" s="5">
        <f t="shared" si="55"/>
        <v>17.180597536292591</v>
      </c>
      <c r="AC138" s="5">
        <f t="shared" si="54"/>
        <v>17.217688826928757</v>
      </c>
      <c r="AD138" s="300">
        <f t="shared" si="47"/>
        <v>1.5911084603663294E-3</v>
      </c>
      <c r="AE138" s="299">
        <f t="shared" si="48"/>
        <v>1.5911084603663294E-3</v>
      </c>
      <c r="AF138" s="299">
        <f t="shared" si="45"/>
        <v>1.5911084603663294E-3</v>
      </c>
      <c r="AG138" s="299">
        <f t="shared" si="45"/>
        <v>1.5911084603663294E-3</v>
      </c>
      <c r="AH138" s="299">
        <f t="shared" si="45"/>
        <v>1.5911084603663294E-3</v>
      </c>
      <c r="AI138" s="299">
        <f t="shared" si="45"/>
        <v>1.5190654547604381E-3</v>
      </c>
      <c r="AJ138" s="299">
        <f t="shared" si="45"/>
        <v>1.4789202609724193E-3</v>
      </c>
      <c r="AK138" s="299">
        <f t="shared" si="45"/>
        <v>1.421644305119931E-3</v>
      </c>
      <c r="AL138" s="299">
        <f t="shared" si="45"/>
        <v>1.3456310172029933E-3</v>
      </c>
      <c r="AM138" s="299">
        <f t="shared" si="45"/>
        <v>1.2538864549385667E-3</v>
      </c>
      <c r="AN138" s="299">
        <f t="shared" si="45"/>
        <v>1.1550355618571422E-3</v>
      </c>
      <c r="AO138" s="299">
        <f t="shared" si="38"/>
        <v>1.0607389735775529E-3</v>
      </c>
      <c r="AP138" s="299">
        <f t="shared" si="38"/>
        <v>9.8067694503485548E-4</v>
      </c>
      <c r="AQ138" s="299">
        <f t="shared" si="38"/>
        <v>9.1915344749659786E-4</v>
      </c>
      <c r="AR138" s="299">
        <f t="shared" si="38"/>
        <v>8.7540207084026709E-4</v>
      </c>
      <c r="AS138" s="299">
        <f t="shared" si="38"/>
        <v>8.4597561267853074E-4</v>
      </c>
      <c r="AT138" s="299">
        <f t="shared" si="35"/>
        <v>8.2691849625922897E-4</v>
      </c>
      <c r="AU138" s="299">
        <f t="shared" si="35"/>
        <v>8.1487736547838853E-4</v>
      </c>
      <c r="AV138" s="299">
        <f t="shared" si="35"/>
        <v>8.0738739296736233E-4</v>
      </c>
      <c r="AW138" s="299">
        <f t="shared" si="35"/>
        <v>8.0277365796526442E-4</v>
      </c>
      <c r="AX138" s="299">
        <f t="shared" si="35"/>
        <v>7.999487255607407E-4</v>
      </c>
      <c r="AY138" s="299">
        <f t="shared" si="35"/>
        <v>7.9822543209365248E-4</v>
      </c>
      <c r="AZ138" s="298">
        <f t="shared" si="49"/>
        <v>8.8083426735691348E-2</v>
      </c>
      <c r="BA138" s="1">
        <f t="shared" si="50"/>
        <v>8.8083426735691348E-2</v>
      </c>
      <c r="BB138" s="1">
        <f t="shared" si="46"/>
        <v>8.8083426735691348E-2</v>
      </c>
      <c r="BC138" s="1">
        <f t="shared" si="46"/>
        <v>8.8083426735691348E-2</v>
      </c>
      <c r="BD138" s="1">
        <f t="shared" si="46"/>
        <v>8.8083426735691348E-2</v>
      </c>
      <c r="BE138" s="1">
        <f t="shared" si="46"/>
        <v>8.4095141232737952E-2</v>
      </c>
      <c r="BF138" s="1">
        <f t="shared" si="46"/>
        <v>8.1872711823366986E-2</v>
      </c>
      <c r="BG138" s="1">
        <f t="shared" si="46"/>
        <v>7.8701927061222102E-2</v>
      </c>
      <c r="BH138" s="1">
        <f t="shared" si="46"/>
        <v>7.4493847572015534E-2</v>
      </c>
      <c r="BI138" s="1">
        <f t="shared" si="46"/>
        <v>6.9414888073078482E-2</v>
      </c>
      <c r="BJ138" s="1">
        <f t="shared" si="46"/>
        <v>6.3942523608062296E-2</v>
      </c>
      <c r="BK138" s="1">
        <f t="shared" si="39"/>
        <v>5.8722284490460887E-2</v>
      </c>
      <c r="BL138" s="1">
        <f t="shared" si="39"/>
        <v>5.4290067579347324E-2</v>
      </c>
      <c r="BM138" s="1">
        <f t="shared" si="39"/>
        <v>5.0884139810798527E-2</v>
      </c>
      <c r="BN138" s="1">
        <f t="shared" si="39"/>
        <v>4.8462072883062958E-2</v>
      </c>
      <c r="BO138" s="1">
        <f t="shared" si="39"/>
        <v>4.6833030403467681E-2</v>
      </c>
      <c r="BP138" s="1">
        <f t="shared" si="36"/>
        <v>4.5778032482378994E-2</v>
      </c>
      <c r="BQ138" s="1">
        <f t="shared" si="36"/>
        <v>4.5111438037456708E-2</v>
      </c>
      <c r="BR138" s="1">
        <f t="shared" si="36"/>
        <v>4.4696794748604218E-2</v>
      </c>
      <c r="BS138" s="1">
        <f t="shared" si="36"/>
        <v>4.4441379357913875E-2</v>
      </c>
      <c r="BT138" s="1">
        <f t="shared" si="36"/>
        <v>4.428499169944472E-2</v>
      </c>
      <c r="BU138" s="1">
        <f t="shared" si="36"/>
        <v>4.4189590538786308E-2</v>
      </c>
    </row>
    <row r="139" spans="1:73" x14ac:dyDescent="0.25">
      <c r="A139" s="1" t="s">
        <v>36</v>
      </c>
      <c r="B139" s="1" t="s">
        <v>5</v>
      </c>
      <c r="C139" s="1" t="s">
        <v>16</v>
      </c>
      <c r="D139" s="1" t="s">
        <v>16</v>
      </c>
      <c r="E139" s="5">
        <v>8.6377499999999987</v>
      </c>
      <c r="F139" s="1">
        <f t="shared" si="57"/>
        <v>2.1162487499999997E-2</v>
      </c>
      <c r="G139" s="1">
        <f>LOOKUP(RIGHT(D139,5),Ref!$C$4:$C$21,Ref!$E$4:$E$21)*$G$3</f>
        <v>3</v>
      </c>
      <c r="H139" s="297">
        <f t="shared" si="56"/>
        <v>8.6377499999999987</v>
      </c>
      <c r="I139" s="5">
        <f t="shared" si="56"/>
        <v>8.6377499999999987</v>
      </c>
      <c r="J139" s="5">
        <f t="shared" si="56"/>
        <v>8.6377499999999987</v>
      </c>
      <c r="K139" s="5">
        <f t="shared" si="56"/>
        <v>8.6377499999999987</v>
      </c>
      <c r="L139" s="5">
        <f t="shared" si="56"/>
        <v>8.6377499999999987</v>
      </c>
      <c r="M139" s="5">
        <f t="shared" si="55"/>
        <v>9.0474028360395256</v>
      </c>
      <c r="N139" s="5">
        <f t="shared" si="55"/>
        <v>9.2929939944784934</v>
      </c>
      <c r="O139" s="5">
        <f t="shared" si="55"/>
        <v>9.6673950396965438</v>
      </c>
      <c r="P139" s="5">
        <f t="shared" si="55"/>
        <v>10.213496068258353</v>
      </c>
      <c r="Q139" s="5">
        <f t="shared" si="55"/>
        <v>10.960798762438674</v>
      </c>
      <c r="R139" s="5">
        <f t="shared" si="55"/>
        <v>11.89885191191118</v>
      </c>
      <c r="S139" s="5">
        <f t="shared" si="55"/>
        <v>12.956624999999999</v>
      </c>
      <c r="T139" s="5">
        <f t="shared" si="55"/>
        <v>14.014398088088816</v>
      </c>
      <c r="U139" s="5">
        <f t="shared" si="55"/>
        <v>14.952451237561322</v>
      </c>
      <c r="V139" s="5">
        <f t="shared" si="55"/>
        <v>15.699753931741643</v>
      </c>
      <c r="W139" s="5">
        <f t="shared" si="55"/>
        <v>16.245854960303451</v>
      </c>
      <c r="X139" s="5">
        <f t="shared" si="55"/>
        <v>16.620256005521501</v>
      </c>
      <c r="Y139" s="5">
        <f t="shared" si="55"/>
        <v>16.865847163960471</v>
      </c>
      <c r="Z139" s="5">
        <f t="shared" si="55"/>
        <v>17.02230827882747</v>
      </c>
      <c r="AA139" s="5">
        <f t="shared" si="55"/>
        <v>17.120139614899941</v>
      </c>
      <c r="AB139" s="5">
        <f t="shared" si="55"/>
        <v>17.180597536292591</v>
      </c>
      <c r="AC139" s="5">
        <f t="shared" si="54"/>
        <v>17.217688826928757</v>
      </c>
      <c r="AD139" s="300">
        <f t="shared" si="47"/>
        <v>1.5911084603663294E-3</v>
      </c>
      <c r="AE139" s="299">
        <f t="shared" si="48"/>
        <v>1.5911084603663294E-3</v>
      </c>
      <c r="AF139" s="299">
        <f t="shared" si="45"/>
        <v>1.5911084603663294E-3</v>
      </c>
      <c r="AG139" s="299">
        <f t="shared" si="45"/>
        <v>1.5911084603663294E-3</v>
      </c>
      <c r="AH139" s="299">
        <f t="shared" si="45"/>
        <v>1.5911084603663294E-3</v>
      </c>
      <c r="AI139" s="299">
        <f t="shared" si="45"/>
        <v>1.5190654547604381E-3</v>
      </c>
      <c r="AJ139" s="299">
        <f t="shared" si="45"/>
        <v>1.4789202609724193E-3</v>
      </c>
      <c r="AK139" s="299">
        <f t="shared" si="45"/>
        <v>1.421644305119931E-3</v>
      </c>
      <c r="AL139" s="299">
        <f t="shared" si="45"/>
        <v>1.3456310172029933E-3</v>
      </c>
      <c r="AM139" s="299">
        <f t="shared" si="45"/>
        <v>1.2538864549385667E-3</v>
      </c>
      <c r="AN139" s="299">
        <f t="shared" si="45"/>
        <v>1.1550355618571422E-3</v>
      </c>
      <c r="AO139" s="299">
        <f t="shared" si="38"/>
        <v>1.0607389735775529E-3</v>
      </c>
      <c r="AP139" s="299">
        <f t="shared" si="38"/>
        <v>9.8067694503485548E-4</v>
      </c>
      <c r="AQ139" s="299">
        <f t="shared" si="38"/>
        <v>9.1915344749659786E-4</v>
      </c>
      <c r="AR139" s="299">
        <f t="shared" si="38"/>
        <v>8.7540207084026709E-4</v>
      </c>
      <c r="AS139" s="299">
        <f t="shared" si="38"/>
        <v>8.4597561267853074E-4</v>
      </c>
      <c r="AT139" s="299">
        <f t="shared" si="35"/>
        <v>8.2691849625922897E-4</v>
      </c>
      <c r="AU139" s="299">
        <f t="shared" si="35"/>
        <v>8.1487736547838853E-4</v>
      </c>
      <c r="AV139" s="299">
        <f t="shared" si="35"/>
        <v>8.0738739296736233E-4</v>
      </c>
      <c r="AW139" s="299">
        <f t="shared" si="35"/>
        <v>8.0277365796526442E-4</v>
      </c>
      <c r="AX139" s="299">
        <f t="shared" si="35"/>
        <v>7.999487255607407E-4</v>
      </c>
      <c r="AY139" s="299">
        <f t="shared" si="35"/>
        <v>7.9822543209365248E-4</v>
      </c>
      <c r="AZ139" s="298">
        <f t="shared" si="49"/>
        <v>8.8083426735691348E-2</v>
      </c>
      <c r="BA139" s="1">
        <f t="shared" si="50"/>
        <v>8.8083426735691348E-2</v>
      </c>
      <c r="BB139" s="1">
        <f t="shared" si="46"/>
        <v>8.8083426735691348E-2</v>
      </c>
      <c r="BC139" s="1">
        <f t="shared" si="46"/>
        <v>8.8083426735691348E-2</v>
      </c>
      <c r="BD139" s="1">
        <f t="shared" si="46"/>
        <v>8.8083426735691348E-2</v>
      </c>
      <c r="BE139" s="1">
        <f t="shared" si="46"/>
        <v>8.4095141232737952E-2</v>
      </c>
      <c r="BF139" s="1">
        <f t="shared" si="46"/>
        <v>8.1872711823366986E-2</v>
      </c>
      <c r="BG139" s="1">
        <f t="shared" si="46"/>
        <v>7.8701927061222102E-2</v>
      </c>
      <c r="BH139" s="1">
        <f t="shared" si="46"/>
        <v>7.4493847572015534E-2</v>
      </c>
      <c r="BI139" s="1">
        <f t="shared" si="46"/>
        <v>6.9414888073078482E-2</v>
      </c>
      <c r="BJ139" s="1">
        <f t="shared" si="46"/>
        <v>6.3942523608062296E-2</v>
      </c>
      <c r="BK139" s="1">
        <f t="shared" si="39"/>
        <v>5.8722284490460887E-2</v>
      </c>
      <c r="BL139" s="1">
        <f t="shared" si="39"/>
        <v>5.4290067579347324E-2</v>
      </c>
      <c r="BM139" s="1">
        <f t="shared" si="39"/>
        <v>5.0884139810798527E-2</v>
      </c>
      <c r="BN139" s="1">
        <f t="shared" si="39"/>
        <v>4.8462072883062958E-2</v>
      </c>
      <c r="BO139" s="1">
        <f t="shared" si="39"/>
        <v>4.6833030403467681E-2</v>
      </c>
      <c r="BP139" s="1">
        <f t="shared" si="36"/>
        <v>4.5778032482378994E-2</v>
      </c>
      <c r="BQ139" s="1">
        <f t="shared" si="36"/>
        <v>4.5111438037456708E-2</v>
      </c>
      <c r="BR139" s="1">
        <f t="shared" si="36"/>
        <v>4.4696794748604218E-2</v>
      </c>
      <c r="BS139" s="1">
        <f t="shared" si="36"/>
        <v>4.4441379357913875E-2</v>
      </c>
      <c r="BT139" s="1">
        <f t="shared" si="36"/>
        <v>4.428499169944472E-2</v>
      </c>
      <c r="BU139" s="1">
        <f t="shared" si="36"/>
        <v>4.4189590538786308E-2</v>
      </c>
    </row>
    <row r="140" spans="1:73" x14ac:dyDescent="0.25">
      <c r="A140" s="1" t="s">
        <v>36</v>
      </c>
      <c r="B140" s="1" t="s">
        <v>5</v>
      </c>
      <c r="C140" s="1" t="s">
        <v>17</v>
      </c>
      <c r="D140" s="1" t="s">
        <v>17</v>
      </c>
      <c r="E140" s="5">
        <v>8.786249999999999</v>
      </c>
      <c r="F140" s="1">
        <f t="shared" si="57"/>
        <v>2.1526312499999995E-2</v>
      </c>
      <c r="G140" s="1">
        <f>LOOKUP(RIGHT(D140,5),Ref!$C$4:$C$21,Ref!$E$4:$E$21)*$G$3</f>
        <v>3</v>
      </c>
      <c r="H140" s="297">
        <f t="shared" si="56"/>
        <v>8.786249999999999</v>
      </c>
      <c r="I140" s="5">
        <f t="shared" si="56"/>
        <v>8.786249999999999</v>
      </c>
      <c r="J140" s="5">
        <f t="shared" si="56"/>
        <v>8.786249999999999</v>
      </c>
      <c r="K140" s="5">
        <f t="shared" si="56"/>
        <v>8.786249999999999</v>
      </c>
      <c r="L140" s="5">
        <f t="shared" si="56"/>
        <v>8.786249999999999</v>
      </c>
      <c r="M140" s="5">
        <f t="shared" si="55"/>
        <v>9.2029455782063945</v>
      </c>
      <c r="N140" s="5">
        <f t="shared" si="55"/>
        <v>9.4527589342116496</v>
      </c>
      <c r="O140" s="5">
        <f t="shared" si="55"/>
        <v>9.8335966736168299</v>
      </c>
      <c r="P140" s="5">
        <f t="shared" si="55"/>
        <v>10.389086258543598</v>
      </c>
      <c r="Q140" s="5">
        <f t="shared" si="55"/>
        <v>11.149236563512119</v>
      </c>
      <c r="R140" s="5">
        <f t="shared" si="55"/>
        <v>12.103416701227705</v>
      </c>
      <c r="S140" s="5">
        <f t="shared" si="55"/>
        <v>13.179374999999999</v>
      </c>
      <c r="T140" s="5">
        <f t="shared" si="55"/>
        <v>14.255333298772292</v>
      </c>
      <c r="U140" s="5">
        <f t="shared" si="55"/>
        <v>15.209513436487878</v>
      </c>
      <c r="V140" s="5">
        <f t="shared" si="55"/>
        <v>15.969663741456399</v>
      </c>
      <c r="W140" s="5">
        <f t="shared" si="55"/>
        <v>16.525153326383165</v>
      </c>
      <c r="X140" s="5">
        <f t="shared" si="55"/>
        <v>16.905991065788349</v>
      </c>
      <c r="Y140" s="5">
        <f t="shared" si="55"/>
        <v>17.155804421793601</v>
      </c>
      <c r="Z140" s="5">
        <f t="shared" si="55"/>
        <v>17.314955412560895</v>
      </c>
      <c r="AA140" s="5">
        <f t="shared" si="55"/>
        <v>17.414468662720573</v>
      </c>
      <c r="AB140" s="5">
        <f t="shared" si="55"/>
        <v>17.475965975311951</v>
      </c>
      <c r="AC140" s="5">
        <f t="shared" si="54"/>
        <v>17.513694938566502</v>
      </c>
      <c r="AD140" s="300">
        <f t="shared" si="47"/>
        <v>1.5642164863883068E-3</v>
      </c>
      <c r="AE140" s="299">
        <f t="shared" si="48"/>
        <v>1.5642164863883068E-3</v>
      </c>
      <c r="AF140" s="299">
        <f t="shared" si="45"/>
        <v>1.5642164863883068E-3</v>
      </c>
      <c r="AG140" s="299">
        <f t="shared" si="45"/>
        <v>1.5642164863883068E-3</v>
      </c>
      <c r="AH140" s="299">
        <f t="shared" si="45"/>
        <v>1.5642164863883068E-3</v>
      </c>
      <c r="AI140" s="299">
        <f t="shared" si="45"/>
        <v>1.4933911090461772E-3</v>
      </c>
      <c r="AJ140" s="299">
        <f t="shared" si="45"/>
        <v>1.4539244255757022E-3</v>
      </c>
      <c r="AK140" s="299">
        <f t="shared" si="45"/>
        <v>1.3976165140474812E-3</v>
      </c>
      <c r="AL140" s="299">
        <f t="shared" si="45"/>
        <v>1.3228879577573088E-3</v>
      </c>
      <c r="AM140" s="299">
        <f t="shared" si="45"/>
        <v>1.2326940078128444E-3</v>
      </c>
      <c r="AN140" s="299">
        <f t="shared" si="45"/>
        <v>1.1355138340511058E-3</v>
      </c>
      <c r="AO140" s="299">
        <f t="shared" si="45"/>
        <v>1.0428109909255379E-3</v>
      </c>
      <c r="AP140" s="299">
        <f t="shared" si="45"/>
        <v>9.6410212342863254E-4</v>
      </c>
      <c r="AQ140" s="299">
        <f t="shared" si="45"/>
        <v>9.0361845965158483E-4</v>
      </c>
      <c r="AR140" s="299">
        <f t="shared" ref="AR140:AY172" si="58">Algae_electricity_factor/V140</f>
        <v>8.606065428824034E-4</v>
      </c>
      <c r="AS140" s="299">
        <f t="shared" si="58"/>
        <v>8.3167743330931623E-4</v>
      </c>
      <c r="AT140" s="299">
        <f t="shared" si="35"/>
        <v>8.1294240899850952E-4</v>
      </c>
      <c r="AU140" s="299">
        <f t="shared" si="35"/>
        <v>8.0110479028720457E-4</v>
      </c>
      <c r="AV140" s="299">
        <f t="shared" si="35"/>
        <v>7.9374140886087163E-4</v>
      </c>
      <c r="AW140" s="299">
        <f t="shared" si="35"/>
        <v>7.8920565247852744E-4</v>
      </c>
      <c r="AX140" s="299">
        <f t="shared" si="35"/>
        <v>7.8642846541041814E-4</v>
      </c>
      <c r="AY140" s="299">
        <f t="shared" si="35"/>
        <v>7.8473429803009771E-4</v>
      </c>
      <c r="AZ140" s="298">
        <f t="shared" si="49"/>
        <v>8.6594692762693742E-2</v>
      </c>
      <c r="BA140" s="1">
        <f t="shared" si="50"/>
        <v>8.6594692762693742E-2</v>
      </c>
      <c r="BB140" s="1">
        <f t="shared" si="46"/>
        <v>8.6594692762693742E-2</v>
      </c>
      <c r="BC140" s="1">
        <f t="shared" si="46"/>
        <v>8.6594692762693742E-2</v>
      </c>
      <c r="BD140" s="1">
        <f t="shared" si="46"/>
        <v>8.6594692762693742E-2</v>
      </c>
      <c r="BE140" s="1">
        <f t="shared" si="46"/>
        <v>8.2673814902043785E-2</v>
      </c>
      <c r="BF140" s="1">
        <f t="shared" si="46"/>
        <v>8.0488947679873454E-2</v>
      </c>
      <c r="BG140" s="1">
        <f t="shared" si="46"/>
        <v>7.7371753646102839E-2</v>
      </c>
      <c r="BH140" s="1">
        <f t="shared" si="46"/>
        <v>7.3234796627136403E-2</v>
      </c>
      <c r="BI140" s="1">
        <f t="shared" si="46"/>
        <v>6.8241678697195468E-2</v>
      </c>
      <c r="BJ140" s="1">
        <f t="shared" si="46"/>
        <v>6.286180489919363E-2</v>
      </c>
      <c r="BK140" s="1">
        <f t="shared" si="46"/>
        <v>5.7729795175129162E-2</v>
      </c>
      <c r="BL140" s="1">
        <f t="shared" si="46"/>
        <v>5.3372488972372435E-2</v>
      </c>
      <c r="BM140" s="1">
        <f t="shared" si="46"/>
        <v>5.002412618019348E-2</v>
      </c>
      <c r="BN140" s="1">
        <f t="shared" ref="BN140:BU172" si="59">Algae_yield_cost_factor/V140</f>
        <v>4.7642995594898513E-2</v>
      </c>
      <c r="BO140" s="1">
        <f t="shared" si="59"/>
        <v>4.6041486227634432E-2</v>
      </c>
      <c r="BP140" s="1">
        <f t="shared" si="36"/>
        <v>4.500431925732469E-2</v>
      </c>
      <c r="BQ140" s="1">
        <f t="shared" si="36"/>
        <v>4.4348991197387021E-2</v>
      </c>
      <c r="BR140" s="1">
        <f t="shared" si="36"/>
        <v>4.3941355964120764E-2</v>
      </c>
      <c r="BS140" s="1">
        <f t="shared" si="36"/>
        <v>4.3690257453273068E-2</v>
      </c>
      <c r="BT140" s="1">
        <f t="shared" si="36"/>
        <v>4.3536512966496348E-2</v>
      </c>
      <c r="BU140" s="1">
        <f t="shared" si="36"/>
        <v>4.3442724219820907E-2</v>
      </c>
    </row>
    <row r="141" spans="1:73" x14ac:dyDescent="0.25">
      <c r="A141" s="1" t="s">
        <v>36</v>
      </c>
      <c r="B141" s="1" t="s">
        <v>5</v>
      </c>
      <c r="C141" s="1" t="s">
        <v>18</v>
      </c>
      <c r="D141" s="1" t="s">
        <v>18</v>
      </c>
      <c r="E141" s="5">
        <v>7.6230000000000002</v>
      </c>
      <c r="F141" s="1">
        <f t="shared" si="57"/>
        <v>1.8676349999999998E-2</v>
      </c>
      <c r="G141" s="1">
        <f>LOOKUP(RIGHT(D141,5),Ref!$C$4:$C$21,Ref!$E$4:$E$21)*$G$3</f>
        <v>3</v>
      </c>
      <c r="H141" s="297">
        <f t="shared" si="56"/>
        <v>7.6230000000000002</v>
      </c>
      <c r="I141" s="5">
        <f t="shared" si="56"/>
        <v>7.6230000000000002</v>
      </c>
      <c r="J141" s="5">
        <f t="shared" si="56"/>
        <v>7.6230000000000002</v>
      </c>
      <c r="K141" s="5">
        <f t="shared" si="56"/>
        <v>7.6230000000000002</v>
      </c>
      <c r="L141" s="5">
        <f t="shared" si="56"/>
        <v>7.6230000000000002</v>
      </c>
      <c r="M141" s="5">
        <f t="shared" si="55"/>
        <v>7.9845274312325918</v>
      </c>
      <c r="N141" s="5">
        <f t="shared" si="55"/>
        <v>8.2012669063019388</v>
      </c>
      <c r="O141" s="5">
        <f t="shared" si="55"/>
        <v>8.5316838745746022</v>
      </c>
      <c r="P141" s="5">
        <f t="shared" si="55"/>
        <v>9.0136297679758552</v>
      </c>
      <c r="Q141" s="5">
        <f t="shared" si="55"/>
        <v>9.6731404551034732</v>
      </c>
      <c r="R141" s="5">
        <f t="shared" si="55"/>
        <v>10.500992518248264</v>
      </c>
      <c r="S141" s="5">
        <f t="shared" si="55"/>
        <v>11.4345</v>
      </c>
      <c r="T141" s="5">
        <f t="shared" si="55"/>
        <v>12.368007481751738</v>
      </c>
      <c r="U141" s="5">
        <f t="shared" si="55"/>
        <v>13.195859544896527</v>
      </c>
      <c r="V141" s="5">
        <f t="shared" si="55"/>
        <v>13.855370232024146</v>
      </c>
      <c r="W141" s="5">
        <f t="shared" si="55"/>
        <v>14.337316125425396</v>
      </c>
      <c r="X141" s="5">
        <f t="shared" si="55"/>
        <v>14.667733093698061</v>
      </c>
      <c r="Y141" s="5">
        <f t="shared" si="55"/>
        <v>14.884472568767409</v>
      </c>
      <c r="Z141" s="5">
        <f t="shared" si="55"/>
        <v>15.022552864982412</v>
      </c>
      <c r="AA141" s="5">
        <f t="shared" si="55"/>
        <v>15.108891121458976</v>
      </c>
      <c r="AB141" s="5">
        <f t="shared" si="55"/>
        <v>15.16224653632699</v>
      </c>
      <c r="AC141" s="5">
        <f t="shared" si="54"/>
        <v>15.194980397404178</v>
      </c>
      <c r="AD141" s="300">
        <f t="shared" si="47"/>
        <v>1.8029118593111976E-3</v>
      </c>
      <c r="AE141" s="299">
        <f t="shared" si="48"/>
        <v>1.8029118593111976E-3</v>
      </c>
      <c r="AF141" s="299">
        <f t="shared" ref="AF141:AF154" si="60">Algae_electricity_factor/J141</f>
        <v>1.8029118593111976E-3</v>
      </c>
      <c r="AG141" s="299">
        <f t="shared" ref="AG141:AG154" si="61">Algae_electricity_factor/K141</f>
        <v>1.8029118593111976E-3</v>
      </c>
      <c r="AH141" s="299">
        <f t="shared" ref="AH141:AH154" si="62">Algae_electricity_factor/L141</f>
        <v>1.8029118593111976E-3</v>
      </c>
      <c r="AI141" s="299">
        <f t="shared" ref="AI141:AI154" si="63">Algae_electricity_factor/M141</f>
        <v>1.7212787133486778E-3</v>
      </c>
      <c r="AJ141" s="299">
        <f t="shared" ref="AJ141:AJ154" si="64">Algae_electricity_factor/N141</f>
        <v>1.6757895164914748E-3</v>
      </c>
      <c r="AK141" s="299">
        <f t="shared" ref="AK141:AK154" si="65">Algae_electricity_factor/O141</f>
        <v>1.6108891639183629E-3</v>
      </c>
      <c r="AL141" s="299">
        <f t="shared" ref="AL141:AL154" si="66">Algae_electricity_factor/P141</f>
        <v>1.5247572240384563E-3</v>
      </c>
      <c r="AM141" s="299">
        <f t="shared" ref="AM141:AM154" si="67">Algae_electricity_factor/Q141</f>
        <v>1.4207999116024668E-3</v>
      </c>
      <c r="AN141" s="299">
        <f t="shared" ref="AN141:AN154" si="68">Algae_electricity_factor/R141</f>
        <v>1.3087902957407225E-3</v>
      </c>
      <c r="AO141" s="299">
        <f t="shared" ref="AO141:AO154" si="69">Algae_electricity_factor/S141</f>
        <v>1.2019412395407984E-3</v>
      </c>
      <c r="AP141" s="299">
        <f t="shared" ref="AP141:AP154" si="70">Algae_electricity_factor/T141</f>
        <v>1.1112216033024821E-3</v>
      </c>
      <c r="AQ141" s="299">
        <f t="shared" ref="AQ141:AQ154" si="71">Algae_electricity_factor/U141</f>
        <v>1.0415082895334825E-3</v>
      </c>
      <c r="AR141" s="299">
        <f t="shared" si="58"/>
        <v>9.9193286598458813E-4</v>
      </c>
      <c r="AS141" s="299">
        <f t="shared" si="58"/>
        <v>9.5858924943119221E-4</v>
      </c>
      <c r="AT141" s="299">
        <f t="shared" si="58"/>
        <v>9.3699530907295737E-4</v>
      </c>
      <c r="AU141" s="299">
        <f t="shared" si="58"/>
        <v>9.2335130049336868E-4</v>
      </c>
      <c r="AV141" s="299">
        <f t="shared" si="58"/>
        <v>9.1486428618704351E-4</v>
      </c>
      <c r="AW141" s="299">
        <f t="shared" si="58"/>
        <v>9.0963638516193914E-4</v>
      </c>
      <c r="AX141" s="299">
        <f t="shared" si="58"/>
        <v>9.0643540656070918E-4</v>
      </c>
      <c r="AY141" s="299">
        <f t="shared" si="58"/>
        <v>9.0448271363858656E-4</v>
      </c>
      <c r="AZ141" s="298">
        <f t="shared" si="49"/>
        <v>9.9808817957000889E-2</v>
      </c>
      <c r="BA141" s="1">
        <f t="shared" si="50"/>
        <v>9.9808817957000889E-2</v>
      </c>
      <c r="BB141" s="1">
        <f t="shared" ref="BB141:BB154" si="72">Algae_yield_cost_factor/J141</f>
        <v>9.9808817957000889E-2</v>
      </c>
      <c r="BC141" s="1">
        <f t="shared" ref="BC141:BC154" si="73">Algae_yield_cost_factor/K141</f>
        <v>9.9808817957000889E-2</v>
      </c>
      <c r="BD141" s="1">
        <f t="shared" ref="BD141:BD154" si="74">Algae_yield_cost_factor/L141</f>
        <v>9.9808817957000889E-2</v>
      </c>
      <c r="BE141" s="1">
        <f t="shared" ref="BE141:BE154" si="75">Algae_yield_cost_factor/M141</f>
        <v>9.5289624318914079E-2</v>
      </c>
      <c r="BF141" s="1">
        <f t="shared" ref="BF141:BF154" si="76">Algae_yield_cost_factor/N141</f>
        <v>9.2771352033620372E-2</v>
      </c>
      <c r="BG141" s="1">
        <f t="shared" ref="BG141:BG154" si="77">Algae_yield_cost_factor/O141</f>
        <v>8.9178482286904254E-2</v>
      </c>
      <c r="BH141" s="1">
        <f t="shared" ref="BH141:BH154" si="78">Algae_yield_cost_factor/P141</f>
        <v>8.441023637218642E-2</v>
      </c>
      <c r="BI141" s="1">
        <f t="shared" ref="BI141:BI154" si="79">Algae_yield_cost_factor/Q141</f>
        <v>7.8655181615273989E-2</v>
      </c>
      <c r="BJ141" s="1">
        <f t="shared" ref="BJ141:BJ154" si="80">Algae_yield_cost_factor/R141</f>
        <v>7.2454353049395251E-2</v>
      </c>
      <c r="BK141" s="1">
        <f t="shared" ref="BK141:BK154" si="81">Algae_yield_cost_factor/S141</f>
        <v>6.6539211971333931E-2</v>
      </c>
      <c r="BL141" s="1">
        <f t="shared" ref="BL141:BL154" si="82">Algae_yield_cost_factor/T141</f>
        <v>6.151699215971497E-2</v>
      </c>
      <c r="BM141" s="1">
        <f t="shared" ref="BM141:BM154" si="83">Algae_yield_cost_factor/U141</f>
        <v>5.7657677902495728E-2</v>
      </c>
      <c r="BN141" s="1">
        <f t="shared" si="59"/>
        <v>5.4913192974639514E-2</v>
      </c>
      <c r="BO141" s="1">
        <f t="shared" si="59"/>
        <v>5.3067297437695518E-2</v>
      </c>
      <c r="BP141" s="1">
        <f t="shared" si="59"/>
        <v>5.1871861481656706E-2</v>
      </c>
      <c r="BQ141" s="1">
        <f t="shared" si="59"/>
        <v>5.1116532061923341E-2</v>
      </c>
      <c r="BR141" s="1">
        <f t="shared" si="59"/>
        <v>5.064669275085347E-2</v>
      </c>
      <c r="BS141" s="1">
        <f t="shared" si="59"/>
        <v>5.0357277259454346E-2</v>
      </c>
      <c r="BT141" s="1">
        <f t="shared" si="59"/>
        <v>5.0180071763331828E-2</v>
      </c>
      <c r="BU141" s="1">
        <f t="shared" si="59"/>
        <v>5.0071971097520845E-2</v>
      </c>
    </row>
    <row r="142" spans="1:73" x14ac:dyDescent="0.25">
      <c r="A142" s="1" t="s">
        <v>36</v>
      </c>
      <c r="B142" s="1" t="s">
        <v>5</v>
      </c>
      <c r="C142" s="1" t="s">
        <v>6</v>
      </c>
      <c r="D142" s="1" t="s">
        <v>6</v>
      </c>
      <c r="E142" s="5">
        <v>8.7614999999999998</v>
      </c>
      <c r="F142" s="1">
        <f t="shared" si="57"/>
        <v>2.1465675E-2</v>
      </c>
      <c r="G142" s="1">
        <f>LOOKUP(RIGHT(D142,5),Ref!$C$4:$C$21,Ref!$E$4:$E$21)*$G$3</f>
        <v>3</v>
      </c>
      <c r="H142" s="297">
        <f t="shared" si="56"/>
        <v>8.7614999999999998</v>
      </c>
      <c r="I142" s="5">
        <f t="shared" si="56"/>
        <v>8.7614999999999998</v>
      </c>
      <c r="J142" s="5">
        <f t="shared" si="56"/>
        <v>8.7614999999999998</v>
      </c>
      <c r="K142" s="5">
        <f t="shared" si="56"/>
        <v>8.7614999999999998</v>
      </c>
      <c r="L142" s="5">
        <f t="shared" si="56"/>
        <v>8.7614999999999998</v>
      </c>
      <c r="M142" s="5">
        <f t="shared" si="55"/>
        <v>9.1770217878452502</v>
      </c>
      <c r="N142" s="5">
        <f t="shared" si="55"/>
        <v>9.426131444256125</v>
      </c>
      <c r="O142" s="5">
        <f t="shared" si="55"/>
        <v>9.8058964012967831</v>
      </c>
      <c r="P142" s="5">
        <f t="shared" si="55"/>
        <v>10.359821226829391</v>
      </c>
      <c r="Q142" s="5">
        <f t="shared" si="55"/>
        <v>11.117830263333213</v>
      </c>
      <c r="R142" s="5">
        <f t="shared" si="55"/>
        <v>12.069322569674952</v>
      </c>
      <c r="S142" s="5">
        <f t="shared" si="55"/>
        <v>13.142250000000001</v>
      </c>
      <c r="T142" s="5">
        <f t="shared" si="55"/>
        <v>14.215177430325047</v>
      </c>
      <c r="U142" s="5">
        <f t="shared" si="55"/>
        <v>15.166669736666787</v>
      </c>
      <c r="V142" s="5">
        <f t="shared" si="55"/>
        <v>15.924678773170609</v>
      </c>
      <c r="W142" s="5">
        <f t="shared" si="55"/>
        <v>16.478603598703213</v>
      </c>
      <c r="X142" s="5">
        <f t="shared" si="55"/>
        <v>16.858368555743876</v>
      </c>
      <c r="Y142" s="5">
        <f t="shared" si="55"/>
        <v>17.107478212154749</v>
      </c>
      <c r="Z142" s="5">
        <f t="shared" si="55"/>
        <v>17.266180890271993</v>
      </c>
      <c r="AA142" s="5">
        <f t="shared" si="55"/>
        <v>17.365413821417135</v>
      </c>
      <c r="AB142" s="5">
        <f t="shared" si="55"/>
        <v>17.426737902142058</v>
      </c>
      <c r="AC142" s="5">
        <f t="shared" si="54"/>
        <v>17.464360586626878</v>
      </c>
      <c r="AD142" s="300">
        <f t="shared" si="47"/>
        <v>1.5686351770278217E-3</v>
      </c>
      <c r="AE142" s="299">
        <f t="shared" si="48"/>
        <v>1.5686351770278217E-3</v>
      </c>
      <c r="AF142" s="299">
        <f t="shared" si="60"/>
        <v>1.5686351770278217E-3</v>
      </c>
      <c r="AG142" s="299">
        <f t="shared" si="61"/>
        <v>1.5686351770278217E-3</v>
      </c>
      <c r="AH142" s="299">
        <f t="shared" si="62"/>
        <v>1.5686351770278217E-3</v>
      </c>
      <c r="AI142" s="299">
        <f t="shared" si="63"/>
        <v>1.4976097279982849E-3</v>
      </c>
      <c r="AJ142" s="299">
        <f t="shared" si="64"/>
        <v>1.458031556721396E-3</v>
      </c>
      <c r="AK142" s="299">
        <f t="shared" si="65"/>
        <v>1.4015645832962027E-3</v>
      </c>
      <c r="AL142" s="299">
        <f t="shared" si="66"/>
        <v>1.3266249293893914E-3</v>
      </c>
      <c r="AM142" s="299">
        <f t="shared" si="67"/>
        <v>1.2361761942755924E-3</v>
      </c>
      <c r="AN142" s="299">
        <f t="shared" si="68"/>
        <v>1.1387215002489903E-3</v>
      </c>
      <c r="AO142" s="299">
        <f t="shared" si="69"/>
        <v>1.0457567846852145E-3</v>
      </c>
      <c r="AP142" s="299">
        <f t="shared" si="70"/>
        <v>9.6682557575470199E-4</v>
      </c>
      <c r="AQ142" s="299">
        <f t="shared" si="71"/>
        <v>9.0617105417037456E-4</v>
      </c>
      <c r="AR142" s="299">
        <f t="shared" si="58"/>
        <v>8.6303763481144959E-4</v>
      </c>
      <c r="AS142" s="299">
        <f t="shared" si="58"/>
        <v>8.3402680458985099E-4</v>
      </c>
      <c r="AT142" s="299">
        <f t="shared" si="58"/>
        <v>8.1523885648155606E-4</v>
      </c>
      <c r="AU142" s="299">
        <f t="shared" si="58"/>
        <v>8.0336779816937167E-4</v>
      </c>
      <c r="AV142" s="299">
        <f t="shared" si="58"/>
        <v>7.9598361623053502E-4</v>
      </c>
      <c r="AW142" s="299">
        <f t="shared" si="58"/>
        <v>7.9143504697705435E-4</v>
      </c>
      <c r="AX142" s="299">
        <f t="shared" si="58"/>
        <v>7.886500147477357E-4</v>
      </c>
      <c r="AY142" s="299">
        <f t="shared" si="58"/>
        <v>7.8695106158385513E-4</v>
      </c>
      <c r="AZ142" s="298">
        <f t="shared" si="49"/>
        <v>8.6839310538859529E-2</v>
      </c>
      <c r="BA142" s="1">
        <f t="shared" si="50"/>
        <v>8.6839310538859529E-2</v>
      </c>
      <c r="BB142" s="1">
        <f t="shared" si="72"/>
        <v>8.6839310538859529E-2</v>
      </c>
      <c r="BC142" s="1">
        <f t="shared" si="73"/>
        <v>8.6839310538859529E-2</v>
      </c>
      <c r="BD142" s="1">
        <f t="shared" si="74"/>
        <v>8.6839310538859529E-2</v>
      </c>
      <c r="BE142" s="1">
        <f t="shared" si="75"/>
        <v>8.2907356752049549E-2</v>
      </c>
      <c r="BF142" s="1">
        <f t="shared" si="76"/>
        <v>8.0716317588573644E-2</v>
      </c>
      <c r="BG142" s="1">
        <f t="shared" si="77"/>
        <v>7.7590317921939295E-2</v>
      </c>
      <c r="BH142" s="1">
        <f t="shared" si="78"/>
        <v>7.3441674583710231E-2</v>
      </c>
      <c r="BI142" s="1">
        <f t="shared" si="79"/>
        <v>6.8434451800859858E-2</v>
      </c>
      <c r="BJ142" s="1">
        <f t="shared" si="80"/>
        <v>6.303938061924784E-2</v>
      </c>
      <c r="BK142" s="1">
        <f t="shared" si="81"/>
        <v>5.7892873692573017E-2</v>
      </c>
      <c r="BL142" s="1">
        <f t="shared" si="82"/>
        <v>5.3523258715232246E-2</v>
      </c>
      <c r="BM142" s="1">
        <f t="shared" si="83"/>
        <v>5.0165437271097978E-2</v>
      </c>
      <c r="BN142" s="1">
        <f t="shared" si="59"/>
        <v>4.7777580328217432E-2</v>
      </c>
      <c r="BO142" s="1">
        <f t="shared" si="59"/>
        <v>4.6171546923192718E-2</v>
      </c>
      <c r="BP142" s="1">
        <f t="shared" si="59"/>
        <v>4.5131450102684365E-2</v>
      </c>
      <c r="BQ142" s="1">
        <f t="shared" si="59"/>
        <v>4.4474270833537825E-2</v>
      </c>
      <c r="BR142" s="1">
        <f t="shared" si="59"/>
        <v>4.4065484088313192E-2</v>
      </c>
      <c r="BS142" s="1">
        <f t="shared" si="59"/>
        <v>4.3813676259638244E-2</v>
      </c>
      <c r="BT142" s="1">
        <f t="shared" si="59"/>
        <v>4.3659497466401707E-2</v>
      </c>
      <c r="BU142" s="1">
        <f t="shared" si="59"/>
        <v>4.3565443779763902E-2</v>
      </c>
    </row>
    <row r="143" spans="1:73" x14ac:dyDescent="0.25">
      <c r="A143" s="1" t="s">
        <v>36</v>
      </c>
      <c r="B143" s="1" t="s">
        <v>5</v>
      </c>
      <c r="C143" s="1" t="s">
        <v>7</v>
      </c>
      <c r="D143" s="1" t="s">
        <v>7</v>
      </c>
      <c r="E143" s="5">
        <v>8.4975000000000005</v>
      </c>
      <c r="F143" s="1">
        <f t="shared" si="57"/>
        <v>2.0818874999999997E-2</v>
      </c>
      <c r="G143" s="1">
        <f>LOOKUP(RIGHT(D143,5),Ref!$C$4:$C$21,Ref!$E$4:$E$21)*$G$3</f>
        <v>3.5</v>
      </c>
      <c r="H143" s="297">
        <f t="shared" si="56"/>
        <v>8.4975000000000005</v>
      </c>
      <c r="I143" s="5">
        <f t="shared" si="56"/>
        <v>8.4975000000000005</v>
      </c>
      <c r="J143" s="5">
        <f t="shared" si="56"/>
        <v>8.4975000000000005</v>
      </c>
      <c r="K143" s="5">
        <f t="shared" si="56"/>
        <v>8.4975000000000005</v>
      </c>
      <c r="L143" s="5">
        <f t="shared" si="56"/>
        <v>8.4975000000000005</v>
      </c>
      <c r="M143" s="5">
        <f t="shared" si="55"/>
        <v>8.9005013573263732</v>
      </c>
      <c r="N143" s="5">
        <f t="shared" si="55"/>
        <v>9.1421048847305162</v>
      </c>
      <c r="O143" s="5">
        <f t="shared" si="55"/>
        <v>9.5104268298829453</v>
      </c>
      <c r="P143" s="5">
        <f t="shared" si="55"/>
        <v>10.047660888544513</v>
      </c>
      <c r="Q143" s="5">
        <f t="shared" si="55"/>
        <v>10.782829728091535</v>
      </c>
      <c r="R143" s="5">
        <f t="shared" si="55"/>
        <v>11.705651833112242</v>
      </c>
      <c r="S143" s="5">
        <f t="shared" si="55"/>
        <v>12.74625</v>
      </c>
      <c r="T143" s="5">
        <f t="shared" si="55"/>
        <v>13.78684816688776</v>
      </c>
      <c r="U143" s="5">
        <f t="shared" si="55"/>
        <v>14.709670271908466</v>
      </c>
      <c r="V143" s="5">
        <f t="shared" si="55"/>
        <v>15.444839111455488</v>
      </c>
      <c r="W143" s="5">
        <f t="shared" si="55"/>
        <v>15.982073170117054</v>
      </c>
      <c r="X143" s="5">
        <f t="shared" si="55"/>
        <v>16.350395115269485</v>
      </c>
      <c r="Y143" s="5">
        <f t="shared" si="55"/>
        <v>16.591998642673627</v>
      </c>
      <c r="Z143" s="5">
        <f t="shared" si="55"/>
        <v>16.745919319190349</v>
      </c>
      <c r="AA143" s="5">
        <f t="shared" si="55"/>
        <v>16.842162180847129</v>
      </c>
      <c r="AB143" s="5">
        <f t="shared" si="55"/>
        <v>16.901638454996537</v>
      </c>
      <c r="AC143" s="5">
        <f t="shared" si="54"/>
        <v>16.938127499270891</v>
      </c>
      <c r="AD143" s="300">
        <f t="shared" si="47"/>
        <v>1.6173694737898509E-3</v>
      </c>
      <c r="AE143" s="299">
        <f t="shared" si="48"/>
        <v>1.6173694737898509E-3</v>
      </c>
      <c r="AF143" s="299">
        <f t="shared" si="60"/>
        <v>1.6173694737898509E-3</v>
      </c>
      <c r="AG143" s="299">
        <f t="shared" si="61"/>
        <v>1.6173694737898509E-3</v>
      </c>
      <c r="AH143" s="299">
        <f t="shared" si="62"/>
        <v>1.6173694737898509E-3</v>
      </c>
      <c r="AI143" s="299">
        <f t="shared" si="63"/>
        <v>1.5441374088681346E-3</v>
      </c>
      <c r="AJ143" s="299">
        <f t="shared" si="64"/>
        <v>1.5033296245030318E-3</v>
      </c>
      <c r="AK143" s="299">
        <f t="shared" si="65"/>
        <v>1.4451083373403565E-3</v>
      </c>
      <c r="AL143" s="299">
        <f t="shared" si="66"/>
        <v>1.3678404611762462E-3</v>
      </c>
      <c r="AM143" s="299">
        <f t="shared" si="67"/>
        <v>1.2745816682725041E-3</v>
      </c>
      <c r="AN143" s="299">
        <f t="shared" si="68"/>
        <v>1.1740992555965316E-3</v>
      </c>
      <c r="AO143" s="299">
        <f t="shared" si="69"/>
        <v>1.0782463158599007E-3</v>
      </c>
      <c r="AP143" s="299">
        <f t="shared" si="70"/>
        <v>9.9686287519562457E-4</v>
      </c>
      <c r="AQ143" s="299">
        <f t="shared" si="71"/>
        <v>9.343239412902308E-4</v>
      </c>
      <c r="AR143" s="299">
        <f t="shared" si="58"/>
        <v>8.8985045453374698E-4</v>
      </c>
      <c r="AS143" s="299">
        <f t="shared" si="58"/>
        <v>8.5993831696545787E-4</v>
      </c>
      <c r="AT143" s="299">
        <f t="shared" si="58"/>
        <v>8.4056666561496359E-4</v>
      </c>
      <c r="AU143" s="299">
        <f t="shared" si="58"/>
        <v>8.2832679772414824E-4</v>
      </c>
      <c r="AV143" s="299">
        <f t="shared" si="58"/>
        <v>8.2071320430760028E-4</v>
      </c>
      <c r="AW143" s="299">
        <f t="shared" si="58"/>
        <v>8.160233202811958E-4</v>
      </c>
      <c r="AX143" s="299">
        <f t="shared" si="58"/>
        <v>8.1315176277873332E-4</v>
      </c>
      <c r="AY143" s="299">
        <f t="shared" si="58"/>
        <v>8.1140002660393595E-4</v>
      </c>
      <c r="AZ143" s="298">
        <f t="shared" si="49"/>
        <v>8.9537230866280404E-2</v>
      </c>
      <c r="BA143" s="1">
        <f t="shared" si="50"/>
        <v>8.9537230866280404E-2</v>
      </c>
      <c r="BB143" s="1">
        <f t="shared" si="72"/>
        <v>8.9537230866280404E-2</v>
      </c>
      <c r="BC143" s="1">
        <f t="shared" si="73"/>
        <v>8.9537230866280404E-2</v>
      </c>
      <c r="BD143" s="1">
        <f t="shared" si="74"/>
        <v>8.9537230866280404E-2</v>
      </c>
      <c r="BE143" s="1">
        <f t="shared" si="75"/>
        <v>8.5483119291919055E-2</v>
      </c>
      <c r="BF143" s="1">
        <f t="shared" si="76"/>
        <v>8.3224009008801184E-2</v>
      </c>
      <c r="BG143" s="1">
        <f t="shared" si="77"/>
        <v>8.0000890905921856E-2</v>
      </c>
      <c r="BH143" s="1">
        <f t="shared" si="78"/>
        <v>7.5723357677573072E-2</v>
      </c>
      <c r="BI143" s="1">
        <f t="shared" si="79"/>
        <v>7.0560570691760346E-2</v>
      </c>
      <c r="BJ143" s="1">
        <f t="shared" si="80"/>
        <v>6.499788564819535E-2</v>
      </c>
      <c r="BK143" s="1">
        <f t="shared" si="81"/>
        <v>5.9691487244186943E-2</v>
      </c>
      <c r="BL143" s="1">
        <f t="shared" si="82"/>
        <v>5.5186117238423919E-2</v>
      </c>
      <c r="BM143" s="1">
        <f t="shared" si="83"/>
        <v>5.1723975128064127E-2</v>
      </c>
      <c r="BN143" s="1">
        <f t="shared" si="59"/>
        <v>4.9261932338414471E-2</v>
      </c>
      <c r="BO143" s="1">
        <f t="shared" si="59"/>
        <v>4.760600274993268E-2</v>
      </c>
      <c r="BP143" s="1">
        <f t="shared" si="59"/>
        <v>4.653359224179688E-2</v>
      </c>
      <c r="BQ143" s="1">
        <f t="shared" si="59"/>
        <v>4.5855995752638032E-2</v>
      </c>
      <c r="BR143" s="1">
        <f t="shared" si="59"/>
        <v>4.5434508836687974E-2</v>
      </c>
      <c r="BS143" s="1">
        <f t="shared" si="59"/>
        <v>4.517487785217069E-2</v>
      </c>
      <c r="BT143" s="1">
        <f t="shared" si="59"/>
        <v>4.5015909038173402E-2</v>
      </c>
      <c r="BU143" s="1">
        <f t="shared" si="59"/>
        <v>4.4918933295251706E-2</v>
      </c>
    </row>
    <row r="144" spans="1:73" x14ac:dyDescent="0.25">
      <c r="A144" s="1" t="s">
        <v>36</v>
      </c>
      <c r="B144" s="1" t="s">
        <v>5</v>
      </c>
      <c r="C144" s="1" t="s">
        <v>8</v>
      </c>
      <c r="D144" s="1" t="s">
        <v>8</v>
      </c>
      <c r="E144" s="5">
        <v>8.464500000000001</v>
      </c>
      <c r="F144" s="1">
        <f t="shared" si="57"/>
        <v>2.0738025000000004E-2</v>
      </c>
      <c r="G144" s="1">
        <f>LOOKUP(RIGHT(D144,5),Ref!$C$4:$C$21,Ref!$E$4:$E$21)*$G$3</f>
        <v>4</v>
      </c>
      <c r="H144" s="297">
        <f t="shared" si="56"/>
        <v>8.464500000000001</v>
      </c>
      <c r="I144" s="5">
        <f t="shared" si="56"/>
        <v>8.464500000000001</v>
      </c>
      <c r="J144" s="5">
        <f t="shared" si="56"/>
        <v>8.464500000000001</v>
      </c>
      <c r="K144" s="5">
        <f t="shared" si="56"/>
        <v>8.464500000000001</v>
      </c>
      <c r="L144" s="5">
        <f t="shared" si="56"/>
        <v>8.464500000000001</v>
      </c>
      <c r="M144" s="5">
        <f t="shared" si="55"/>
        <v>8.8659363035115142</v>
      </c>
      <c r="N144" s="5">
        <f t="shared" si="55"/>
        <v>9.1066015647898162</v>
      </c>
      <c r="O144" s="5">
        <f t="shared" si="55"/>
        <v>9.4734931334562162</v>
      </c>
      <c r="P144" s="5">
        <f t="shared" si="55"/>
        <v>10.008640846258904</v>
      </c>
      <c r="Q144" s="5">
        <f t="shared" si="55"/>
        <v>10.740954661186326</v>
      </c>
      <c r="R144" s="5">
        <f t="shared" si="55"/>
        <v>11.660192991041905</v>
      </c>
      <c r="S144" s="5">
        <f t="shared" si="55"/>
        <v>12.696750000000002</v>
      </c>
      <c r="T144" s="5">
        <f t="shared" si="55"/>
        <v>13.733307008958098</v>
      </c>
      <c r="U144" s="5">
        <f t="shared" si="55"/>
        <v>14.652545338813677</v>
      </c>
      <c r="V144" s="5">
        <f t="shared" si="55"/>
        <v>15.384859153741099</v>
      </c>
      <c r="W144" s="5">
        <f t="shared" si="55"/>
        <v>15.920006866543785</v>
      </c>
      <c r="X144" s="5">
        <f t="shared" si="55"/>
        <v>16.286898435210187</v>
      </c>
      <c r="Y144" s="5">
        <f t="shared" si="55"/>
        <v>16.527563696488489</v>
      </c>
      <c r="Z144" s="5">
        <f t="shared" si="55"/>
        <v>16.680886622805147</v>
      </c>
      <c r="AA144" s="5">
        <f t="shared" si="55"/>
        <v>16.776755725775878</v>
      </c>
      <c r="AB144" s="5">
        <f t="shared" si="55"/>
        <v>16.836001024103346</v>
      </c>
      <c r="AC144" s="5">
        <f t="shared" si="54"/>
        <v>16.872348363351392</v>
      </c>
      <c r="AD144" s="300">
        <f t="shared" si="47"/>
        <v>1.6236750078007275E-3</v>
      </c>
      <c r="AE144" s="299">
        <f t="shared" si="48"/>
        <v>1.6236750078007275E-3</v>
      </c>
      <c r="AF144" s="299">
        <f t="shared" si="60"/>
        <v>1.6236750078007275E-3</v>
      </c>
      <c r="AG144" s="299">
        <f t="shared" si="61"/>
        <v>1.6236750078007275E-3</v>
      </c>
      <c r="AH144" s="299">
        <f t="shared" si="62"/>
        <v>1.6236750078007275E-3</v>
      </c>
      <c r="AI144" s="299">
        <f t="shared" si="63"/>
        <v>1.5501574377526106E-3</v>
      </c>
      <c r="AJ144" s="299">
        <f t="shared" si="64"/>
        <v>1.5091905587116205E-3</v>
      </c>
      <c r="AK144" s="299">
        <f t="shared" si="65"/>
        <v>1.4507422879732621E-3</v>
      </c>
      <c r="AL144" s="299">
        <f t="shared" si="66"/>
        <v>1.3731731725258611E-3</v>
      </c>
      <c r="AM144" s="299">
        <f t="shared" si="67"/>
        <v>1.2795507975835079E-3</v>
      </c>
      <c r="AN144" s="299">
        <f t="shared" si="68"/>
        <v>1.1786766406086037E-3</v>
      </c>
      <c r="AO144" s="299">
        <f t="shared" si="69"/>
        <v>1.082450005200485E-3</v>
      </c>
      <c r="AP144" s="299">
        <f t="shared" si="70"/>
        <v>1.0007492801671475E-3</v>
      </c>
      <c r="AQ144" s="299">
        <f t="shared" si="71"/>
        <v>9.3796652975529989E-4</v>
      </c>
      <c r="AR144" s="299">
        <f t="shared" si="58"/>
        <v>8.9331965708553545E-4</v>
      </c>
      <c r="AS144" s="299">
        <f t="shared" si="58"/>
        <v>8.6329090299651226E-4</v>
      </c>
      <c r="AT144" s="299">
        <f t="shared" si="58"/>
        <v>8.4384372863880353E-4</v>
      </c>
      <c r="AU144" s="299">
        <f t="shared" si="58"/>
        <v>8.3155614196478813E-4</v>
      </c>
      <c r="AV144" s="299">
        <f t="shared" si="58"/>
        <v>8.2391286592283441E-4</v>
      </c>
      <c r="AW144" s="299">
        <f t="shared" si="58"/>
        <v>8.1920469774817903E-4</v>
      </c>
      <c r="AX144" s="299">
        <f t="shared" si="58"/>
        <v>8.163219450897615E-4</v>
      </c>
      <c r="AY144" s="299">
        <f t="shared" si="58"/>
        <v>8.1456337953416573E-4</v>
      </c>
      <c r="AZ144" s="298">
        <f t="shared" si="49"/>
        <v>8.9886303891100208E-2</v>
      </c>
      <c r="BA144" s="1">
        <f t="shared" si="50"/>
        <v>8.9886303891100208E-2</v>
      </c>
      <c r="BB144" s="1">
        <f t="shared" si="72"/>
        <v>8.9886303891100208E-2</v>
      </c>
      <c r="BC144" s="1">
        <f t="shared" si="73"/>
        <v>8.9886303891100208E-2</v>
      </c>
      <c r="BD144" s="1">
        <f t="shared" si="74"/>
        <v>8.9886303891100208E-2</v>
      </c>
      <c r="BE144" s="1">
        <f t="shared" si="75"/>
        <v>8.5816386813524964E-2</v>
      </c>
      <c r="BF144" s="1">
        <f t="shared" si="76"/>
        <v>8.3548469082909554E-2</v>
      </c>
      <c r="BG144" s="1">
        <f t="shared" si="77"/>
        <v>8.031278521744592E-2</v>
      </c>
      <c r="BH144" s="1">
        <f t="shared" si="78"/>
        <v>7.6018575446296532E-2</v>
      </c>
      <c r="BI144" s="1">
        <f t="shared" si="79"/>
        <v>7.0835660635977737E-2</v>
      </c>
      <c r="BJ144" s="1">
        <f t="shared" si="80"/>
        <v>6.5251288711151267E-2</v>
      </c>
      <c r="BK144" s="1">
        <f t="shared" si="81"/>
        <v>5.9924202594066805E-2</v>
      </c>
      <c r="BL144" s="1">
        <f t="shared" si="82"/>
        <v>5.5401267792959681E-2</v>
      </c>
      <c r="BM144" s="1">
        <f t="shared" si="83"/>
        <v>5.1925628052540002E-2</v>
      </c>
      <c r="BN144" s="1">
        <f t="shared" si="59"/>
        <v>4.9453986655523301E-2</v>
      </c>
      <c r="BO144" s="1">
        <f t="shared" si="59"/>
        <v>4.779160120119947E-2</v>
      </c>
      <c r="BP144" s="1">
        <f t="shared" si="59"/>
        <v>4.6715009755410125E-2</v>
      </c>
      <c r="BQ144" s="1">
        <f t="shared" si="59"/>
        <v>4.6034771564539147E-2</v>
      </c>
      <c r="BR144" s="1">
        <f t="shared" si="59"/>
        <v>4.5611641424745226E-2</v>
      </c>
      <c r="BS144" s="1">
        <f t="shared" si="59"/>
        <v>4.5350998233660636E-2</v>
      </c>
      <c r="BT144" s="1">
        <f t="shared" si="59"/>
        <v>4.519140965820527E-2</v>
      </c>
      <c r="BU144" s="1">
        <f t="shared" si="59"/>
        <v>4.5094055842211753E-2</v>
      </c>
    </row>
    <row r="145" spans="1:73" x14ac:dyDescent="0.25">
      <c r="A145" s="1" t="s">
        <v>36</v>
      </c>
      <c r="B145" s="1" t="s">
        <v>5</v>
      </c>
      <c r="C145" s="1" t="s">
        <v>9</v>
      </c>
      <c r="D145" s="1" t="s">
        <v>9</v>
      </c>
      <c r="E145" s="5">
        <v>7.8952499999999999</v>
      </c>
      <c r="F145" s="1">
        <f t="shared" si="57"/>
        <v>1.9343362500000003E-2</v>
      </c>
      <c r="G145" s="1">
        <f>LOOKUP(RIGHT(D145,5),Ref!$C$4:$C$21,Ref!$E$4:$E$21)*$G$3</f>
        <v>4.5</v>
      </c>
      <c r="H145" s="297">
        <f t="shared" si="56"/>
        <v>7.8952499999999999</v>
      </c>
      <c r="I145" s="5">
        <f t="shared" si="56"/>
        <v>7.8952499999999999</v>
      </c>
      <c r="J145" s="5">
        <f t="shared" si="56"/>
        <v>7.8952499999999999</v>
      </c>
      <c r="K145" s="5">
        <f t="shared" si="56"/>
        <v>7.8952499999999999</v>
      </c>
      <c r="L145" s="5">
        <f t="shared" si="56"/>
        <v>7.8952499999999999</v>
      </c>
      <c r="M145" s="5">
        <f t="shared" si="55"/>
        <v>8.2696891252051845</v>
      </c>
      <c r="N145" s="5">
        <f t="shared" si="55"/>
        <v>8.4941692958127231</v>
      </c>
      <c r="O145" s="5">
        <f t="shared" si="55"/>
        <v>8.836386870095124</v>
      </c>
      <c r="P145" s="5">
        <f t="shared" si="55"/>
        <v>9.3355451168321348</v>
      </c>
      <c r="Q145" s="5">
        <f t="shared" si="55"/>
        <v>10.018609757071454</v>
      </c>
      <c r="R145" s="5">
        <f t="shared" si="55"/>
        <v>10.876027965328559</v>
      </c>
      <c r="S145" s="5">
        <f t="shared" si="55"/>
        <v>11.842874999999999</v>
      </c>
      <c r="T145" s="5">
        <f t="shared" si="55"/>
        <v>12.809722034671442</v>
      </c>
      <c r="U145" s="5">
        <f t="shared" si="55"/>
        <v>13.667140242928545</v>
      </c>
      <c r="V145" s="5">
        <f t="shared" si="55"/>
        <v>14.350204883167866</v>
      </c>
      <c r="W145" s="5">
        <f t="shared" si="55"/>
        <v>14.849363129904875</v>
      </c>
      <c r="X145" s="5">
        <f t="shared" si="55"/>
        <v>15.191580704187277</v>
      </c>
      <c r="Y145" s="5">
        <f t="shared" si="55"/>
        <v>15.416060874794816</v>
      </c>
      <c r="Z145" s="5">
        <f t="shared" si="55"/>
        <v>15.559072610160355</v>
      </c>
      <c r="AA145" s="5">
        <f t="shared" si="55"/>
        <v>15.648494375796796</v>
      </c>
      <c r="AB145" s="5">
        <f t="shared" si="55"/>
        <v>15.70375534119581</v>
      </c>
      <c r="AC145" s="5">
        <f t="shared" si="54"/>
        <v>15.737658268740041</v>
      </c>
      <c r="AD145" s="300">
        <f t="shared" si="47"/>
        <v>1.7407424848521909E-3</v>
      </c>
      <c r="AE145" s="299">
        <f t="shared" si="48"/>
        <v>1.7407424848521909E-3</v>
      </c>
      <c r="AF145" s="299">
        <f t="shared" si="60"/>
        <v>1.7407424848521909E-3</v>
      </c>
      <c r="AG145" s="299">
        <f t="shared" si="61"/>
        <v>1.7407424848521909E-3</v>
      </c>
      <c r="AH145" s="299">
        <f t="shared" si="62"/>
        <v>1.7407424848521909E-3</v>
      </c>
      <c r="AI145" s="299">
        <f t="shared" si="63"/>
        <v>1.6619242749573442E-3</v>
      </c>
      <c r="AJ145" s="299">
        <f t="shared" si="64"/>
        <v>1.618003671095217E-3</v>
      </c>
      <c r="AK145" s="299">
        <f t="shared" si="65"/>
        <v>1.5553412617142813E-3</v>
      </c>
      <c r="AL145" s="299">
        <f t="shared" si="66"/>
        <v>1.4721793887267855E-3</v>
      </c>
      <c r="AM145" s="299">
        <f t="shared" si="67"/>
        <v>1.3718068112023817E-3</v>
      </c>
      <c r="AN145" s="299">
        <f t="shared" si="68"/>
        <v>1.2636595958875941E-3</v>
      </c>
      <c r="AO145" s="299">
        <f t="shared" si="69"/>
        <v>1.1604949899014607E-3</v>
      </c>
      <c r="AP145" s="299">
        <f t="shared" si="70"/>
        <v>1.0729036169817069E-3</v>
      </c>
      <c r="AQ145" s="299">
        <f t="shared" si="71"/>
        <v>1.005594210584052E-3</v>
      </c>
      <c r="AR145" s="299">
        <f t="shared" si="58"/>
        <v>9.5772828439891276E-4</v>
      </c>
      <c r="AS145" s="299">
        <f t="shared" si="58"/>
        <v>9.2553444772666834E-4</v>
      </c>
      <c r="AT145" s="299">
        <f t="shared" si="58"/>
        <v>9.0468512600147609E-4</v>
      </c>
      <c r="AU145" s="299">
        <f t="shared" si="58"/>
        <v>8.9151160047635603E-4</v>
      </c>
      <c r="AV145" s="299">
        <f t="shared" si="58"/>
        <v>8.8331724183576615E-4</v>
      </c>
      <c r="AW145" s="299">
        <f t="shared" si="58"/>
        <v>8.7826961325980339E-4</v>
      </c>
      <c r="AX145" s="299">
        <f t="shared" si="58"/>
        <v>8.7517901323102957E-4</v>
      </c>
      <c r="AY145" s="299">
        <f t="shared" si="58"/>
        <v>8.7329365454760083E-4</v>
      </c>
      <c r="AZ145" s="298">
        <f t="shared" si="49"/>
        <v>9.6367134579173272E-2</v>
      </c>
      <c r="BA145" s="1">
        <f t="shared" si="50"/>
        <v>9.6367134579173272E-2</v>
      </c>
      <c r="BB145" s="1">
        <f t="shared" si="72"/>
        <v>9.6367134579173272E-2</v>
      </c>
      <c r="BC145" s="1">
        <f t="shared" si="73"/>
        <v>9.6367134579173272E-2</v>
      </c>
      <c r="BD145" s="1">
        <f t="shared" si="74"/>
        <v>9.6367134579173272E-2</v>
      </c>
      <c r="BE145" s="1">
        <f t="shared" si="75"/>
        <v>9.2003775204468771E-2</v>
      </c>
      <c r="BF145" s="1">
        <f t="shared" si="76"/>
        <v>8.9572339894530006E-2</v>
      </c>
      <c r="BG145" s="1">
        <f t="shared" si="77"/>
        <v>8.6103362208045472E-2</v>
      </c>
      <c r="BH145" s="1">
        <f t="shared" si="78"/>
        <v>8.1499538566248961E-2</v>
      </c>
      <c r="BI145" s="1">
        <f t="shared" si="79"/>
        <v>7.5942933973367988E-2</v>
      </c>
      <c r="BJ145" s="1">
        <f t="shared" si="80"/>
        <v>6.9955927082174726E-2</v>
      </c>
      <c r="BK145" s="1">
        <f t="shared" si="81"/>
        <v>6.4244756386115515E-2</v>
      </c>
      <c r="BL145" s="1">
        <f t="shared" si="82"/>
        <v>5.9395716568000669E-2</v>
      </c>
      <c r="BM145" s="1">
        <f t="shared" si="83"/>
        <v>5.5669482112754499E-2</v>
      </c>
      <c r="BN145" s="1">
        <f t="shared" si="59"/>
        <v>5.3019634596203666E-2</v>
      </c>
      <c r="BO145" s="1">
        <f t="shared" si="59"/>
        <v>5.123739062949912E-2</v>
      </c>
      <c r="BP145" s="1">
        <f t="shared" si="59"/>
        <v>5.0083176602978889E-2</v>
      </c>
      <c r="BQ145" s="1">
        <f t="shared" si="59"/>
        <v>4.9353893025305295E-2</v>
      </c>
      <c r="BR145" s="1">
        <f t="shared" si="59"/>
        <v>4.890025506978956E-2</v>
      </c>
      <c r="BS145" s="1">
        <f t="shared" si="59"/>
        <v>4.8620819422921444E-2</v>
      </c>
      <c r="BT145" s="1">
        <f t="shared" si="59"/>
        <v>4.8449724461147974E-2</v>
      </c>
      <c r="BU145" s="1">
        <f t="shared" si="59"/>
        <v>4.8345351404502884E-2</v>
      </c>
    </row>
    <row r="146" spans="1:73" x14ac:dyDescent="0.25">
      <c r="A146" s="1" t="s">
        <v>36</v>
      </c>
      <c r="B146" s="1" t="s">
        <v>5</v>
      </c>
      <c r="C146" s="1" t="s">
        <v>10</v>
      </c>
      <c r="D146" s="1" t="s">
        <v>10</v>
      </c>
      <c r="E146" s="5">
        <v>8.4067499999999988</v>
      </c>
      <c r="F146" s="1">
        <f t="shared" si="57"/>
        <v>2.0596537499999998E-2</v>
      </c>
      <c r="G146" s="1">
        <f>LOOKUP(RIGHT(D146,5),Ref!$C$4:$C$21,Ref!$E$4:$E$21)*$G$3</f>
        <v>4.5</v>
      </c>
      <c r="H146" s="297">
        <f t="shared" si="56"/>
        <v>8.4067499999999988</v>
      </c>
      <c r="I146" s="5">
        <f t="shared" si="56"/>
        <v>8.4067499999999988</v>
      </c>
      <c r="J146" s="5">
        <f t="shared" si="56"/>
        <v>8.4067499999999988</v>
      </c>
      <c r="K146" s="5">
        <f t="shared" si="56"/>
        <v>8.4067499999999988</v>
      </c>
      <c r="L146" s="5">
        <f t="shared" si="56"/>
        <v>8.4067499999999988</v>
      </c>
      <c r="M146" s="5">
        <f t="shared" si="55"/>
        <v>8.8054474593355074</v>
      </c>
      <c r="N146" s="5">
        <f t="shared" si="55"/>
        <v>9.0444707548935863</v>
      </c>
      <c r="O146" s="5">
        <f t="shared" si="55"/>
        <v>9.4088591647094351</v>
      </c>
      <c r="P146" s="5">
        <f t="shared" si="55"/>
        <v>9.9403557722590854</v>
      </c>
      <c r="Q146" s="5">
        <f t="shared" si="55"/>
        <v>10.667673294102206</v>
      </c>
      <c r="R146" s="5">
        <f t="shared" si="55"/>
        <v>11.580640017418808</v>
      </c>
      <c r="S146" s="5">
        <f t="shared" si="55"/>
        <v>12.610124999999998</v>
      </c>
      <c r="T146" s="5">
        <f t="shared" si="55"/>
        <v>13.639609982581188</v>
      </c>
      <c r="U146" s="5">
        <f t="shared" si="55"/>
        <v>14.55257670589779</v>
      </c>
      <c r="V146" s="5">
        <f t="shared" si="55"/>
        <v>15.279894227740911</v>
      </c>
      <c r="W146" s="5">
        <f t="shared" si="55"/>
        <v>15.81139083529056</v>
      </c>
      <c r="X146" s="5">
        <f t="shared" si="55"/>
        <v>16.175779245106408</v>
      </c>
      <c r="Y146" s="5">
        <f t="shared" si="55"/>
        <v>16.414802540664489</v>
      </c>
      <c r="Z146" s="5">
        <f t="shared" si="55"/>
        <v>16.567079404131032</v>
      </c>
      <c r="AA146" s="5">
        <f t="shared" si="55"/>
        <v>16.662294429401186</v>
      </c>
      <c r="AB146" s="5">
        <f t="shared" si="55"/>
        <v>16.72113552004026</v>
      </c>
      <c r="AC146" s="5">
        <f t="shared" si="54"/>
        <v>16.757234875492266</v>
      </c>
      <c r="AD146" s="300">
        <f t="shared" si="47"/>
        <v>1.6348288106021068E-3</v>
      </c>
      <c r="AE146" s="299">
        <f t="shared" si="48"/>
        <v>1.6348288106021068E-3</v>
      </c>
      <c r="AF146" s="299">
        <f t="shared" si="60"/>
        <v>1.6348288106021068E-3</v>
      </c>
      <c r="AG146" s="299">
        <f t="shared" si="61"/>
        <v>1.6348288106021068E-3</v>
      </c>
      <c r="AH146" s="299">
        <f t="shared" si="62"/>
        <v>1.6348288106021068E-3</v>
      </c>
      <c r="AI146" s="299">
        <f t="shared" si="63"/>
        <v>1.5608062130855532E-3</v>
      </c>
      <c r="AJ146" s="299">
        <f t="shared" si="64"/>
        <v>1.5195579128931532E-3</v>
      </c>
      <c r="AK146" s="299">
        <f t="shared" si="65"/>
        <v>1.4607081329348062E-3</v>
      </c>
      <c r="AL146" s="299">
        <f t="shared" si="66"/>
        <v>1.382606158009356E-3</v>
      </c>
      <c r="AM146" s="299">
        <f t="shared" si="67"/>
        <v>1.2883406460458089E-3</v>
      </c>
      <c r="AN146" s="299">
        <f t="shared" si="68"/>
        <v>1.1867735360789281E-3</v>
      </c>
      <c r="AO146" s="299">
        <f t="shared" si="69"/>
        <v>1.0898858737347378E-3</v>
      </c>
      <c r="AP146" s="299">
        <f t="shared" si="70"/>
        <v>1.0076239072144197E-3</v>
      </c>
      <c r="AQ146" s="299">
        <f t="shared" si="71"/>
        <v>9.4440987196166629E-4</v>
      </c>
      <c r="AR146" s="299">
        <f t="shared" si="58"/>
        <v>8.9945629849829214E-4</v>
      </c>
      <c r="AS146" s="299">
        <f t="shared" si="58"/>
        <v>8.6922126248716557E-4</v>
      </c>
      <c r="AT146" s="299">
        <f t="shared" si="58"/>
        <v>8.496404961564404E-4</v>
      </c>
      <c r="AU146" s="299">
        <f t="shared" si="58"/>
        <v>8.3726850015296641E-4</v>
      </c>
      <c r="AV146" s="299">
        <f t="shared" si="58"/>
        <v>8.2957271878000827E-4</v>
      </c>
      <c r="AW146" s="299">
        <f t="shared" si="58"/>
        <v>8.2483220793879472E-4</v>
      </c>
      <c r="AX146" s="299">
        <f t="shared" si="58"/>
        <v>8.219296522689847E-4</v>
      </c>
      <c r="AY146" s="299">
        <f t="shared" si="58"/>
        <v>8.2015900628268324E-4</v>
      </c>
      <c r="AZ146" s="298">
        <f t="shared" si="49"/>
        <v>9.0503776047368825E-2</v>
      </c>
      <c r="BA146" s="1">
        <f t="shared" si="50"/>
        <v>9.0503776047368825E-2</v>
      </c>
      <c r="BB146" s="1">
        <f t="shared" si="72"/>
        <v>9.0503776047368825E-2</v>
      </c>
      <c r="BC146" s="1">
        <f t="shared" si="73"/>
        <v>9.0503776047368825E-2</v>
      </c>
      <c r="BD146" s="1">
        <f t="shared" si="74"/>
        <v>9.0503776047368825E-2</v>
      </c>
      <c r="BE146" s="1">
        <f t="shared" si="75"/>
        <v>8.6405900756306803E-2</v>
      </c>
      <c r="BF146" s="1">
        <f t="shared" si="76"/>
        <v>8.412240361046637E-2</v>
      </c>
      <c r="BG146" s="1">
        <f t="shared" si="77"/>
        <v>8.0864492279783651E-2</v>
      </c>
      <c r="BH146" s="1">
        <f t="shared" si="78"/>
        <v>7.6540783521001243E-2</v>
      </c>
      <c r="BI146" s="1">
        <f t="shared" si="79"/>
        <v>7.1322264781661593E-2</v>
      </c>
      <c r="BJ146" s="1">
        <f t="shared" si="80"/>
        <v>6.5699531126242605E-2</v>
      </c>
      <c r="BK146" s="1">
        <f t="shared" si="81"/>
        <v>6.0335850698245881E-2</v>
      </c>
      <c r="BL146" s="1">
        <f t="shared" si="82"/>
        <v>5.5781845687513883E-2</v>
      </c>
      <c r="BM146" s="1">
        <f t="shared" si="83"/>
        <v>5.2282330109819489E-2</v>
      </c>
      <c r="BN146" s="1">
        <f t="shared" si="59"/>
        <v>4.9793709821949875E-2</v>
      </c>
      <c r="BO146" s="1">
        <f t="shared" si="59"/>
        <v>4.8119904644191032E-2</v>
      </c>
      <c r="BP146" s="1">
        <f t="shared" si="59"/>
        <v>4.7035917575123459E-2</v>
      </c>
      <c r="BQ146" s="1">
        <f t="shared" si="59"/>
        <v>4.6351006501685159E-2</v>
      </c>
      <c r="BR146" s="1">
        <f t="shared" si="59"/>
        <v>4.5924969677908357E-2</v>
      </c>
      <c r="BS146" s="1">
        <f t="shared" si="59"/>
        <v>4.5662536003666161E-2</v>
      </c>
      <c r="BT146" s="1">
        <f t="shared" si="59"/>
        <v>4.5501851137702269E-2</v>
      </c>
      <c r="BU146" s="1">
        <f t="shared" si="59"/>
        <v>4.5403828551628334E-2</v>
      </c>
    </row>
    <row r="147" spans="1:73" x14ac:dyDescent="0.25">
      <c r="A147" s="1" t="s">
        <v>36</v>
      </c>
      <c r="B147" s="1" t="s">
        <v>5</v>
      </c>
      <c r="C147" s="1" t="s">
        <v>11</v>
      </c>
      <c r="D147" s="1" t="s">
        <v>11</v>
      </c>
      <c r="E147" s="5">
        <v>9.0502500000000001</v>
      </c>
      <c r="F147" s="1">
        <f t="shared" si="57"/>
        <v>2.2173112499999998E-2</v>
      </c>
      <c r="G147" s="1">
        <f>LOOKUP(RIGHT(D147,5),Ref!$C$4:$C$21,Ref!$E$4:$E$21)*$G$3</f>
        <v>4.5</v>
      </c>
      <c r="H147" s="297">
        <f t="shared" si="56"/>
        <v>9.0502500000000001</v>
      </c>
      <c r="I147" s="5">
        <f t="shared" si="56"/>
        <v>9.0502500000000001</v>
      </c>
      <c r="J147" s="5">
        <f t="shared" si="56"/>
        <v>9.0502500000000001</v>
      </c>
      <c r="K147" s="5">
        <f t="shared" si="56"/>
        <v>9.0502500000000001</v>
      </c>
      <c r="L147" s="5">
        <f t="shared" si="56"/>
        <v>9.0502500000000001</v>
      </c>
      <c r="M147" s="5">
        <f t="shared" si="55"/>
        <v>9.4794660087252733</v>
      </c>
      <c r="N147" s="5">
        <f t="shared" si="55"/>
        <v>9.7367854937372584</v>
      </c>
      <c r="O147" s="5">
        <f t="shared" si="55"/>
        <v>10.129066245030669</v>
      </c>
      <c r="P147" s="5">
        <f t="shared" si="55"/>
        <v>10.701246596828478</v>
      </c>
      <c r="Q147" s="5">
        <f t="shared" si="55"/>
        <v>11.4842370987538</v>
      </c>
      <c r="R147" s="5">
        <f t="shared" si="55"/>
        <v>12.467087437790417</v>
      </c>
      <c r="S147" s="5">
        <f t="shared" si="55"/>
        <v>13.575375000000001</v>
      </c>
      <c r="T147" s="5">
        <f t="shared" si="55"/>
        <v>14.683662562209584</v>
      </c>
      <c r="U147" s="5">
        <f t="shared" si="55"/>
        <v>15.6665129012462</v>
      </c>
      <c r="V147" s="5">
        <f t="shared" si="55"/>
        <v>16.449503403171523</v>
      </c>
      <c r="W147" s="5">
        <f t="shared" si="55"/>
        <v>17.021683754969327</v>
      </c>
      <c r="X147" s="5">
        <f t="shared" si="55"/>
        <v>17.41396450626274</v>
      </c>
      <c r="Y147" s="5">
        <f t="shared" si="55"/>
        <v>17.671283991274727</v>
      </c>
      <c r="Z147" s="5">
        <f t="shared" si="55"/>
        <v>17.835216983642539</v>
      </c>
      <c r="AA147" s="5">
        <f t="shared" si="55"/>
        <v>17.937720303290583</v>
      </c>
      <c r="AB147" s="5">
        <f t="shared" si="55"/>
        <v>18.001065422457476</v>
      </c>
      <c r="AC147" s="5">
        <f t="shared" si="54"/>
        <v>18.039928025922492</v>
      </c>
      <c r="AD147" s="300">
        <f t="shared" si="47"/>
        <v>1.5185875642694136E-3</v>
      </c>
      <c r="AE147" s="299">
        <f t="shared" si="48"/>
        <v>1.5185875642694136E-3</v>
      </c>
      <c r="AF147" s="299">
        <f t="shared" si="60"/>
        <v>1.5185875642694136E-3</v>
      </c>
      <c r="AG147" s="299">
        <f t="shared" si="61"/>
        <v>1.5185875642694136E-3</v>
      </c>
      <c r="AH147" s="299">
        <f t="shared" si="62"/>
        <v>1.5185875642694136E-3</v>
      </c>
      <c r="AI147" s="299">
        <f t="shared" si="63"/>
        <v>1.449828196111375E-3</v>
      </c>
      <c r="AJ147" s="299">
        <f t="shared" si="64"/>
        <v>1.4115127741459643E-3</v>
      </c>
      <c r="AK147" s="299">
        <f t="shared" si="65"/>
        <v>1.3568473905748106E-3</v>
      </c>
      <c r="AL147" s="299">
        <f t="shared" si="66"/>
        <v>1.2842987010132484E-3</v>
      </c>
      <c r="AM147" s="299">
        <f t="shared" si="67"/>
        <v>1.196735750520218E-3</v>
      </c>
      <c r="AN147" s="299">
        <f t="shared" si="68"/>
        <v>1.1023903676065886E-3</v>
      </c>
      <c r="AO147" s="299">
        <f t="shared" si="69"/>
        <v>1.0123917095129422E-3</v>
      </c>
      <c r="AP147" s="299">
        <f t="shared" si="70"/>
        <v>9.3597881627301139E-4</v>
      </c>
      <c r="AQ147" s="299">
        <f t="shared" si="71"/>
        <v>8.772594890874547E-4</v>
      </c>
      <c r="AR147" s="299">
        <f t="shared" si="58"/>
        <v>8.3550224992685461E-4</v>
      </c>
      <c r="AS147" s="299">
        <f t="shared" si="58"/>
        <v>8.0741701592928138E-4</v>
      </c>
      <c r="AT147" s="299">
        <f t="shared" si="58"/>
        <v>7.8922850098761413E-4</v>
      </c>
      <c r="AU147" s="299">
        <f t="shared" si="58"/>
        <v>7.7773619111747743E-4</v>
      </c>
      <c r="AV147" s="299">
        <f t="shared" si="58"/>
        <v>7.7058760295061824E-4</v>
      </c>
      <c r="AW147" s="299">
        <f t="shared" si="58"/>
        <v>7.6618415669063968E-4</v>
      </c>
      <c r="AX147" s="299">
        <f t="shared" si="58"/>
        <v>7.634879814604333E-4</v>
      </c>
      <c r="AY147" s="299">
        <f t="shared" si="58"/>
        <v>7.6184323373022246E-4</v>
      </c>
      <c r="AZ147" s="298">
        <f t="shared" si="49"/>
        <v>8.406868531656228E-2</v>
      </c>
      <c r="BA147" s="1">
        <f t="shared" si="50"/>
        <v>8.406868531656228E-2</v>
      </c>
      <c r="BB147" s="1">
        <f t="shared" si="72"/>
        <v>8.406868531656228E-2</v>
      </c>
      <c r="BC147" s="1">
        <f t="shared" si="73"/>
        <v>8.406868531656228E-2</v>
      </c>
      <c r="BD147" s="1">
        <f t="shared" si="74"/>
        <v>8.406868531656228E-2</v>
      </c>
      <c r="BE147" s="1">
        <f t="shared" si="75"/>
        <v>8.0262181285940398E-2</v>
      </c>
      <c r="BF147" s="1">
        <f t="shared" si="76"/>
        <v>7.8141047656394916E-2</v>
      </c>
      <c r="BG147" s="1">
        <f t="shared" si="77"/>
        <v>7.5114783621786266E-2</v>
      </c>
      <c r="BH147" s="1">
        <f t="shared" si="78"/>
        <v>7.1098503562352103E-2</v>
      </c>
      <c r="BI147" s="1">
        <f t="shared" si="79"/>
        <v>6.625103720374946E-2</v>
      </c>
      <c r="BJ147" s="1">
        <f t="shared" si="80"/>
        <v>6.1028096825561727E-2</v>
      </c>
      <c r="BK147" s="1">
        <f t="shared" si="81"/>
        <v>5.6045790211041516E-2</v>
      </c>
      <c r="BL147" s="1">
        <f t="shared" si="82"/>
        <v>5.1815588655949534E-2</v>
      </c>
      <c r="BM147" s="1">
        <f t="shared" si="83"/>
        <v>4.856489916308665E-2</v>
      </c>
      <c r="BN147" s="1">
        <f t="shared" si="59"/>
        <v>4.6253227263962547E-2</v>
      </c>
      <c r="BO147" s="1">
        <f t="shared" si="59"/>
        <v>4.4698434669490118E-2</v>
      </c>
      <c r="BP147" s="1">
        <f t="shared" si="59"/>
        <v>4.3691522341887688E-2</v>
      </c>
      <c r="BQ147" s="1">
        <f t="shared" si="59"/>
        <v>4.3055310506123219E-2</v>
      </c>
      <c r="BR147" s="1">
        <f t="shared" si="59"/>
        <v>4.2659566182122702E-2</v>
      </c>
      <c r="BS147" s="1">
        <f t="shared" si="59"/>
        <v>4.2415792331573207E-2</v>
      </c>
      <c r="BT147" s="1">
        <f t="shared" si="59"/>
        <v>4.2266532642952243E-2</v>
      </c>
      <c r="BU147" s="1">
        <f t="shared" si="59"/>
        <v>4.2175479757620107E-2</v>
      </c>
    </row>
    <row r="148" spans="1:73" x14ac:dyDescent="0.25">
      <c r="A148" s="1" t="s">
        <v>37</v>
      </c>
      <c r="B148" s="1" t="s">
        <v>5</v>
      </c>
      <c r="C148" s="1" t="s">
        <v>13</v>
      </c>
      <c r="D148" s="1" t="s">
        <v>13</v>
      </c>
      <c r="E148" s="5">
        <v>7.7220000000000004</v>
      </c>
      <c r="F148" s="1">
        <f t="shared" si="57"/>
        <v>1.8918900000000002E-2</v>
      </c>
      <c r="G148" s="1">
        <f>LOOKUP(RIGHT(D148,5),Ref!$C$4:$C$21,Ref!$E$4:$E$21)*$G$3</f>
        <v>1.5</v>
      </c>
      <c r="H148" s="297">
        <f t="shared" si="56"/>
        <v>7.7220000000000004</v>
      </c>
      <c r="I148" s="5">
        <f t="shared" si="56"/>
        <v>7.7220000000000004</v>
      </c>
      <c r="J148" s="5">
        <f t="shared" si="56"/>
        <v>7.7220000000000004</v>
      </c>
      <c r="K148" s="5">
        <f t="shared" si="56"/>
        <v>7.7220000000000004</v>
      </c>
      <c r="L148" s="5">
        <f t="shared" si="56"/>
        <v>7.7220000000000004</v>
      </c>
      <c r="M148" s="5">
        <f t="shared" si="55"/>
        <v>8.0882225926771714</v>
      </c>
      <c r="N148" s="5">
        <f t="shared" si="55"/>
        <v>8.3077768661240423</v>
      </c>
      <c r="O148" s="5">
        <f t="shared" si="55"/>
        <v>8.6424849638547929</v>
      </c>
      <c r="P148" s="5">
        <f t="shared" si="55"/>
        <v>9.1306898948326847</v>
      </c>
      <c r="Q148" s="5">
        <f t="shared" si="55"/>
        <v>9.7987656558191034</v>
      </c>
      <c r="R148" s="5">
        <f t="shared" si="55"/>
        <v>10.63736904445928</v>
      </c>
      <c r="S148" s="5">
        <f t="shared" si="55"/>
        <v>11.583</v>
      </c>
      <c r="T148" s="5">
        <f t="shared" si="55"/>
        <v>12.528630955540722</v>
      </c>
      <c r="U148" s="5">
        <f t="shared" si="55"/>
        <v>13.367234344180897</v>
      </c>
      <c r="V148" s="5">
        <f t="shared" si="55"/>
        <v>14.035310105167317</v>
      </c>
      <c r="W148" s="5">
        <f t="shared" si="55"/>
        <v>14.523515036145207</v>
      </c>
      <c r="X148" s="5">
        <f t="shared" si="55"/>
        <v>14.858223133875958</v>
      </c>
      <c r="Y148" s="5">
        <f t="shared" si="55"/>
        <v>15.077777407322831</v>
      </c>
      <c r="Z148" s="5">
        <f t="shared" si="55"/>
        <v>15.217650954138028</v>
      </c>
      <c r="AA148" s="5">
        <f t="shared" si="55"/>
        <v>15.30511048667273</v>
      </c>
      <c r="AB148" s="5">
        <f t="shared" ref="AB148:AC163" si="84">AB$3*$E148</f>
        <v>15.359158829006562</v>
      </c>
      <c r="AC148" s="5">
        <f t="shared" si="84"/>
        <v>15.392317805162675</v>
      </c>
      <c r="AD148" s="300">
        <f t="shared" si="47"/>
        <v>1.7797976047046436E-3</v>
      </c>
      <c r="AE148" s="299">
        <f t="shared" si="48"/>
        <v>1.7797976047046436E-3</v>
      </c>
      <c r="AF148" s="299">
        <f t="shared" si="60"/>
        <v>1.7797976047046436E-3</v>
      </c>
      <c r="AG148" s="299">
        <f t="shared" si="61"/>
        <v>1.7797976047046436E-3</v>
      </c>
      <c r="AH148" s="299">
        <f t="shared" si="62"/>
        <v>1.7797976047046436E-3</v>
      </c>
      <c r="AI148" s="299">
        <f t="shared" si="63"/>
        <v>1.6992110375365153E-3</v>
      </c>
      <c r="AJ148" s="299">
        <f t="shared" si="64"/>
        <v>1.6543050355108148E-3</v>
      </c>
      <c r="AK148" s="299">
        <f t="shared" si="65"/>
        <v>1.5902367387399222E-3</v>
      </c>
      <c r="AL148" s="299">
        <f t="shared" si="66"/>
        <v>1.5052090544995017E-3</v>
      </c>
      <c r="AM148" s="299">
        <f t="shared" si="67"/>
        <v>1.4025845281203837E-3</v>
      </c>
      <c r="AN148" s="299">
        <f t="shared" si="68"/>
        <v>1.2920109329748158E-3</v>
      </c>
      <c r="AO148" s="299">
        <f t="shared" si="69"/>
        <v>1.1865317364697626E-3</v>
      </c>
      <c r="AP148" s="299">
        <f t="shared" si="70"/>
        <v>1.0969751724909118E-3</v>
      </c>
      <c r="AQ148" s="299">
        <f t="shared" si="71"/>
        <v>1.028155619154848E-3</v>
      </c>
      <c r="AR148" s="299">
        <f t="shared" si="58"/>
        <v>9.7921577795914466E-4</v>
      </c>
      <c r="AS148" s="299">
        <f t="shared" si="58"/>
        <v>9.462996436692538E-4</v>
      </c>
      <c r="AT148" s="299">
        <f t="shared" si="58"/>
        <v>9.2498254870022716E-4</v>
      </c>
      <c r="AU148" s="299">
        <f t="shared" si="58"/>
        <v>9.1151346330755625E-4</v>
      </c>
      <c r="AV148" s="299">
        <f t="shared" si="58"/>
        <v>9.031352568769532E-4</v>
      </c>
      <c r="AW148" s="299">
        <f t="shared" si="58"/>
        <v>8.9797438022396554E-4</v>
      </c>
      <c r="AX148" s="299">
        <f t="shared" si="58"/>
        <v>8.9481443980993084E-4</v>
      </c>
      <c r="AY148" s="299">
        <f t="shared" si="58"/>
        <v>8.9288678141245077E-4</v>
      </c>
      <c r="AZ148" s="298">
        <f t="shared" si="49"/>
        <v>9.8529217726782928E-2</v>
      </c>
      <c r="BA148" s="1">
        <f t="shared" si="50"/>
        <v>9.8529217726782928E-2</v>
      </c>
      <c r="BB148" s="1">
        <f t="shared" si="72"/>
        <v>9.8529217726782928E-2</v>
      </c>
      <c r="BC148" s="1">
        <f t="shared" si="73"/>
        <v>9.8529217726782928E-2</v>
      </c>
      <c r="BD148" s="1">
        <f t="shared" si="74"/>
        <v>9.8529217726782928E-2</v>
      </c>
      <c r="BE148" s="1">
        <f t="shared" si="75"/>
        <v>9.4067962468671593E-2</v>
      </c>
      <c r="BF148" s="1">
        <f t="shared" si="76"/>
        <v>9.158197572549702E-2</v>
      </c>
      <c r="BG148" s="1">
        <f t="shared" si="77"/>
        <v>8.8035168411431108E-2</v>
      </c>
      <c r="BH148" s="1">
        <f t="shared" si="78"/>
        <v>8.3328053854594283E-2</v>
      </c>
      <c r="BI148" s="1">
        <f t="shared" si="79"/>
        <v>7.7646781850975594E-2</v>
      </c>
      <c r="BJ148" s="1">
        <f t="shared" si="80"/>
        <v>7.152545108722351E-2</v>
      </c>
      <c r="BK148" s="1">
        <f t="shared" si="81"/>
        <v>6.5686145151188619E-2</v>
      </c>
      <c r="BL148" s="1">
        <f t="shared" si="82"/>
        <v>6.0728312773051955E-2</v>
      </c>
      <c r="BM148" s="1">
        <f t="shared" si="83"/>
        <v>5.6918476903745782E-2</v>
      </c>
      <c r="BN148" s="1">
        <f t="shared" si="59"/>
        <v>5.4209177680092847E-2</v>
      </c>
      <c r="BO148" s="1">
        <f t="shared" si="59"/>
        <v>5.2386947470545571E-2</v>
      </c>
      <c r="BP148" s="1">
        <f t="shared" si="59"/>
        <v>5.120683761650726E-2</v>
      </c>
      <c r="BQ148" s="1">
        <f t="shared" si="59"/>
        <v>5.04611919072833E-2</v>
      </c>
      <c r="BR148" s="1">
        <f t="shared" si="59"/>
        <v>4.9997376177124582E-2</v>
      </c>
      <c r="BS148" s="1">
        <f t="shared" si="59"/>
        <v>4.9711671140743388E-2</v>
      </c>
      <c r="BT148" s="1">
        <f t="shared" si="59"/>
        <v>4.9536737509955776E-2</v>
      </c>
      <c r="BU148" s="1">
        <f t="shared" si="59"/>
        <v>4.943002275011673E-2</v>
      </c>
    </row>
    <row r="149" spans="1:73" x14ac:dyDescent="0.25">
      <c r="A149" s="1" t="s">
        <v>37</v>
      </c>
      <c r="B149" s="1" t="s">
        <v>5</v>
      </c>
      <c r="C149" s="1" t="s">
        <v>14</v>
      </c>
      <c r="D149" s="1" t="s">
        <v>14</v>
      </c>
      <c r="E149" s="5">
        <v>8.3737499999999994</v>
      </c>
      <c r="F149" s="1">
        <f t="shared" si="57"/>
        <v>2.0515687499999997E-2</v>
      </c>
      <c r="G149" s="1">
        <f>LOOKUP(RIGHT(D149,5),Ref!$C$4:$C$21,Ref!$E$4:$E$21)*$G$3</f>
        <v>2</v>
      </c>
      <c r="H149" s="297">
        <f t="shared" si="56"/>
        <v>8.3737499999999994</v>
      </c>
      <c r="I149" s="5">
        <f t="shared" si="56"/>
        <v>8.3737499999999994</v>
      </c>
      <c r="J149" s="5">
        <f t="shared" si="56"/>
        <v>8.3737499999999994</v>
      </c>
      <c r="K149" s="5">
        <f t="shared" si="56"/>
        <v>8.3737499999999994</v>
      </c>
      <c r="L149" s="5">
        <f t="shared" si="56"/>
        <v>8.3737499999999994</v>
      </c>
      <c r="M149" s="5">
        <f t="shared" ref="M149:AB164" si="85">M$3*$E149</f>
        <v>8.7708824055206485</v>
      </c>
      <c r="N149" s="5">
        <f t="shared" si="85"/>
        <v>9.0089674349528863</v>
      </c>
      <c r="O149" s="5">
        <f t="shared" si="85"/>
        <v>9.371925468282706</v>
      </c>
      <c r="P149" s="5">
        <f t="shared" si="85"/>
        <v>9.901335729973475</v>
      </c>
      <c r="Q149" s="5">
        <f t="shared" si="85"/>
        <v>10.625798227196997</v>
      </c>
      <c r="R149" s="5">
        <f t="shared" si="85"/>
        <v>11.53518117534847</v>
      </c>
      <c r="S149" s="5">
        <f t="shared" si="85"/>
        <v>12.560624999999998</v>
      </c>
      <c r="T149" s="5">
        <f t="shared" si="85"/>
        <v>13.586068824651528</v>
      </c>
      <c r="U149" s="5">
        <f t="shared" si="85"/>
        <v>14.495451772803001</v>
      </c>
      <c r="V149" s="5">
        <f t="shared" si="85"/>
        <v>15.219914270026523</v>
      </c>
      <c r="W149" s="5">
        <f t="shared" si="85"/>
        <v>15.74932453171729</v>
      </c>
      <c r="X149" s="5">
        <f t="shared" si="85"/>
        <v>16.11228256504711</v>
      </c>
      <c r="Y149" s="5">
        <f t="shared" si="85"/>
        <v>16.350367594479348</v>
      </c>
      <c r="Z149" s="5">
        <f t="shared" si="85"/>
        <v>16.50204670774583</v>
      </c>
      <c r="AA149" s="5">
        <f t="shared" si="85"/>
        <v>16.596887974329935</v>
      </c>
      <c r="AB149" s="5">
        <f t="shared" si="85"/>
        <v>16.65549808914707</v>
      </c>
      <c r="AC149" s="5">
        <f t="shared" si="84"/>
        <v>16.691455739572771</v>
      </c>
      <c r="AD149" s="300">
        <f t="shared" si="47"/>
        <v>1.6412714857177799E-3</v>
      </c>
      <c r="AE149" s="299">
        <f t="shared" si="48"/>
        <v>1.6412714857177799E-3</v>
      </c>
      <c r="AF149" s="299">
        <f t="shared" si="60"/>
        <v>1.6412714857177799E-3</v>
      </c>
      <c r="AG149" s="299">
        <f t="shared" si="61"/>
        <v>1.6412714857177799E-3</v>
      </c>
      <c r="AH149" s="299">
        <f t="shared" si="62"/>
        <v>1.6412714857177799E-3</v>
      </c>
      <c r="AI149" s="299">
        <f t="shared" si="63"/>
        <v>1.5669571735312106E-3</v>
      </c>
      <c r="AJ149" s="299">
        <f t="shared" si="64"/>
        <v>1.5255463184612049E-3</v>
      </c>
      <c r="AK149" s="299">
        <f t="shared" si="65"/>
        <v>1.4664646181877512E-3</v>
      </c>
      <c r="AL149" s="299">
        <f t="shared" si="66"/>
        <v>1.3880548522281122E-3</v>
      </c>
      <c r="AM149" s="299">
        <f t="shared" si="67"/>
        <v>1.2934178505622457E-3</v>
      </c>
      <c r="AN149" s="299">
        <f t="shared" si="68"/>
        <v>1.191450476122589E-3</v>
      </c>
      <c r="AO149" s="299">
        <f t="shared" si="69"/>
        <v>1.0941809904785201E-3</v>
      </c>
      <c r="AP149" s="299">
        <f t="shared" si="70"/>
        <v>1.0115948388684667E-3</v>
      </c>
      <c r="AQ149" s="299">
        <f t="shared" si="71"/>
        <v>9.4813168426496344E-4</v>
      </c>
      <c r="AR149" s="299">
        <f t="shared" si="58"/>
        <v>9.0300095386183202E-4</v>
      </c>
      <c r="AS149" s="299">
        <f t="shared" si="58"/>
        <v>8.7264676499943026E-4</v>
      </c>
      <c r="AT149" s="299">
        <f t="shared" si="58"/>
        <v>8.5298883308710608E-4</v>
      </c>
      <c r="AU149" s="299">
        <f t="shared" si="58"/>
        <v>8.4056808044913583E-4</v>
      </c>
      <c r="AV149" s="299">
        <f t="shared" si="58"/>
        <v>8.3284197087372242E-4</v>
      </c>
      <c r="AW149" s="299">
        <f t="shared" si="58"/>
        <v>8.2808277821638603E-4</v>
      </c>
      <c r="AX149" s="299">
        <f t="shared" si="58"/>
        <v>8.2516878390354227E-4</v>
      </c>
      <c r="AY149" s="299">
        <f t="shared" si="58"/>
        <v>8.2339116000202371E-4</v>
      </c>
      <c r="AZ149" s="298">
        <f t="shared" si="49"/>
        <v>9.0860441174649087E-2</v>
      </c>
      <c r="BA149" s="1">
        <f t="shared" si="50"/>
        <v>9.0860441174649087E-2</v>
      </c>
      <c r="BB149" s="1">
        <f t="shared" si="72"/>
        <v>9.0860441174649087E-2</v>
      </c>
      <c r="BC149" s="1">
        <f t="shared" si="73"/>
        <v>9.0860441174649087E-2</v>
      </c>
      <c r="BD149" s="1">
        <f t="shared" si="74"/>
        <v>9.0860441174649087E-2</v>
      </c>
      <c r="BE149" s="1">
        <f t="shared" si="75"/>
        <v>8.6746416621356279E-2</v>
      </c>
      <c r="BF149" s="1">
        <f t="shared" si="76"/>
        <v>8.4453920471985439E-2</v>
      </c>
      <c r="BG149" s="1">
        <f t="shared" si="77"/>
        <v>8.1183170081871467E-2</v>
      </c>
      <c r="BH149" s="1">
        <f t="shared" si="78"/>
        <v>7.6842422076749031E-2</v>
      </c>
      <c r="BI149" s="1">
        <f t="shared" si="79"/>
        <v>7.1603337746318385E-2</v>
      </c>
      <c r="BJ149" s="1">
        <f t="shared" si="80"/>
        <v>6.5958445534621893E-2</v>
      </c>
      <c r="BK149" s="1">
        <f t="shared" si="81"/>
        <v>6.0573627449766063E-2</v>
      </c>
      <c r="BL149" s="1">
        <f t="shared" si="82"/>
        <v>5.6001675621257775E-2</v>
      </c>
      <c r="BM149" s="1">
        <f t="shared" si="83"/>
        <v>5.2488368849168528E-2</v>
      </c>
      <c r="BN149" s="1">
        <f t="shared" si="59"/>
        <v>4.9989941190706315E-2</v>
      </c>
      <c r="BO149" s="1">
        <f t="shared" si="59"/>
        <v>4.8309539736384889E-2</v>
      </c>
      <c r="BP149" s="1">
        <f t="shared" si="59"/>
        <v>4.7221280797094388E-2</v>
      </c>
      <c r="BQ149" s="1">
        <f t="shared" si="59"/>
        <v>4.653367056671643E-2</v>
      </c>
      <c r="BR149" s="1">
        <f t="shared" si="59"/>
        <v>4.6105954780087305E-2</v>
      </c>
      <c r="BS149" s="1">
        <f t="shared" si="59"/>
        <v>4.5842486884468785E-2</v>
      </c>
      <c r="BT149" s="1">
        <f t="shared" si="59"/>
        <v>4.5681168777653804E-2</v>
      </c>
      <c r="BU149" s="1">
        <f t="shared" si="59"/>
        <v>4.5582759895674146E-2</v>
      </c>
    </row>
    <row r="150" spans="1:73" x14ac:dyDescent="0.25">
      <c r="A150" s="1" t="s">
        <v>37</v>
      </c>
      <c r="B150" s="1" t="s">
        <v>5</v>
      </c>
      <c r="C150" s="1" t="s">
        <v>15</v>
      </c>
      <c r="D150" s="1" t="s">
        <v>15</v>
      </c>
      <c r="E150" s="5">
        <v>7.5652500000000007</v>
      </c>
      <c r="F150" s="1">
        <f t="shared" si="57"/>
        <v>1.8534862500000002E-2</v>
      </c>
      <c r="G150" s="1">
        <f>LOOKUP(RIGHT(D150,5),Ref!$C$4:$C$21,Ref!$E$4:$E$21)*$G$3</f>
        <v>2.5</v>
      </c>
      <c r="H150" s="297">
        <f t="shared" ref="H150:L165" si="86">$E150</f>
        <v>7.5652500000000007</v>
      </c>
      <c r="I150" s="5">
        <f t="shared" si="86"/>
        <v>7.5652500000000007</v>
      </c>
      <c r="J150" s="5">
        <f t="shared" si="86"/>
        <v>7.5652500000000007</v>
      </c>
      <c r="K150" s="5">
        <f t="shared" si="86"/>
        <v>7.5652500000000007</v>
      </c>
      <c r="L150" s="5">
        <f t="shared" si="86"/>
        <v>7.5652500000000007</v>
      </c>
      <c r="M150" s="5">
        <f t="shared" si="85"/>
        <v>7.9240385870565877</v>
      </c>
      <c r="N150" s="5">
        <f t="shared" si="85"/>
        <v>8.1391360964057125</v>
      </c>
      <c r="O150" s="5">
        <f t="shared" si="85"/>
        <v>8.4670499058278264</v>
      </c>
      <c r="P150" s="5">
        <f t="shared" si="85"/>
        <v>8.9453446939760379</v>
      </c>
      <c r="Q150" s="5">
        <f t="shared" si="85"/>
        <v>9.5998590880193575</v>
      </c>
      <c r="R150" s="5">
        <f t="shared" si="85"/>
        <v>10.421439544625171</v>
      </c>
      <c r="S150" s="5">
        <f t="shared" si="85"/>
        <v>11.347875000000002</v>
      </c>
      <c r="T150" s="5">
        <f t="shared" si="85"/>
        <v>12.274310455374831</v>
      </c>
      <c r="U150" s="5">
        <f t="shared" si="85"/>
        <v>13.095890911980645</v>
      </c>
      <c r="V150" s="5">
        <f t="shared" si="85"/>
        <v>13.750405306023964</v>
      </c>
      <c r="W150" s="5">
        <f t="shared" si="85"/>
        <v>14.228700094172174</v>
      </c>
      <c r="X150" s="5">
        <f t="shared" si="85"/>
        <v>14.55661390359429</v>
      </c>
      <c r="Y150" s="5">
        <f t="shared" si="85"/>
        <v>14.771711412943414</v>
      </c>
      <c r="Z150" s="5">
        <f t="shared" si="85"/>
        <v>14.908745646308304</v>
      </c>
      <c r="AA150" s="5">
        <f t="shared" si="85"/>
        <v>14.994429825084289</v>
      </c>
      <c r="AB150" s="5">
        <f t="shared" si="85"/>
        <v>15.047381032263907</v>
      </c>
      <c r="AC150" s="5">
        <f t="shared" si="84"/>
        <v>15.079866909545057</v>
      </c>
      <c r="AD150" s="300">
        <f t="shared" si="47"/>
        <v>1.8166745452601379E-3</v>
      </c>
      <c r="AE150" s="299">
        <f t="shared" si="48"/>
        <v>1.8166745452601379E-3</v>
      </c>
      <c r="AF150" s="299">
        <f t="shared" si="60"/>
        <v>1.8166745452601379E-3</v>
      </c>
      <c r="AG150" s="299">
        <f t="shared" si="61"/>
        <v>1.8166745452601379E-3</v>
      </c>
      <c r="AH150" s="299">
        <f t="shared" si="62"/>
        <v>1.8166745452601379E-3</v>
      </c>
      <c r="AI150" s="299">
        <f t="shared" si="63"/>
        <v>1.7344182455116448E-3</v>
      </c>
      <c r="AJ150" s="299">
        <f t="shared" si="64"/>
        <v>1.6885818028769058E-3</v>
      </c>
      <c r="AK150" s="299">
        <f t="shared" si="65"/>
        <v>1.6231860277650676E-3</v>
      </c>
      <c r="AL150" s="299">
        <f t="shared" si="66"/>
        <v>1.5363965921608872E-3</v>
      </c>
      <c r="AM150" s="299">
        <f t="shared" si="67"/>
        <v>1.4316457124543937E-3</v>
      </c>
      <c r="AN150" s="299">
        <f t="shared" si="68"/>
        <v>1.318781061357064E-3</v>
      </c>
      <c r="AO150" s="299">
        <f t="shared" si="69"/>
        <v>1.2111163635067585E-3</v>
      </c>
      <c r="AP150" s="299">
        <f t="shared" si="70"/>
        <v>1.1197042109612795E-3</v>
      </c>
      <c r="AQ150" s="299">
        <f t="shared" si="71"/>
        <v>1.0494587344917533E-3</v>
      </c>
      <c r="AR150" s="299">
        <f t="shared" si="58"/>
        <v>9.9950487259515739E-4</v>
      </c>
      <c r="AS150" s="299">
        <f t="shared" si="58"/>
        <v>9.6590672461768984E-4</v>
      </c>
      <c r="AT150" s="299">
        <f t="shared" si="58"/>
        <v>9.4414794502007901E-4</v>
      </c>
      <c r="AU150" s="299">
        <f t="shared" si="58"/>
        <v>9.3039978370324167E-4</v>
      </c>
      <c r="AV150" s="299">
        <f t="shared" si="58"/>
        <v>9.2184798302816587E-4</v>
      </c>
      <c r="AW150" s="299">
        <f t="shared" si="58"/>
        <v>9.1658017436164845E-4</v>
      </c>
      <c r="AX150" s="299">
        <f t="shared" si="58"/>
        <v>9.1335476080926423E-4</v>
      </c>
      <c r="AY150" s="299">
        <f t="shared" si="58"/>
        <v>9.1138716183430089E-4</v>
      </c>
      <c r="AZ150" s="298">
        <f t="shared" si="49"/>
        <v>0.10057071733071844</v>
      </c>
      <c r="BA150" s="1">
        <f t="shared" si="50"/>
        <v>0.10057071733071844</v>
      </c>
      <c r="BB150" s="1">
        <f t="shared" si="72"/>
        <v>0.10057071733071844</v>
      </c>
      <c r="BC150" s="1">
        <f t="shared" si="73"/>
        <v>0.10057071733071844</v>
      </c>
      <c r="BD150" s="1">
        <f t="shared" si="74"/>
        <v>0.10057071733071844</v>
      </c>
      <c r="BE150" s="1">
        <f t="shared" si="75"/>
        <v>9.6017026031272198E-2</v>
      </c>
      <c r="BF150" s="1">
        <f t="shared" si="76"/>
        <v>9.3479530293418989E-2</v>
      </c>
      <c r="BG150" s="1">
        <f t="shared" si="77"/>
        <v>8.985923406008671E-2</v>
      </c>
      <c r="BH150" s="1">
        <f t="shared" si="78"/>
        <v>8.5054589321592419E-2</v>
      </c>
      <c r="BI150" s="1">
        <f t="shared" si="79"/>
        <v>7.9255602848978354E-2</v>
      </c>
      <c r="BJ150" s="1">
        <f t="shared" si="80"/>
        <v>7.3007439713894451E-2</v>
      </c>
      <c r="BK150" s="1">
        <f t="shared" si="81"/>
        <v>6.7047144887145624E-2</v>
      </c>
      <c r="BL150" s="1">
        <f t="shared" si="82"/>
        <v>6.1986587519712796E-2</v>
      </c>
      <c r="BM150" s="1">
        <f t="shared" si="83"/>
        <v>5.8097812848316298E-2</v>
      </c>
      <c r="BN150" s="1">
        <f t="shared" si="59"/>
        <v>5.5332377653835231E-2</v>
      </c>
      <c r="BO150" s="1">
        <f t="shared" si="59"/>
        <v>5.3472391311265709E-2</v>
      </c>
      <c r="BP150" s="1">
        <f t="shared" si="59"/>
        <v>5.2267829889913617E-2</v>
      </c>
      <c r="BQ150" s="1">
        <f t="shared" si="59"/>
        <v>5.1506734596747185E-2</v>
      </c>
      <c r="BR150" s="1">
        <f t="shared" si="59"/>
        <v>5.1033308726050823E-2</v>
      </c>
      <c r="BS150" s="1">
        <f t="shared" si="59"/>
        <v>5.0741683956091396E-2</v>
      </c>
      <c r="BT150" s="1">
        <f t="shared" si="59"/>
        <v>5.0563125746258021E-2</v>
      </c>
      <c r="BU150" s="1">
        <f t="shared" si="59"/>
        <v>5.0454199884524813E-2</v>
      </c>
    </row>
    <row r="151" spans="1:73" x14ac:dyDescent="0.25">
      <c r="A151" s="1" t="s">
        <v>37</v>
      </c>
      <c r="B151" s="1" t="s">
        <v>5</v>
      </c>
      <c r="C151" s="1" t="s">
        <v>6</v>
      </c>
      <c r="D151" s="1" t="s">
        <v>6</v>
      </c>
      <c r="E151" s="5">
        <v>7.8127499999999994</v>
      </c>
      <c r="F151" s="1">
        <f t="shared" si="57"/>
        <v>1.9141237499999998E-2</v>
      </c>
      <c r="G151" s="1">
        <f>LOOKUP(RIGHT(D151,5),Ref!$C$4:$C$21,Ref!$E$4:$E$21)*$G$3</f>
        <v>3</v>
      </c>
      <c r="H151" s="297">
        <f t="shared" si="86"/>
        <v>7.8127499999999994</v>
      </c>
      <c r="I151" s="5">
        <f t="shared" si="86"/>
        <v>7.8127499999999994</v>
      </c>
      <c r="J151" s="5">
        <f t="shared" si="86"/>
        <v>7.8127499999999994</v>
      </c>
      <c r="K151" s="5">
        <f t="shared" si="86"/>
        <v>7.8127499999999994</v>
      </c>
      <c r="L151" s="5">
        <f t="shared" si="86"/>
        <v>7.8127499999999994</v>
      </c>
      <c r="M151" s="5">
        <f t="shared" si="85"/>
        <v>8.1832764906680335</v>
      </c>
      <c r="N151" s="5">
        <f t="shared" si="85"/>
        <v>8.4054109959609686</v>
      </c>
      <c r="O151" s="5">
        <f t="shared" si="85"/>
        <v>8.7440526290282978</v>
      </c>
      <c r="P151" s="5">
        <f t="shared" si="85"/>
        <v>9.2379950111181106</v>
      </c>
      <c r="Q151" s="5">
        <f t="shared" si="85"/>
        <v>9.9139220898084286</v>
      </c>
      <c r="R151" s="5">
        <f t="shared" si="85"/>
        <v>10.76238086015271</v>
      </c>
      <c r="S151" s="5">
        <f t="shared" si="85"/>
        <v>11.719124999999998</v>
      </c>
      <c r="T151" s="5">
        <f t="shared" si="85"/>
        <v>12.675869139847288</v>
      </c>
      <c r="U151" s="5">
        <f t="shared" si="85"/>
        <v>13.52432791019157</v>
      </c>
      <c r="V151" s="5">
        <f t="shared" si="85"/>
        <v>14.200254988881888</v>
      </c>
      <c r="W151" s="5">
        <f t="shared" si="85"/>
        <v>14.694197370971699</v>
      </c>
      <c r="X151" s="5">
        <f t="shared" si="85"/>
        <v>15.03283900403903</v>
      </c>
      <c r="Y151" s="5">
        <f t="shared" si="85"/>
        <v>15.254973509331965</v>
      </c>
      <c r="Z151" s="5">
        <f t="shared" si="85"/>
        <v>15.39649086919734</v>
      </c>
      <c r="AA151" s="5">
        <f t="shared" si="85"/>
        <v>15.484978238118668</v>
      </c>
      <c r="AB151" s="5">
        <f t="shared" si="85"/>
        <v>15.539661763962833</v>
      </c>
      <c r="AC151" s="5">
        <f t="shared" si="84"/>
        <v>15.573210428941293</v>
      </c>
      <c r="AD151" s="300">
        <f t="shared" si="47"/>
        <v>1.7591241372793523E-3</v>
      </c>
      <c r="AE151" s="299">
        <f t="shared" si="48"/>
        <v>1.7591241372793523E-3</v>
      </c>
      <c r="AF151" s="299">
        <f t="shared" si="60"/>
        <v>1.7591241372793523E-3</v>
      </c>
      <c r="AG151" s="299">
        <f t="shared" si="61"/>
        <v>1.7591241372793523E-3</v>
      </c>
      <c r="AH151" s="299">
        <f t="shared" si="62"/>
        <v>1.7591241372793523E-3</v>
      </c>
      <c r="AI151" s="299">
        <f t="shared" si="63"/>
        <v>1.6794736337214136E-3</v>
      </c>
      <c r="AJ151" s="299">
        <f t="shared" si="64"/>
        <v>1.6350892431236778E-3</v>
      </c>
      <c r="AK151" s="299">
        <f t="shared" si="65"/>
        <v>1.5717651398738832E-3</v>
      </c>
      <c r="AL151" s="299">
        <f t="shared" si="66"/>
        <v>1.4877251056088002E-3</v>
      </c>
      <c r="AM151" s="299">
        <f t="shared" si="67"/>
        <v>1.3862926275825548E-3</v>
      </c>
      <c r="AN151" s="299">
        <f t="shared" si="68"/>
        <v>1.2770034142179807E-3</v>
      </c>
      <c r="AO151" s="299">
        <f t="shared" si="69"/>
        <v>1.1727494248529016E-3</v>
      </c>
      <c r="AP151" s="299">
        <f t="shared" si="70"/>
        <v>1.084233116633045E-3</v>
      </c>
      <c r="AQ151" s="299">
        <f t="shared" si="71"/>
        <v>1.0162129456482976E-3</v>
      </c>
      <c r="AR151" s="299">
        <f t="shared" si="58"/>
        <v>9.6784157145697949E-4</v>
      </c>
      <c r="AS151" s="299">
        <f t="shared" si="58"/>
        <v>9.3530777874806931E-4</v>
      </c>
      <c r="AT151" s="299">
        <f t="shared" si="58"/>
        <v>9.1423829523063632E-4</v>
      </c>
      <c r="AU151" s="299">
        <f t="shared" si="58"/>
        <v>9.0092566172742634E-4</v>
      </c>
      <c r="AV151" s="299">
        <f t="shared" si="58"/>
        <v>8.9264477342854099E-4</v>
      </c>
      <c r="AW151" s="299">
        <f t="shared" si="58"/>
        <v>8.8754384360045595E-4</v>
      </c>
      <c r="AX151" s="299">
        <f t="shared" si="58"/>
        <v>8.8442060787972054E-4</v>
      </c>
      <c r="AY151" s="299">
        <f t="shared" si="58"/>
        <v>8.8251534044567486E-4</v>
      </c>
      <c r="AZ151" s="298">
        <f t="shared" si="49"/>
        <v>9.7384738956989264E-2</v>
      </c>
      <c r="BA151" s="1">
        <f t="shared" si="50"/>
        <v>9.7384738956989264E-2</v>
      </c>
      <c r="BB151" s="1">
        <f t="shared" si="72"/>
        <v>9.7384738956989264E-2</v>
      </c>
      <c r="BC151" s="1">
        <f t="shared" si="73"/>
        <v>9.7384738956989264E-2</v>
      </c>
      <c r="BD151" s="1">
        <f t="shared" si="74"/>
        <v>9.7384738956989264E-2</v>
      </c>
      <c r="BE151" s="1">
        <f t="shared" si="75"/>
        <v>9.29753039817071E-2</v>
      </c>
      <c r="BF151" s="1">
        <f t="shared" si="76"/>
        <v>9.0518193536499716E-2</v>
      </c>
      <c r="BG151" s="1">
        <f t="shared" si="77"/>
        <v>8.7012584617845334E-2</v>
      </c>
      <c r="BH151" s="1">
        <f t="shared" si="78"/>
        <v>8.2360146154065741E-2</v>
      </c>
      <c r="BI151" s="1">
        <f t="shared" si="79"/>
        <v>7.6744865694311701E-2</v>
      </c>
      <c r="BJ151" s="1">
        <f t="shared" si="80"/>
        <v>7.0694638033412055E-2</v>
      </c>
      <c r="BK151" s="1">
        <f t="shared" si="81"/>
        <v>6.4923159304659514E-2</v>
      </c>
      <c r="BL151" s="1">
        <f t="shared" si="82"/>
        <v>6.002291526460047E-2</v>
      </c>
      <c r="BM151" s="1">
        <f t="shared" si="83"/>
        <v>5.6257333032635748E-2</v>
      </c>
      <c r="BN151" s="1">
        <f t="shared" si="59"/>
        <v>5.3579504021717968E-2</v>
      </c>
      <c r="BO151" s="1">
        <f t="shared" si="59"/>
        <v>5.1778440160961628E-2</v>
      </c>
      <c r="BP151" s="1">
        <f t="shared" si="59"/>
        <v>5.0612038024340861E-2</v>
      </c>
      <c r="BQ151" s="1">
        <f t="shared" si="59"/>
        <v>4.9875053458518663E-2</v>
      </c>
      <c r="BR151" s="1">
        <f t="shared" si="59"/>
        <v>4.9416625239481114E-2</v>
      </c>
      <c r="BS151" s="1">
        <f t="shared" si="59"/>
        <v>4.9134238846605935E-2</v>
      </c>
      <c r="BT151" s="1">
        <f t="shared" si="59"/>
        <v>4.8961337179850697E-2</v>
      </c>
      <c r="BU151" s="1">
        <f t="shared" si="59"/>
        <v>4.8855861978996058E-2</v>
      </c>
    </row>
    <row r="152" spans="1:73" x14ac:dyDescent="0.25">
      <c r="A152" s="1" t="s">
        <v>37</v>
      </c>
      <c r="B152" s="1" t="s">
        <v>5</v>
      </c>
      <c r="C152" s="1" t="s">
        <v>7</v>
      </c>
      <c r="D152" s="1" t="s">
        <v>7</v>
      </c>
      <c r="E152" s="5">
        <v>8.3655000000000008</v>
      </c>
      <c r="F152" s="1">
        <f t="shared" si="57"/>
        <v>2.0495475000000003E-2</v>
      </c>
      <c r="G152" s="1">
        <f>LOOKUP(RIGHT(D152,5),Ref!$C$4:$C$21,Ref!$E$4:$E$21)*$G$3</f>
        <v>3.5</v>
      </c>
      <c r="H152" s="297">
        <f t="shared" si="86"/>
        <v>8.3655000000000008</v>
      </c>
      <c r="I152" s="5">
        <f t="shared" si="86"/>
        <v>8.3655000000000008</v>
      </c>
      <c r="J152" s="5">
        <f t="shared" si="86"/>
        <v>8.3655000000000008</v>
      </c>
      <c r="K152" s="5">
        <f t="shared" si="86"/>
        <v>8.3655000000000008</v>
      </c>
      <c r="L152" s="5">
        <f t="shared" si="86"/>
        <v>8.3655000000000008</v>
      </c>
      <c r="M152" s="5">
        <f t="shared" si="85"/>
        <v>8.7622411420669355</v>
      </c>
      <c r="N152" s="5">
        <f t="shared" si="85"/>
        <v>9.0000916049677127</v>
      </c>
      <c r="O152" s="5">
        <f t="shared" si="85"/>
        <v>9.3626920441760255</v>
      </c>
      <c r="P152" s="5">
        <f t="shared" si="85"/>
        <v>9.8915807194020751</v>
      </c>
      <c r="Q152" s="5">
        <f t="shared" si="85"/>
        <v>10.615329460470695</v>
      </c>
      <c r="R152" s="5">
        <f t="shared" si="85"/>
        <v>11.523816464830887</v>
      </c>
      <c r="S152" s="5">
        <f t="shared" si="85"/>
        <v>12.548250000000001</v>
      </c>
      <c r="T152" s="5">
        <f t="shared" si="85"/>
        <v>13.572683535169116</v>
      </c>
      <c r="U152" s="5">
        <f t="shared" si="85"/>
        <v>14.481170539529307</v>
      </c>
      <c r="V152" s="5">
        <f t="shared" si="85"/>
        <v>15.204919280597927</v>
      </c>
      <c r="W152" s="5">
        <f t="shared" si="85"/>
        <v>15.733807955823975</v>
      </c>
      <c r="X152" s="5">
        <f t="shared" si="85"/>
        <v>16.096408395032288</v>
      </c>
      <c r="Y152" s="5">
        <f t="shared" si="85"/>
        <v>16.334258857933069</v>
      </c>
      <c r="Z152" s="5">
        <f t="shared" si="85"/>
        <v>16.485788533649529</v>
      </c>
      <c r="AA152" s="5">
        <f t="shared" si="85"/>
        <v>16.580536360562125</v>
      </c>
      <c r="AB152" s="5">
        <f t="shared" si="85"/>
        <v>16.639088731423776</v>
      </c>
      <c r="AC152" s="5">
        <f t="shared" si="84"/>
        <v>16.675010955592899</v>
      </c>
      <c r="AD152" s="300">
        <f t="shared" si="47"/>
        <v>1.6428900966504402E-3</v>
      </c>
      <c r="AE152" s="299">
        <f t="shared" si="48"/>
        <v>1.6428900966504402E-3</v>
      </c>
      <c r="AF152" s="299">
        <f t="shared" si="60"/>
        <v>1.6428900966504402E-3</v>
      </c>
      <c r="AG152" s="299">
        <f t="shared" si="61"/>
        <v>1.6428900966504402E-3</v>
      </c>
      <c r="AH152" s="299">
        <f t="shared" si="62"/>
        <v>1.6428900966504402E-3</v>
      </c>
      <c r="AI152" s="299">
        <f t="shared" si="63"/>
        <v>1.5685024961875525E-3</v>
      </c>
      <c r="AJ152" s="299">
        <f t="shared" si="64"/>
        <v>1.5270508020099828E-3</v>
      </c>
      <c r="AK152" s="299">
        <f t="shared" si="65"/>
        <v>1.4679108357599281E-3</v>
      </c>
      <c r="AL152" s="299">
        <f t="shared" si="66"/>
        <v>1.3894237426149245E-3</v>
      </c>
      <c r="AM152" s="299">
        <f t="shared" si="67"/>
        <v>1.294693410572662E-3</v>
      </c>
      <c r="AN152" s="299">
        <f t="shared" si="68"/>
        <v>1.1926254765921376E-3</v>
      </c>
      <c r="AO152" s="299">
        <f t="shared" si="69"/>
        <v>1.0952600644336269E-3</v>
      </c>
      <c r="AP152" s="299">
        <f t="shared" si="70"/>
        <v>1.0125924669146878E-3</v>
      </c>
      <c r="AQ152" s="299">
        <f t="shared" si="71"/>
        <v>9.490667253737058E-4</v>
      </c>
      <c r="AR152" s="299">
        <f t="shared" si="58"/>
        <v>9.0389148734690272E-4</v>
      </c>
      <c r="AS152" s="299">
        <f t="shared" si="58"/>
        <v>8.7350736338700347E-4</v>
      </c>
      <c r="AT152" s="299">
        <f t="shared" si="58"/>
        <v>8.5383004495405575E-4</v>
      </c>
      <c r="AU152" s="299">
        <f t="shared" si="58"/>
        <v>8.4139704305312868E-4</v>
      </c>
      <c r="AV152" s="299">
        <f t="shared" si="58"/>
        <v>8.336633140402645E-4</v>
      </c>
      <c r="AW152" s="299">
        <f t="shared" si="58"/>
        <v>8.288994278990451E-4</v>
      </c>
      <c r="AX152" s="299">
        <f t="shared" si="58"/>
        <v>8.2598255982455147E-4</v>
      </c>
      <c r="AY152" s="299">
        <f t="shared" si="58"/>
        <v>8.2420318284226219E-4</v>
      </c>
      <c r="AZ152" s="298">
        <f t="shared" si="49"/>
        <v>9.0950047132415002E-2</v>
      </c>
      <c r="BA152" s="1">
        <f t="shared" si="50"/>
        <v>9.0950047132415002E-2</v>
      </c>
      <c r="BB152" s="1">
        <f t="shared" si="72"/>
        <v>9.0950047132415002E-2</v>
      </c>
      <c r="BC152" s="1">
        <f t="shared" si="73"/>
        <v>9.0950047132415002E-2</v>
      </c>
      <c r="BD152" s="1">
        <f t="shared" si="74"/>
        <v>9.0950047132415002E-2</v>
      </c>
      <c r="BE152" s="1">
        <f t="shared" si="75"/>
        <v>8.6831965355696858E-2</v>
      </c>
      <c r="BF152" s="1">
        <f t="shared" si="76"/>
        <v>8.4537208361997254E-2</v>
      </c>
      <c r="BG152" s="1">
        <f t="shared" si="77"/>
        <v>8.1263232379782557E-2</v>
      </c>
      <c r="BH152" s="1">
        <f t="shared" si="78"/>
        <v>7.6918203558087025E-2</v>
      </c>
      <c r="BI152" s="1">
        <f t="shared" si="79"/>
        <v>7.1673952477823627E-2</v>
      </c>
      <c r="BJ152" s="1">
        <f t="shared" si="80"/>
        <v>6.6023493311283238E-2</v>
      </c>
      <c r="BK152" s="1">
        <f t="shared" si="81"/>
        <v>6.0633364754943332E-2</v>
      </c>
      <c r="BL152" s="1">
        <f t="shared" si="82"/>
        <v>5.6056904098201805E-2</v>
      </c>
      <c r="BM152" s="1">
        <f t="shared" si="83"/>
        <v>5.2540132526534562E-2</v>
      </c>
      <c r="BN152" s="1">
        <f t="shared" si="59"/>
        <v>5.0039240935470325E-2</v>
      </c>
      <c r="BO152" s="1">
        <f t="shared" si="59"/>
        <v>4.8357182280503605E-2</v>
      </c>
      <c r="BP152" s="1">
        <f t="shared" si="59"/>
        <v>4.726785010754516E-2</v>
      </c>
      <c r="BQ152" s="1">
        <f t="shared" si="59"/>
        <v>4.6579561760569189E-2</v>
      </c>
      <c r="BR152" s="1">
        <f t="shared" si="59"/>
        <v>4.6151424163499613E-2</v>
      </c>
      <c r="BS152" s="1">
        <f t="shared" si="59"/>
        <v>4.5887696437609281E-2</v>
      </c>
      <c r="BT152" s="1">
        <f t="shared" si="59"/>
        <v>4.5726219239959176E-2</v>
      </c>
      <c r="BU152" s="1">
        <f t="shared" si="59"/>
        <v>4.562771330780005E-2</v>
      </c>
    </row>
    <row r="153" spans="1:73" x14ac:dyDescent="0.25">
      <c r="A153" s="1" t="s">
        <v>37</v>
      </c>
      <c r="B153" s="1" t="s">
        <v>5</v>
      </c>
      <c r="C153" s="1" t="s">
        <v>8</v>
      </c>
      <c r="D153" s="1" t="s">
        <v>8</v>
      </c>
      <c r="E153" s="5">
        <v>7.7384999999999993</v>
      </c>
      <c r="F153" s="1">
        <f t="shared" si="57"/>
        <v>1.8959324999999999E-2</v>
      </c>
      <c r="G153" s="1">
        <f>LOOKUP(RIGHT(D153,5),Ref!$C$4:$C$21,Ref!$E$4:$E$21)*$G$3</f>
        <v>4</v>
      </c>
      <c r="H153" s="297">
        <f t="shared" si="86"/>
        <v>7.7384999999999993</v>
      </c>
      <c r="I153" s="5">
        <f t="shared" si="86"/>
        <v>7.7384999999999993</v>
      </c>
      <c r="J153" s="5">
        <f t="shared" si="86"/>
        <v>7.7384999999999993</v>
      </c>
      <c r="K153" s="5">
        <f t="shared" si="86"/>
        <v>7.7384999999999993</v>
      </c>
      <c r="L153" s="5">
        <f t="shared" si="86"/>
        <v>7.7384999999999993</v>
      </c>
      <c r="M153" s="5">
        <f t="shared" si="85"/>
        <v>8.1055051195845991</v>
      </c>
      <c r="N153" s="5">
        <f t="shared" si="85"/>
        <v>8.3255285260943914</v>
      </c>
      <c r="O153" s="5">
        <f t="shared" si="85"/>
        <v>8.6609518120681557</v>
      </c>
      <c r="P153" s="5">
        <f t="shared" si="85"/>
        <v>9.1501999159754881</v>
      </c>
      <c r="Q153" s="5">
        <f t="shared" si="85"/>
        <v>9.8197031892717064</v>
      </c>
      <c r="R153" s="5">
        <f t="shared" si="85"/>
        <v>10.660098465494448</v>
      </c>
      <c r="S153" s="5">
        <f t="shared" si="85"/>
        <v>11.607749999999999</v>
      </c>
      <c r="T153" s="5">
        <f t="shared" si="85"/>
        <v>12.555401534505549</v>
      </c>
      <c r="U153" s="5">
        <f t="shared" si="85"/>
        <v>13.395796810728291</v>
      </c>
      <c r="V153" s="5">
        <f t="shared" si="85"/>
        <v>14.065300084024511</v>
      </c>
      <c r="W153" s="5">
        <f t="shared" si="85"/>
        <v>14.554548187931839</v>
      </c>
      <c r="X153" s="5">
        <f t="shared" si="85"/>
        <v>14.889971473905605</v>
      </c>
      <c r="Y153" s="5">
        <f t="shared" si="85"/>
        <v>15.109994880415398</v>
      </c>
      <c r="Z153" s="5">
        <f t="shared" si="85"/>
        <v>15.250167302330627</v>
      </c>
      <c r="AA153" s="5">
        <f t="shared" si="85"/>
        <v>15.337813714208353</v>
      </c>
      <c r="AB153" s="5">
        <f t="shared" si="85"/>
        <v>15.391977544453153</v>
      </c>
      <c r="AC153" s="5">
        <f t="shared" si="84"/>
        <v>15.42520737312242</v>
      </c>
      <c r="AD153" s="300">
        <f t="shared" si="47"/>
        <v>1.7760027270826725E-3</v>
      </c>
      <c r="AE153" s="299">
        <f t="shared" si="48"/>
        <v>1.7760027270826725E-3</v>
      </c>
      <c r="AF153" s="299">
        <f t="shared" si="60"/>
        <v>1.7760027270826725E-3</v>
      </c>
      <c r="AG153" s="299">
        <f t="shared" si="61"/>
        <v>1.7760027270826725E-3</v>
      </c>
      <c r="AH153" s="299">
        <f t="shared" si="62"/>
        <v>1.7760027270826725E-3</v>
      </c>
      <c r="AI153" s="299">
        <f t="shared" si="63"/>
        <v>1.6955879862837727E-3</v>
      </c>
      <c r="AJ153" s="299">
        <f t="shared" si="64"/>
        <v>1.6507777326632441E-3</v>
      </c>
      <c r="AK153" s="299">
        <f t="shared" si="65"/>
        <v>1.5868460420688352E-3</v>
      </c>
      <c r="AL153" s="299">
        <f t="shared" si="66"/>
        <v>1.5019996535304198E-3</v>
      </c>
      <c r="AM153" s="299">
        <f t="shared" si="67"/>
        <v>1.3995939427725794E-3</v>
      </c>
      <c r="AN153" s="299">
        <f t="shared" si="68"/>
        <v>1.2892561122222045E-3</v>
      </c>
      <c r="AO153" s="299">
        <f t="shared" si="69"/>
        <v>1.184001818055115E-3</v>
      </c>
      <c r="AP153" s="299">
        <f t="shared" si="70"/>
        <v>1.0946362062382662E-3</v>
      </c>
      <c r="AQ153" s="299">
        <f t="shared" si="71"/>
        <v>1.0259633896896993E-3</v>
      </c>
      <c r="AR153" s="299">
        <f t="shared" si="58"/>
        <v>9.7712789783556452E-4</v>
      </c>
      <c r="AS153" s="299">
        <f t="shared" si="58"/>
        <v>9.4428194720087605E-4</v>
      </c>
      <c r="AT153" s="299">
        <f t="shared" si="58"/>
        <v>9.2301030445992823E-4</v>
      </c>
      <c r="AU153" s="299">
        <f t="shared" si="58"/>
        <v>9.0956993779943798E-4</v>
      </c>
      <c r="AV153" s="299">
        <f t="shared" si="58"/>
        <v>9.0120959534843107E-4</v>
      </c>
      <c r="AW153" s="299">
        <f t="shared" si="58"/>
        <v>8.9605972269683558E-4</v>
      </c>
      <c r="AX153" s="299">
        <f t="shared" si="58"/>
        <v>8.9290651989562412E-4</v>
      </c>
      <c r="AY153" s="299">
        <f t="shared" si="58"/>
        <v>8.90982971643981E-4</v>
      </c>
      <c r="AZ153" s="298">
        <f t="shared" si="49"/>
        <v>9.8319134106896411E-2</v>
      </c>
      <c r="BA153" s="1">
        <f t="shared" si="50"/>
        <v>9.8319134106896411E-2</v>
      </c>
      <c r="BB153" s="1">
        <f t="shared" si="72"/>
        <v>9.8319134106896411E-2</v>
      </c>
      <c r="BC153" s="1">
        <f t="shared" si="73"/>
        <v>9.8319134106896411E-2</v>
      </c>
      <c r="BD153" s="1">
        <f t="shared" si="74"/>
        <v>9.8319134106896411E-2</v>
      </c>
      <c r="BE153" s="1">
        <f t="shared" si="75"/>
        <v>9.3867391120124336E-2</v>
      </c>
      <c r="BF153" s="1">
        <f t="shared" si="76"/>
        <v>9.1386704988342463E-2</v>
      </c>
      <c r="BG153" s="1">
        <f t="shared" si="77"/>
        <v>8.7847460163219121E-2</v>
      </c>
      <c r="BH153" s="1">
        <f t="shared" si="78"/>
        <v>8.3150382097974693E-2</v>
      </c>
      <c r="BI153" s="1">
        <f t="shared" si="79"/>
        <v>7.7481223680717665E-2</v>
      </c>
      <c r="BJ153" s="1">
        <f t="shared" si="80"/>
        <v>7.1372944794926674E-2</v>
      </c>
      <c r="BK153" s="1">
        <f t="shared" si="81"/>
        <v>6.5546089404597607E-2</v>
      </c>
      <c r="BL153" s="1">
        <f t="shared" si="82"/>
        <v>6.0598828097629689E-2</v>
      </c>
      <c r="BM153" s="1">
        <f t="shared" si="83"/>
        <v>5.6797115545742065E-2</v>
      </c>
      <c r="BN153" s="1">
        <f t="shared" si="59"/>
        <v>5.4093593079495642E-2</v>
      </c>
      <c r="BO153" s="1">
        <f t="shared" si="59"/>
        <v>5.2275248222207533E-2</v>
      </c>
      <c r="BP153" s="1">
        <f t="shared" si="59"/>
        <v>5.1097654593870792E-2</v>
      </c>
      <c r="BQ153" s="1">
        <f t="shared" si="59"/>
        <v>5.0353598747566286E-2</v>
      </c>
      <c r="BR153" s="1">
        <f t="shared" si="59"/>
        <v>4.9890771963527307E-2</v>
      </c>
      <c r="BS153" s="1">
        <f t="shared" si="59"/>
        <v>4.9605676106328163E-2</v>
      </c>
      <c r="BT153" s="1">
        <f t="shared" si="59"/>
        <v>4.9431115468356733E-2</v>
      </c>
      <c r="BU153" s="1">
        <f t="shared" si="59"/>
        <v>4.9324628245319045E-2</v>
      </c>
    </row>
    <row r="154" spans="1:73" x14ac:dyDescent="0.25">
      <c r="A154" s="1" t="s">
        <v>37</v>
      </c>
      <c r="B154" s="1" t="s">
        <v>5</v>
      </c>
      <c r="C154" s="1" t="s">
        <v>9</v>
      </c>
      <c r="D154" s="1" t="s">
        <v>9</v>
      </c>
      <c r="E154" s="5">
        <v>8.8935000000000013</v>
      </c>
      <c r="F154" s="1">
        <f t="shared" si="57"/>
        <v>2.1789075000000001E-2</v>
      </c>
      <c r="G154" s="1">
        <f>LOOKUP(RIGHT(D154,5),Ref!$C$4:$C$21,Ref!$E$4:$E$21)*$G$3</f>
        <v>4.5</v>
      </c>
      <c r="H154" s="297">
        <f t="shared" si="86"/>
        <v>8.8935000000000013</v>
      </c>
      <c r="I154" s="5">
        <f t="shared" si="86"/>
        <v>8.8935000000000013</v>
      </c>
      <c r="J154" s="5">
        <f t="shared" si="86"/>
        <v>8.8935000000000013</v>
      </c>
      <c r="K154" s="5">
        <f t="shared" si="86"/>
        <v>8.8935000000000013</v>
      </c>
      <c r="L154" s="5">
        <f t="shared" si="86"/>
        <v>8.8935000000000013</v>
      </c>
      <c r="M154" s="5">
        <f t="shared" si="85"/>
        <v>9.3152820031046915</v>
      </c>
      <c r="N154" s="5">
        <f t="shared" si="85"/>
        <v>9.5681447240189303</v>
      </c>
      <c r="O154" s="5">
        <f t="shared" si="85"/>
        <v>9.9536311870037046</v>
      </c>
      <c r="P154" s="5">
        <f t="shared" si="85"/>
        <v>10.515901395971833</v>
      </c>
      <c r="Q154" s="5">
        <f t="shared" si="85"/>
        <v>11.285330530954054</v>
      </c>
      <c r="R154" s="5">
        <f t="shared" si="85"/>
        <v>12.251157937956309</v>
      </c>
      <c r="S154" s="5">
        <f t="shared" si="85"/>
        <v>13.340250000000001</v>
      </c>
      <c r="T154" s="5">
        <f t="shared" si="85"/>
        <v>14.429342062043695</v>
      </c>
      <c r="U154" s="5">
        <f t="shared" si="85"/>
        <v>15.39516946904595</v>
      </c>
      <c r="V154" s="5">
        <f t="shared" si="85"/>
        <v>16.164598604028171</v>
      </c>
      <c r="W154" s="5">
        <f t="shared" si="85"/>
        <v>16.726868812996297</v>
      </c>
      <c r="X154" s="5">
        <f t="shared" si="85"/>
        <v>17.112355275981074</v>
      </c>
      <c r="Y154" s="5">
        <f t="shared" si="85"/>
        <v>17.365217996895314</v>
      </c>
      <c r="Z154" s="5">
        <f t="shared" si="85"/>
        <v>17.526311675812817</v>
      </c>
      <c r="AA154" s="5">
        <f t="shared" si="85"/>
        <v>17.62703964170214</v>
      </c>
      <c r="AB154" s="5">
        <f t="shared" si="85"/>
        <v>17.689287625714822</v>
      </c>
      <c r="AC154" s="5">
        <f t="shared" si="84"/>
        <v>17.727477130304877</v>
      </c>
      <c r="AD154" s="300">
        <f t="shared" si="47"/>
        <v>1.5453530222667407E-3</v>
      </c>
      <c r="AE154" s="299">
        <f t="shared" si="48"/>
        <v>1.5453530222667407E-3</v>
      </c>
      <c r="AF154" s="299">
        <f t="shared" si="60"/>
        <v>1.5453530222667407E-3</v>
      </c>
      <c r="AG154" s="299">
        <f t="shared" si="61"/>
        <v>1.5453530222667407E-3</v>
      </c>
      <c r="AH154" s="299">
        <f t="shared" si="62"/>
        <v>1.5453530222667407E-3</v>
      </c>
      <c r="AI154" s="299">
        <f t="shared" si="63"/>
        <v>1.4753817542988666E-3</v>
      </c>
      <c r="AJ154" s="299">
        <f t="shared" si="64"/>
        <v>1.4363910141355497E-3</v>
      </c>
      <c r="AK154" s="299">
        <f t="shared" si="65"/>
        <v>1.3807621405014536E-3</v>
      </c>
      <c r="AL154" s="299">
        <f t="shared" si="66"/>
        <v>1.3069347634615338E-3</v>
      </c>
      <c r="AM154" s="299">
        <f t="shared" si="67"/>
        <v>1.2178284956592569E-3</v>
      </c>
      <c r="AN154" s="299">
        <f t="shared" si="68"/>
        <v>1.1218202534920478E-3</v>
      </c>
      <c r="AO154" s="299">
        <f t="shared" si="69"/>
        <v>1.0302353481778271E-3</v>
      </c>
      <c r="AP154" s="299">
        <f t="shared" si="70"/>
        <v>9.5247565997355599E-4</v>
      </c>
      <c r="AQ154" s="299">
        <f t="shared" si="71"/>
        <v>8.9272139102869908E-4</v>
      </c>
      <c r="AR154" s="299">
        <f t="shared" si="58"/>
        <v>8.5022817084393272E-4</v>
      </c>
      <c r="AS154" s="299">
        <f t="shared" si="58"/>
        <v>8.2164792808387896E-4</v>
      </c>
      <c r="AT154" s="299">
        <f t="shared" si="58"/>
        <v>8.0313883634824902E-4</v>
      </c>
      <c r="AU154" s="299">
        <f t="shared" si="58"/>
        <v>7.9144397185145876E-4</v>
      </c>
      <c r="AV154" s="299">
        <f t="shared" si="58"/>
        <v>7.8416938816032282E-4</v>
      </c>
      <c r="AW154" s="299">
        <f t="shared" si="58"/>
        <v>7.7968833013880492E-4</v>
      </c>
      <c r="AX154" s="299">
        <f t="shared" si="58"/>
        <v>7.7694463419489355E-4</v>
      </c>
      <c r="AY154" s="299">
        <f t="shared" si="58"/>
        <v>7.752708974045027E-4</v>
      </c>
      <c r="AZ154" s="298">
        <f t="shared" si="49"/>
        <v>8.555041539171504E-2</v>
      </c>
      <c r="BA154" s="1">
        <f t="shared" si="50"/>
        <v>8.555041539171504E-2</v>
      </c>
      <c r="BB154" s="1">
        <f t="shared" si="72"/>
        <v>8.555041539171504E-2</v>
      </c>
      <c r="BC154" s="1">
        <f t="shared" si="73"/>
        <v>8.555041539171504E-2</v>
      </c>
      <c r="BD154" s="1">
        <f t="shared" si="74"/>
        <v>8.555041539171504E-2</v>
      </c>
      <c r="BE154" s="1">
        <f t="shared" si="75"/>
        <v>8.167682084478349E-2</v>
      </c>
      <c r="BF154" s="1">
        <f t="shared" si="76"/>
        <v>7.9518301743103162E-2</v>
      </c>
      <c r="BG154" s="1">
        <f t="shared" si="77"/>
        <v>7.6438699103060767E-2</v>
      </c>
      <c r="BH154" s="1">
        <f t="shared" si="78"/>
        <v>7.2351631176159781E-2</v>
      </c>
      <c r="BI154" s="1">
        <f t="shared" si="79"/>
        <v>6.7418727098806266E-2</v>
      </c>
      <c r="BJ154" s="1">
        <f t="shared" si="80"/>
        <v>6.2103731185195916E-2</v>
      </c>
      <c r="BK154" s="1">
        <f t="shared" si="81"/>
        <v>5.7033610261143362E-2</v>
      </c>
      <c r="BL154" s="1">
        <f t="shared" si="82"/>
        <v>5.2728850422612827E-2</v>
      </c>
      <c r="BM154" s="1">
        <f t="shared" si="83"/>
        <v>4.9420866773567759E-2</v>
      </c>
      <c r="BN154" s="1">
        <f t="shared" si="59"/>
        <v>4.7068451121119577E-2</v>
      </c>
      <c r="BO154" s="1">
        <f t="shared" si="59"/>
        <v>4.5486254946596152E-2</v>
      </c>
      <c r="BP154" s="1">
        <f t="shared" si="59"/>
        <v>4.4461595555705738E-2</v>
      </c>
      <c r="BQ154" s="1">
        <f t="shared" si="59"/>
        <v>4.3814170338791425E-2</v>
      </c>
      <c r="BR154" s="1">
        <f t="shared" si="59"/>
        <v>4.3411450929302965E-2</v>
      </c>
      <c r="BS154" s="1">
        <f t="shared" si="59"/>
        <v>4.316338050810372E-2</v>
      </c>
      <c r="BT154" s="1">
        <f t="shared" si="59"/>
        <v>4.3011490082855847E-2</v>
      </c>
      <c r="BU154" s="1">
        <f t="shared" si="59"/>
        <v>4.2918832369303571E-2</v>
      </c>
    </row>
    <row r="155" spans="1:73" x14ac:dyDescent="0.25">
      <c r="A155" s="1" t="s">
        <v>38</v>
      </c>
      <c r="B155" s="1" t="s">
        <v>5</v>
      </c>
      <c r="C155" s="1" t="s">
        <v>13</v>
      </c>
      <c r="D155" s="1" t="s">
        <v>13</v>
      </c>
      <c r="E155" s="5">
        <v>7.8952499999999999</v>
      </c>
      <c r="F155" s="1">
        <f t="shared" si="57"/>
        <v>1.9343362500000003E-2</v>
      </c>
      <c r="G155" s="1">
        <f>LOOKUP(RIGHT(D155,5),Ref!$C$4:$C$21,Ref!$E$4:$E$21)*$G$3</f>
        <v>1.5</v>
      </c>
      <c r="H155" s="297">
        <f t="shared" si="86"/>
        <v>7.8952499999999999</v>
      </c>
      <c r="I155" s="5">
        <f t="shared" si="86"/>
        <v>7.8952499999999999</v>
      </c>
      <c r="J155" s="5">
        <f t="shared" si="86"/>
        <v>7.8952499999999999</v>
      </c>
      <c r="K155" s="5">
        <f t="shared" si="86"/>
        <v>7.8952499999999999</v>
      </c>
      <c r="L155" s="5">
        <f t="shared" si="86"/>
        <v>7.8952499999999999</v>
      </c>
      <c r="M155" s="5">
        <f t="shared" si="85"/>
        <v>8.2696891252051845</v>
      </c>
      <c r="N155" s="5">
        <f t="shared" si="85"/>
        <v>8.4941692958127231</v>
      </c>
      <c r="O155" s="5">
        <f t="shared" si="85"/>
        <v>8.836386870095124</v>
      </c>
      <c r="P155" s="5">
        <f t="shared" si="85"/>
        <v>9.3355451168321348</v>
      </c>
      <c r="Q155" s="5">
        <f t="shared" si="85"/>
        <v>10.018609757071454</v>
      </c>
      <c r="R155" s="5">
        <f t="shared" si="85"/>
        <v>10.876027965328559</v>
      </c>
      <c r="S155" s="5">
        <f t="shared" si="85"/>
        <v>11.842874999999999</v>
      </c>
      <c r="T155" s="5">
        <f t="shared" si="85"/>
        <v>12.809722034671442</v>
      </c>
      <c r="U155" s="5">
        <f t="shared" si="85"/>
        <v>13.667140242928545</v>
      </c>
      <c r="V155" s="5">
        <f t="shared" si="85"/>
        <v>14.350204883167866</v>
      </c>
      <c r="W155" s="5">
        <f t="shared" si="85"/>
        <v>14.849363129904875</v>
      </c>
      <c r="X155" s="5">
        <f t="shared" si="85"/>
        <v>15.191580704187277</v>
      </c>
      <c r="Y155" s="5">
        <f t="shared" si="85"/>
        <v>15.416060874794816</v>
      </c>
      <c r="Z155" s="5">
        <f t="shared" si="85"/>
        <v>15.559072610160355</v>
      </c>
      <c r="AA155" s="5">
        <f t="shared" si="85"/>
        <v>15.648494375796796</v>
      </c>
      <c r="AB155" s="5">
        <f t="shared" si="85"/>
        <v>15.70375534119581</v>
      </c>
      <c r="AC155" s="5">
        <f t="shared" si="84"/>
        <v>15.737658268740041</v>
      </c>
      <c r="AD155" s="300">
        <f t="shared" si="47"/>
        <v>1.7407424848521909E-3</v>
      </c>
      <c r="AE155" s="299">
        <f t="shared" si="48"/>
        <v>1.7407424848521909E-3</v>
      </c>
      <c r="AF155" s="299">
        <f>Algae_electricity_factor/J155</f>
        <v>1.7407424848521909E-3</v>
      </c>
      <c r="AG155" s="299">
        <f>Algae_electricity_factor/K155</f>
        <v>1.7407424848521909E-3</v>
      </c>
      <c r="AH155" s="299">
        <f>Algae_electricity_factor/L155</f>
        <v>1.7407424848521909E-3</v>
      </c>
      <c r="AI155" s="299">
        <f t="shared" ref="AI155:AV179" si="87">Algae_electricity_factor/M155</f>
        <v>1.6619242749573442E-3</v>
      </c>
      <c r="AJ155" s="299">
        <f t="shared" si="87"/>
        <v>1.618003671095217E-3</v>
      </c>
      <c r="AK155" s="299">
        <f t="shared" si="87"/>
        <v>1.5553412617142813E-3</v>
      </c>
      <c r="AL155" s="299">
        <f t="shared" si="87"/>
        <v>1.4721793887267855E-3</v>
      </c>
      <c r="AM155" s="299">
        <f t="shared" si="87"/>
        <v>1.3718068112023817E-3</v>
      </c>
      <c r="AN155" s="299">
        <f t="shared" si="87"/>
        <v>1.2636595958875941E-3</v>
      </c>
      <c r="AO155" s="299">
        <f t="shared" si="87"/>
        <v>1.1604949899014607E-3</v>
      </c>
      <c r="AP155" s="299">
        <f t="shared" si="87"/>
        <v>1.0729036169817069E-3</v>
      </c>
      <c r="AQ155" s="299">
        <f t="shared" si="87"/>
        <v>1.005594210584052E-3</v>
      </c>
      <c r="AR155" s="299">
        <f t="shared" si="58"/>
        <v>9.5772828439891276E-4</v>
      </c>
      <c r="AS155" s="299">
        <f t="shared" si="58"/>
        <v>9.2553444772666834E-4</v>
      </c>
      <c r="AT155" s="299">
        <f t="shared" si="58"/>
        <v>9.0468512600147609E-4</v>
      </c>
      <c r="AU155" s="299">
        <f t="shared" si="58"/>
        <v>8.9151160047635603E-4</v>
      </c>
      <c r="AV155" s="299">
        <f t="shared" si="58"/>
        <v>8.8331724183576615E-4</v>
      </c>
      <c r="AW155" s="299">
        <f t="shared" si="58"/>
        <v>8.7826961325980339E-4</v>
      </c>
      <c r="AX155" s="299">
        <f t="shared" si="58"/>
        <v>8.7517901323102957E-4</v>
      </c>
      <c r="AY155" s="299">
        <f t="shared" si="58"/>
        <v>8.7329365454760083E-4</v>
      </c>
      <c r="AZ155" s="298">
        <f t="shared" si="49"/>
        <v>9.6367134579173272E-2</v>
      </c>
      <c r="BA155" s="1">
        <f t="shared" si="50"/>
        <v>9.6367134579173272E-2</v>
      </c>
      <c r="BB155" s="1">
        <f>Algae_yield_cost_factor/J155</f>
        <v>9.6367134579173272E-2</v>
      </c>
      <c r="BC155" s="1">
        <f>Algae_yield_cost_factor/K155</f>
        <v>9.6367134579173272E-2</v>
      </c>
      <c r="BD155" s="1">
        <f>Algae_yield_cost_factor/L155</f>
        <v>9.6367134579173272E-2</v>
      </c>
      <c r="BE155" s="1">
        <f t="shared" ref="BE155:BR179" si="88">Algae_yield_cost_factor/M155</f>
        <v>9.2003775204468771E-2</v>
      </c>
      <c r="BF155" s="1">
        <f t="shared" si="88"/>
        <v>8.9572339894530006E-2</v>
      </c>
      <c r="BG155" s="1">
        <f t="shared" si="88"/>
        <v>8.6103362208045472E-2</v>
      </c>
      <c r="BH155" s="1">
        <f t="shared" si="88"/>
        <v>8.1499538566248961E-2</v>
      </c>
      <c r="BI155" s="1">
        <f t="shared" si="88"/>
        <v>7.5942933973367988E-2</v>
      </c>
      <c r="BJ155" s="1">
        <f t="shared" si="88"/>
        <v>6.9955927082174726E-2</v>
      </c>
      <c r="BK155" s="1">
        <f t="shared" si="88"/>
        <v>6.4244756386115515E-2</v>
      </c>
      <c r="BL155" s="1">
        <f t="shared" si="88"/>
        <v>5.9395716568000669E-2</v>
      </c>
      <c r="BM155" s="1">
        <f t="shared" si="88"/>
        <v>5.5669482112754499E-2</v>
      </c>
      <c r="BN155" s="1">
        <f t="shared" si="59"/>
        <v>5.3019634596203666E-2</v>
      </c>
      <c r="BO155" s="1">
        <f t="shared" si="59"/>
        <v>5.123739062949912E-2</v>
      </c>
      <c r="BP155" s="1">
        <f t="shared" si="59"/>
        <v>5.0083176602978889E-2</v>
      </c>
      <c r="BQ155" s="1">
        <f t="shared" si="59"/>
        <v>4.9353893025305295E-2</v>
      </c>
      <c r="BR155" s="1">
        <f t="shared" si="59"/>
        <v>4.890025506978956E-2</v>
      </c>
      <c r="BS155" s="1">
        <f t="shared" si="59"/>
        <v>4.8620819422921444E-2</v>
      </c>
      <c r="BT155" s="1">
        <f t="shared" si="59"/>
        <v>4.8449724461147974E-2</v>
      </c>
      <c r="BU155" s="1">
        <f t="shared" si="59"/>
        <v>4.8345351404502884E-2</v>
      </c>
    </row>
    <row r="156" spans="1:73" x14ac:dyDescent="0.25">
      <c r="A156" s="1" t="s">
        <v>38</v>
      </c>
      <c r="B156" s="1" t="s">
        <v>5</v>
      </c>
      <c r="C156" s="1" t="s">
        <v>6</v>
      </c>
      <c r="D156" s="1" t="s">
        <v>6</v>
      </c>
      <c r="E156" s="5">
        <v>7.9364999999999997</v>
      </c>
      <c r="F156" s="1">
        <f t="shared" si="57"/>
        <v>1.9444424999999998E-2</v>
      </c>
      <c r="G156" s="1">
        <f>LOOKUP(RIGHT(D156,5),Ref!$C$4:$C$21,Ref!$E$4:$E$21)*$G$3</f>
        <v>3</v>
      </c>
      <c r="H156" s="297">
        <f t="shared" si="86"/>
        <v>7.9364999999999997</v>
      </c>
      <c r="I156" s="5">
        <f t="shared" si="86"/>
        <v>7.9364999999999997</v>
      </c>
      <c r="J156" s="5">
        <f t="shared" si="86"/>
        <v>7.9364999999999997</v>
      </c>
      <c r="K156" s="5">
        <f t="shared" si="86"/>
        <v>7.9364999999999997</v>
      </c>
      <c r="L156" s="5">
        <f t="shared" si="86"/>
        <v>7.9364999999999997</v>
      </c>
      <c r="M156" s="5">
        <f t="shared" si="85"/>
        <v>8.3128954424737582</v>
      </c>
      <c r="N156" s="5">
        <f t="shared" si="85"/>
        <v>8.5385484457385985</v>
      </c>
      <c r="O156" s="5">
        <f t="shared" si="85"/>
        <v>8.8825539906285353</v>
      </c>
      <c r="P156" s="5">
        <f t="shared" si="85"/>
        <v>9.384320169689147</v>
      </c>
      <c r="Q156" s="5">
        <f t="shared" si="85"/>
        <v>10.070953590702967</v>
      </c>
      <c r="R156" s="5">
        <f t="shared" si="85"/>
        <v>10.932851517916481</v>
      </c>
      <c r="S156" s="5">
        <f t="shared" si="85"/>
        <v>11.90475</v>
      </c>
      <c r="T156" s="5">
        <f t="shared" si="85"/>
        <v>12.876648482083517</v>
      </c>
      <c r="U156" s="5">
        <f t="shared" si="85"/>
        <v>13.738546409297033</v>
      </c>
      <c r="V156" s="5">
        <f t="shared" si="85"/>
        <v>14.425179830310853</v>
      </c>
      <c r="W156" s="5">
        <f t="shared" si="85"/>
        <v>14.926946009371461</v>
      </c>
      <c r="X156" s="5">
        <f t="shared" si="85"/>
        <v>15.270951554261401</v>
      </c>
      <c r="Y156" s="5">
        <f t="shared" si="85"/>
        <v>15.496604557526242</v>
      </c>
      <c r="Z156" s="5">
        <f t="shared" si="85"/>
        <v>15.640363480641861</v>
      </c>
      <c r="AA156" s="5">
        <f t="shared" si="85"/>
        <v>15.730252444635859</v>
      </c>
      <c r="AB156" s="5">
        <f t="shared" si="85"/>
        <v>15.785802129812298</v>
      </c>
      <c r="AC156" s="5">
        <f t="shared" si="84"/>
        <v>15.819882188639413</v>
      </c>
      <c r="AD156" s="300">
        <f t="shared" ref="AD156:AQ189" si="89">Algae_electricity_factor/H156</f>
        <v>1.7316949667396536E-3</v>
      </c>
      <c r="AE156" s="299">
        <f t="shared" si="89"/>
        <v>1.7316949667396536E-3</v>
      </c>
      <c r="AF156" s="299">
        <f t="shared" si="89"/>
        <v>1.7316949667396536E-3</v>
      </c>
      <c r="AG156" s="299">
        <f t="shared" si="89"/>
        <v>1.7316949667396536E-3</v>
      </c>
      <c r="AH156" s="299">
        <f t="shared" si="89"/>
        <v>1.7316949667396536E-3</v>
      </c>
      <c r="AI156" s="299">
        <f t="shared" si="87"/>
        <v>1.6532864149003935E-3</v>
      </c>
      <c r="AJ156" s="299">
        <f t="shared" si="87"/>
        <v>1.6095940886051172E-3</v>
      </c>
      <c r="AK156" s="299">
        <f t="shared" si="87"/>
        <v>1.5472573674226273E-3</v>
      </c>
      <c r="AL156" s="299">
        <f t="shared" si="87"/>
        <v>1.4645277287022181E-3</v>
      </c>
      <c r="AM156" s="299">
        <f t="shared" si="87"/>
        <v>1.3646768381711841E-3</v>
      </c>
      <c r="AN156" s="299">
        <f t="shared" si="87"/>
        <v>1.2570917185700913E-3</v>
      </c>
      <c r="AO156" s="299">
        <f t="shared" si="87"/>
        <v>1.1544633111597691E-3</v>
      </c>
      <c r="AP156" s="299">
        <f t="shared" si="87"/>
        <v>1.0673271948560225E-3</v>
      </c>
      <c r="AQ156" s="299">
        <f t="shared" si="87"/>
        <v>1.0003676294479602E-3</v>
      </c>
      <c r="AR156" s="299">
        <f t="shared" si="58"/>
        <v>9.5275048666295162E-4</v>
      </c>
      <c r="AS156" s="299">
        <f t="shared" si="58"/>
        <v>9.2072397762413901E-4</v>
      </c>
      <c r="AT156" s="299">
        <f t="shared" si="58"/>
        <v>8.9998302035697775E-4</v>
      </c>
      <c r="AU156" s="299">
        <f t="shared" si="58"/>
        <v>8.8687796429924397E-4</v>
      </c>
      <c r="AV156" s="299">
        <f t="shared" si="58"/>
        <v>8.7872619588027882E-4</v>
      </c>
      <c r="AW156" s="299">
        <f t="shared" si="58"/>
        <v>8.737048023800747E-4</v>
      </c>
      <c r="AX156" s="299">
        <f t="shared" si="58"/>
        <v>8.7063026576101384E-4</v>
      </c>
      <c r="AY156" s="299">
        <f t="shared" si="58"/>
        <v>8.6875470623914151E-4</v>
      </c>
      <c r="AZ156" s="298">
        <f t="shared" ref="AZ156:BM189" si="90">Algae_yield_cost_factor/H156</f>
        <v>9.5866265896329336E-2</v>
      </c>
      <c r="BA156" s="1">
        <f t="shared" si="90"/>
        <v>9.5866265896329336E-2</v>
      </c>
      <c r="BB156" s="1">
        <f t="shared" si="90"/>
        <v>9.5866265896329336E-2</v>
      </c>
      <c r="BC156" s="1">
        <f t="shared" si="90"/>
        <v>9.5866265896329336E-2</v>
      </c>
      <c r="BD156" s="1">
        <f t="shared" si="90"/>
        <v>9.5866265896329336E-2</v>
      </c>
      <c r="BE156" s="1">
        <f t="shared" si="88"/>
        <v>9.1525585104653445E-2</v>
      </c>
      <c r="BF156" s="1">
        <f t="shared" si="88"/>
        <v>8.9106787192375483E-2</v>
      </c>
      <c r="BG156" s="1">
        <f t="shared" si="88"/>
        <v>8.5655839535446504E-2</v>
      </c>
      <c r="BH156" s="1">
        <f t="shared" si="88"/>
        <v>8.1075944290956617E-2</v>
      </c>
      <c r="BI156" s="1">
        <f t="shared" si="88"/>
        <v>7.5548220179327608E-2</v>
      </c>
      <c r="BJ156" s="1">
        <f t="shared" si="88"/>
        <v>6.9592330787568837E-2</v>
      </c>
      <c r="BK156" s="1">
        <f t="shared" si="88"/>
        <v>6.3910843930886224E-2</v>
      </c>
      <c r="BL156" s="1">
        <f t="shared" si="88"/>
        <v>5.9087007022428945E-2</v>
      </c>
      <c r="BM156" s="1">
        <f t="shared" si="88"/>
        <v>5.5380139690131031E-2</v>
      </c>
      <c r="BN156" s="1">
        <f t="shared" si="59"/>
        <v>5.2744064769820076E-2</v>
      </c>
      <c r="BO156" s="1">
        <f t="shared" si="59"/>
        <v>5.0971084025395699E-2</v>
      </c>
      <c r="BP156" s="1">
        <f t="shared" si="59"/>
        <v>4.9822869032277332E-2</v>
      </c>
      <c r="BQ156" s="1">
        <f t="shared" si="59"/>
        <v>4.9097375909789159E-2</v>
      </c>
      <c r="BR156" s="1">
        <f t="shared" si="59"/>
        <v>4.8646095739904999E-2</v>
      </c>
      <c r="BS156" s="1">
        <f t="shared" si="59"/>
        <v>4.8368112461263844E-2</v>
      </c>
      <c r="BT156" s="1">
        <f t="shared" si="59"/>
        <v>4.8197906766443463E-2</v>
      </c>
      <c r="BU156" s="1">
        <f t="shared" si="59"/>
        <v>4.8094076189302767E-2</v>
      </c>
    </row>
    <row r="157" spans="1:73" x14ac:dyDescent="0.25">
      <c r="A157" s="1" t="s">
        <v>38</v>
      </c>
      <c r="B157" s="1" t="s">
        <v>5</v>
      </c>
      <c r="C157" s="1" t="s">
        <v>7</v>
      </c>
      <c r="D157" s="1" t="s">
        <v>7</v>
      </c>
      <c r="E157" s="5">
        <v>8.7614999999999998</v>
      </c>
      <c r="F157" s="1">
        <f t="shared" si="57"/>
        <v>2.1465675E-2</v>
      </c>
      <c r="G157" s="1">
        <f>LOOKUP(RIGHT(D157,5),Ref!$C$4:$C$21,Ref!$E$4:$E$21)*$G$3</f>
        <v>3.5</v>
      </c>
      <c r="H157" s="297">
        <f t="shared" si="86"/>
        <v>8.7614999999999998</v>
      </c>
      <c r="I157" s="5">
        <f t="shared" si="86"/>
        <v>8.7614999999999998</v>
      </c>
      <c r="J157" s="5">
        <f t="shared" si="86"/>
        <v>8.7614999999999998</v>
      </c>
      <c r="K157" s="5">
        <f t="shared" si="86"/>
        <v>8.7614999999999998</v>
      </c>
      <c r="L157" s="5">
        <f t="shared" si="86"/>
        <v>8.7614999999999998</v>
      </c>
      <c r="M157" s="5">
        <f t="shared" si="85"/>
        <v>9.1770217878452502</v>
      </c>
      <c r="N157" s="5">
        <f t="shared" si="85"/>
        <v>9.426131444256125</v>
      </c>
      <c r="O157" s="5">
        <f t="shared" si="85"/>
        <v>9.8058964012967831</v>
      </c>
      <c r="P157" s="5">
        <f t="shared" si="85"/>
        <v>10.359821226829391</v>
      </c>
      <c r="Q157" s="5">
        <f t="shared" si="85"/>
        <v>11.117830263333213</v>
      </c>
      <c r="R157" s="5">
        <f t="shared" si="85"/>
        <v>12.069322569674952</v>
      </c>
      <c r="S157" s="5">
        <f t="shared" si="85"/>
        <v>13.142250000000001</v>
      </c>
      <c r="T157" s="5">
        <f t="shared" si="85"/>
        <v>14.215177430325047</v>
      </c>
      <c r="U157" s="5">
        <f t="shared" si="85"/>
        <v>15.166669736666787</v>
      </c>
      <c r="V157" s="5">
        <f t="shared" si="85"/>
        <v>15.924678773170609</v>
      </c>
      <c r="W157" s="5">
        <f t="shared" si="85"/>
        <v>16.478603598703213</v>
      </c>
      <c r="X157" s="5">
        <f t="shared" si="85"/>
        <v>16.858368555743876</v>
      </c>
      <c r="Y157" s="5">
        <f t="shared" si="85"/>
        <v>17.107478212154749</v>
      </c>
      <c r="Z157" s="5">
        <f t="shared" si="85"/>
        <v>17.266180890271993</v>
      </c>
      <c r="AA157" s="5">
        <f t="shared" si="85"/>
        <v>17.365413821417135</v>
      </c>
      <c r="AB157" s="5">
        <f t="shared" si="85"/>
        <v>17.426737902142058</v>
      </c>
      <c r="AC157" s="5">
        <f t="shared" si="84"/>
        <v>17.464360586626878</v>
      </c>
      <c r="AD157" s="300">
        <f t="shared" si="89"/>
        <v>1.5686351770278217E-3</v>
      </c>
      <c r="AE157" s="299">
        <f t="shared" si="89"/>
        <v>1.5686351770278217E-3</v>
      </c>
      <c r="AF157" s="299">
        <f t="shared" si="89"/>
        <v>1.5686351770278217E-3</v>
      </c>
      <c r="AG157" s="299">
        <f t="shared" si="89"/>
        <v>1.5686351770278217E-3</v>
      </c>
      <c r="AH157" s="299">
        <f t="shared" si="89"/>
        <v>1.5686351770278217E-3</v>
      </c>
      <c r="AI157" s="299">
        <f t="shared" si="87"/>
        <v>1.4976097279982849E-3</v>
      </c>
      <c r="AJ157" s="299">
        <f t="shared" si="87"/>
        <v>1.458031556721396E-3</v>
      </c>
      <c r="AK157" s="299">
        <f t="shared" si="87"/>
        <v>1.4015645832962027E-3</v>
      </c>
      <c r="AL157" s="299">
        <f t="shared" si="87"/>
        <v>1.3266249293893914E-3</v>
      </c>
      <c r="AM157" s="299">
        <f t="shared" si="87"/>
        <v>1.2361761942755924E-3</v>
      </c>
      <c r="AN157" s="299">
        <f t="shared" si="87"/>
        <v>1.1387215002489903E-3</v>
      </c>
      <c r="AO157" s="299">
        <f t="shared" si="87"/>
        <v>1.0457567846852145E-3</v>
      </c>
      <c r="AP157" s="299">
        <f t="shared" si="87"/>
        <v>9.6682557575470199E-4</v>
      </c>
      <c r="AQ157" s="299">
        <f t="shared" si="87"/>
        <v>9.0617105417037456E-4</v>
      </c>
      <c r="AR157" s="299">
        <f t="shared" si="58"/>
        <v>8.6303763481144959E-4</v>
      </c>
      <c r="AS157" s="299">
        <f t="shared" si="58"/>
        <v>8.3402680458985099E-4</v>
      </c>
      <c r="AT157" s="299">
        <f t="shared" si="58"/>
        <v>8.1523885648155606E-4</v>
      </c>
      <c r="AU157" s="299">
        <f t="shared" si="58"/>
        <v>8.0336779816937167E-4</v>
      </c>
      <c r="AV157" s="299">
        <f t="shared" si="58"/>
        <v>7.9598361623053502E-4</v>
      </c>
      <c r="AW157" s="299">
        <f t="shared" si="58"/>
        <v>7.9143504697705435E-4</v>
      </c>
      <c r="AX157" s="299">
        <f t="shared" si="58"/>
        <v>7.886500147477357E-4</v>
      </c>
      <c r="AY157" s="299">
        <f t="shared" si="58"/>
        <v>7.8695106158385513E-4</v>
      </c>
      <c r="AZ157" s="298">
        <f t="shared" si="90"/>
        <v>8.6839310538859529E-2</v>
      </c>
      <c r="BA157" s="1">
        <f t="shared" si="90"/>
        <v>8.6839310538859529E-2</v>
      </c>
      <c r="BB157" s="1">
        <f t="shared" si="90"/>
        <v>8.6839310538859529E-2</v>
      </c>
      <c r="BC157" s="1">
        <f t="shared" si="90"/>
        <v>8.6839310538859529E-2</v>
      </c>
      <c r="BD157" s="1">
        <f t="shared" si="90"/>
        <v>8.6839310538859529E-2</v>
      </c>
      <c r="BE157" s="1">
        <f t="shared" si="88"/>
        <v>8.2907356752049549E-2</v>
      </c>
      <c r="BF157" s="1">
        <f t="shared" si="88"/>
        <v>8.0716317588573644E-2</v>
      </c>
      <c r="BG157" s="1">
        <f t="shared" si="88"/>
        <v>7.7590317921939295E-2</v>
      </c>
      <c r="BH157" s="1">
        <f t="shared" si="88"/>
        <v>7.3441674583710231E-2</v>
      </c>
      <c r="BI157" s="1">
        <f t="shared" si="88"/>
        <v>6.8434451800859858E-2</v>
      </c>
      <c r="BJ157" s="1">
        <f t="shared" si="88"/>
        <v>6.303938061924784E-2</v>
      </c>
      <c r="BK157" s="1">
        <f t="shared" si="88"/>
        <v>5.7892873692573017E-2</v>
      </c>
      <c r="BL157" s="1">
        <f t="shared" si="88"/>
        <v>5.3523258715232246E-2</v>
      </c>
      <c r="BM157" s="1">
        <f t="shared" si="88"/>
        <v>5.0165437271097978E-2</v>
      </c>
      <c r="BN157" s="1">
        <f t="shared" si="59"/>
        <v>4.7777580328217432E-2</v>
      </c>
      <c r="BO157" s="1">
        <f t="shared" si="59"/>
        <v>4.6171546923192718E-2</v>
      </c>
      <c r="BP157" s="1">
        <f t="shared" si="59"/>
        <v>4.5131450102684365E-2</v>
      </c>
      <c r="BQ157" s="1">
        <f t="shared" si="59"/>
        <v>4.4474270833537825E-2</v>
      </c>
      <c r="BR157" s="1">
        <f t="shared" si="59"/>
        <v>4.4065484088313192E-2</v>
      </c>
      <c r="BS157" s="1">
        <f t="shared" si="59"/>
        <v>4.3813676259638244E-2</v>
      </c>
      <c r="BT157" s="1">
        <f t="shared" si="59"/>
        <v>4.3659497466401707E-2</v>
      </c>
      <c r="BU157" s="1">
        <f t="shared" si="59"/>
        <v>4.3565443779763902E-2</v>
      </c>
    </row>
    <row r="158" spans="1:73" x14ac:dyDescent="0.25">
      <c r="A158" s="1" t="s">
        <v>38</v>
      </c>
      <c r="B158" s="1" t="s">
        <v>5</v>
      </c>
      <c r="C158" s="1" t="s">
        <v>8</v>
      </c>
      <c r="D158" s="1" t="s">
        <v>8</v>
      </c>
      <c r="E158" s="5">
        <v>8.7119999999999997</v>
      </c>
      <c r="F158" s="1">
        <f t="shared" si="57"/>
        <v>2.1344399999999999E-2</v>
      </c>
      <c r="G158" s="1">
        <f>LOOKUP(RIGHT(D158,5),Ref!$C$4:$C$21,Ref!$E$4:$E$21)*$G$3</f>
        <v>4</v>
      </c>
      <c r="H158" s="297">
        <f t="shared" si="86"/>
        <v>8.7119999999999997</v>
      </c>
      <c r="I158" s="5">
        <f t="shared" si="86"/>
        <v>8.7119999999999997</v>
      </c>
      <c r="J158" s="5">
        <f t="shared" si="86"/>
        <v>8.7119999999999997</v>
      </c>
      <c r="K158" s="5">
        <f t="shared" si="86"/>
        <v>8.7119999999999997</v>
      </c>
      <c r="L158" s="5">
        <f t="shared" si="86"/>
        <v>8.7119999999999997</v>
      </c>
      <c r="M158" s="5">
        <f t="shared" si="85"/>
        <v>9.1251742071229618</v>
      </c>
      <c r="N158" s="5">
        <f t="shared" si="85"/>
        <v>9.3728764643450724</v>
      </c>
      <c r="O158" s="5">
        <f t="shared" si="85"/>
        <v>9.7504958566566877</v>
      </c>
      <c r="P158" s="5">
        <f t="shared" si="85"/>
        <v>10.301291163400975</v>
      </c>
      <c r="Q158" s="5">
        <f t="shared" si="85"/>
        <v>11.055017662975398</v>
      </c>
      <c r="R158" s="5">
        <f t="shared" si="85"/>
        <v>12.001134306569444</v>
      </c>
      <c r="S158" s="5">
        <f t="shared" si="85"/>
        <v>13.068</v>
      </c>
      <c r="T158" s="5">
        <f t="shared" si="85"/>
        <v>14.134865693430555</v>
      </c>
      <c r="U158" s="5">
        <f t="shared" si="85"/>
        <v>15.080982337024601</v>
      </c>
      <c r="V158" s="5">
        <f t="shared" si="85"/>
        <v>15.834708836599024</v>
      </c>
      <c r="W158" s="5">
        <f t="shared" si="85"/>
        <v>16.385504143343308</v>
      </c>
      <c r="X158" s="5">
        <f t="shared" si="85"/>
        <v>16.763123535654927</v>
      </c>
      <c r="Y158" s="5">
        <f t="shared" si="85"/>
        <v>17.010825792877039</v>
      </c>
      <c r="Z158" s="5">
        <f t="shared" si="85"/>
        <v>17.168631845694183</v>
      </c>
      <c r="AA158" s="5">
        <f t="shared" si="85"/>
        <v>17.267304138810257</v>
      </c>
      <c r="AB158" s="5">
        <f t="shared" si="85"/>
        <v>17.328281755802273</v>
      </c>
      <c r="AC158" s="5">
        <f t="shared" si="84"/>
        <v>17.36569188274763</v>
      </c>
      <c r="AD158" s="300">
        <f t="shared" si="89"/>
        <v>1.5775478768972979E-3</v>
      </c>
      <c r="AE158" s="299">
        <f t="shared" si="89"/>
        <v>1.5775478768972979E-3</v>
      </c>
      <c r="AF158" s="299">
        <f t="shared" si="89"/>
        <v>1.5775478768972979E-3</v>
      </c>
      <c r="AG158" s="299">
        <f t="shared" si="89"/>
        <v>1.5775478768972979E-3</v>
      </c>
      <c r="AH158" s="299">
        <f t="shared" si="89"/>
        <v>1.5775478768972979E-3</v>
      </c>
      <c r="AI158" s="299">
        <f t="shared" si="87"/>
        <v>1.5061188741800932E-3</v>
      </c>
      <c r="AJ158" s="299">
        <f t="shared" si="87"/>
        <v>1.4663158269300407E-3</v>
      </c>
      <c r="AK158" s="299">
        <f t="shared" si="87"/>
        <v>1.4095280184285677E-3</v>
      </c>
      <c r="AL158" s="299">
        <f t="shared" si="87"/>
        <v>1.3341625710336495E-3</v>
      </c>
      <c r="AM158" s="299">
        <f t="shared" si="87"/>
        <v>1.2431999226521584E-3</v>
      </c>
      <c r="AN158" s="299">
        <f t="shared" si="87"/>
        <v>1.1451915087731322E-3</v>
      </c>
      <c r="AO158" s="299">
        <f t="shared" si="87"/>
        <v>1.0516985845981986E-3</v>
      </c>
      <c r="AP158" s="299">
        <f t="shared" si="87"/>
        <v>9.72318902889672E-4</v>
      </c>
      <c r="AQ158" s="299">
        <f t="shared" si="87"/>
        <v>9.1131975334179721E-4</v>
      </c>
      <c r="AR158" s="299">
        <f t="shared" si="58"/>
        <v>8.6794125773651464E-4</v>
      </c>
      <c r="AS158" s="299">
        <f t="shared" si="58"/>
        <v>8.3876559325229332E-4</v>
      </c>
      <c r="AT158" s="299">
        <f t="shared" si="58"/>
        <v>8.1987089543883766E-4</v>
      </c>
      <c r="AU158" s="299">
        <f t="shared" si="58"/>
        <v>8.0793238793169765E-4</v>
      </c>
      <c r="AV158" s="299">
        <f t="shared" si="58"/>
        <v>8.005062504136632E-4</v>
      </c>
      <c r="AW158" s="299">
        <f t="shared" si="58"/>
        <v>7.9593183701669678E-4</v>
      </c>
      <c r="AX158" s="299">
        <f t="shared" si="58"/>
        <v>7.9313098074062062E-4</v>
      </c>
      <c r="AY158" s="299">
        <f t="shared" si="58"/>
        <v>7.9142237443376336E-4</v>
      </c>
      <c r="AZ158" s="298">
        <f t="shared" si="90"/>
        <v>8.7332715712375775E-2</v>
      </c>
      <c r="BA158" s="1">
        <f t="shared" si="90"/>
        <v>8.7332715712375775E-2</v>
      </c>
      <c r="BB158" s="1">
        <f t="shared" si="90"/>
        <v>8.7332715712375775E-2</v>
      </c>
      <c r="BC158" s="1">
        <f t="shared" si="90"/>
        <v>8.7332715712375775E-2</v>
      </c>
      <c r="BD158" s="1">
        <f t="shared" si="90"/>
        <v>8.7332715712375775E-2</v>
      </c>
      <c r="BE158" s="1">
        <f t="shared" si="88"/>
        <v>8.3378421279049819E-2</v>
      </c>
      <c r="BF158" s="1">
        <f t="shared" si="88"/>
        <v>8.117493302941782E-2</v>
      </c>
      <c r="BG158" s="1">
        <f t="shared" si="88"/>
        <v>7.8031172001041219E-2</v>
      </c>
      <c r="BH158" s="1">
        <f t="shared" si="88"/>
        <v>7.3858956825663125E-2</v>
      </c>
      <c r="BI158" s="1">
        <f t="shared" si="88"/>
        <v>6.882328391336473E-2</v>
      </c>
      <c r="BJ158" s="1">
        <f t="shared" si="88"/>
        <v>6.3397558918220839E-2</v>
      </c>
      <c r="BK158" s="1">
        <f t="shared" si="88"/>
        <v>5.8221810474917188E-2</v>
      </c>
      <c r="BL158" s="1">
        <f t="shared" si="88"/>
        <v>5.3827368139750607E-2</v>
      </c>
      <c r="BM158" s="1">
        <f t="shared" si="88"/>
        <v>5.0450468164683765E-2</v>
      </c>
      <c r="BN158" s="1">
        <f t="shared" si="59"/>
        <v>4.8049043852809573E-2</v>
      </c>
      <c r="BO158" s="1">
        <f t="shared" si="59"/>
        <v>4.6433885257983587E-2</v>
      </c>
      <c r="BP158" s="1">
        <f t="shared" si="59"/>
        <v>4.5387878796449614E-2</v>
      </c>
      <c r="BQ158" s="1">
        <f t="shared" si="59"/>
        <v>4.4726965554182922E-2</v>
      </c>
      <c r="BR158" s="1">
        <f t="shared" si="59"/>
        <v>4.4315856156996791E-2</v>
      </c>
      <c r="BS158" s="1">
        <f t="shared" si="59"/>
        <v>4.4062617602022555E-2</v>
      </c>
      <c r="BT158" s="1">
        <f t="shared" si="59"/>
        <v>4.3907562792915349E-2</v>
      </c>
      <c r="BU158" s="1">
        <f t="shared" si="59"/>
        <v>4.3812974710330743E-2</v>
      </c>
    </row>
    <row r="159" spans="1:73" x14ac:dyDescent="0.25">
      <c r="A159" s="1" t="s">
        <v>38</v>
      </c>
      <c r="B159" s="1" t="s">
        <v>5</v>
      </c>
      <c r="C159" s="1" t="s">
        <v>9</v>
      </c>
      <c r="D159" s="1" t="s">
        <v>9</v>
      </c>
      <c r="E159" s="5">
        <v>8.9017499999999998</v>
      </c>
      <c r="F159" s="1">
        <f t="shared" si="57"/>
        <v>2.18092875E-2</v>
      </c>
      <c r="G159" s="1">
        <f>LOOKUP(RIGHT(D159,5),Ref!$C$4:$C$21,Ref!$E$4:$E$21)*$G$3</f>
        <v>4.5</v>
      </c>
      <c r="H159" s="297">
        <f t="shared" si="86"/>
        <v>8.9017499999999998</v>
      </c>
      <c r="I159" s="5">
        <f t="shared" si="86"/>
        <v>8.9017499999999998</v>
      </c>
      <c r="J159" s="5">
        <f t="shared" si="86"/>
        <v>8.9017499999999998</v>
      </c>
      <c r="K159" s="5">
        <f t="shared" si="86"/>
        <v>8.9017499999999998</v>
      </c>
      <c r="L159" s="5">
        <f t="shared" si="86"/>
        <v>8.9017499999999998</v>
      </c>
      <c r="M159" s="5">
        <f t="shared" si="85"/>
        <v>9.3239232665584044</v>
      </c>
      <c r="N159" s="5">
        <f t="shared" si="85"/>
        <v>9.577020554004104</v>
      </c>
      <c r="O159" s="5">
        <f t="shared" si="85"/>
        <v>9.9628646111103851</v>
      </c>
      <c r="P159" s="5">
        <f t="shared" si="85"/>
        <v>10.525656406543233</v>
      </c>
      <c r="Q159" s="5">
        <f t="shared" si="85"/>
        <v>11.295799297680354</v>
      </c>
      <c r="R159" s="5">
        <f t="shared" si="85"/>
        <v>12.262522648473892</v>
      </c>
      <c r="S159" s="5">
        <f t="shared" si="85"/>
        <v>13.352625</v>
      </c>
      <c r="T159" s="5">
        <f t="shared" si="85"/>
        <v>14.442727351526107</v>
      </c>
      <c r="U159" s="5">
        <f t="shared" si="85"/>
        <v>15.409450702319646</v>
      </c>
      <c r="V159" s="5">
        <f t="shared" si="85"/>
        <v>16.179593593456769</v>
      </c>
      <c r="W159" s="5">
        <f t="shared" si="85"/>
        <v>16.742385388889613</v>
      </c>
      <c r="X159" s="5">
        <f t="shared" si="85"/>
        <v>17.128229445995895</v>
      </c>
      <c r="Y159" s="5">
        <f t="shared" si="85"/>
        <v>17.381326733441593</v>
      </c>
      <c r="Z159" s="5">
        <f t="shared" si="85"/>
        <v>17.542569849909114</v>
      </c>
      <c r="AA159" s="5">
        <f t="shared" si="85"/>
        <v>17.64339125546995</v>
      </c>
      <c r="AB159" s="5">
        <f t="shared" si="85"/>
        <v>17.705696983438116</v>
      </c>
      <c r="AC159" s="5">
        <f t="shared" si="84"/>
        <v>17.743921914284748</v>
      </c>
      <c r="AD159" s="300">
        <f t="shared" si="89"/>
        <v>1.5439208137196911E-3</v>
      </c>
      <c r="AE159" s="299">
        <f t="shared" si="89"/>
        <v>1.5439208137196911E-3</v>
      </c>
      <c r="AF159" s="299">
        <f t="shared" si="89"/>
        <v>1.5439208137196911E-3</v>
      </c>
      <c r="AG159" s="299">
        <f t="shared" si="89"/>
        <v>1.5439208137196911E-3</v>
      </c>
      <c r="AH159" s="299">
        <f t="shared" si="89"/>
        <v>1.5439208137196911E-3</v>
      </c>
      <c r="AI159" s="299">
        <f t="shared" si="87"/>
        <v>1.4740143940075797E-3</v>
      </c>
      <c r="AJ159" s="299">
        <f t="shared" si="87"/>
        <v>1.435059789840707E-3</v>
      </c>
      <c r="AK159" s="299">
        <f t="shared" si="87"/>
        <v>1.3794824721599327E-3</v>
      </c>
      <c r="AL159" s="299">
        <f t="shared" si="87"/>
        <v>1.3057235171561943E-3</v>
      </c>
      <c r="AM159" s="299">
        <f t="shared" si="87"/>
        <v>1.2166998316225017E-3</v>
      </c>
      <c r="AN159" s="299">
        <f t="shared" si="87"/>
        <v>1.1207805683636958E-3</v>
      </c>
      <c r="AO159" s="299">
        <f t="shared" si="87"/>
        <v>1.029280542479794E-3</v>
      </c>
      <c r="AP159" s="299">
        <f t="shared" si="87"/>
        <v>9.5159292071500794E-4</v>
      </c>
      <c r="AQ159" s="299">
        <f t="shared" si="87"/>
        <v>8.9189403107408499E-4</v>
      </c>
      <c r="AR159" s="299">
        <f t="shared" si="58"/>
        <v>8.494401929284147E-4</v>
      </c>
      <c r="AS159" s="299">
        <f t="shared" si="58"/>
        <v>8.2088643788176237E-4</v>
      </c>
      <c r="AT159" s="299">
        <f t="shared" si="58"/>
        <v>8.0239450007730552E-4</v>
      </c>
      <c r="AU159" s="299">
        <f t="shared" si="58"/>
        <v>7.9071047419450682E-4</v>
      </c>
      <c r="AV159" s="299">
        <f t="shared" si="58"/>
        <v>7.8344263247157389E-4</v>
      </c>
      <c r="AW159" s="299">
        <f t="shared" si="58"/>
        <v>7.789657274231991E-4</v>
      </c>
      <c r="AX159" s="299">
        <f t="shared" si="58"/>
        <v>7.7622457429295222E-4</v>
      </c>
      <c r="AY159" s="299">
        <f t="shared" si="58"/>
        <v>7.7455238869513811E-4</v>
      </c>
      <c r="AZ159" s="298">
        <f t="shared" si="90"/>
        <v>8.5471128630462301E-2</v>
      </c>
      <c r="BA159" s="1">
        <f t="shared" si="90"/>
        <v>8.5471128630462301E-2</v>
      </c>
      <c r="BB159" s="1">
        <f t="shared" si="90"/>
        <v>8.5471128630462301E-2</v>
      </c>
      <c r="BC159" s="1">
        <f t="shared" si="90"/>
        <v>8.5471128630462301E-2</v>
      </c>
      <c r="BD159" s="1">
        <f t="shared" si="90"/>
        <v>8.5471128630462301E-2</v>
      </c>
      <c r="BE159" s="1">
        <f t="shared" si="88"/>
        <v>8.1601124069209108E-2</v>
      </c>
      <c r="BF159" s="1">
        <f t="shared" si="88"/>
        <v>7.9444605448623931E-2</v>
      </c>
      <c r="BG159" s="1">
        <f t="shared" si="88"/>
        <v>7.636785693521736E-2</v>
      </c>
      <c r="BH159" s="1">
        <f t="shared" si="88"/>
        <v>7.2284576837720355E-2</v>
      </c>
      <c r="BI159" s="1">
        <f t="shared" si="88"/>
        <v>6.7356244497231849E-2</v>
      </c>
      <c r="BJ159" s="1">
        <f t="shared" si="88"/>
        <v>6.2046174437109552E-2</v>
      </c>
      <c r="BK159" s="1">
        <f t="shared" si="88"/>
        <v>5.6980752420308201E-2</v>
      </c>
      <c r="BL159" s="1">
        <f t="shared" si="88"/>
        <v>5.2679982164575201E-2</v>
      </c>
      <c r="BM159" s="1">
        <f t="shared" si="88"/>
        <v>4.9375064302044532E-2</v>
      </c>
      <c r="BN159" s="1">
        <f t="shared" si="59"/>
        <v>4.7024828830923918E-2</v>
      </c>
      <c r="BO159" s="1">
        <f t="shared" si="59"/>
        <v>4.5444099010593757E-2</v>
      </c>
      <c r="BP159" s="1">
        <f t="shared" si="59"/>
        <v>4.4420389257693045E-2</v>
      </c>
      <c r="BQ159" s="1">
        <f t="shared" si="59"/>
        <v>4.3773564064149374E-2</v>
      </c>
      <c r="BR159" s="1">
        <f t="shared" si="59"/>
        <v>4.3371217888590004E-2</v>
      </c>
      <c r="BS159" s="1">
        <f t="shared" si="59"/>
        <v>4.3123377375102703E-2</v>
      </c>
      <c r="BT159" s="1">
        <f t="shared" si="59"/>
        <v>4.2971627719479717E-2</v>
      </c>
      <c r="BU159" s="1">
        <f t="shared" si="59"/>
        <v>4.2879055879619335E-2</v>
      </c>
    </row>
    <row r="160" spans="1:73" x14ac:dyDescent="0.25">
      <c r="A160" s="1" t="s">
        <v>38</v>
      </c>
      <c r="B160" s="1" t="s">
        <v>5</v>
      </c>
      <c r="C160" s="1" t="s">
        <v>10</v>
      </c>
      <c r="D160" s="1" t="s">
        <v>10</v>
      </c>
      <c r="E160" s="5">
        <v>8.0190000000000001</v>
      </c>
      <c r="F160" s="1">
        <f t="shared" si="57"/>
        <v>1.9646550000000002E-2</v>
      </c>
      <c r="G160" s="1">
        <f>LOOKUP(RIGHT(D160,5),Ref!$C$4:$C$21,Ref!$E$4:$E$21)*$G$3</f>
        <v>4.5</v>
      </c>
      <c r="H160" s="297">
        <f t="shared" si="86"/>
        <v>8.0190000000000001</v>
      </c>
      <c r="I160" s="5">
        <f t="shared" si="86"/>
        <v>8.0190000000000001</v>
      </c>
      <c r="J160" s="5">
        <f t="shared" si="86"/>
        <v>8.0190000000000001</v>
      </c>
      <c r="K160" s="5">
        <f t="shared" si="86"/>
        <v>8.0190000000000001</v>
      </c>
      <c r="L160" s="5">
        <f t="shared" si="86"/>
        <v>8.0190000000000001</v>
      </c>
      <c r="M160" s="5">
        <f t="shared" si="85"/>
        <v>8.3993080770109074</v>
      </c>
      <c r="N160" s="5">
        <f t="shared" si="85"/>
        <v>8.6273067455903512</v>
      </c>
      <c r="O160" s="5">
        <f t="shared" si="85"/>
        <v>8.9748882316953615</v>
      </c>
      <c r="P160" s="5">
        <f t="shared" si="85"/>
        <v>9.4818702754031712</v>
      </c>
      <c r="Q160" s="5">
        <f t="shared" si="85"/>
        <v>10.175641257965992</v>
      </c>
      <c r="R160" s="5">
        <f t="shared" si="85"/>
        <v>11.046498623092329</v>
      </c>
      <c r="S160" s="5">
        <f t="shared" si="85"/>
        <v>12.028500000000001</v>
      </c>
      <c r="T160" s="5">
        <f t="shared" si="85"/>
        <v>13.010501376907671</v>
      </c>
      <c r="U160" s="5">
        <f t="shared" si="85"/>
        <v>13.881358742034008</v>
      </c>
      <c r="V160" s="5">
        <f t="shared" si="85"/>
        <v>14.575129724596829</v>
      </c>
      <c r="W160" s="5">
        <f t="shared" si="85"/>
        <v>15.082111768304637</v>
      </c>
      <c r="X160" s="5">
        <f t="shared" si="85"/>
        <v>15.429693254409649</v>
      </c>
      <c r="Y160" s="5">
        <f t="shared" si="85"/>
        <v>15.657691922989093</v>
      </c>
      <c r="Z160" s="5">
        <f t="shared" si="85"/>
        <v>15.802945221604874</v>
      </c>
      <c r="AA160" s="5">
        <f t="shared" si="85"/>
        <v>15.893768582313989</v>
      </c>
      <c r="AB160" s="5">
        <f t="shared" si="85"/>
        <v>15.949895707045274</v>
      </c>
      <c r="AC160" s="5">
        <f t="shared" si="84"/>
        <v>15.98433002843816</v>
      </c>
      <c r="AD160" s="300">
        <f t="shared" si="89"/>
        <v>1.7138791749007681E-3</v>
      </c>
      <c r="AE160" s="299">
        <f t="shared" si="89"/>
        <v>1.7138791749007681E-3</v>
      </c>
      <c r="AF160" s="299">
        <f t="shared" si="89"/>
        <v>1.7138791749007681E-3</v>
      </c>
      <c r="AG160" s="299">
        <f t="shared" si="89"/>
        <v>1.7138791749007681E-3</v>
      </c>
      <c r="AH160" s="299">
        <f t="shared" si="89"/>
        <v>1.7138791749007681E-3</v>
      </c>
      <c r="AI160" s="299">
        <f t="shared" si="87"/>
        <v>1.6362772954055334E-3</v>
      </c>
      <c r="AJ160" s="299">
        <f t="shared" si="87"/>
        <v>1.5930344786400439E-3</v>
      </c>
      <c r="AK160" s="299">
        <f t="shared" si="87"/>
        <v>1.5313390817495547E-3</v>
      </c>
      <c r="AL160" s="299">
        <f t="shared" si="87"/>
        <v>1.4494605709995203E-3</v>
      </c>
      <c r="AM160" s="299">
        <f t="shared" si="87"/>
        <v>1.3506369530048138E-3</v>
      </c>
      <c r="AN160" s="299">
        <f t="shared" si="87"/>
        <v>1.2441586761979709E-3</v>
      </c>
      <c r="AO160" s="299">
        <f t="shared" si="87"/>
        <v>1.1425861166005119E-3</v>
      </c>
      <c r="AP160" s="299">
        <f t="shared" si="87"/>
        <v>1.0563464623986559E-3</v>
      </c>
      <c r="AQ160" s="299">
        <f t="shared" si="87"/>
        <v>9.9007578140837224E-4</v>
      </c>
      <c r="AR160" s="299">
        <f t="shared" si="58"/>
        <v>9.4294852692362082E-4</v>
      </c>
      <c r="AS160" s="299">
        <f t="shared" si="58"/>
        <v>9.1125150871854078E-4</v>
      </c>
      <c r="AT160" s="299">
        <f t="shared" si="58"/>
        <v>8.9072393578540387E-4</v>
      </c>
      <c r="AU160" s="299">
        <f t="shared" si="58"/>
        <v>8.7775370540727642E-4</v>
      </c>
      <c r="AV160" s="299">
        <f t="shared" si="58"/>
        <v>8.6968580291854755E-4</v>
      </c>
      <c r="AW160" s="299">
        <f t="shared" si="58"/>
        <v>8.6471606984530008E-4</v>
      </c>
      <c r="AX160" s="299">
        <f t="shared" si="58"/>
        <v>8.6167316426141499E-4</v>
      </c>
      <c r="AY160" s="299">
        <f t="shared" si="58"/>
        <v>8.5981690061939721E-4</v>
      </c>
      <c r="AZ160" s="298">
        <f t="shared" si="90"/>
        <v>9.4879987440605787E-2</v>
      </c>
      <c r="BA160" s="1">
        <f t="shared" si="90"/>
        <v>9.4879987440605787E-2</v>
      </c>
      <c r="BB160" s="1">
        <f t="shared" si="90"/>
        <v>9.4879987440605787E-2</v>
      </c>
      <c r="BC160" s="1">
        <f t="shared" si="90"/>
        <v>9.4879987440605787E-2</v>
      </c>
      <c r="BD160" s="1">
        <f t="shared" si="90"/>
        <v>9.4879987440605787E-2</v>
      </c>
      <c r="BE160" s="1">
        <f t="shared" si="88"/>
        <v>9.0583963858720806E-2</v>
      </c>
      <c r="BF160" s="1">
        <f t="shared" si="88"/>
        <v>8.8190050698626773E-2</v>
      </c>
      <c r="BG160" s="1">
        <f t="shared" si="88"/>
        <v>8.4774606618415141E-2</v>
      </c>
      <c r="BH160" s="1">
        <f t="shared" si="88"/>
        <v>8.0241829637757472E-2</v>
      </c>
      <c r="BI160" s="1">
        <f t="shared" si="88"/>
        <v>7.4770975115754285E-2</v>
      </c>
      <c r="BJ160" s="1">
        <f t="shared" si="88"/>
        <v>6.8876360306215231E-2</v>
      </c>
      <c r="BK160" s="1">
        <f t="shared" si="88"/>
        <v>6.3253324960403853E-2</v>
      </c>
      <c r="BL160" s="1">
        <f t="shared" si="88"/>
        <v>5.8479116003679672E-2</v>
      </c>
      <c r="BM160" s="1">
        <f t="shared" si="88"/>
        <v>5.4810385166570011E-2</v>
      </c>
      <c r="BN160" s="1">
        <f t="shared" si="59"/>
        <v>5.2201430358607928E-2</v>
      </c>
      <c r="BO160" s="1">
        <f t="shared" si="59"/>
        <v>5.0446690156821669E-2</v>
      </c>
      <c r="BP160" s="1">
        <f t="shared" si="59"/>
        <v>4.9310288075155133E-2</v>
      </c>
      <c r="BQ160" s="1">
        <f t="shared" si="59"/>
        <v>4.8592258873680211E-2</v>
      </c>
      <c r="BR160" s="1">
        <f t="shared" si="59"/>
        <v>4.8145621503897749E-2</v>
      </c>
      <c r="BS160" s="1">
        <f t="shared" si="59"/>
        <v>4.7870498135530674E-2</v>
      </c>
      <c r="BT160" s="1">
        <f t="shared" si="59"/>
        <v>4.7702043528105566E-2</v>
      </c>
      <c r="BU160" s="1">
        <f t="shared" si="59"/>
        <v>4.7599281166779077E-2</v>
      </c>
    </row>
    <row r="161" spans="1:73" x14ac:dyDescent="0.25">
      <c r="A161" s="1" t="s">
        <v>38</v>
      </c>
      <c r="B161" s="1" t="s">
        <v>5</v>
      </c>
      <c r="C161" s="1" t="s">
        <v>11</v>
      </c>
      <c r="D161" s="1" t="s">
        <v>11</v>
      </c>
      <c r="E161" s="5">
        <v>8.505749999999999</v>
      </c>
      <c r="F161" s="1">
        <f t="shared" si="57"/>
        <v>2.0839087499999999E-2</v>
      </c>
      <c r="G161" s="1">
        <f>LOOKUP(RIGHT(D161,5),Ref!$C$4:$C$21,Ref!$E$4:$E$21)*$G$3</f>
        <v>4.5</v>
      </c>
      <c r="H161" s="297">
        <f t="shared" si="86"/>
        <v>8.505749999999999</v>
      </c>
      <c r="I161" s="5">
        <f t="shared" si="86"/>
        <v>8.505749999999999</v>
      </c>
      <c r="J161" s="5">
        <f t="shared" si="86"/>
        <v>8.505749999999999</v>
      </c>
      <c r="K161" s="5">
        <f t="shared" si="86"/>
        <v>8.505749999999999</v>
      </c>
      <c r="L161" s="5">
        <f t="shared" si="86"/>
        <v>8.505749999999999</v>
      </c>
      <c r="M161" s="5">
        <f t="shared" si="85"/>
        <v>8.9091426207800879</v>
      </c>
      <c r="N161" s="5">
        <f t="shared" si="85"/>
        <v>9.1509807147156899</v>
      </c>
      <c r="O161" s="5">
        <f t="shared" si="85"/>
        <v>9.5196602539896258</v>
      </c>
      <c r="P161" s="5">
        <f t="shared" si="85"/>
        <v>10.057415899115915</v>
      </c>
      <c r="Q161" s="5">
        <f t="shared" si="85"/>
        <v>10.793298494817835</v>
      </c>
      <c r="R161" s="5">
        <f t="shared" si="85"/>
        <v>11.717016543629825</v>
      </c>
      <c r="S161" s="5">
        <f t="shared" si="85"/>
        <v>12.758624999999999</v>
      </c>
      <c r="T161" s="5">
        <f t="shared" si="85"/>
        <v>13.800233456370172</v>
      </c>
      <c r="U161" s="5">
        <f t="shared" si="85"/>
        <v>14.723951505182162</v>
      </c>
      <c r="V161" s="5">
        <f t="shared" si="85"/>
        <v>15.459834100884082</v>
      </c>
      <c r="W161" s="5">
        <f t="shared" si="85"/>
        <v>15.99758974601037</v>
      </c>
      <c r="X161" s="5">
        <f t="shared" si="85"/>
        <v>16.366269285284307</v>
      </c>
      <c r="Y161" s="5">
        <f t="shared" si="85"/>
        <v>16.608107379219909</v>
      </c>
      <c r="Z161" s="5">
        <f t="shared" si="85"/>
        <v>16.76217749328665</v>
      </c>
      <c r="AA161" s="5">
        <f t="shared" si="85"/>
        <v>16.858513794614939</v>
      </c>
      <c r="AB161" s="5">
        <f t="shared" si="85"/>
        <v>16.918047812719831</v>
      </c>
      <c r="AC161" s="5">
        <f t="shared" si="84"/>
        <v>16.954572283250762</v>
      </c>
      <c r="AD161" s="300">
        <f t="shared" si="89"/>
        <v>1.6158007352119756E-3</v>
      </c>
      <c r="AE161" s="299">
        <f t="shared" si="89"/>
        <v>1.6158007352119756E-3</v>
      </c>
      <c r="AF161" s="299">
        <f t="shared" si="89"/>
        <v>1.6158007352119756E-3</v>
      </c>
      <c r="AG161" s="299">
        <f t="shared" si="89"/>
        <v>1.6158007352119756E-3</v>
      </c>
      <c r="AH161" s="299">
        <f t="shared" si="89"/>
        <v>1.6158007352119756E-3</v>
      </c>
      <c r="AI161" s="299">
        <f t="shared" si="87"/>
        <v>1.5426397004211236E-3</v>
      </c>
      <c r="AJ161" s="299">
        <f t="shared" si="87"/>
        <v>1.5018714968362008E-3</v>
      </c>
      <c r="AK161" s="299">
        <f t="shared" si="87"/>
        <v>1.4437066803691244E-3</v>
      </c>
      <c r="AL161" s="299">
        <f t="shared" si="87"/>
        <v>1.3665137487987719E-3</v>
      </c>
      <c r="AM161" s="299">
        <f t="shared" si="87"/>
        <v>1.2733454105923177E-3</v>
      </c>
      <c r="AN161" s="299">
        <f t="shared" si="87"/>
        <v>1.1729604590343626E-3</v>
      </c>
      <c r="AO161" s="299">
        <f t="shared" si="87"/>
        <v>1.077200490141317E-3</v>
      </c>
      <c r="AP161" s="299">
        <f t="shared" si="87"/>
        <v>9.9589598588893657E-4</v>
      </c>
      <c r="AQ161" s="299">
        <f t="shared" si="87"/>
        <v>9.3341771050333452E-4</v>
      </c>
      <c r="AR161" s="299">
        <f t="shared" si="58"/>
        <v>8.8898736000946619E-4</v>
      </c>
      <c r="AS161" s="299">
        <f t="shared" si="58"/>
        <v>8.5910423518372619E-4</v>
      </c>
      <c r="AT161" s="299">
        <f t="shared" si="58"/>
        <v>8.3975137301979888E-4</v>
      </c>
      <c r="AU161" s="299">
        <f t="shared" si="58"/>
        <v>8.2752337696980881E-4</v>
      </c>
      <c r="AV161" s="299">
        <f t="shared" si="58"/>
        <v>8.1991716822194796E-4</v>
      </c>
      <c r="AW161" s="299">
        <f t="shared" si="58"/>
        <v>8.1523183306462827E-4</v>
      </c>
      <c r="AX161" s="299">
        <f t="shared" si="58"/>
        <v>8.1236306077797811E-4</v>
      </c>
      <c r="AY161" s="299">
        <f t="shared" si="58"/>
        <v>8.106130236683358E-4</v>
      </c>
      <c r="AZ161" s="298">
        <f t="shared" si="90"/>
        <v>8.9450385831492563E-2</v>
      </c>
      <c r="BA161" s="1">
        <f t="shared" si="90"/>
        <v>8.9450385831492563E-2</v>
      </c>
      <c r="BB161" s="1">
        <f t="shared" si="90"/>
        <v>8.9450385831492563E-2</v>
      </c>
      <c r="BC161" s="1">
        <f t="shared" si="90"/>
        <v>8.9450385831492563E-2</v>
      </c>
      <c r="BD161" s="1">
        <f t="shared" si="90"/>
        <v>8.9450385831492563E-2</v>
      </c>
      <c r="BE161" s="1">
        <f t="shared" si="88"/>
        <v>8.5400206470103421E-2</v>
      </c>
      <c r="BF161" s="1">
        <f t="shared" si="88"/>
        <v>8.3143287370577329E-2</v>
      </c>
      <c r="BG161" s="1">
        <f t="shared" si="88"/>
        <v>7.9923295473423403E-2</v>
      </c>
      <c r="BH161" s="1">
        <f t="shared" si="88"/>
        <v>7.5649911161881925E-2</v>
      </c>
      <c r="BI161" s="1">
        <f t="shared" si="88"/>
        <v>7.049213172891676E-2</v>
      </c>
      <c r="BJ161" s="1">
        <f t="shared" si="88"/>
        <v>6.4934842112164132E-2</v>
      </c>
      <c r="BK161" s="1">
        <f t="shared" si="88"/>
        <v>5.9633590554328375E-2</v>
      </c>
      <c r="BL161" s="1">
        <f t="shared" si="88"/>
        <v>5.5132590451577736E-2</v>
      </c>
      <c r="BM161" s="1">
        <f t="shared" si="88"/>
        <v>5.1673806384001993E-2</v>
      </c>
      <c r="BN161" s="1">
        <f t="shared" si="59"/>
        <v>4.9214151608697305E-2</v>
      </c>
      <c r="BO161" s="1">
        <f t="shared" si="59"/>
        <v>4.7559828159486582E-2</v>
      </c>
      <c r="BP161" s="1">
        <f t="shared" si="59"/>
        <v>4.6488457816732102E-2</v>
      </c>
      <c r="BQ161" s="1">
        <f t="shared" si="59"/>
        <v>4.5811518550162147E-2</v>
      </c>
      <c r="BR161" s="1">
        <f t="shared" si="59"/>
        <v>4.53904404479036E-2</v>
      </c>
      <c r="BS161" s="1">
        <f t="shared" si="59"/>
        <v>4.5131061287813592E-2</v>
      </c>
      <c r="BT161" s="1">
        <f t="shared" si="59"/>
        <v>4.4972246662772664E-2</v>
      </c>
      <c r="BU161" s="1">
        <f t="shared" si="59"/>
        <v>4.487536497973741E-2</v>
      </c>
    </row>
    <row r="162" spans="1:73" x14ac:dyDescent="0.25">
      <c r="A162" s="1" t="s">
        <v>39</v>
      </c>
      <c r="B162" s="1" t="s">
        <v>5</v>
      </c>
      <c r="C162" s="1" t="s">
        <v>6</v>
      </c>
      <c r="D162" s="1" t="s">
        <v>6</v>
      </c>
      <c r="E162" s="5">
        <v>1</v>
      </c>
      <c r="F162" s="1">
        <f t="shared" si="57"/>
        <v>2.4500000000000004E-3</v>
      </c>
      <c r="G162" s="1">
        <f>LOOKUP(RIGHT(D162,5),Ref!$C$4:$C$21,Ref!$E$4:$E$21)*$G$3</f>
        <v>3</v>
      </c>
      <c r="H162" s="297">
        <f t="shared" si="86"/>
        <v>1</v>
      </c>
      <c r="I162" s="5">
        <f t="shared" si="86"/>
        <v>1</v>
      </c>
      <c r="J162" s="5">
        <f t="shared" si="86"/>
        <v>1</v>
      </c>
      <c r="K162" s="5">
        <f t="shared" si="86"/>
        <v>1</v>
      </c>
      <c r="L162" s="5">
        <f t="shared" si="86"/>
        <v>1</v>
      </c>
      <c r="M162" s="5">
        <f t="shared" si="85"/>
        <v>1.0474258731775667</v>
      </c>
      <c r="N162" s="5">
        <f t="shared" si="85"/>
        <v>1.0758581800212434</v>
      </c>
      <c r="O162" s="5">
        <f t="shared" si="85"/>
        <v>1.1192029220221176</v>
      </c>
      <c r="P162" s="5">
        <f t="shared" si="85"/>
        <v>1.1824255238063563</v>
      </c>
      <c r="Q162" s="5">
        <f t="shared" si="85"/>
        <v>1.2689414213699952</v>
      </c>
      <c r="R162" s="5">
        <f t="shared" si="85"/>
        <v>1.3775406687981455</v>
      </c>
      <c r="S162" s="5">
        <f t="shared" si="85"/>
        <v>1.5</v>
      </c>
      <c r="T162" s="5">
        <f t="shared" si="85"/>
        <v>1.6224593312018545</v>
      </c>
      <c r="U162" s="5">
        <f t="shared" si="85"/>
        <v>1.7310585786300048</v>
      </c>
      <c r="V162" s="5">
        <f t="shared" si="85"/>
        <v>1.8175744761936437</v>
      </c>
      <c r="W162" s="5">
        <f t="shared" si="85"/>
        <v>1.8807970779778822</v>
      </c>
      <c r="X162" s="5">
        <f t="shared" si="85"/>
        <v>1.9241418199787566</v>
      </c>
      <c r="Y162" s="5">
        <f t="shared" si="85"/>
        <v>1.9525741268224333</v>
      </c>
      <c r="Z162" s="5">
        <f t="shared" si="85"/>
        <v>1.9706877692486438</v>
      </c>
      <c r="AA162" s="5">
        <f t="shared" si="85"/>
        <v>1.9820137900379085</v>
      </c>
      <c r="AB162" s="5">
        <f t="shared" si="85"/>
        <v>1.9890130573694069</v>
      </c>
      <c r="AC162" s="5">
        <f t="shared" si="84"/>
        <v>1.9933071490757153</v>
      </c>
      <c r="AD162" s="300">
        <f t="shared" si="89"/>
        <v>1.374359710352926E-2</v>
      </c>
      <c r="AE162" s="299">
        <f t="shared" si="89"/>
        <v>1.374359710352926E-2</v>
      </c>
      <c r="AF162" s="299">
        <f t="shared" si="89"/>
        <v>1.374359710352926E-2</v>
      </c>
      <c r="AG162" s="299">
        <f t="shared" si="89"/>
        <v>1.374359710352926E-2</v>
      </c>
      <c r="AH162" s="299">
        <f t="shared" si="89"/>
        <v>1.374359710352926E-2</v>
      </c>
      <c r="AI162" s="299">
        <f t="shared" si="87"/>
        <v>1.3121307631856972E-2</v>
      </c>
      <c r="AJ162" s="299">
        <f t="shared" si="87"/>
        <v>1.2774543484214513E-2</v>
      </c>
      <c r="AK162" s="299">
        <f t="shared" si="87"/>
        <v>1.2279808096549679E-2</v>
      </c>
      <c r="AL162" s="299">
        <f t="shared" si="87"/>
        <v>1.1623224318845153E-2</v>
      </c>
      <c r="AM162" s="299">
        <f t="shared" si="87"/>
        <v>1.0830757726145604E-2</v>
      </c>
      <c r="AN162" s="299">
        <f t="shared" si="87"/>
        <v>9.9769084244315277E-3</v>
      </c>
      <c r="AO162" s="299">
        <f t="shared" si="87"/>
        <v>9.1623980690195058E-3</v>
      </c>
      <c r="AP162" s="299">
        <f t="shared" si="87"/>
        <v>8.4708422819748212E-3</v>
      </c>
      <c r="AQ162" s="299">
        <f t="shared" si="87"/>
        <v>7.9394176911137364E-3</v>
      </c>
      <c r="AR162" s="299">
        <f t="shared" si="58"/>
        <v>7.5615042374005161E-3</v>
      </c>
      <c r="AS162" s="299">
        <f t="shared" si="58"/>
        <v>7.3073258484139788E-3</v>
      </c>
      <c r="AT162" s="299">
        <f t="shared" si="58"/>
        <v>7.1427152410631538E-3</v>
      </c>
      <c r="AU162" s="299">
        <f t="shared" si="58"/>
        <v>7.0387069636609501E-3</v>
      </c>
      <c r="AV162" s="299">
        <f t="shared" si="58"/>
        <v>6.9740104536038326E-3</v>
      </c>
      <c r="AW162" s="299">
        <f t="shared" si="58"/>
        <v>6.9341581640894618E-3</v>
      </c>
      <c r="AX162" s="299">
        <f t="shared" si="58"/>
        <v>6.9097571042122862E-3</v>
      </c>
      <c r="AY162" s="299">
        <f t="shared" si="58"/>
        <v>6.8948717260669456E-3</v>
      </c>
      <c r="AZ162" s="298">
        <f t="shared" si="90"/>
        <v>0.76084261928621777</v>
      </c>
      <c r="BA162" s="1">
        <f t="shared" si="90"/>
        <v>0.76084261928621777</v>
      </c>
      <c r="BB162" s="1">
        <f t="shared" si="90"/>
        <v>0.76084261928621777</v>
      </c>
      <c r="BC162" s="1">
        <f t="shared" si="90"/>
        <v>0.76084261928621777</v>
      </c>
      <c r="BD162" s="1">
        <f t="shared" si="90"/>
        <v>0.76084261928621777</v>
      </c>
      <c r="BE162" s="1">
        <f t="shared" si="88"/>
        <v>0.72639280618308211</v>
      </c>
      <c r="BF162" s="1">
        <f t="shared" si="88"/>
        <v>0.70719601655228803</v>
      </c>
      <c r="BG162" s="1">
        <f t="shared" si="88"/>
        <v>0.67980757047307105</v>
      </c>
      <c r="BH162" s="1">
        <f t="shared" si="88"/>
        <v>0.64345923186517717</v>
      </c>
      <c r="BI162" s="1">
        <f t="shared" si="88"/>
        <v>0.59958844945323364</v>
      </c>
      <c r="BJ162" s="1">
        <f t="shared" si="88"/>
        <v>0.55231953329553996</v>
      </c>
      <c r="BK162" s="1">
        <f t="shared" si="88"/>
        <v>0.50722841285747855</v>
      </c>
      <c r="BL162" s="1">
        <f t="shared" si="88"/>
        <v>0.46894403123350725</v>
      </c>
      <c r="BM162" s="1">
        <f t="shared" si="88"/>
        <v>0.43952447865072491</v>
      </c>
      <c r="BN162" s="1">
        <f t="shared" si="59"/>
        <v>0.41860327004567705</v>
      </c>
      <c r="BO162" s="1">
        <f t="shared" si="59"/>
        <v>0.40453200836755293</v>
      </c>
      <c r="BP162" s="1">
        <f t="shared" si="59"/>
        <v>0.39541920007466907</v>
      </c>
      <c r="BQ162" s="1">
        <f t="shared" si="59"/>
        <v>0.38966132390804165</v>
      </c>
      <c r="BR162" s="1">
        <f t="shared" si="59"/>
        <v>0.38607973883975605</v>
      </c>
      <c r="BS162" s="1">
        <f t="shared" si="59"/>
        <v>0.38387352454882046</v>
      </c>
      <c r="BT162" s="1">
        <f t="shared" si="59"/>
        <v>0.38252268705187853</v>
      </c>
      <c r="BU162" s="1">
        <f t="shared" si="59"/>
        <v>0.38169863567640139</v>
      </c>
    </row>
    <row r="163" spans="1:73" x14ac:dyDescent="0.25">
      <c r="A163" s="1" t="s">
        <v>39</v>
      </c>
      <c r="B163" s="1" t="s">
        <v>5</v>
      </c>
      <c r="C163" s="1" t="s">
        <v>7</v>
      </c>
      <c r="D163" s="1" t="s">
        <v>7</v>
      </c>
      <c r="E163" s="5">
        <v>1</v>
      </c>
      <c r="F163" s="1">
        <f t="shared" si="57"/>
        <v>2.4500000000000004E-3</v>
      </c>
      <c r="G163" s="1">
        <f>LOOKUP(RIGHT(D163,5),Ref!$C$4:$C$21,Ref!$E$4:$E$21)*$G$3</f>
        <v>3.5</v>
      </c>
      <c r="H163" s="297">
        <f t="shared" si="86"/>
        <v>1</v>
      </c>
      <c r="I163" s="5">
        <f t="shared" si="86"/>
        <v>1</v>
      </c>
      <c r="J163" s="5">
        <f t="shared" si="86"/>
        <v>1</v>
      </c>
      <c r="K163" s="5">
        <f t="shared" si="86"/>
        <v>1</v>
      </c>
      <c r="L163" s="5">
        <f t="shared" si="86"/>
        <v>1</v>
      </c>
      <c r="M163" s="5">
        <f t="shared" si="85"/>
        <v>1.0474258731775667</v>
      </c>
      <c r="N163" s="5">
        <f t="shared" si="85"/>
        <v>1.0758581800212434</v>
      </c>
      <c r="O163" s="5">
        <f t="shared" si="85"/>
        <v>1.1192029220221176</v>
      </c>
      <c r="P163" s="5">
        <f t="shared" si="85"/>
        <v>1.1824255238063563</v>
      </c>
      <c r="Q163" s="5">
        <f t="shared" si="85"/>
        <v>1.2689414213699952</v>
      </c>
      <c r="R163" s="5">
        <f t="shared" si="85"/>
        <v>1.3775406687981455</v>
      </c>
      <c r="S163" s="5">
        <f t="shared" si="85"/>
        <v>1.5</v>
      </c>
      <c r="T163" s="5">
        <f t="shared" si="85"/>
        <v>1.6224593312018545</v>
      </c>
      <c r="U163" s="5">
        <f t="shared" si="85"/>
        <v>1.7310585786300048</v>
      </c>
      <c r="V163" s="5">
        <f t="shared" si="85"/>
        <v>1.8175744761936437</v>
      </c>
      <c r="W163" s="5">
        <f t="shared" si="85"/>
        <v>1.8807970779778822</v>
      </c>
      <c r="X163" s="5">
        <f t="shared" si="85"/>
        <v>1.9241418199787566</v>
      </c>
      <c r="Y163" s="5">
        <f t="shared" si="85"/>
        <v>1.9525741268224333</v>
      </c>
      <c r="Z163" s="5">
        <f t="shared" si="85"/>
        <v>1.9706877692486438</v>
      </c>
      <c r="AA163" s="5">
        <f t="shared" si="85"/>
        <v>1.9820137900379085</v>
      </c>
      <c r="AB163" s="5">
        <f t="shared" si="85"/>
        <v>1.9890130573694069</v>
      </c>
      <c r="AC163" s="5">
        <f t="shared" si="84"/>
        <v>1.9933071490757153</v>
      </c>
      <c r="AD163" s="300">
        <f t="shared" si="89"/>
        <v>1.374359710352926E-2</v>
      </c>
      <c r="AE163" s="299">
        <f t="shared" si="89"/>
        <v>1.374359710352926E-2</v>
      </c>
      <c r="AF163" s="299">
        <f t="shared" si="89"/>
        <v>1.374359710352926E-2</v>
      </c>
      <c r="AG163" s="299">
        <f t="shared" si="89"/>
        <v>1.374359710352926E-2</v>
      </c>
      <c r="AH163" s="299">
        <f t="shared" si="89"/>
        <v>1.374359710352926E-2</v>
      </c>
      <c r="AI163" s="299">
        <f t="shared" si="87"/>
        <v>1.3121307631856972E-2</v>
      </c>
      <c r="AJ163" s="299">
        <f t="shared" si="87"/>
        <v>1.2774543484214513E-2</v>
      </c>
      <c r="AK163" s="299">
        <f t="shared" si="87"/>
        <v>1.2279808096549679E-2</v>
      </c>
      <c r="AL163" s="299">
        <f t="shared" si="87"/>
        <v>1.1623224318845153E-2</v>
      </c>
      <c r="AM163" s="299">
        <f t="shared" si="87"/>
        <v>1.0830757726145604E-2</v>
      </c>
      <c r="AN163" s="299">
        <f t="shared" si="87"/>
        <v>9.9769084244315277E-3</v>
      </c>
      <c r="AO163" s="299">
        <f t="shared" si="87"/>
        <v>9.1623980690195058E-3</v>
      </c>
      <c r="AP163" s="299">
        <f t="shared" si="87"/>
        <v>8.4708422819748212E-3</v>
      </c>
      <c r="AQ163" s="299">
        <f t="shared" si="87"/>
        <v>7.9394176911137364E-3</v>
      </c>
      <c r="AR163" s="299">
        <f t="shared" si="58"/>
        <v>7.5615042374005161E-3</v>
      </c>
      <c r="AS163" s="299">
        <f t="shared" si="58"/>
        <v>7.3073258484139788E-3</v>
      </c>
      <c r="AT163" s="299">
        <f t="shared" si="58"/>
        <v>7.1427152410631538E-3</v>
      </c>
      <c r="AU163" s="299">
        <f t="shared" si="58"/>
        <v>7.0387069636609501E-3</v>
      </c>
      <c r="AV163" s="299">
        <f t="shared" si="58"/>
        <v>6.9740104536038326E-3</v>
      </c>
      <c r="AW163" s="299">
        <f t="shared" si="58"/>
        <v>6.9341581640894618E-3</v>
      </c>
      <c r="AX163" s="299">
        <f t="shared" si="58"/>
        <v>6.9097571042122862E-3</v>
      </c>
      <c r="AY163" s="299">
        <f t="shared" si="58"/>
        <v>6.8948717260669456E-3</v>
      </c>
      <c r="AZ163" s="298">
        <f t="shared" si="90"/>
        <v>0.76084261928621777</v>
      </c>
      <c r="BA163" s="1">
        <f t="shared" si="90"/>
        <v>0.76084261928621777</v>
      </c>
      <c r="BB163" s="1">
        <f t="shared" si="90"/>
        <v>0.76084261928621777</v>
      </c>
      <c r="BC163" s="1">
        <f t="shared" si="90"/>
        <v>0.76084261928621777</v>
      </c>
      <c r="BD163" s="1">
        <f t="shared" si="90"/>
        <v>0.76084261928621777</v>
      </c>
      <c r="BE163" s="1">
        <f t="shared" si="88"/>
        <v>0.72639280618308211</v>
      </c>
      <c r="BF163" s="1">
        <f t="shared" si="88"/>
        <v>0.70719601655228803</v>
      </c>
      <c r="BG163" s="1">
        <f t="shared" si="88"/>
        <v>0.67980757047307105</v>
      </c>
      <c r="BH163" s="1">
        <f t="shared" si="88"/>
        <v>0.64345923186517717</v>
      </c>
      <c r="BI163" s="1">
        <f t="shared" si="88"/>
        <v>0.59958844945323364</v>
      </c>
      <c r="BJ163" s="1">
        <f t="shared" si="88"/>
        <v>0.55231953329553996</v>
      </c>
      <c r="BK163" s="1">
        <f t="shared" si="88"/>
        <v>0.50722841285747855</v>
      </c>
      <c r="BL163" s="1">
        <f t="shared" si="88"/>
        <v>0.46894403123350725</v>
      </c>
      <c r="BM163" s="1">
        <f t="shared" si="88"/>
        <v>0.43952447865072491</v>
      </c>
      <c r="BN163" s="1">
        <f t="shared" si="59"/>
        <v>0.41860327004567705</v>
      </c>
      <c r="BO163" s="1">
        <f t="shared" si="59"/>
        <v>0.40453200836755293</v>
      </c>
      <c r="BP163" s="1">
        <f t="shared" si="59"/>
        <v>0.39541920007466907</v>
      </c>
      <c r="BQ163" s="1">
        <f t="shared" si="59"/>
        <v>0.38966132390804165</v>
      </c>
      <c r="BR163" s="1">
        <f t="shared" si="59"/>
        <v>0.38607973883975605</v>
      </c>
      <c r="BS163" s="1">
        <f t="shared" si="59"/>
        <v>0.38387352454882046</v>
      </c>
      <c r="BT163" s="1">
        <f t="shared" si="59"/>
        <v>0.38252268705187853</v>
      </c>
      <c r="BU163" s="1">
        <f t="shared" si="59"/>
        <v>0.38169863567640139</v>
      </c>
    </row>
    <row r="164" spans="1:73" x14ac:dyDescent="0.25">
      <c r="A164" s="1" t="s">
        <v>39</v>
      </c>
      <c r="B164" s="1" t="s">
        <v>5</v>
      </c>
      <c r="C164" s="1" t="s">
        <v>8</v>
      </c>
      <c r="D164" s="1" t="s">
        <v>8</v>
      </c>
      <c r="E164" s="5">
        <v>1</v>
      </c>
      <c r="F164" s="1">
        <f t="shared" si="57"/>
        <v>2.4500000000000004E-3</v>
      </c>
      <c r="G164" s="1">
        <f>LOOKUP(RIGHT(D164,5),Ref!$C$4:$C$21,Ref!$E$4:$E$21)*$G$3</f>
        <v>4</v>
      </c>
      <c r="H164" s="297">
        <f t="shared" si="86"/>
        <v>1</v>
      </c>
      <c r="I164" s="5">
        <f t="shared" si="86"/>
        <v>1</v>
      </c>
      <c r="J164" s="5">
        <f t="shared" si="86"/>
        <v>1</v>
      </c>
      <c r="K164" s="5">
        <f t="shared" si="86"/>
        <v>1</v>
      </c>
      <c r="L164" s="5">
        <f t="shared" si="86"/>
        <v>1</v>
      </c>
      <c r="M164" s="5">
        <f t="shared" si="85"/>
        <v>1.0474258731775667</v>
      </c>
      <c r="N164" s="5">
        <f t="shared" si="85"/>
        <v>1.0758581800212434</v>
      </c>
      <c r="O164" s="5">
        <f t="shared" si="85"/>
        <v>1.1192029220221176</v>
      </c>
      <c r="P164" s="5">
        <f t="shared" si="85"/>
        <v>1.1824255238063563</v>
      </c>
      <c r="Q164" s="5">
        <f t="shared" si="85"/>
        <v>1.2689414213699952</v>
      </c>
      <c r="R164" s="5">
        <f t="shared" si="85"/>
        <v>1.3775406687981455</v>
      </c>
      <c r="S164" s="5">
        <f t="shared" si="85"/>
        <v>1.5</v>
      </c>
      <c r="T164" s="5">
        <f t="shared" si="85"/>
        <v>1.6224593312018545</v>
      </c>
      <c r="U164" s="5">
        <f t="shared" si="85"/>
        <v>1.7310585786300048</v>
      </c>
      <c r="V164" s="5">
        <f t="shared" si="85"/>
        <v>1.8175744761936437</v>
      </c>
      <c r="W164" s="5">
        <f t="shared" si="85"/>
        <v>1.8807970779778822</v>
      </c>
      <c r="X164" s="5">
        <f t="shared" si="85"/>
        <v>1.9241418199787566</v>
      </c>
      <c r="Y164" s="5">
        <f t="shared" si="85"/>
        <v>1.9525741268224333</v>
      </c>
      <c r="Z164" s="5">
        <f t="shared" si="85"/>
        <v>1.9706877692486438</v>
      </c>
      <c r="AA164" s="5">
        <f t="shared" si="85"/>
        <v>1.9820137900379085</v>
      </c>
      <c r="AB164" s="5">
        <f t="shared" ref="AB164:AC179" si="91">AB$3*$E164</f>
        <v>1.9890130573694069</v>
      </c>
      <c r="AC164" s="5">
        <f t="shared" si="91"/>
        <v>1.9933071490757153</v>
      </c>
      <c r="AD164" s="300">
        <f t="shared" si="89"/>
        <v>1.374359710352926E-2</v>
      </c>
      <c r="AE164" s="299">
        <f t="shared" si="89"/>
        <v>1.374359710352926E-2</v>
      </c>
      <c r="AF164" s="299">
        <f t="shared" si="89"/>
        <v>1.374359710352926E-2</v>
      </c>
      <c r="AG164" s="299">
        <f t="shared" si="89"/>
        <v>1.374359710352926E-2</v>
      </c>
      <c r="AH164" s="299">
        <f t="shared" si="89"/>
        <v>1.374359710352926E-2</v>
      </c>
      <c r="AI164" s="299">
        <f t="shared" si="87"/>
        <v>1.3121307631856972E-2</v>
      </c>
      <c r="AJ164" s="299">
        <f t="shared" si="87"/>
        <v>1.2774543484214513E-2</v>
      </c>
      <c r="AK164" s="299">
        <f t="shared" si="87"/>
        <v>1.2279808096549679E-2</v>
      </c>
      <c r="AL164" s="299">
        <f t="shared" si="87"/>
        <v>1.1623224318845153E-2</v>
      </c>
      <c r="AM164" s="299">
        <f t="shared" si="87"/>
        <v>1.0830757726145604E-2</v>
      </c>
      <c r="AN164" s="299">
        <f t="shared" si="87"/>
        <v>9.9769084244315277E-3</v>
      </c>
      <c r="AO164" s="299">
        <f t="shared" si="87"/>
        <v>9.1623980690195058E-3</v>
      </c>
      <c r="AP164" s="299">
        <f t="shared" si="87"/>
        <v>8.4708422819748212E-3</v>
      </c>
      <c r="AQ164" s="299">
        <f t="shared" si="87"/>
        <v>7.9394176911137364E-3</v>
      </c>
      <c r="AR164" s="299">
        <f t="shared" si="58"/>
        <v>7.5615042374005161E-3</v>
      </c>
      <c r="AS164" s="299">
        <f t="shared" si="58"/>
        <v>7.3073258484139788E-3</v>
      </c>
      <c r="AT164" s="299">
        <f t="shared" si="58"/>
        <v>7.1427152410631538E-3</v>
      </c>
      <c r="AU164" s="299">
        <f t="shared" si="58"/>
        <v>7.0387069636609501E-3</v>
      </c>
      <c r="AV164" s="299">
        <f t="shared" si="58"/>
        <v>6.9740104536038326E-3</v>
      </c>
      <c r="AW164" s="299">
        <f t="shared" si="58"/>
        <v>6.9341581640894618E-3</v>
      </c>
      <c r="AX164" s="299">
        <f t="shared" si="58"/>
        <v>6.9097571042122862E-3</v>
      </c>
      <c r="AY164" s="299">
        <f t="shared" si="58"/>
        <v>6.8948717260669456E-3</v>
      </c>
      <c r="AZ164" s="298">
        <f t="shared" si="90"/>
        <v>0.76084261928621777</v>
      </c>
      <c r="BA164" s="1">
        <f t="shared" si="90"/>
        <v>0.76084261928621777</v>
      </c>
      <c r="BB164" s="1">
        <f t="shared" si="90"/>
        <v>0.76084261928621777</v>
      </c>
      <c r="BC164" s="1">
        <f t="shared" si="90"/>
        <v>0.76084261928621777</v>
      </c>
      <c r="BD164" s="1">
        <f t="shared" si="90"/>
        <v>0.76084261928621777</v>
      </c>
      <c r="BE164" s="1">
        <f t="shared" si="88"/>
        <v>0.72639280618308211</v>
      </c>
      <c r="BF164" s="1">
        <f t="shared" si="88"/>
        <v>0.70719601655228803</v>
      </c>
      <c r="BG164" s="1">
        <f t="shared" si="88"/>
        <v>0.67980757047307105</v>
      </c>
      <c r="BH164" s="1">
        <f t="shared" si="88"/>
        <v>0.64345923186517717</v>
      </c>
      <c r="BI164" s="1">
        <f t="shared" si="88"/>
        <v>0.59958844945323364</v>
      </c>
      <c r="BJ164" s="1">
        <f t="shared" si="88"/>
        <v>0.55231953329553996</v>
      </c>
      <c r="BK164" s="1">
        <f t="shared" si="88"/>
        <v>0.50722841285747855</v>
      </c>
      <c r="BL164" s="1">
        <f t="shared" si="88"/>
        <v>0.46894403123350725</v>
      </c>
      <c r="BM164" s="1">
        <f t="shared" si="88"/>
        <v>0.43952447865072491</v>
      </c>
      <c r="BN164" s="1">
        <f t="shared" si="59"/>
        <v>0.41860327004567705</v>
      </c>
      <c r="BO164" s="1">
        <f t="shared" si="59"/>
        <v>0.40453200836755293</v>
      </c>
      <c r="BP164" s="1">
        <f t="shared" si="59"/>
        <v>0.39541920007466907</v>
      </c>
      <c r="BQ164" s="1">
        <f t="shared" si="59"/>
        <v>0.38966132390804165</v>
      </c>
      <c r="BR164" s="1">
        <f t="shared" si="59"/>
        <v>0.38607973883975605</v>
      </c>
      <c r="BS164" s="1">
        <f t="shared" si="59"/>
        <v>0.38387352454882046</v>
      </c>
      <c r="BT164" s="1">
        <f t="shared" si="59"/>
        <v>0.38252268705187853</v>
      </c>
      <c r="BU164" s="1">
        <f t="shared" si="59"/>
        <v>0.38169863567640139</v>
      </c>
    </row>
    <row r="165" spans="1:73" x14ac:dyDescent="0.25">
      <c r="A165" s="1" t="s">
        <v>39</v>
      </c>
      <c r="B165" s="1" t="s">
        <v>5</v>
      </c>
      <c r="C165" s="1" t="s">
        <v>9</v>
      </c>
      <c r="D165" s="1" t="s">
        <v>9</v>
      </c>
      <c r="E165" s="5">
        <v>1</v>
      </c>
      <c r="F165" s="1">
        <f t="shared" si="57"/>
        <v>2.4500000000000004E-3</v>
      </c>
      <c r="G165" s="1">
        <f>LOOKUP(RIGHT(D165,5),Ref!$C$4:$C$21,Ref!$E$4:$E$21)*$G$3</f>
        <v>4.5</v>
      </c>
      <c r="H165" s="297">
        <f t="shared" si="86"/>
        <v>1</v>
      </c>
      <c r="I165" s="5">
        <f t="shared" si="86"/>
        <v>1</v>
      </c>
      <c r="J165" s="5">
        <f t="shared" si="86"/>
        <v>1</v>
      </c>
      <c r="K165" s="5">
        <f t="shared" si="86"/>
        <v>1</v>
      </c>
      <c r="L165" s="5">
        <f t="shared" si="86"/>
        <v>1</v>
      </c>
      <c r="M165" s="5">
        <f t="shared" ref="M165:AB180" si="92">M$3*$E165</f>
        <v>1.0474258731775667</v>
      </c>
      <c r="N165" s="5">
        <f t="shared" si="92"/>
        <v>1.0758581800212434</v>
      </c>
      <c r="O165" s="5">
        <f t="shared" si="92"/>
        <v>1.1192029220221176</v>
      </c>
      <c r="P165" s="5">
        <f t="shared" si="92"/>
        <v>1.1824255238063563</v>
      </c>
      <c r="Q165" s="5">
        <f t="shared" si="92"/>
        <v>1.2689414213699952</v>
      </c>
      <c r="R165" s="5">
        <f t="shared" si="92"/>
        <v>1.3775406687981455</v>
      </c>
      <c r="S165" s="5">
        <f t="shared" si="92"/>
        <v>1.5</v>
      </c>
      <c r="T165" s="5">
        <f t="shared" si="92"/>
        <v>1.6224593312018545</v>
      </c>
      <c r="U165" s="5">
        <f t="shared" si="92"/>
        <v>1.7310585786300048</v>
      </c>
      <c r="V165" s="5">
        <f t="shared" si="92"/>
        <v>1.8175744761936437</v>
      </c>
      <c r="W165" s="5">
        <f t="shared" si="92"/>
        <v>1.8807970779778822</v>
      </c>
      <c r="X165" s="5">
        <f t="shared" si="92"/>
        <v>1.9241418199787566</v>
      </c>
      <c r="Y165" s="5">
        <f t="shared" si="92"/>
        <v>1.9525741268224333</v>
      </c>
      <c r="Z165" s="5">
        <f t="shared" si="92"/>
        <v>1.9706877692486438</v>
      </c>
      <c r="AA165" s="5">
        <f t="shared" si="92"/>
        <v>1.9820137900379085</v>
      </c>
      <c r="AB165" s="5">
        <f t="shared" si="92"/>
        <v>1.9890130573694069</v>
      </c>
      <c r="AC165" s="5">
        <f t="shared" si="91"/>
        <v>1.9933071490757153</v>
      </c>
      <c r="AD165" s="300">
        <f t="shared" si="89"/>
        <v>1.374359710352926E-2</v>
      </c>
      <c r="AE165" s="299">
        <f t="shared" si="89"/>
        <v>1.374359710352926E-2</v>
      </c>
      <c r="AF165" s="299">
        <f t="shared" si="89"/>
        <v>1.374359710352926E-2</v>
      </c>
      <c r="AG165" s="299">
        <f t="shared" si="89"/>
        <v>1.374359710352926E-2</v>
      </c>
      <c r="AH165" s="299">
        <f t="shared" si="89"/>
        <v>1.374359710352926E-2</v>
      </c>
      <c r="AI165" s="299">
        <f t="shared" si="87"/>
        <v>1.3121307631856972E-2</v>
      </c>
      <c r="AJ165" s="299">
        <f t="shared" si="87"/>
        <v>1.2774543484214513E-2</v>
      </c>
      <c r="AK165" s="299">
        <f t="shared" si="87"/>
        <v>1.2279808096549679E-2</v>
      </c>
      <c r="AL165" s="299">
        <f t="shared" si="87"/>
        <v>1.1623224318845153E-2</v>
      </c>
      <c r="AM165" s="299">
        <f t="shared" si="87"/>
        <v>1.0830757726145604E-2</v>
      </c>
      <c r="AN165" s="299">
        <f t="shared" si="87"/>
        <v>9.9769084244315277E-3</v>
      </c>
      <c r="AO165" s="299">
        <f t="shared" si="87"/>
        <v>9.1623980690195058E-3</v>
      </c>
      <c r="AP165" s="299">
        <f t="shared" si="87"/>
        <v>8.4708422819748212E-3</v>
      </c>
      <c r="AQ165" s="299">
        <f t="shared" si="87"/>
        <v>7.9394176911137364E-3</v>
      </c>
      <c r="AR165" s="299">
        <f t="shared" si="58"/>
        <v>7.5615042374005161E-3</v>
      </c>
      <c r="AS165" s="299">
        <f t="shared" si="58"/>
        <v>7.3073258484139788E-3</v>
      </c>
      <c r="AT165" s="299">
        <f t="shared" si="58"/>
        <v>7.1427152410631538E-3</v>
      </c>
      <c r="AU165" s="299">
        <f t="shared" si="58"/>
        <v>7.0387069636609501E-3</v>
      </c>
      <c r="AV165" s="299">
        <f t="shared" si="58"/>
        <v>6.9740104536038326E-3</v>
      </c>
      <c r="AW165" s="299">
        <f t="shared" si="58"/>
        <v>6.9341581640894618E-3</v>
      </c>
      <c r="AX165" s="299">
        <f t="shared" si="58"/>
        <v>6.9097571042122862E-3</v>
      </c>
      <c r="AY165" s="299">
        <f t="shared" si="58"/>
        <v>6.8948717260669456E-3</v>
      </c>
      <c r="AZ165" s="298">
        <f t="shared" si="90"/>
        <v>0.76084261928621777</v>
      </c>
      <c r="BA165" s="1">
        <f t="shared" si="90"/>
        <v>0.76084261928621777</v>
      </c>
      <c r="BB165" s="1">
        <f t="shared" si="90"/>
        <v>0.76084261928621777</v>
      </c>
      <c r="BC165" s="1">
        <f t="shared" si="90"/>
        <v>0.76084261928621777</v>
      </c>
      <c r="BD165" s="1">
        <f t="shared" si="90"/>
        <v>0.76084261928621777</v>
      </c>
      <c r="BE165" s="1">
        <f t="shared" si="88"/>
        <v>0.72639280618308211</v>
      </c>
      <c r="BF165" s="1">
        <f t="shared" si="88"/>
        <v>0.70719601655228803</v>
      </c>
      <c r="BG165" s="1">
        <f t="shared" si="88"/>
        <v>0.67980757047307105</v>
      </c>
      <c r="BH165" s="1">
        <f t="shared" si="88"/>
        <v>0.64345923186517717</v>
      </c>
      <c r="BI165" s="1">
        <f t="shared" si="88"/>
        <v>0.59958844945323364</v>
      </c>
      <c r="BJ165" s="1">
        <f t="shared" si="88"/>
        <v>0.55231953329553996</v>
      </c>
      <c r="BK165" s="1">
        <f t="shared" si="88"/>
        <v>0.50722841285747855</v>
      </c>
      <c r="BL165" s="1">
        <f t="shared" si="88"/>
        <v>0.46894403123350725</v>
      </c>
      <c r="BM165" s="1">
        <f t="shared" si="88"/>
        <v>0.43952447865072491</v>
      </c>
      <c r="BN165" s="1">
        <f t="shared" si="59"/>
        <v>0.41860327004567705</v>
      </c>
      <c r="BO165" s="1">
        <f t="shared" si="59"/>
        <v>0.40453200836755293</v>
      </c>
      <c r="BP165" s="1">
        <f t="shared" si="59"/>
        <v>0.39541920007466907</v>
      </c>
      <c r="BQ165" s="1">
        <f t="shared" si="59"/>
        <v>0.38966132390804165</v>
      </c>
      <c r="BR165" s="1">
        <f t="shared" si="59"/>
        <v>0.38607973883975605</v>
      </c>
      <c r="BS165" s="1">
        <f t="shared" si="59"/>
        <v>0.38387352454882046</v>
      </c>
      <c r="BT165" s="1">
        <f t="shared" si="59"/>
        <v>0.38252268705187853</v>
      </c>
      <c r="BU165" s="1">
        <f t="shared" si="59"/>
        <v>0.38169863567640139</v>
      </c>
    </row>
    <row r="166" spans="1:73" x14ac:dyDescent="0.25">
      <c r="A166" s="1" t="s">
        <v>39</v>
      </c>
      <c r="B166" s="1" t="s">
        <v>5</v>
      </c>
      <c r="C166" s="1" t="s">
        <v>10</v>
      </c>
      <c r="D166" s="1" t="s">
        <v>10</v>
      </c>
      <c r="E166" s="5">
        <v>1</v>
      </c>
      <c r="F166" s="1">
        <f t="shared" si="57"/>
        <v>2.4500000000000004E-3</v>
      </c>
      <c r="G166" s="1">
        <f>LOOKUP(RIGHT(D166,5),Ref!$C$4:$C$21,Ref!$E$4:$E$21)*$G$3</f>
        <v>4.5</v>
      </c>
      <c r="H166" s="297">
        <f t="shared" ref="H166:L181" si="93">$E166</f>
        <v>1</v>
      </c>
      <c r="I166" s="5">
        <f t="shared" si="93"/>
        <v>1</v>
      </c>
      <c r="J166" s="5">
        <f t="shared" si="93"/>
        <v>1</v>
      </c>
      <c r="K166" s="5">
        <f t="shared" si="93"/>
        <v>1</v>
      </c>
      <c r="L166" s="5">
        <f t="shared" si="93"/>
        <v>1</v>
      </c>
      <c r="M166" s="5">
        <f t="shared" si="92"/>
        <v>1.0474258731775667</v>
      </c>
      <c r="N166" s="5">
        <f t="shared" si="92"/>
        <v>1.0758581800212434</v>
      </c>
      <c r="O166" s="5">
        <f t="shared" si="92"/>
        <v>1.1192029220221176</v>
      </c>
      <c r="P166" s="5">
        <f t="shared" si="92"/>
        <v>1.1824255238063563</v>
      </c>
      <c r="Q166" s="5">
        <f t="shared" si="92"/>
        <v>1.2689414213699952</v>
      </c>
      <c r="R166" s="5">
        <f t="shared" si="92"/>
        <v>1.3775406687981455</v>
      </c>
      <c r="S166" s="5">
        <f t="shared" si="92"/>
        <v>1.5</v>
      </c>
      <c r="T166" s="5">
        <f t="shared" si="92"/>
        <v>1.6224593312018545</v>
      </c>
      <c r="U166" s="5">
        <f t="shared" si="92"/>
        <v>1.7310585786300048</v>
      </c>
      <c r="V166" s="5">
        <f t="shared" si="92"/>
        <v>1.8175744761936437</v>
      </c>
      <c r="W166" s="5">
        <f t="shared" si="92"/>
        <v>1.8807970779778822</v>
      </c>
      <c r="X166" s="5">
        <f t="shared" si="92"/>
        <v>1.9241418199787566</v>
      </c>
      <c r="Y166" s="5">
        <f t="shared" si="92"/>
        <v>1.9525741268224333</v>
      </c>
      <c r="Z166" s="5">
        <f t="shared" si="92"/>
        <v>1.9706877692486438</v>
      </c>
      <c r="AA166" s="5">
        <f t="shared" si="92"/>
        <v>1.9820137900379085</v>
      </c>
      <c r="AB166" s="5">
        <f t="shared" si="92"/>
        <v>1.9890130573694069</v>
      </c>
      <c r="AC166" s="5">
        <f t="shared" si="91"/>
        <v>1.9933071490757153</v>
      </c>
      <c r="AD166" s="300">
        <f t="shared" si="89"/>
        <v>1.374359710352926E-2</v>
      </c>
      <c r="AE166" s="299">
        <f t="shared" si="89"/>
        <v>1.374359710352926E-2</v>
      </c>
      <c r="AF166" s="299">
        <f t="shared" si="89"/>
        <v>1.374359710352926E-2</v>
      </c>
      <c r="AG166" s="299">
        <f t="shared" si="89"/>
        <v>1.374359710352926E-2</v>
      </c>
      <c r="AH166" s="299">
        <f t="shared" si="89"/>
        <v>1.374359710352926E-2</v>
      </c>
      <c r="AI166" s="299">
        <f t="shared" si="87"/>
        <v>1.3121307631856972E-2</v>
      </c>
      <c r="AJ166" s="299">
        <f t="shared" si="87"/>
        <v>1.2774543484214513E-2</v>
      </c>
      <c r="AK166" s="299">
        <f t="shared" si="87"/>
        <v>1.2279808096549679E-2</v>
      </c>
      <c r="AL166" s="299">
        <f t="shared" si="87"/>
        <v>1.1623224318845153E-2</v>
      </c>
      <c r="AM166" s="299">
        <f t="shared" si="87"/>
        <v>1.0830757726145604E-2</v>
      </c>
      <c r="AN166" s="299">
        <f t="shared" si="87"/>
        <v>9.9769084244315277E-3</v>
      </c>
      <c r="AO166" s="299">
        <f t="shared" si="87"/>
        <v>9.1623980690195058E-3</v>
      </c>
      <c r="AP166" s="299">
        <f t="shared" si="87"/>
        <v>8.4708422819748212E-3</v>
      </c>
      <c r="AQ166" s="299">
        <f t="shared" si="87"/>
        <v>7.9394176911137364E-3</v>
      </c>
      <c r="AR166" s="299">
        <f t="shared" si="58"/>
        <v>7.5615042374005161E-3</v>
      </c>
      <c r="AS166" s="299">
        <f t="shared" si="58"/>
        <v>7.3073258484139788E-3</v>
      </c>
      <c r="AT166" s="299">
        <f t="shared" si="58"/>
        <v>7.1427152410631538E-3</v>
      </c>
      <c r="AU166" s="299">
        <f t="shared" si="58"/>
        <v>7.0387069636609501E-3</v>
      </c>
      <c r="AV166" s="299">
        <f t="shared" si="58"/>
        <v>6.9740104536038326E-3</v>
      </c>
      <c r="AW166" s="299">
        <f t="shared" si="58"/>
        <v>6.9341581640894618E-3</v>
      </c>
      <c r="AX166" s="299">
        <f t="shared" si="58"/>
        <v>6.9097571042122862E-3</v>
      </c>
      <c r="AY166" s="299">
        <f t="shared" si="58"/>
        <v>6.8948717260669456E-3</v>
      </c>
      <c r="AZ166" s="298">
        <f t="shared" si="90"/>
        <v>0.76084261928621777</v>
      </c>
      <c r="BA166" s="1">
        <f t="shared" si="90"/>
        <v>0.76084261928621777</v>
      </c>
      <c r="BB166" s="1">
        <f t="shared" si="90"/>
        <v>0.76084261928621777</v>
      </c>
      <c r="BC166" s="1">
        <f t="shared" si="90"/>
        <v>0.76084261928621777</v>
      </c>
      <c r="BD166" s="1">
        <f t="shared" si="90"/>
        <v>0.76084261928621777</v>
      </c>
      <c r="BE166" s="1">
        <f t="shared" si="88"/>
        <v>0.72639280618308211</v>
      </c>
      <c r="BF166" s="1">
        <f t="shared" si="88"/>
        <v>0.70719601655228803</v>
      </c>
      <c r="BG166" s="1">
        <f t="shared" si="88"/>
        <v>0.67980757047307105</v>
      </c>
      <c r="BH166" s="1">
        <f t="shared" si="88"/>
        <v>0.64345923186517717</v>
      </c>
      <c r="BI166" s="1">
        <f t="shared" si="88"/>
        <v>0.59958844945323364</v>
      </c>
      <c r="BJ166" s="1">
        <f t="shared" si="88"/>
        <v>0.55231953329553996</v>
      </c>
      <c r="BK166" s="1">
        <f t="shared" si="88"/>
        <v>0.50722841285747855</v>
      </c>
      <c r="BL166" s="1">
        <f t="shared" si="88"/>
        <v>0.46894403123350725</v>
      </c>
      <c r="BM166" s="1">
        <f t="shared" si="88"/>
        <v>0.43952447865072491</v>
      </c>
      <c r="BN166" s="1">
        <f t="shared" si="59"/>
        <v>0.41860327004567705</v>
      </c>
      <c r="BO166" s="1">
        <f t="shared" si="59"/>
        <v>0.40453200836755293</v>
      </c>
      <c r="BP166" s="1">
        <f t="shared" si="59"/>
        <v>0.39541920007466907</v>
      </c>
      <c r="BQ166" s="1">
        <f t="shared" si="59"/>
        <v>0.38966132390804165</v>
      </c>
      <c r="BR166" s="1">
        <f t="shared" si="59"/>
        <v>0.38607973883975605</v>
      </c>
      <c r="BS166" s="1">
        <f t="shared" si="59"/>
        <v>0.38387352454882046</v>
      </c>
      <c r="BT166" s="1">
        <f t="shared" si="59"/>
        <v>0.38252268705187853</v>
      </c>
      <c r="BU166" s="1">
        <f t="shared" si="59"/>
        <v>0.38169863567640139</v>
      </c>
    </row>
    <row r="167" spans="1:73" x14ac:dyDescent="0.25">
      <c r="A167" s="1" t="s">
        <v>40</v>
      </c>
      <c r="B167" s="1" t="s">
        <v>5</v>
      </c>
      <c r="C167" s="1" t="s">
        <v>13</v>
      </c>
      <c r="D167" s="1" t="s">
        <v>13</v>
      </c>
      <c r="E167" s="5">
        <v>8.1014999999999997</v>
      </c>
      <c r="F167" s="1">
        <f t="shared" si="57"/>
        <v>1.9848674999999996E-2</v>
      </c>
      <c r="G167" s="1">
        <f>LOOKUP(RIGHT(D167,5),Ref!$C$4:$C$21,Ref!$E$4:$E$21)*$G$3</f>
        <v>1.5</v>
      </c>
      <c r="H167" s="297">
        <f t="shared" si="93"/>
        <v>8.1014999999999997</v>
      </c>
      <c r="I167" s="5">
        <f t="shared" si="93"/>
        <v>8.1014999999999997</v>
      </c>
      <c r="J167" s="5">
        <f t="shared" si="93"/>
        <v>8.1014999999999997</v>
      </c>
      <c r="K167" s="5">
        <f t="shared" si="93"/>
        <v>8.1014999999999997</v>
      </c>
      <c r="L167" s="5">
        <f t="shared" si="93"/>
        <v>8.1014999999999997</v>
      </c>
      <c r="M167" s="5">
        <f t="shared" si="92"/>
        <v>8.4857207115480566</v>
      </c>
      <c r="N167" s="5">
        <f t="shared" si="92"/>
        <v>8.7160650454421038</v>
      </c>
      <c r="O167" s="5">
        <f t="shared" si="92"/>
        <v>9.067222472762186</v>
      </c>
      <c r="P167" s="5">
        <f t="shared" si="92"/>
        <v>9.5794203811171954</v>
      </c>
      <c r="Q167" s="5">
        <f t="shared" si="92"/>
        <v>10.280328925229016</v>
      </c>
      <c r="R167" s="5">
        <f t="shared" si="92"/>
        <v>11.160145728268175</v>
      </c>
      <c r="S167" s="5">
        <f t="shared" si="92"/>
        <v>12.152249999999999</v>
      </c>
      <c r="T167" s="5">
        <f t="shared" si="92"/>
        <v>13.144354271731824</v>
      </c>
      <c r="U167" s="5">
        <f t="shared" si="92"/>
        <v>14.024171074770983</v>
      </c>
      <c r="V167" s="5">
        <f t="shared" si="92"/>
        <v>14.725079618882804</v>
      </c>
      <c r="W167" s="5">
        <f t="shared" si="92"/>
        <v>15.237277527237811</v>
      </c>
      <c r="X167" s="5">
        <f t="shared" si="92"/>
        <v>15.588434954557895</v>
      </c>
      <c r="Y167" s="5">
        <f t="shared" si="92"/>
        <v>15.818779288451942</v>
      </c>
      <c r="Z167" s="5">
        <f t="shared" si="92"/>
        <v>15.965526962567887</v>
      </c>
      <c r="AA167" s="5">
        <f t="shared" si="92"/>
        <v>16.057284719992115</v>
      </c>
      <c r="AB167" s="5">
        <f t="shared" si="92"/>
        <v>16.113989284278251</v>
      </c>
      <c r="AC167" s="5">
        <f t="shared" si="91"/>
        <v>16.148777868236905</v>
      </c>
      <c r="AD167" s="300">
        <f t="shared" si="89"/>
        <v>1.696426230146178E-3</v>
      </c>
      <c r="AE167" s="299">
        <f t="shared" si="89"/>
        <v>1.696426230146178E-3</v>
      </c>
      <c r="AF167" s="299">
        <f t="shared" si="89"/>
        <v>1.696426230146178E-3</v>
      </c>
      <c r="AG167" s="299">
        <f t="shared" si="89"/>
        <v>1.696426230146178E-3</v>
      </c>
      <c r="AH167" s="299">
        <f t="shared" si="89"/>
        <v>1.696426230146178E-3</v>
      </c>
      <c r="AI167" s="299">
        <f t="shared" si="87"/>
        <v>1.6196145938229924E-3</v>
      </c>
      <c r="AJ167" s="299">
        <f t="shared" si="87"/>
        <v>1.5768121316070496E-3</v>
      </c>
      <c r="AK167" s="299">
        <f t="shared" si="87"/>
        <v>1.5157449974140195E-3</v>
      </c>
      <c r="AL167" s="299">
        <f t="shared" si="87"/>
        <v>1.4347002800524783E-3</v>
      </c>
      <c r="AM167" s="299">
        <f t="shared" si="87"/>
        <v>1.3368830125465166E-3</v>
      </c>
      <c r="AN167" s="299">
        <f t="shared" si="87"/>
        <v>1.2314890359108226E-3</v>
      </c>
      <c r="AO167" s="299">
        <f t="shared" si="87"/>
        <v>1.1309508200974519E-3</v>
      </c>
      <c r="AP167" s="299">
        <f t="shared" si="87"/>
        <v>1.0455893701135372E-3</v>
      </c>
      <c r="AQ167" s="299">
        <f t="shared" si="87"/>
        <v>9.7999354330849061E-4</v>
      </c>
      <c r="AR167" s="299">
        <f t="shared" si="58"/>
        <v>9.3334619976553923E-4</v>
      </c>
      <c r="AS167" s="299">
        <f t="shared" si="58"/>
        <v>9.0197196178658018E-4</v>
      </c>
      <c r="AT167" s="299">
        <f t="shared" si="58"/>
        <v>8.8165342727435092E-4</v>
      </c>
      <c r="AU167" s="299">
        <f t="shared" si="58"/>
        <v>8.688152766353083E-4</v>
      </c>
      <c r="AV167" s="299">
        <f t="shared" si="58"/>
        <v>8.608295320130634E-4</v>
      </c>
      <c r="AW167" s="299">
        <f t="shared" si="58"/>
        <v>8.5591040721958432E-4</v>
      </c>
      <c r="AX167" s="299">
        <f t="shared" si="58"/>
        <v>8.5289848845427219E-4</v>
      </c>
      <c r="AY167" s="299">
        <f t="shared" si="58"/>
        <v>8.5106112770066608E-4</v>
      </c>
      <c r="AZ167" s="298">
        <f t="shared" si="90"/>
        <v>9.3913796122473345E-2</v>
      </c>
      <c r="BA167" s="1">
        <f t="shared" si="90"/>
        <v>9.3913796122473345E-2</v>
      </c>
      <c r="BB167" s="1">
        <f t="shared" si="90"/>
        <v>9.3913796122473345E-2</v>
      </c>
      <c r="BC167" s="1">
        <f t="shared" si="90"/>
        <v>9.3913796122473345E-2</v>
      </c>
      <c r="BD167" s="1">
        <f t="shared" si="90"/>
        <v>9.3913796122473345E-2</v>
      </c>
      <c r="BE167" s="1">
        <f t="shared" si="88"/>
        <v>8.966152023490491E-2</v>
      </c>
      <c r="BF167" s="1">
        <f t="shared" si="88"/>
        <v>8.7291985009231382E-2</v>
      </c>
      <c r="BG167" s="1">
        <f t="shared" si="88"/>
        <v>8.3911321418634943E-2</v>
      </c>
      <c r="BH167" s="1">
        <f t="shared" si="88"/>
        <v>7.9424703063034896E-2</v>
      </c>
      <c r="BI167" s="1">
        <f t="shared" si="88"/>
        <v>7.4009559890542934E-2</v>
      </c>
      <c r="BJ167" s="1">
        <f t="shared" si="88"/>
        <v>6.8174971708392276E-2</v>
      </c>
      <c r="BK167" s="1">
        <f t="shared" si="88"/>
        <v>6.2609197414982234E-2</v>
      </c>
      <c r="BL167" s="1">
        <f t="shared" si="88"/>
        <v>5.788360565741002E-2</v>
      </c>
      <c r="BM167" s="1">
        <f t="shared" si="88"/>
        <v>5.4252234604792317E-2</v>
      </c>
      <c r="BN167" s="1">
        <f t="shared" si="59"/>
        <v>5.1669847564732092E-2</v>
      </c>
      <c r="BO167" s="1">
        <f t="shared" si="59"/>
        <v>4.9932976407770537E-2</v>
      </c>
      <c r="BP167" s="1">
        <f t="shared" si="59"/>
        <v>4.8808146648727901E-2</v>
      </c>
      <c r="BQ167" s="1">
        <f t="shared" si="59"/>
        <v>4.809742935358164E-2</v>
      </c>
      <c r="BR167" s="1">
        <f t="shared" si="59"/>
        <v>4.7655340225853979E-2</v>
      </c>
      <c r="BS167" s="1">
        <f t="shared" si="59"/>
        <v>4.7383018521115906E-2</v>
      </c>
      <c r="BT167" s="1">
        <f t="shared" si="59"/>
        <v>4.7216279337391656E-2</v>
      </c>
      <c r="BU167" s="1">
        <f t="shared" si="59"/>
        <v>4.7114563435956484E-2</v>
      </c>
    </row>
    <row r="168" spans="1:73" x14ac:dyDescent="0.25">
      <c r="A168" s="1" t="s">
        <v>40</v>
      </c>
      <c r="B168" s="1" t="s">
        <v>5</v>
      </c>
      <c r="C168" s="1" t="s">
        <v>14</v>
      </c>
      <c r="D168" s="1" t="s">
        <v>14</v>
      </c>
      <c r="E168" s="5">
        <v>8.4892499999999984</v>
      </c>
      <c r="F168" s="1">
        <f t="shared" si="57"/>
        <v>2.0798662499999995E-2</v>
      </c>
      <c r="G168" s="1">
        <f>LOOKUP(RIGHT(D168,5),Ref!$C$4:$C$21,Ref!$E$4:$E$21)*$G$3</f>
        <v>2</v>
      </c>
      <c r="H168" s="297">
        <f t="shared" si="93"/>
        <v>8.4892499999999984</v>
      </c>
      <c r="I168" s="5">
        <f t="shared" si="93"/>
        <v>8.4892499999999984</v>
      </c>
      <c r="J168" s="5">
        <f t="shared" si="93"/>
        <v>8.4892499999999984</v>
      </c>
      <c r="K168" s="5">
        <f t="shared" si="93"/>
        <v>8.4892499999999984</v>
      </c>
      <c r="L168" s="5">
        <f t="shared" si="93"/>
        <v>8.4892499999999984</v>
      </c>
      <c r="M168" s="5">
        <f t="shared" si="92"/>
        <v>8.8918600938726566</v>
      </c>
      <c r="N168" s="5">
        <f t="shared" si="92"/>
        <v>9.133229054745339</v>
      </c>
      <c r="O168" s="5">
        <f t="shared" si="92"/>
        <v>9.5011934057762595</v>
      </c>
      <c r="P168" s="5">
        <f t="shared" si="92"/>
        <v>10.03790587797311</v>
      </c>
      <c r="Q168" s="5">
        <f t="shared" si="92"/>
        <v>10.77236096136523</v>
      </c>
      <c r="R168" s="5">
        <f t="shared" si="92"/>
        <v>11.694287122594655</v>
      </c>
      <c r="S168" s="5">
        <f t="shared" si="92"/>
        <v>12.733874999999998</v>
      </c>
      <c r="T168" s="5">
        <f t="shared" si="92"/>
        <v>13.77346287740534</v>
      </c>
      <c r="U168" s="5">
        <f t="shared" si="92"/>
        <v>14.695389038634765</v>
      </c>
      <c r="V168" s="5">
        <f t="shared" si="92"/>
        <v>15.429844122026886</v>
      </c>
      <c r="W168" s="5">
        <f t="shared" si="92"/>
        <v>15.966556594223734</v>
      </c>
      <c r="X168" s="5">
        <f t="shared" si="92"/>
        <v>16.334520945254656</v>
      </c>
      <c r="Y168" s="5">
        <f t="shared" si="92"/>
        <v>16.575889906127337</v>
      </c>
      <c r="Z168" s="5">
        <f t="shared" si="92"/>
        <v>16.729661145094045</v>
      </c>
      <c r="AA168" s="5">
        <f t="shared" si="92"/>
        <v>16.825810567079312</v>
      </c>
      <c r="AB168" s="5">
        <f t="shared" si="92"/>
        <v>16.885229097273236</v>
      </c>
      <c r="AC168" s="5">
        <f t="shared" si="91"/>
        <v>16.921682715291013</v>
      </c>
      <c r="AD168" s="300">
        <f t="shared" si="89"/>
        <v>1.6189412614223003E-3</v>
      </c>
      <c r="AE168" s="299">
        <f t="shared" si="89"/>
        <v>1.6189412614223003E-3</v>
      </c>
      <c r="AF168" s="299">
        <f t="shared" si="89"/>
        <v>1.6189412614223003E-3</v>
      </c>
      <c r="AG168" s="299">
        <f t="shared" si="89"/>
        <v>1.6189412614223003E-3</v>
      </c>
      <c r="AH168" s="299">
        <f t="shared" si="89"/>
        <v>1.6189412614223003E-3</v>
      </c>
      <c r="AI168" s="299">
        <f t="shared" si="87"/>
        <v>1.5456380283130988E-3</v>
      </c>
      <c r="AJ168" s="299">
        <f t="shared" si="87"/>
        <v>1.504790586237243E-3</v>
      </c>
      <c r="AK168" s="299">
        <f t="shared" si="87"/>
        <v>1.4465127186205711E-3</v>
      </c>
      <c r="AL168" s="299">
        <f t="shared" si="87"/>
        <v>1.3691697521977977E-3</v>
      </c>
      <c r="AM168" s="299">
        <f t="shared" si="87"/>
        <v>1.2758203287858887E-3</v>
      </c>
      <c r="AN168" s="299">
        <f t="shared" si="87"/>
        <v>1.1752402655630979E-3</v>
      </c>
      <c r="AO168" s="299">
        <f t="shared" si="87"/>
        <v>1.0792941742815334E-3</v>
      </c>
      <c r="AP168" s="299">
        <f t="shared" si="87"/>
        <v>9.9783164378182084E-4</v>
      </c>
      <c r="AQ168" s="299">
        <f t="shared" si="87"/>
        <v>9.3523193345863744E-4</v>
      </c>
      <c r="AR168" s="299">
        <f t="shared" si="58"/>
        <v>8.9071522659840599E-4</v>
      </c>
      <c r="AS168" s="299">
        <f t="shared" si="58"/>
        <v>8.6077401989739723E-4</v>
      </c>
      <c r="AT168" s="299">
        <f t="shared" si="58"/>
        <v>8.4138354284102302E-4</v>
      </c>
      <c r="AU168" s="299">
        <f t="shared" si="58"/>
        <v>8.2913178003486199E-4</v>
      </c>
      <c r="AV168" s="299">
        <f t="shared" si="58"/>
        <v>8.2151078759652902E-4</v>
      </c>
      <c r="AW168" s="299">
        <f t="shared" si="58"/>
        <v>8.1681634585970052E-4</v>
      </c>
      <c r="AX168" s="299">
        <f t="shared" si="58"/>
        <v>8.1394199772798388E-4</v>
      </c>
      <c r="AY168" s="299">
        <f t="shared" si="58"/>
        <v>8.121885591856697E-4</v>
      </c>
      <c r="AZ168" s="298">
        <f t="shared" si="90"/>
        <v>8.9624244696082447E-2</v>
      </c>
      <c r="BA168" s="1">
        <f t="shared" si="90"/>
        <v>8.9624244696082447E-2</v>
      </c>
      <c r="BB168" s="1">
        <f t="shared" si="90"/>
        <v>8.9624244696082447E-2</v>
      </c>
      <c r="BC168" s="1">
        <f t="shared" si="90"/>
        <v>8.9624244696082447E-2</v>
      </c>
      <c r="BD168" s="1">
        <f t="shared" si="90"/>
        <v>8.9624244696082447E-2</v>
      </c>
      <c r="BE168" s="1">
        <f t="shared" si="88"/>
        <v>8.5566193265963694E-2</v>
      </c>
      <c r="BF168" s="1">
        <f t="shared" si="88"/>
        <v>8.3304887540393821E-2</v>
      </c>
      <c r="BG168" s="1">
        <f t="shared" si="88"/>
        <v>8.0078637155587509E-2</v>
      </c>
      <c r="BH168" s="1">
        <f t="shared" si="88"/>
        <v>7.5796946946453128E-2</v>
      </c>
      <c r="BI168" s="1">
        <f t="shared" si="88"/>
        <v>7.0629142674939915E-2</v>
      </c>
      <c r="BJ168" s="1">
        <f t="shared" si="88"/>
        <v>6.5061051717824309E-2</v>
      </c>
      <c r="BK168" s="1">
        <f t="shared" si="88"/>
        <v>5.9749496464054967E-2</v>
      </c>
      <c r="BL168" s="1">
        <f t="shared" si="88"/>
        <v>5.5239748061784888E-2</v>
      </c>
      <c r="BM168" s="1">
        <f t="shared" si="88"/>
        <v>5.1774241381832904E-2</v>
      </c>
      <c r="BN168" s="1">
        <f t="shared" si="59"/>
        <v>4.9309805936411003E-2</v>
      </c>
      <c r="BO168" s="1">
        <f t="shared" si="59"/>
        <v>4.7652267086910269E-2</v>
      </c>
      <c r="BP168" s="1">
        <f t="shared" si="59"/>
        <v>4.6578814391691745E-2</v>
      </c>
      <c r="BQ168" s="1">
        <f t="shared" si="59"/>
        <v>4.5900559402543423E-2</v>
      </c>
      <c r="BR168" s="1">
        <f t="shared" si="59"/>
        <v>4.5478662878317415E-2</v>
      </c>
      <c r="BS168" s="1">
        <f t="shared" si="59"/>
        <v>4.5218779579918197E-2</v>
      </c>
      <c r="BT168" s="1">
        <f t="shared" si="59"/>
        <v>4.5059656277277566E-2</v>
      </c>
      <c r="BU168" s="1">
        <f t="shared" si="59"/>
        <v>4.4962586291651375E-2</v>
      </c>
    </row>
    <row r="169" spans="1:73" x14ac:dyDescent="0.25">
      <c r="A169" s="1" t="s">
        <v>40</v>
      </c>
      <c r="B169" s="1" t="s">
        <v>5</v>
      </c>
      <c r="C169" s="1" t="s">
        <v>15</v>
      </c>
      <c r="D169" s="1" t="s">
        <v>15</v>
      </c>
      <c r="E169" s="5">
        <v>8.2004999999999999</v>
      </c>
      <c r="F169" s="1">
        <f t="shared" si="57"/>
        <v>2.0091224999999997E-2</v>
      </c>
      <c r="G169" s="1">
        <f>LOOKUP(RIGHT(D169,5),Ref!$C$4:$C$21,Ref!$E$4:$E$21)*$G$3</f>
        <v>2.5</v>
      </c>
      <c r="H169" s="297">
        <f t="shared" si="93"/>
        <v>8.2004999999999999</v>
      </c>
      <c r="I169" s="5">
        <f t="shared" si="93"/>
        <v>8.2004999999999999</v>
      </c>
      <c r="J169" s="5">
        <f t="shared" si="93"/>
        <v>8.2004999999999999</v>
      </c>
      <c r="K169" s="5">
        <f t="shared" si="93"/>
        <v>8.2004999999999999</v>
      </c>
      <c r="L169" s="5">
        <f t="shared" si="93"/>
        <v>8.2004999999999999</v>
      </c>
      <c r="M169" s="5">
        <f t="shared" si="92"/>
        <v>8.5894158729926353</v>
      </c>
      <c r="N169" s="5">
        <f t="shared" si="92"/>
        <v>8.8225750052642073</v>
      </c>
      <c r="O169" s="5">
        <f t="shared" si="92"/>
        <v>9.1780235620423749</v>
      </c>
      <c r="P169" s="5">
        <f t="shared" si="92"/>
        <v>9.6964805079740248</v>
      </c>
      <c r="Q169" s="5">
        <f t="shared" si="92"/>
        <v>10.405954125944646</v>
      </c>
      <c r="R169" s="5">
        <f t="shared" si="92"/>
        <v>11.296522254479193</v>
      </c>
      <c r="S169" s="5">
        <f t="shared" si="92"/>
        <v>12.300750000000001</v>
      </c>
      <c r="T169" s="5">
        <f t="shared" si="92"/>
        <v>13.304977745520807</v>
      </c>
      <c r="U169" s="5">
        <f t="shared" si="92"/>
        <v>14.195545874055354</v>
      </c>
      <c r="V169" s="5">
        <f t="shared" si="92"/>
        <v>14.905019492025975</v>
      </c>
      <c r="W169" s="5">
        <f t="shared" si="92"/>
        <v>15.423476437957623</v>
      </c>
      <c r="X169" s="5">
        <f t="shared" si="92"/>
        <v>15.778924994735792</v>
      </c>
      <c r="Y169" s="5">
        <f t="shared" si="92"/>
        <v>16.012084127007363</v>
      </c>
      <c r="Z169" s="5">
        <f t="shared" si="92"/>
        <v>16.160625051723503</v>
      </c>
      <c r="AA169" s="5">
        <f t="shared" si="92"/>
        <v>16.253504085205869</v>
      </c>
      <c r="AB169" s="5">
        <f t="shared" si="92"/>
        <v>16.310901576957821</v>
      </c>
      <c r="AC169" s="5">
        <f t="shared" si="91"/>
        <v>16.346115275995402</v>
      </c>
      <c r="AD169" s="300">
        <f t="shared" si="89"/>
        <v>1.675946235416043E-3</v>
      </c>
      <c r="AE169" s="299">
        <f t="shared" si="89"/>
        <v>1.675946235416043E-3</v>
      </c>
      <c r="AF169" s="299">
        <f t="shared" si="89"/>
        <v>1.675946235416043E-3</v>
      </c>
      <c r="AG169" s="299">
        <f t="shared" si="89"/>
        <v>1.675946235416043E-3</v>
      </c>
      <c r="AH169" s="299">
        <f t="shared" si="89"/>
        <v>1.675946235416043E-3</v>
      </c>
      <c r="AI169" s="299">
        <f t="shared" si="87"/>
        <v>1.6000619025494755E-3</v>
      </c>
      <c r="AJ169" s="299">
        <f t="shared" si="87"/>
        <v>1.5577761702596808E-3</v>
      </c>
      <c r="AK169" s="299">
        <f t="shared" si="87"/>
        <v>1.4974462650508725E-3</v>
      </c>
      <c r="AL169" s="299">
        <f t="shared" si="87"/>
        <v>1.4173799547399736E-3</v>
      </c>
      <c r="AM169" s="299">
        <f t="shared" si="87"/>
        <v>1.3207435797994761E-3</v>
      </c>
      <c r="AN169" s="299">
        <f t="shared" si="87"/>
        <v>1.2166219650547561E-3</v>
      </c>
      <c r="AO169" s="299">
        <f t="shared" si="87"/>
        <v>1.1172974902773618E-3</v>
      </c>
      <c r="AP169" s="299">
        <f t="shared" si="87"/>
        <v>1.032966560816392E-3</v>
      </c>
      <c r="AQ169" s="299">
        <f t="shared" si="87"/>
        <v>9.6816263534098377E-4</v>
      </c>
      <c r="AR169" s="299">
        <f t="shared" si="58"/>
        <v>9.220784388025749E-4</v>
      </c>
      <c r="AS169" s="299">
        <f t="shared" si="58"/>
        <v>8.910829642599815E-4</v>
      </c>
      <c r="AT169" s="299">
        <f t="shared" si="58"/>
        <v>8.7100972392697442E-4</v>
      </c>
      <c r="AU169" s="299">
        <f t="shared" si="58"/>
        <v>8.5832656102200475E-4</v>
      </c>
      <c r="AV169" s="299">
        <f t="shared" si="58"/>
        <v>8.5043722377950524E-4</v>
      </c>
      <c r="AW169" s="299">
        <f t="shared" si="58"/>
        <v>8.4557748479842224E-4</v>
      </c>
      <c r="AX169" s="299">
        <f t="shared" si="58"/>
        <v>8.4260192722544801E-4</v>
      </c>
      <c r="AY169" s="299">
        <f t="shared" si="58"/>
        <v>8.4078674788939044E-4</v>
      </c>
      <c r="AZ169" s="298">
        <f t="shared" si="90"/>
        <v>9.2780027960029002E-2</v>
      </c>
      <c r="BA169" s="1">
        <f t="shared" si="90"/>
        <v>9.2780027960029002E-2</v>
      </c>
      <c r="BB169" s="1">
        <f t="shared" si="90"/>
        <v>9.2780027960029002E-2</v>
      </c>
      <c r="BC169" s="1">
        <f t="shared" si="90"/>
        <v>9.2780027960029002E-2</v>
      </c>
      <c r="BD169" s="1">
        <f t="shared" si="90"/>
        <v>9.2780027960029002E-2</v>
      </c>
      <c r="BE169" s="1">
        <f t="shared" si="88"/>
        <v>8.8579087395046913E-2</v>
      </c>
      <c r="BF169" s="1">
        <f t="shared" si="88"/>
        <v>8.6238158228435821E-2</v>
      </c>
      <c r="BG169" s="1">
        <f t="shared" si="88"/>
        <v>8.2898307477967337E-2</v>
      </c>
      <c r="BH169" s="1">
        <f t="shared" si="88"/>
        <v>7.8465853529074703E-2</v>
      </c>
      <c r="BI169" s="1">
        <f t="shared" si="88"/>
        <v>7.3116084318423702E-2</v>
      </c>
      <c r="BJ169" s="1">
        <f t="shared" si="88"/>
        <v>6.7351933820564591E-2</v>
      </c>
      <c r="BK169" s="1">
        <f t="shared" si="88"/>
        <v>6.1853351973352656E-2</v>
      </c>
      <c r="BL169" s="1">
        <f t="shared" si="88"/>
        <v>5.7184809613256178E-2</v>
      </c>
      <c r="BM169" s="1">
        <f t="shared" si="88"/>
        <v>5.3597278050207295E-2</v>
      </c>
      <c r="BN169" s="1">
        <f t="shared" si="59"/>
        <v>5.104606670881983E-2</v>
      </c>
      <c r="BO169" s="1">
        <f t="shared" si="59"/>
        <v>4.9330163815322597E-2</v>
      </c>
      <c r="BP169" s="1">
        <f t="shared" si="59"/>
        <v>4.8218913489990738E-2</v>
      </c>
      <c r="BQ169" s="1">
        <f t="shared" si="59"/>
        <v>4.7516776282914661E-2</v>
      </c>
      <c r="BR169" s="1">
        <f t="shared" si="59"/>
        <v>4.7080024247272242E-2</v>
      </c>
      <c r="BS169" s="1">
        <f t="shared" si="59"/>
        <v>4.6810990128506855E-2</v>
      </c>
      <c r="BT169" s="1">
        <f t="shared" si="59"/>
        <v>4.6646263892674657E-2</v>
      </c>
      <c r="BU169" s="1">
        <f t="shared" si="59"/>
        <v>4.6545775949808112E-2</v>
      </c>
    </row>
    <row r="170" spans="1:73" x14ac:dyDescent="0.25">
      <c r="A170" s="1" t="s">
        <v>40</v>
      </c>
      <c r="B170" s="1" t="s">
        <v>5</v>
      </c>
      <c r="C170" s="1" t="s">
        <v>16</v>
      </c>
      <c r="D170" s="1" t="s">
        <v>16</v>
      </c>
      <c r="E170" s="5">
        <v>7.6147500000000008</v>
      </c>
      <c r="F170" s="1">
        <f t="shared" si="57"/>
        <v>1.8656137500000003E-2</v>
      </c>
      <c r="G170" s="1">
        <f>LOOKUP(RIGHT(D170,5),Ref!$C$4:$C$21,Ref!$E$4:$E$21)*$G$3</f>
        <v>3</v>
      </c>
      <c r="H170" s="297">
        <f t="shared" si="93"/>
        <v>7.6147500000000008</v>
      </c>
      <c r="I170" s="5">
        <f t="shared" si="93"/>
        <v>7.6147500000000008</v>
      </c>
      <c r="J170" s="5">
        <f t="shared" si="93"/>
        <v>7.6147500000000008</v>
      </c>
      <c r="K170" s="5">
        <f t="shared" si="93"/>
        <v>7.6147500000000008</v>
      </c>
      <c r="L170" s="5">
        <f t="shared" si="93"/>
        <v>7.6147500000000008</v>
      </c>
      <c r="M170" s="5">
        <f t="shared" si="92"/>
        <v>7.975886167778877</v>
      </c>
      <c r="N170" s="5">
        <f t="shared" si="92"/>
        <v>8.1923910763167651</v>
      </c>
      <c r="O170" s="5">
        <f t="shared" si="92"/>
        <v>8.5224504504679199</v>
      </c>
      <c r="P170" s="5">
        <f t="shared" si="92"/>
        <v>9.0038747574044535</v>
      </c>
      <c r="Q170" s="5">
        <f t="shared" si="92"/>
        <v>9.6626716883771717</v>
      </c>
      <c r="R170" s="5">
        <f t="shared" si="92"/>
        <v>10.489627807730679</v>
      </c>
      <c r="S170" s="5">
        <f t="shared" si="92"/>
        <v>11.422125000000001</v>
      </c>
      <c r="T170" s="5">
        <f t="shared" si="92"/>
        <v>12.354622192269323</v>
      </c>
      <c r="U170" s="5">
        <f t="shared" si="92"/>
        <v>13.181578311622831</v>
      </c>
      <c r="V170" s="5">
        <f t="shared" si="92"/>
        <v>13.840375242595549</v>
      </c>
      <c r="W170" s="5">
        <f t="shared" si="92"/>
        <v>14.321799549532081</v>
      </c>
      <c r="X170" s="5">
        <f t="shared" si="92"/>
        <v>14.651858923683237</v>
      </c>
      <c r="Y170" s="5">
        <f t="shared" si="92"/>
        <v>14.868363832221124</v>
      </c>
      <c r="Z170" s="5">
        <f t="shared" si="92"/>
        <v>15.006294690886111</v>
      </c>
      <c r="AA170" s="5">
        <f t="shared" si="92"/>
        <v>15.092539507691164</v>
      </c>
      <c r="AB170" s="5">
        <f t="shared" si="92"/>
        <v>15.145837178603694</v>
      </c>
      <c r="AC170" s="5">
        <f t="shared" si="91"/>
        <v>15.178535613424305</v>
      </c>
      <c r="AD170" s="300">
        <f t="shared" si="89"/>
        <v>1.8048651766018921E-3</v>
      </c>
      <c r="AE170" s="299">
        <f t="shared" si="89"/>
        <v>1.8048651766018921E-3</v>
      </c>
      <c r="AF170" s="299">
        <f t="shared" si="89"/>
        <v>1.8048651766018921E-3</v>
      </c>
      <c r="AG170" s="299">
        <f t="shared" si="89"/>
        <v>1.8048651766018921E-3</v>
      </c>
      <c r="AH170" s="299">
        <f t="shared" si="89"/>
        <v>1.8048651766018921E-3</v>
      </c>
      <c r="AI170" s="299">
        <f t="shared" si="87"/>
        <v>1.7231435873609733E-3</v>
      </c>
      <c r="AJ170" s="299">
        <f t="shared" si="87"/>
        <v>1.6776051064335022E-3</v>
      </c>
      <c r="AK170" s="299">
        <f t="shared" si="87"/>
        <v>1.6126344392855549E-3</v>
      </c>
      <c r="AL170" s="299">
        <f t="shared" si="87"/>
        <v>1.5264091820276636E-3</v>
      </c>
      <c r="AM170" s="299">
        <f t="shared" si="87"/>
        <v>1.422339239784051E-3</v>
      </c>
      <c r="AN170" s="299">
        <f t="shared" si="87"/>
        <v>1.310208270058968E-3</v>
      </c>
      <c r="AO170" s="299">
        <f t="shared" si="87"/>
        <v>1.2032434510679281E-3</v>
      </c>
      <c r="AP170" s="299">
        <f t="shared" si="87"/>
        <v>1.1124255270330372E-3</v>
      </c>
      <c r="AQ170" s="299">
        <f t="shared" si="87"/>
        <v>1.042636684213367E-3</v>
      </c>
      <c r="AR170" s="299">
        <f t="shared" si="58"/>
        <v>9.9300754947969608E-4</v>
      </c>
      <c r="AS170" s="299">
        <f t="shared" si="58"/>
        <v>9.5962780766459537E-4</v>
      </c>
      <c r="AT170" s="299">
        <f t="shared" si="58"/>
        <v>9.38010471921357E-4</v>
      </c>
      <c r="AU170" s="299">
        <f t="shared" si="58"/>
        <v>9.2435168110062047E-4</v>
      </c>
      <c r="AV170" s="299">
        <f t="shared" si="58"/>
        <v>9.1585547176254399E-4</v>
      </c>
      <c r="AW170" s="299">
        <f t="shared" si="58"/>
        <v>9.1062190670599319E-4</v>
      </c>
      <c r="AX170" s="299">
        <f t="shared" si="58"/>
        <v>9.0741746008894382E-4</v>
      </c>
      <c r="AY170" s="299">
        <f t="shared" si="58"/>
        <v>9.054626515731895E-4</v>
      </c>
      <c r="AZ170" s="298">
        <f t="shared" si="90"/>
        <v>9.991695318772352E-2</v>
      </c>
      <c r="BA170" s="1">
        <f t="shared" si="90"/>
        <v>9.991695318772352E-2</v>
      </c>
      <c r="BB170" s="1">
        <f t="shared" si="90"/>
        <v>9.991695318772352E-2</v>
      </c>
      <c r="BC170" s="1">
        <f t="shared" si="90"/>
        <v>9.991695318772352E-2</v>
      </c>
      <c r="BD170" s="1">
        <f t="shared" si="90"/>
        <v>9.991695318772352E-2</v>
      </c>
      <c r="BE170" s="1">
        <f t="shared" si="88"/>
        <v>9.5392863348512033E-2</v>
      </c>
      <c r="BF170" s="1">
        <f t="shared" si="88"/>
        <v>9.2871862707546257E-2</v>
      </c>
      <c r="BG170" s="1">
        <f t="shared" si="88"/>
        <v>8.9275100360887885E-2</v>
      </c>
      <c r="BH170" s="1">
        <f t="shared" si="88"/>
        <v>8.450168841592659E-2</v>
      </c>
      <c r="BI170" s="1">
        <f t="shared" si="88"/>
        <v>7.874039849676398E-2</v>
      </c>
      <c r="BJ170" s="1">
        <f t="shared" si="88"/>
        <v>7.2532851806761875E-2</v>
      </c>
      <c r="BK170" s="1">
        <f t="shared" si="88"/>
        <v>6.6611302125149013E-2</v>
      </c>
      <c r="BL170" s="1">
        <f t="shared" si="88"/>
        <v>6.158364112196818E-2</v>
      </c>
      <c r="BM170" s="1">
        <f t="shared" si="88"/>
        <v>5.7720145592530928E-2</v>
      </c>
      <c r="BN170" s="1">
        <f t="shared" si="59"/>
        <v>5.4972687224882889E-2</v>
      </c>
      <c r="BO170" s="1">
        <f t="shared" si="59"/>
        <v>5.3124791801116636E-2</v>
      </c>
      <c r="BP170" s="1">
        <f t="shared" si="59"/>
        <v>5.1928060681528485E-2</v>
      </c>
      <c r="BQ170" s="1">
        <f t="shared" si="59"/>
        <v>5.1171912920061936E-2</v>
      </c>
      <c r="BR170" s="1">
        <f t="shared" si="59"/>
        <v>5.0701564573985489E-2</v>
      </c>
      <c r="BS170" s="1">
        <f t="shared" si="59"/>
        <v>5.0411835523007383E-2</v>
      </c>
      <c r="BT170" s="1">
        <f t="shared" si="59"/>
        <v>5.0234438038265009E-2</v>
      </c>
      <c r="BU170" s="1">
        <f t="shared" si="59"/>
        <v>5.0126220253639497E-2</v>
      </c>
    </row>
    <row r="171" spans="1:73" x14ac:dyDescent="0.25">
      <c r="A171" s="1" t="s">
        <v>40</v>
      </c>
      <c r="B171" s="1" t="s">
        <v>5</v>
      </c>
      <c r="C171" s="1" t="s">
        <v>17</v>
      </c>
      <c r="D171" s="1" t="s">
        <v>17</v>
      </c>
      <c r="E171" s="5">
        <v>7.7549999999999999</v>
      </c>
      <c r="F171" s="1">
        <f t="shared" si="57"/>
        <v>1.8999749999999999E-2</v>
      </c>
      <c r="G171" s="1">
        <f>LOOKUP(RIGHT(D171,5),Ref!$C$4:$C$21,Ref!$E$4:$E$21)*$G$3</f>
        <v>3</v>
      </c>
      <c r="H171" s="297">
        <f t="shared" si="93"/>
        <v>7.7549999999999999</v>
      </c>
      <c r="I171" s="5">
        <f t="shared" si="93"/>
        <v>7.7549999999999999</v>
      </c>
      <c r="J171" s="5">
        <f t="shared" si="93"/>
        <v>7.7549999999999999</v>
      </c>
      <c r="K171" s="5">
        <f t="shared" si="93"/>
        <v>7.7549999999999999</v>
      </c>
      <c r="L171" s="5">
        <f t="shared" si="93"/>
        <v>7.7549999999999999</v>
      </c>
      <c r="M171" s="5">
        <f t="shared" si="92"/>
        <v>8.1227876464920303</v>
      </c>
      <c r="N171" s="5">
        <f t="shared" si="92"/>
        <v>8.3432801860647423</v>
      </c>
      <c r="O171" s="5">
        <f t="shared" si="92"/>
        <v>8.679418660281522</v>
      </c>
      <c r="P171" s="5">
        <f t="shared" si="92"/>
        <v>9.1697099371182933</v>
      </c>
      <c r="Q171" s="5">
        <f t="shared" si="92"/>
        <v>9.8406407227243129</v>
      </c>
      <c r="R171" s="5">
        <f t="shared" si="92"/>
        <v>10.682827886529619</v>
      </c>
      <c r="S171" s="5">
        <f t="shared" si="92"/>
        <v>11.6325</v>
      </c>
      <c r="T171" s="5">
        <f t="shared" si="92"/>
        <v>12.582172113470381</v>
      </c>
      <c r="U171" s="5">
        <f t="shared" si="92"/>
        <v>13.424359277275688</v>
      </c>
      <c r="V171" s="5">
        <f t="shared" si="92"/>
        <v>14.095290062881705</v>
      </c>
      <c r="W171" s="5">
        <f t="shared" si="92"/>
        <v>14.585581339718477</v>
      </c>
      <c r="X171" s="5">
        <f t="shared" si="92"/>
        <v>14.921719813935256</v>
      </c>
      <c r="Y171" s="5">
        <f t="shared" si="92"/>
        <v>15.14221235350797</v>
      </c>
      <c r="Z171" s="5">
        <f t="shared" si="92"/>
        <v>15.282683650523232</v>
      </c>
      <c r="AA171" s="5">
        <f t="shared" si="92"/>
        <v>15.370516941743979</v>
      </c>
      <c r="AB171" s="5">
        <f t="shared" si="92"/>
        <v>15.42479625989975</v>
      </c>
      <c r="AC171" s="5">
        <f t="shared" si="91"/>
        <v>15.458096941082172</v>
      </c>
      <c r="AD171" s="300">
        <f t="shared" si="89"/>
        <v>1.7722239978761134E-3</v>
      </c>
      <c r="AE171" s="299">
        <f t="shared" si="89"/>
        <v>1.7722239978761134E-3</v>
      </c>
      <c r="AF171" s="299">
        <f t="shared" si="89"/>
        <v>1.7722239978761134E-3</v>
      </c>
      <c r="AG171" s="299">
        <f t="shared" si="89"/>
        <v>1.7722239978761134E-3</v>
      </c>
      <c r="AH171" s="299">
        <f t="shared" si="89"/>
        <v>1.7722239978761134E-3</v>
      </c>
      <c r="AI171" s="299">
        <f t="shared" si="87"/>
        <v>1.6919803522704026E-3</v>
      </c>
      <c r="AJ171" s="299">
        <f t="shared" si="87"/>
        <v>1.6472654396150243E-3</v>
      </c>
      <c r="AK171" s="299">
        <f t="shared" si="87"/>
        <v>1.5834697738942205E-3</v>
      </c>
      <c r="AL171" s="299">
        <f t="shared" si="87"/>
        <v>1.4988039095867381E-3</v>
      </c>
      <c r="AM171" s="299">
        <f t="shared" si="87"/>
        <v>1.3966160833198714E-3</v>
      </c>
      <c r="AN171" s="299">
        <f t="shared" si="87"/>
        <v>1.2865130141110931E-3</v>
      </c>
      <c r="AO171" s="299">
        <f t="shared" si="87"/>
        <v>1.1814826652507423E-3</v>
      </c>
      <c r="AP171" s="299">
        <f t="shared" si="87"/>
        <v>1.0923071930335037E-3</v>
      </c>
      <c r="AQ171" s="299">
        <f t="shared" si="87"/>
        <v>1.023780488860572E-3</v>
      </c>
      <c r="AR171" s="299">
        <f t="shared" si="58"/>
        <v>9.7504890230825487E-4</v>
      </c>
      <c r="AS171" s="299">
        <f t="shared" si="58"/>
        <v>9.422728366749166E-4</v>
      </c>
      <c r="AT171" s="299">
        <f t="shared" si="58"/>
        <v>9.210464527483113E-4</v>
      </c>
      <c r="AU171" s="299">
        <f t="shared" si="58"/>
        <v>9.0763468261263053E-4</v>
      </c>
      <c r="AV171" s="299">
        <f t="shared" si="58"/>
        <v>8.9929212812428537E-4</v>
      </c>
      <c r="AW171" s="299">
        <f t="shared" si="58"/>
        <v>8.9415321264854446E-4</v>
      </c>
      <c r="AX171" s="299">
        <f t="shared" si="58"/>
        <v>8.9100671878946313E-4</v>
      </c>
      <c r="AY171" s="299">
        <f t="shared" si="58"/>
        <v>8.8908726319367453E-4</v>
      </c>
      <c r="AZ171" s="298">
        <f t="shared" si="90"/>
        <v>9.8109944459860446E-2</v>
      </c>
      <c r="BA171" s="1">
        <f t="shared" si="90"/>
        <v>9.8109944459860446E-2</v>
      </c>
      <c r="BB171" s="1">
        <f t="shared" si="90"/>
        <v>9.8109944459860446E-2</v>
      </c>
      <c r="BC171" s="1">
        <f t="shared" si="90"/>
        <v>9.8109944459860446E-2</v>
      </c>
      <c r="BD171" s="1">
        <f t="shared" si="90"/>
        <v>9.8109944459860446E-2</v>
      </c>
      <c r="BE171" s="1">
        <f t="shared" si="88"/>
        <v>9.3667673266677257E-2</v>
      </c>
      <c r="BF171" s="1">
        <f t="shared" si="88"/>
        <v>9.119226519049492E-2</v>
      </c>
      <c r="BG171" s="1">
        <f t="shared" si="88"/>
        <v>8.7660550673510126E-2</v>
      </c>
      <c r="BH171" s="1">
        <f t="shared" si="88"/>
        <v>8.2973466391383255E-2</v>
      </c>
      <c r="BI171" s="1">
        <f t="shared" si="88"/>
        <v>7.7316370013311875E-2</v>
      </c>
      <c r="BJ171" s="1">
        <f t="shared" si="88"/>
        <v>7.1221087465575747E-2</v>
      </c>
      <c r="BK171" s="1">
        <f t="shared" si="88"/>
        <v>6.5406629639906969E-2</v>
      </c>
      <c r="BL171" s="1">
        <f t="shared" si="88"/>
        <v>6.046989442082621E-2</v>
      </c>
      <c r="BM171" s="1">
        <f t="shared" si="88"/>
        <v>5.6676270619048986E-2</v>
      </c>
      <c r="BN171" s="1">
        <f t="shared" si="59"/>
        <v>5.3978500328262673E-2</v>
      </c>
      <c r="BO171" s="1">
        <f t="shared" si="59"/>
        <v>5.2164024289819852E-2</v>
      </c>
      <c r="BP171" s="1">
        <f t="shared" si="59"/>
        <v>5.0988936179841272E-2</v>
      </c>
      <c r="BQ171" s="1">
        <f t="shared" si="59"/>
        <v>5.0246463431082092E-2</v>
      </c>
      <c r="BR171" s="1">
        <f t="shared" si="59"/>
        <v>4.9784621384881503E-2</v>
      </c>
      <c r="BS171" s="1">
        <f t="shared" si="59"/>
        <v>4.9500132114612572E-2</v>
      </c>
      <c r="BT171" s="1">
        <f t="shared" si="59"/>
        <v>4.9325942882253844E-2</v>
      </c>
      <c r="BU171" s="1">
        <f t="shared" si="59"/>
        <v>4.9219682227775813E-2</v>
      </c>
    </row>
    <row r="172" spans="1:73" x14ac:dyDescent="0.25">
      <c r="A172" s="1" t="s">
        <v>40</v>
      </c>
      <c r="B172" s="1" t="s">
        <v>5</v>
      </c>
      <c r="C172" s="1" t="s">
        <v>18</v>
      </c>
      <c r="D172" s="1" t="s">
        <v>18</v>
      </c>
      <c r="E172" s="5">
        <v>8.2004999999999999</v>
      </c>
      <c r="F172" s="1">
        <f t="shared" si="57"/>
        <v>2.0091224999999997E-2</v>
      </c>
      <c r="G172" s="1">
        <f>LOOKUP(RIGHT(D172,5),Ref!$C$4:$C$21,Ref!$E$4:$E$21)*$G$3</f>
        <v>3</v>
      </c>
      <c r="H172" s="297">
        <f t="shared" si="93"/>
        <v>8.2004999999999999</v>
      </c>
      <c r="I172" s="5">
        <f t="shared" si="93"/>
        <v>8.2004999999999999</v>
      </c>
      <c r="J172" s="5">
        <f t="shared" si="93"/>
        <v>8.2004999999999999</v>
      </c>
      <c r="K172" s="5">
        <f t="shared" si="93"/>
        <v>8.2004999999999999</v>
      </c>
      <c r="L172" s="5">
        <f t="shared" si="93"/>
        <v>8.2004999999999999</v>
      </c>
      <c r="M172" s="5">
        <f t="shared" si="92"/>
        <v>8.5894158729926353</v>
      </c>
      <c r="N172" s="5">
        <f t="shared" si="92"/>
        <v>8.8225750052642073</v>
      </c>
      <c r="O172" s="5">
        <f t="shared" si="92"/>
        <v>9.1780235620423749</v>
      </c>
      <c r="P172" s="5">
        <f t="shared" si="92"/>
        <v>9.6964805079740248</v>
      </c>
      <c r="Q172" s="5">
        <f t="shared" si="92"/>
        <v>10.405954125944646</v>
      </c>
      <c r="R172" s="5">
        <f t="shared" si="92"/>
        <v>11.296522254479193</v>
      </c>
      <c r="S172" s="5">
        <f t="shared" si="92"/>
        <v>12.300750000000001</v>
      </c>
      <c r="T172" s="5">
        <f t="shared" si="92"/>
        <v>13.304977745520807</v>
      </c>
      <c r="U172" s="5">
        <f t="shared" si="92"/>
        <v>14.195545874055354</v>
      </c>
      <c r="V172" s="5">
        <f t="shared" si="92"/>
        <v>14.905019492025975</v>
      </c>
      <c r="W172" s="5">
        <f t="shared" si="92"/>
        <v>15.423476437957623</v>
      </c>
      <c r="X172" s="5">
        <f t="shared" si="92"/>
        <v>15.778924994735792</v>
      </c>
      <c r="Y172" s="5">
        <f t="shared" si="92"/>
        <v>16.012084127007363</v>
      </c>
      <c r="Z172" s="5">
        <f t="shared" si="92"/>
        <v>16.160625051723503</v>
      </c>
      <c r="AA172" s="5">
        <f t="shared" si="92"/>
        <v>16.253504085205869</v>
      </c>
      <c r="AB172" s="5">
        <f t="shared" si="92"/>
        <v>16.310901576957821</v>
      </c>
      <c r="AC172" s="5">
        <f t="shared" si="91"/>
        <v>16.346115275995402</v>
      </c>
      <c r="AD172" s="300">
        <f t="shared" si="89"/>
        <v>1.675946235416043E-3</v>
      </c>
      <c r="AE172" s="299">
        <f t="shared" si="89"/>
        <v>1.675946235416043E-3</v>
      </c>
      <c r="AF172" s="299">
        <f t="shared" si="89"/>
        <v>1.675946235416043E-3</v>
      </c>
      <c r="AG172" s="299">
        <f t="shared" si="89"/>
        <v>1.675946235416043E-3</v>
      </c>
      <c r="AH172" s="299">
        <f t="shared" si="89"/>
        <v>1.675946235416043E-3</v>
      </c>
      <c r="AI172" s="299">
        <f t="shared" si="87"/>
        <v>1.6000619025494755E-3</v>
      </c>
      <c r="AJ172" s="299">
        <f t="shared" si="87"/>
        <v>1.5577761702596808E-3</v>
      </c>
      <c r="AK172" s="299">
        <f t="shared" si="87"/>
        <v>1.4974462650508725E-3</v>
      </c>
      <c r="AL172" s="299">
        <f t="shared" si="87"/>
        <v>1.4173799547399736E-3</v>
      </c>
      <c r="AM172" s="299">
        <f t="shared" si="87"/>
        <v>1.3207435797994761E-3</v>
      </c>
      <c r="AN172" s="299">
        <f t="shared" si="87"/>
        <v>1.2166219650547561E-3</v>
      </c>
      <c r="AO172" s="299">
        <f t="shared" si="87"/>
        <v>1.1172974902773618E-3</v>
      </c>
      <c r="AP172" s="299">
        <f t="shared" si="87"/>
        <v>1.032966560816392E-3</v>
      </c>
      <c r="AQ172" s="299">
        <f t="shared" si="87"/>
        <v>9.6816263534098377E-4</v>
      </c>
      <c r="AR172" s="299">
        <f t="shared" si="58"/>
        <v>9.220784388025749E-4</v>
      </c>
      <c r="AS172" s="299">
        <f t="shared" si="58"/>
        <v>8.910829642599815E-4</v>
      </c>
      <c r="AT172" s="299">
        <f t="shared" si="58"/>
        <v>8.7100972392697442E-4</v>
      </c>
      <c r="AU172" s="299">
        <f t="shared" si="58"/>
        <v>8.5832656102200475E-4</v>
      </c>
      <c r="AV172" s="299">
        <f t="shared" si="58"/>
        <v>8.5043722377950524E-4</v>
      </c>
      <c r="AW172" s="299">
        <f t="shared" ref="AW172:AY227" si="94">Algae_electricity_factor/AA172</f>
        <v>8.4557748479842224E-4</v>
      </c>
      <c r="AX172" s="299">
        <f t="shared" si="94"/>
        <v>8.4260192722544801E-4</v>
      </c>
      <c r="AY172" s="299">
        <f t="shared" si="94"/>
        <v>8.4078674788939044E-4</v>
      </c>
      <c r="AZ172" s="298">
        <f t="shared" si="90"/>
        <v>9.2780027960029002E-2</v>
      </c>
      <c r="BA172" s="1">
        <f t="shared" si="90"/>
        <v>9.2780027960029002E-2</v>
      </c>
      <c r="BB172" s="1">
        <f t="shared" si="90"/>
        <v>9.2780027960029002E-2</v>
      </c>
      <c r="BC172" s="1">
        <f t="shared" si="90"/>
        <v>9.2780027960029002E-2</v>
      </c>
      <c r="BD172" s="1">
        <f t="shared" si="90"/>
        <v>9.2780027960029002E-2</v>
      </c>
      <c r="BE172" s="1">
        <f t="shared" si="88"/>
        <v>8.8579087395046913E-2</v>
      </c>
      <c r="BF172" s="1">
        <f t="shared" si="88"/>
        <v>8.6238158228435821E-2</v>
      </c>
      <c r="BG172" s="1">
        <f t="shared" si="88"/>
        <v>8.2898307477967337E-2</v>
      </c>
      <c r="BH172" s="1">
        <f t="shared" si="88"/>
        <v>7.8465853529074703E-2</v>
      </c>
      <c r="BI172" s="1">
        <f t="shared" si="88"/>
        <v>7.3116084318423702E-2</v>
      </c>
      <c r="BJ172" s="1">
        <f t="shared" si="88"/>
        <v>6.7351933820564591E-2</v>
      </c>
      <c r="BK172" s="1">
        <f t="shared" si="88"/>
        <v>6.1853351973352656E-2</v>
      </c>
      <c r="BL172" s="1">
        <f t="shared" si="88"/>
        <v>5.7184809613256178E-2</v>
      </c>
      <c r="BM172" s="1">
        <f t="shared" si="88"/>
        <v>5.3597278050207295E-2</v>
      </c>
      <c r="BN172" s="1">
        <f t="shared" si="59"/>
        <v>5.104606670881983E-2</v>
      </c>
      <c r="BO172" s="1">
        <f t="shared" si="59"/>
        <v>4.9330163815322597E-2</v>
      </c>
      <c r="BP172" s="1">
        <f t="shared" si="59"/>
        <v>4.8218913489990738E-2</v>
      </c>
      <c r="BQ172" s="1">
        <f t="shared" si="59"/>
        <v>4.7516776282914661E-2</v>
      </c>
      <c r="BR172" s="1">
        <f t="shared" si="59"/>
        <v>4.7080024247272242E-2</v>
      </c>
      <c r="BS172" s="1">
        <f t="shared" ref="BS172:BU227" si="95">Algae_yield_cost_factor/AA172</f>
        <v>4.6810990128506855E-2</v>
      </c>
      <c r="BT172" s="1">
        <f t="shared" si="95"/>
        <v>4.6646263892674657E-2</v>
      </c>
      <c r="BU172" s="1">
        <f t="shared" si="95"/>
        <v>4.6545775949808112E-2</v>
      </c>
    </row>
    <row r="173" spans="1:73" x14ac:dyDescent="0.25">
      <c r="A173" s="1" t="s">
        <v>40</v>
      </c>
      <c r="B173" s="1" t="s">
        <v>5</v>
      </c>
      <c r="C173" s="1" t="s">
        <v>6</v>
      </c>
      <c r="D173" s="1" t="s">
        <v>6</v>
      </c>
      <c r="E173" s="5">
        <v>7.524</v>
      </c>
      <c r="F173" s="1">
        <f t="shared" si="57"/>
        <v>1.8433799999999997E-2</v>
      </c>
      <c r="G173" s="1">
        <f>LOOKUP(RIGHT(D173,5),Ref!$C$4:$C$21,Ref!$E$4:$E$21)*$G$3</f>
        <v>3</v>
      </c>
      <c r="H173" s="297">
        <f t="shared" si="93"/>
        <v>7.524</v>
      </c>
      <c r="I173" s="5">
        <f t="shared" si="93"/>
        <v>7.524</v>
      </c>
      <c r="J173" s="5">
        <f t="shared" si="93"/>
        <v>7.524</v>
      </c>
      <c r="K173" s="5">
        <f t="shared" si="93"/>
        <v>7.524</v>
      </c>
      <c r="L173" s="5">
        <f t="shared" si="93"/>
        <v>7.524</v>
      </c>
      <c r="M173" s="5">
        <f t="shared" si="92"/>
        <v>7.8808322697880122</v>
      </c>
      <c r="N173" s="5">
        <f t="shared" si="92"/>
        <v>8.0947569464798352</v>
      </c>
      <c r="O173" s="5">
        <f t="shared" si="92"/>
        <v>8.4208827852944133</v>
      </c>
      <c r="P173" s="5">
        <f t="shared" si="92"/>
        <v>8.8965696411190258</v>
      </c>
      <c r="Q173" s="5">
        <f t="shared" si="92"/>
        <v>9.5475152543878448</v>
      </c>
      <c r="R173" s="5">
        <f t="shared" si="92"/>
        <v>10.364615992037248</v>
      </c>
      <c r="S173" s="5">
        <f t="shared" si="92"/>
        <v>11.286</v>
      </c>
      <c r="T173" s="5">
        <f t="shared" si="92"/>
        <v>12.207384007962753</v>
      </c>
      <c r="U173" s="5">
        <f t="shared" si="92"/>
        <v>13.024484745612156</v>
      </c>
      <c r="V173" s="5">
        <f t="shared" si="92"/>
        <v>13.675430358880975</v>
      </c>
      <c r="W173" s="5">
        <f t="shared" si="92"/>
        <v>14.151117214705586</v>
      </c>
      <c r="X173" s="5">
        <f t="shared" si="92"/>
        <v>14.477243053520164</v>
      </c>
      <c r="Y173" s="5">
        <f t="shared" si="92"/>
        <v>14.691167730211987</v>
      </c>
      <c r="Z173" s="5">
        <f t="shared" si="92"/>
        <v>14.827454775826796</v>
      </c>
      <c r="AA173" s="5">
        <f t="shared" si="92"/>
        <v>14.912671756245222</v>
      </c>
      <c r="AB173" s="5">
        <f t="shared" si="92"/>
        <v>14.965334243647417</v>
      </c>
      <c r="AC173" s="5">
        <f t="shared" si="91"/>
        <v>14.997642989645682</v>
      </c>
      <c r="AD173" s="300">
        <f t="shared" si="89"/>
        <v>1.8266343837758186E-3</v>
      </c>
      <c r="AE173" s="299">
        <f t="shared" si="89"/>
        <v>1.8266343837758186E-3</v>
      </c>
      <c r="AF173" s="299">
        <f t="shared" si="89"/>
        <v>1.8266343837758186E-3</v>
      </c>
      <c r="AG173" s="299">
        <f t="shared" si="89"/>
        <v>1.8266343837758186E-3</v>
      </c>
      <c r="AH173" s="299">
        <f t="shared" si="89"/>
        <v>1.8266343837758186E-3</v>
      </c>
      <c r="AI173" s="299">
        <f t="shared" si="87"/>
        <v>1.7439271174716868E-3</v>
      </c>
      <c r="AJ173" s="299">
        <f t="shared" si="87"/>
        <v>1.6978393785505733E-3</v>
      </c>
      <c r="AK173" s="299">
        <f t="shared" si="87"/>
        <v>1.6320850739699202E-3</v>
      </c>
      <c r="AL173" s="299">
        <f t="shared" si="87"/>
        <v>1.5448198190915938E-3</v>
      </c>
      <c r="AM173" s="299">
        <f t="shared" si="87"/>
        <v>1.4394946472814465E-3</v>
      </c>
      <c r="AN173" s="299">
        <f t="shared" si="87"/>
        <v>1.3260112206846793E-3</v>
      </c>
      <c r="AO173" s="299">
        <f t="shared" si="87"/>
        <v>1.2177562558505458E-3</v>
      </c>
      <c r="AP173" s="299">
        <f t="shared" si="87"/>
        <v>1.1258429401880411E-3</v>
      </c>
      <c r="AQ173" s="299">
        <f t="shared" si="87"/>
        <v>1.0552123459747125E-3</v>
      </c>
      <c r="AR173" s="299">
        <f t="shared" si="87"/>
        <v>1.0049846142212275E-3</v>
      </c>
      <c r="AS173" s="299">
        <f t="shared" si="87"/>
        <v>9.7120226587107635E-4</v>
      </c>
      <c r="AT173" s="299">
        <f t="shared" si="87"/>
        <v>9.4932419471865416E-4</v>
      </c>
      <c r="AU173" s="299">
        <f t="shared" si="87"/>
        <v>9.3550065971038682E-4</v>
      </c>
      <c r="AV173" s="299">
        <f t="shared" si="87"/>
        <v>9.2690197416318886E-4</v>
      </c>
      <c r="AW173" s="299">
        <f t="shared" si="94"/>
        <v>9.2160528496670153E-4</v>
      </c>
      <c r="AX173" s="299">
        <f t="shared" si="94"/>
        <v>9.1836218822598172E-4</v>
      </c>
      <c r="AY173" s="299">
        <f t="shared" si="94"/>
        <v>9.163838019759364E-4</v>
      </c>
      <c r="AZ173" s="298">
        <f t="shared" si="90"/>
        <v>0.10112209187748775</v>
      </c>
      <c r="BA173" s="1">
        <f t="shared" si="90"/>
        <v>0.10112209187748775</v>
      </c>
      <c r="BB173" s="1">
        <f t="shared" si="90"/>
        <v>0.10112209187748775</v>
      </c>
      <c r="BC173" s="1">
        <f t="shared" si="90"/>
        <v>0.10112209187748775</v>
      </c>
      <c r="BD173" s="1">
        <f t="shared" si="90"/>
        <v>0.10112209187748775</v>
      </c>
      <c r="BE173" s="1">
        <f t="shared" si="88"/>
        <v>9.6543435165215588E-2</v>
      </c>
      <c r="BF173" s="1">
        <f t="shared" si="88"/>
        <v>9.3992027718273266E-2</v>
      </c>
      <c r="BG173" s="1">
        <f t="shared" si="88"/>
        <v>9.035188336962667E-2</v>
      </c>
      <c r="BH173" s="1">
        <f t="shared" si="88"/>
        <v>8.5520897377083613E-2</v>
      </c>
      <c r="BI173" s="1">
        <f t="shared" si="88"/>
        <v>7.9690118215474948E-2</v>
      </c>
      <c r="BJ173" s="1">
        <f t="shared" si="88"/>
        <v>7.340769980004519E-2</v>
      </c>
      <c r="BK173" s="1">
        <f t="shared" si="88"/>
        <v>6.741472791832516E-2</v>
      </c>
      <c r="BL173" s="1">
        <f t="shared" si="88"/>
        <v>6.2326426267079647E-2</v>
      </c>
      <c r="BM173" s="1">
        <f t="shared" si="88"/>
        <v>5.8416331559107512E-2</v>
      </c>
      <c r="BN173" s="1">
        <f t="shared" si="88"/>
        <v>5.5635734987463714E-2</v>
      </c>
      <c r="BO173" s="1">
        <f t="shared" si="88"/>
        <v>5.376555135134941E-2</v>
      </c>
      <c r="BP173" s="1">
        <f t="shared" si="88"/>
        <v>5.2554385974836401E-2</v>
      </c>
      <c r="BQ173" s="1">
        <f t="shared" si="88"/>
        <v>5.178911801010655E-2</v>
      </c>
      <c r="BR173" s="1">
        <f t="shared" si="88"/>
        <v>5.1313096602838386E-2</v>
      </c>
      <c r="BS173" s="1">
        <f t="shared" si="95"/>
        <v>5.1019873012868221E-2</v>
      </c>
      <c r="BT173" s="1">
        <f t="shared" si="95"/>
        <v>5.084033586548093E-2</v>
      </c>
      <c r="BU173" s="1">
        <f t="shared" si="95"/>
        <v>5.0730812822488223E-2</v>
      </c>
    </row>
    <row r="174" spans="1:73" x14ac:dyDescent="0.25">
      <c r="A174" s="1" t="s">
        <v>40</v>
      </c>
      <c r="B174" s="1" t="s">
        <v>5</v>
      </c>
      <c r="C174" s="1" t="s">
        <v>7</v>
      </c>
      <c r="D174" s="1" t="s">
        <v>7</v>
      </c>
      <c r="E174" s="5">
        <v>7.6972500000000004</v>
      </c>
      <c r="F174" s="1">
        <f t="shared" si="57"/>
        <v>1.8858262499999997E-2</v>
      </c>
      <c r="G174" s="1">
        <f>LOOKUP(RIGHT(D174,5),Ref!$C$4:$C$21,Ref!$E$4:$E$21)*$G$3</f>
        <v>3.5</v>
      </c>
      <c r="H174" s="297">
        <f t="shared" si="93"/>
        <v>7.6972500000000004</v>
      </c>
      <c r="I174" s="5">
        <f t="shared" si="93"/>
        <v>7.6972500000000004</v>
      </c>
      <c r="J174" s="5">
        <f t="shared" si="93"/>
        <v>7.6972500000000004</v>
      </c>
      <c r="K174" s="5">
        <f t="shared" si="93"/>
        <v>7.6972500000000004</v>
      </c>
      <c r="L174" s="5">
        <f t="shared" si="93"/>
        <v>7.6972500000000004</v>
      </c>
      <c r="M174" s="5">
        <f t="shared" si="92"/>
        <v>8.0622988023160254</v>
      </c>
      <c r="N174" s="5">
        <f t="shared" si="92"/>
        <v>8.281149376168516</v>
      </c>
      <c r="O174" s="5">
        <f t="shared" si="92"/>
        <v>8.6147846915347444</v>
      </c>
      <c r="P174" s="5">
        <f t="shared" si="92"/>
        <v>9.101424863118476</v>
      </c>
      <c r="Q174" s="5">
        <f t="shared" si="92"/>
        <v>9.7673593556401954</v>
      </c>
      <c r="R174" s="5">
        <f t="shared" si="92"/>
        <v>10.603274912906526</v>
      </c>
      <c r="S174" s="5">
        <f t="shared" si="92"/>
        <v>11.545875000000001</v>
      </c>
      <c r="T174" s="5">
        <f t="shared" si="92"/>
        <v>12.488475087093475</v>
      </c>
      <c r="U174" s="5">
        <f t="shared" si="92"/>
        <v>13.324390644359806</v>
      </c>
      <c r="V174" s="5">
        <f t="shared" si="92"/>
        <v>13.990325136881525</v>
      </c>
      <c r="W174" s="5">
        <f t="shared" si="92"/>
        <v>14.476965308465255</v>
      </c>
      <c r="X174" s="5">
        <f t="shared" si="92"/>
        <v>14.810600623831485</v>
      </c>
      <c r="Y174" s="5">
        <f t="shared" si="92"/>
        <v>15.029451197683976</v>
      </c>
      <c r="Z174" s="5">
        <f t="shared" si="92"/>
        <v>15.168876431849124</v>
      </c>
      <c r="AA174" s="5">
        <f t="shared" si="92"/>
        <v>15.256055645369292</v>
      </c>
      <c r="AB174" s="5">
        <f t="shared" si="92"/>
        <v>15.309930755836668</v>
      </c>
      <c r="AC174" s="5">
        <f t="shared" si="91"/>
        <v>15.34298345322305</v>
      </c>
      <c r="AD174" s="300">
        <f t="shared" si="89"/>
        <v>1.7855204265847229E-3</v>
      </c>
      <c r="AE174" s="299">
        <f t="shared" si="89"/>
        <v>1.7855204265847229E-3</v>
      </c>
      <c r="AF174" s="299">
        <f t="shared" si="89"/>
        <v>1.7855204265847229E-3</v>
      </c>
      <c r="AG174" s="299">
        <f t="shared" si="89"/>
        <v>1.7855204265847229E-3</v>
      </c>
      <c r="AH174" s="299">
        <f t="shared" si="89"/>
        <v>1.7855204265847229E-3</v>
      </c>
      <c r="AI174" s="299">
        <f t="shared" si="87"/>
        <v>1.7046747386218418E-3</v>
      </c>
      <c r="AJ174" s="299">
        <f t="shared" si="87"/>
        <v>1.6596243443066697E-3</v>
      </c>
      <c r="AK174" s="299">
        <f t="shared" si="87"/>
        <v>1.5953500401506616E-3</v>
      </c>
      <c r="AL174" s="299">
        <f t="shared" si="87"/>
        <v>1.5100489549962849E-3</v>
      </c>
      <c r="AM174" s="299">
        <f t="shared" si="87"/>
        <v>1.407094446217234E-3</v>
      </c>
      <c r="AN174" s="299">
        <f t="shared" si="87"/>
        <v>1.2961653089650885E-3</v>
      </c>
      <c r="AO174" s="299">
        <f t="shared" si="87"/>
        <v>1.1903469510564819E-3</v>
      </c>
      <c r="AP174" s="299">
        <f t="shared" si="87"/>
        <v>1.1005024238494034E-3</v>
      </c>
      <c r="AQ174" s="299">
        <f t="shared" si="87"/>
        <v>1.0314615857759247E-3</v>
      </c>
      <c r="AR174" s="299">
        <f t="shared" si="87"/>
        <v>9.8236438174679466E-4</v>
      </c>
      <c r="AS174" s="299">
        <f t="shared" si="87"/>
        <v>9.4934240779680765E-4</v>
      </c>
      <c r="AT174" s="299">
        <f t="shared" si="87"/>
        <v>9.2795676911405409E-4</v>
      </c>
      <c r="AU174" s="299">
        <f t="shared" si="87"/>
        <v>9.1444437476513683E-4</v>
      </c>
      <c r="AV174" s="299">
        <f t="shared" si="87"/>
        <v>9.0603922876401736E-4</v>
      </c>
      <c r="AW174" s="299">
        <f t="shared" si="94"/>
        <v>9.0086175765233831E-4</v>
      </c>
      <c r="AX174" s="299">
        <f t="shared" si="94"/>
        <v>8.9769165665819434E-4</v>
      </c>
      <c r="AY174" s="299">
        <f t="shared" si="94"/>
        <v>8.9575780000220148E-4</v>
      </c>
      <c r="AZ174" s="298">
        <f t="shared" si="90"/>
        <v>9.8846031931692196E-2</v>
      </c>
      <c r="BA174" s="1">
        <f t="shared" si="90"/>
        <v>9.8846031931692196E-2</v>
      </c>
      <c r="BB174" s="1">
        <f t="shared" si="90"/>
        <v>9.8846031931692196E-2</v>
      </c>
      <c r="BC174" s="1">
        <f t="shared" si="90"/>
        <v>9.8846031931692196E-2</v>
      </c>
      <c r="BD174" s="1">
        <f t="shared" si="90"/>
        <v>9.8846031931692196E-2</v>
      </c>
      <c r="BE174" s="1">
        <f t="shared" si="88"/>
        <v>9.4370431801368296E-2</v>
      </c>
      <c r="BF174" s="1">
        <f t="shared" si="88"/>
        <v>9.1876451531688344E-2</v>
      </c>
      <c r="BG174" s="1">
        <f t="shared" si="88"/>
        <v>8.8318239692496817E-2</v>
      </c>
      <c r="BH174" s="1">
        <f t="shared" si="88"/>
        <v>8.3595989719078528E-2</v>
      </c>
      <c r="BI174" s="1">
        <f t="shared" si="88"/>
        <v>7.7896449959821187E-2</v>
      </c>
      <c r="BJ174" s="1">
        <f t="shared" si="88"/>
        <v>7.1755436460494329E-2</v>
      </c>
      <c r="BK174" s="1">
        <f t="shared" si="88"/>
        <v>6.5897354621128126E-2</v>
      </c>
      <c r="BL174" s="1">
        <f t="shared" si="88"/>
        <v>6.0923580659782033E-2</v>
      </c>
      <c r="BM174" s="1">
        <f t="shared" si="88"/>
        <v>5.7101494514368752E-2</v>
      </c>
      <c r="BN174" s="1">
        <f t="shared" si="88"/>
        <v>5.4383483717649415E-2</v>
      </c>
      <c r="BO174" s="1">
        <f t="shared" si="88"/>
        <v>5.2555394246978193E-2</v>
      </c>
      <c r="BP174" s="1">
        <f t="shared" si="88"/>
        <v>5.137148982749281E-2</v>
      </c>
      <c r="BQ174" s="1">
        <f t="shared" si="88"/>
        <v>5.0623446543641121E-2</v>
      </c>
      <c r="BR174" s="1">
        <f t="shared" si="88"/>
        <v>5.0158139444575138E-2</v>
      </c>
      <c r="BS174" s="1">
        <f t="shared" si="95"/>
        <v>4.9871515742482116E-2</v>
      </c>
      <c r="BT174" s="1">
        <f t="shared" si="95"/>
        <v>4.9696019624135702E-2</v>
      </c>
      <c r="BU174" s="1">
        <f t="shared" si="95"/>
        <v>4.9588961730020642E-2</v>
      </c>
    </row>
    <row r="175" spans="1:73" x14ac:dyDescent="0.25">
      <c r="A175" s="1" t="s">
        <v>40</v>
      </c>
      <c r="B175" s="1" t="s">
        <v>5</v>
      </c>
      <c r="C175" s="1" t="s">
        <v>8</v>
      </c>
      <c r="D175" s="1" t="s">
        <v>8</v>
      </c>
      <c r="E175" s="5">
        <v>8.5965000000000007</v>
      </c>
      <c r="F175" s="1">
        <f t="shared" si="57"/>
        <v>2.1061424999999998E-2</v>
      </c>
      <c r="G175" s="1">
        <f>LOOKUP(RIGHT(D175,5),Ref!$C$4:$C$21,Ref!$E$4:$E$21)*$G$3</f>
        <v>4</v>
      </c>
      <c r="H175" s="297">
        <f t="shared" si="93"/>
        <v>8.5965000000000007</v>
      </c>
      <c r="I175" s="5">
        <f t="shared" si="93"/>
        <v>8.5965000000000007</v>
      </c>
      <c r="J175" s="5">
        <f t="shared" si="93"/>
        <v>8.5965000000000007</v>
      </c>
      <c r="K175" s="5">
        <f t="shared" si="93"/>
        <v>8.5965000000000007</v>
      </c>
      <c r="L175" s="5">
        <f t="shared" si="93"/>
        <v>8.5965000000000007</v>
      </c>
      <c r="M175" s="5">
        <f t="shared" si="92"/>
        <v>9.0041965187709536</v>
      </c>
      <c r="N175" s="5">
        <f t="shared" si="92"/>
        <v>9.2486148445526197</v>
      </c>
      <c r="O175" s="5">
        <f t="shared" si="92"/>
        <v>9.6212279191631342</v>
      </c>
      <c r="P175" s="5">
        <f t="shared" si="92"/>
        <v>10.164721015401343</v>
      </c>
      <c r="Q175" s="5">
        <f t="shared" si="92"/>
        <v>10.908454928807165</v>
      </c>
      <c r="R175" s="5">
        <f t="shared" si="92"/>
        <v>11.842028359323258</v>
      </c>
      <c r="S175" s="5">
        <f t="shared" si="92"/>
        <v>12.894750000000002</v>
      </c>
      <c r="T175" s="5">
        <f t="shared" si="92"/>
        <v>13.947471640676744</v>
      </c>
      <c r="U175" s="5">
        <f t="shared" si="92"/>
        <v>14.881045071192837</v>
      </c>
      <c r="V175" s="5">
        <f t="shared" si="92"/>
        <v>15.62477898459866</v>
      </c>
      <c r="W175" s="5">
        <f t="shared" si="92"/>
        <v>16.168272080836864</v>
      </c>
      <c r="X175" s="5">
        <f t="shared" si="92"/>
        <v>16.540885155447381</v>
      </c>
      <c r="Y175" s="5">
        <f t="shared" si="92"/>
        <v>16.78530348122905</v>
      </c>
      <c r="Z175" s="5">
        <f t="shared" si="92"/>
        <v>16.941017408345967</v>
      </c>
      <c r="AA175" s="5">
        <f t="shared" si="92"/>
        <v>17.038381546060883</v>
      </c>
      <c r="AB175" s="5">
        <f t="shared" si="92"/>
        <v>17.098550747676107</v>
      </c>
      <c r="AC175" s="5">
        <f t="shared" si="91"/>
        <v>17.135464907029387</v>
      </c>
      <c r="AD175" s="300">
        <f t="shared" si="89"/>
        <v>1.5987433378153036E-3</v>
      </c>
      <c r="AE175" s="299">
        <f t="shared" si="89"/>
        <v>1.5987433378153036E-3</v>
      </c>
      <c r="AF175" s="299">
        <f t="shared" si="89"/>
        <v>1.5987433378153036E-3</v>
      </c>
      <c r="AG175" s="299">
        <f t="shared" si="89"/>
        <v>1.5987433378153036E-3</v>
      </c>
      <c r="AH175" s="299">
        <f t="shared" si="89"/>
        <v>1.5987433378153036E-3</v>
      </c>
      <c r="AI175" s="299">
        <f t="shared" si="87"/>
        <v>1.5263546364051614E-3</v>
      </c>
      <c r="AJ175" s="299">
        <f t="shared" si="87"/>
        <v>1.4860168073302521E-3</v>
      </c>
      <c r="AK175" s="299">
        <f t="shared" si="87"/>
        <v>1.4284660148373965E-3</v>
      </c>
      <c r="AL175" s="299">
        <f t="shared" si="87"/>
        <v>1.3520879798575179E-3</v>
      </c>
      <c r="AM175" s="299">
        <f t="shared" si="87"/>
        <v>1.2599031845687899E-3</v>
      </c>
      <c r="AN175" s="299">
        <f t="shared" si="87"/>
        <v>1.1605779589869748E-3</v>
      </c>
      <c r="AO175" s="299">
        <f t="shared" si="87"/>
        <v>1.065828891876869E-3</v>
      </c>
      <c r="AP175" s="299">
        <f t="shared" si="87"/>
        <v>9.8538268853310307E-4</v>
      </c>
      <c r="AQ175" s="299">
        <f t="shared" si="87"/>
        <v>9.2356397267652371E-4</v>
      </c>
      <c r="AR175" s="299">
        <f t="shared" si="87"/>
        <v>8.7960265659285935E-4</v>
      </c>
      <c r="AS175" s="299">
        <f t="shared" si="87"/>
        <v>8.5003499661652742E-4</v>
      </c>
      <c r="AT175" s="299">
        <f t="shared" si="87"/>
        <v>8.3088643530077988E-4</v>
      </c>
      <c r="AU175" s="299">
        <f t="shared" si="87"/>
        <v>8.1878752558145159E-4</v>
      </c>
      <c r="AV175" s="299">
        <f t="shared" si="87"/>
        <v>8.1126161270328998E-4</v>
      </c>
      <c r="AW175" s="299">
        <f t="shared" si="94"/>
        <v>8.0662573885761186E-4</v>
      </c>
      <c r="AX175" s="299">
        <f t="shared" si="94"/>
        <v>8.037872511152546E-4</v>
      </c>
      <c r="AY175" s="299">
        <f t="shared" si="94"/>
        <v>8.0205568848565638E-4</v>
      </c>
      <c r="AZ175" s="298">
        <f t="shared" si="90"/>
        <v>8.8506091931160089E-2</v>
      </c>
      <c r="BA175" s="1">
        <f t="shared" si="90"/>
        <v>8.8506091931160089E-2</v>
      </c>
      <c r="BB175" s="1">
        <f t="shared" si="90"/>
        <v>8.8506091931160089E-2</v>
      </c>
      <c r="BC175" s="1">
        <f t="shared" si="90"/>
        <v>8.8506091931160089E-2</v>
      </c>
      <c r="BD175" s="1">
        <f t="shared" si="90"/>
        <v>8.8506091931160089E-2</v>
      </c>
      <c r="BE175" s="1">
        <f t="shared" si="88"/>
        <v>8.4498668781839356E-2</v>
      </c>
      <c r="BF175" s="1">
        <f t="shared" si="88"/>
        <v>8.2265575123862969E-2</v>
      </c>
      <c r="BG175" s="1">
        <f t="shared" si="88"/>
        <v>7.9079575463627177E-2</v>
      </c>
      <c r="BH175" s="1">
        <f t="shared" si="88"/>
        <v>7.4851303654414836E-2</v>
      </c>
      <c r="BI175" s="1">
        <f t="shared" si="88"/>
        <v>6.9747972948669051E-2</v>
      </c>
      <c r="BJ175" s="1">
        <f t="shared" si="88"/>
        <v>6.4249349537083694E-2</v>
      </c>
      <c r="BK175" s="1">
        <f t="shared" si="88"/>
        <v>5.9004061287440054E-2</v>
      </c>
      <c r="BL175" s="1">
        <f t="shared" si="88"/>
        <v>5.4550576540860492E-2</v>
      </c>
      <c r="BM175" s="1">
        <f t="shared" si="88"/>
        <v>5.1128305548854176E-2</v>
      </c>
      <c r="BN175" s="1">
        <f t="shared" si="88"/>
        <v>4.869461641897016E-2</v>
      </c>
      <c r="BO175" s="1">
        <f t="shared" si="88"/>
        <v>4.7057757036881628E-2</v>
      </c>
      <c r="BP175" s="1">
        <f t="shared" si="88"/>
        <v>4.5997696745730128E-2</v>
      </c>
      <c r="BQ175" s="1">
        <f t="shared" si="88"/>
        <v>4.5327903671033745E-2</v>
      </c>
      <c r="BR175" s="1">
        <f t="shared" si="88"/>
        <v>4.4911270731083114E-2</v>
      </c>
      <c r="BS175" s="1">
        <f t="shared" si="95"/>
        <v>4.465462973870999E-2</v>
      </c>
      <c r="BT175" s="1">
        <f t="shared" si="95"/>
        <v>4.4497491659614787E-2</v>
      </c>
      <c r="BU175" s="1">
        <f t="shared" si="95"/>
        <v>4.4401632719874524E-2</v>
      </c>
    </row>
    <row r="176" spans="1:73" x14ac:dyDescent="0.25">
      <c r="A176" s="1" t="s">
        <v>40</v>
      </c>
      <c r="B176" s="1" t="s">
        <v>5</v>
      </c>
      <c r="C176" s="1" t="s">
        <v>9</v>
      </c>
      <c r="D176" s="1" t="s">
        <v>9</v>
      </c>
      <c r="E176" s="5">
        <v>8.5387499999999985</v>
      </c>
      <c r="F176" s="1">
        <f t="shared" si="57"/>
        <v>2.0919937499999996E-2</v>
      </c>
      <c r="G176" s="1">
        <f>LOOKUP(RIGHT(D176,5),Ref!$C$4:$C$21,Ref!$E$4:$E$21)*$G$3</f>
        <v>4.5</v>
      </c>
      <c r="H176" s="297">
        <f t="shared" si="93"/>
        <v>8.5387499999999985</v>
      </c>
      <c r="I176" s="5">
        <f t="shared" si="93"/>
        <v>8.5387499999999985</v>
      </c>
      <c r="J176" s="5">
        <f t="shared" si="93"/>
        <v>8.5387499999999985</v>
      </c>
      <c r="K176" s="5">
        <f t="shared" si="93"/>
        <v>8.5387499999999985</v>
      </c>
      <c r="L176" s="5">
        <f t="shared" si="93"/>
        <v>8.5387499999999985</v>
      </c>
      <c r="M176" s="5">
        <f t="shared" si="92"/>
        <v>8.9437076745949469</v>
      </c>
      <c r="N176" s="5">
        <f t="shared" si="92"/>
        <v>9.1864840346563916</v>
      </c>
      <c r="O176" s="5">
        <f t="shared" si="92"/>
        <v>9.5565939504163548</v>
      </c>
      <c r="P176" s="5">
        <f t="shared" si="92"/>
        <v>10.096435941401523</v>
      </c>
      <c r="Q176" s="5">
        <f t="shared" si="92"/>
        <v>10.835173561723044</v>
      </c>
      <c r="R176" s="5">
        <f t="shared" si="92"/>
        <v>11.762475385700164</v>
      </c>
      <c r="S176" s="5">
        <f t="shared" si="92"/>
        <v>12.808124999999997</v>
      </c>
      <c r="T176" s="5">
        <f t="shared" si="92"/>
        <v>13.853774614299832</v>
      </c>
      <c r="U176" s="5">
        <f t="shared" si="92"/>
        <v>14.781076438276951</v>
      </c>
      <c r="V176" s="5">
        <f t="shared" si="92"/>
        <v>15.519814058598472</v>
      </c>
      <c r="W176" s="5">
        <f t="shared" si="92"/>
        <v>16.059656049583637</v>
      </c>
      <c r="X176" s="5">
        <f t="shared" si="92"/>
        <v>16.429765965343606</v>
      </c>
      <c r="Y176" s="5">
        <f t="shared" si="92"/>
        <v>16.67254232540505</v>
      </c>
      <c r="Z176" s="5">
        <f t="shared" si="92"/>
        <v>16.827210189671852</v>
      </c>
      <c r="AA176" s="5">
        <f t="shared" si="92"/>
        <v>16.923920249686187</v>
      </c>
      <c r="AB176" s="5">
        <f t="shared" si="92"/>
        <v>16.983685243613021</v>
      </c>
      <c r="AC176" s="5">
        <f t="shared" si="91"/>
        <v>17.020351419170261</v>
      </c>
      <c r="AD176" s="300">
        <f t="shared" si="89"/>
        <v>1.6095560946894174E-3</v>
      </c>
      <c r="AE176" s="299">
        <f t="shared" si="89"/>
        <v>1.6095560946894174E-3</v>
      </c>
      <c r="AF176" s="299">
        <f t="shared" si="89"/>
        <v>1.6095560946894174E-3</v>
      </c>
      <c r="AG176" s="299">
        <f t="shared" si="89"/>
        <v>1.6095560946894174E-3</v>
      </c>
      <c r="AH176" s="299">
        <f t="shared" si="89"/>
        <v>1.6095560946894174E-3</v>
      </c>
      <c r="AI176" s="299">
        <f t="shared" si="87"/>
        <v>1.5366778078591099E-3</v>
      </c>
      <c r="AJ176" s="299">
        <f t="shared" si="87"/>
        <v>1.496067162548911E-3</v>
      </c>
      <c r="AK176" s="299">
        <f t="shared" si="87"/>
        <v>1.4381271376430603E-3</v>
      </c>
      <c r="AL176" s="299">
        <f t="shared" si="87"/>
        <v>1.361232536243028E-3</v>
      </c>
      <c r="AM176" s="299">
        <f t="shared" si="87"/>
        <v>1.2684242689088691E-3</v>
      </c>
      <c r="AN176" s="299">
        <f t="shared" si="87"/>
        <v>1.1684272785163555E-3</v>
      </c>
      <c r="AO176" s="299">
        <f t="shared" si="87"/>
        <v>1.0730373964596117E-3</v>
      </c>
      <c r="AP176" s="299">
        <f t="shared" si="87"/>
        <v>9.9204711251352044E-4</v>
      </c>
      <c r="AQ176" s="299">
        <f t="shared" si="87"/>
        <v>9.2981029906177577E-4</v>
      </c>
      <c r="AR176" s="299">
        <f t="shared" si="87"/>
        <v>8.8555166006740063E-4</v>
      </c>
      <c r="AS176" s="299">
        <f t="shared" si="87"/>
        <v>8.5578402557915159E-4</v>
      </c>
      <c r="AT176" s="299">
        <f t="shared" si="87"/>
        <v>8.3650595708542282E-4</v>
      </c>
      <c r="AU176" s="299">
        <f t="shared" si="87"/>
        <v>8.2432521899118141E-4</v>
      </c>
      <c r="AV176" s="299">
        <f t="shared" si="87"/>
        <v>8.1674840621915787E-4</v>
      </c>
      <c r="AW176" s="299">
        <f t="shared" si="94"/>
        <v>8.1208117863732551E-4</v>
      </c>
      <c r="AX176" s="299">
        <f t="shared" si="94"/>
        <v>8.0922349339332899E-4</v>
      </c>
      <c r="AY176" s="299">
        <f t="shared" si="94"/>
        <v>8.0748021971212963E-4</v>
      </c>
      <c r="AZ176" s="298">
        <f t="shared" si="90"/>
        <v>8.9104683857264583E-2</v>
      </c>
      <c r="BA176" s="1">
        <f t="shared" si="90"/>
        <v>8.9104683857264583E-2</v>
      </c>
      <c r="BB176" s="1">
        <f t="shared" si="90"/>
        <v>8.9104683857264583E-2</v>
      </c>
      <c r="BC176" s="1">
        <f t="shared" si="90"/>
        <v>8.9104683857264583E-2</v>
      </c>
      <c r="BD176" s="1">
        <f t="shared" si="90"/>
        <v>8.9104683857264583E-2</v>
      </c>
      <c r="BE176" s="1">
        <f t="shared" si="88"/>
        <v>8.507015736297259E-2</v>
      </c>
      <c r="BF176" s="1">
        <f t="shared" si="88"/>
        <v>8.2821960656101673E-2</v>
      </c>
      <c r="BG176" s="1">
        <f t="shared" si="88"/>
        <v>7.9614413172076848E-2</v>
      </c>
      <c r="BH176" s="1">
        <f t="shared" si="88"/>
        <v>7.5357544355459202E-2</v>
      </c>
      <c r="BI176" s="1">
        <f t="shared" si="88"/>
        <v>7.0219698369577949E-2</v>
      </c>
      <c r="BJ176" s="1">
        <f t="shared" si="88"/>
        <v>6.4683886200619531E-2</v>
      </c>
      <c r="BK176" s="1">
        <f t="shared" si="88"/>
        <v>5.9403122571509724E-2</v>
      </c>
      <c r="BL176" s="1">
        <f t="shared" si="88"/>
        <v>5.491951763823831E-2</v>
      </c>
      <c r="BM176" s="1">
        <f t="shared" si="88"/>
        <v>5.1474100852083149E-2</v>
      </c>
      <c r="BN176" s="1">
        <f t="shared" si="88"/>
        <v>4.9023951988953547E-2</v>
      </c>
      <c r="BO176" s="1">
        <f t="shared" si="88"/>
        <v>4.7376022060319489E-2</v>
      </c>
      <c r="BP176" s="1">
        <f t="shared" si="88"/>
        <v>4.6308792279276131E-2</v>
      </c>
      <c r="BQ176" s="1">
        <f t="shared" si="88"/>
        <v>4.5634469203108381E-2</v>
      </c>
      <c r="BR176" s="1">
        <f t="shared" si="88"/>
        <v>4.5215018455834415E-2</v>
      </c>
      <c r="BS176" s="1">
        <f t="shared" si="95"/>
        <v>4.4956641727280991E-2</v>
      </c>
      <c r="BT176" s="1">
        <f t="shared" si="95"/>
        <v>4.4798440878568713E-2</v>
      </c>
      <c r="BU176" s="1">
        <f t="shared" si="95"/>
        <v>4.4701933617496879E-2</v>
      </c>
    </row>
    <row r="177" spans="1:73" x14ac:dyDescent="0.25">
      <c r="A177" s="1" t="s">
        <v>40</v>
      </c>
      <c r="B177" s="1" t="s">
        <v>5</v>
      </c>
      <c r="C177" s="1" t="s">
        <v>10</v>
      </c>
      <c r="D177" s="1" t="s">
        <v>10</v>
      </c>
      <c r="E177" s="5">
        <v>7.9695</v>
      </c>
      <c r="F177" s="1">
        <f t="shared" si="57"/>
        <v>1.9525275000000002E-2</v>
      </c>
      <c r="G177" s="1">
        <f>LOOKUP(RIGHT(D177,5),Ref!$C$4:$C$21,Ref!$E$4:$E$21)*$G$3</f>
        <v>4.5</v>
      </c>
      <c r="H177" s="297">
        <f t="shared" si="93"/>
        <v>7.9695</v>
      </c>
      <c r="I177" s="5">
        <f t="shared" si="93"/>
        <v>7.9695</v>
      </c>
      <c r="J177" s="5">
        <f t="shared" si="93"/>
        <v>7.9695</v>
      </c>
      <c r="K177" s="5">
        <f t="shared" si="93"/>
        <v>7.9695</v>
      </c>
      <c r="L177" s="5">
        <f t="shared" si="93"/>
        <v>7.9695</v>
      </c>
      <c r="M177" s="5">
        <f t="shared" si="92"/>
        <v>8.347460496288619</v>
      </c>
      <c r="N177" s="5">
        <f t="shared" si="92"/>
        <v>8.5740517656793003</v>
      </c>
      <c r="O177" s="5">
        <f t="shared" si="92"/>
        <v>8.9194876870552662</v>
      </c>
      <c r="P177" s="5">
        <f t="shared" si="92"/>
        <v>9.4233402119747574</v>
      </c>
      <c r="Q177" s="5">
        <f t="shared" si="92"/>
        <v>10.112828657608176</v>
      </c>
      <c r="R177" s="5">
        <f t="shared" si="92"/>
        <v>10.978310359986821</v>
      </c>
      <c r="S177" s="5">
        <f t="shared" si="92"/>
        <v>11.95425</v>
      </c>
      <c r="T177" s="5">
        <f t="shared" si="92"/>
        <v>12.930189640013179</v>
      </c>
      <c r="U177" s="5">
        <f t="shared" si="92"/>
        <v>13.795671342391824</v>
      </c>
      <c r="V177" s="5">
        <f t="shared" si="92"/>
        <v>14.485159788025243</v>
      </c>
      <c r="W177" s="5">
        <f t="shared" si="92"/>
        <v>14.989012312944732</v>
      </c>
      <c r="X177" s="5">
        <f t="shared" si="92"/>
        <v>15.3344482343207</v>
      </c>
      <c r="Y177" s="5">
        <f t="shared" si="92"/>
        <v>15.561039503711381</v>
      </c>
      <c r="Z177" s="5">
        <f t="shared" si="92"/>
        <v>15.705396177027067</v>
      </c>
      <c r="AA177" s="5">
        <f t="shared" si="92"/>
        <v>15.795658899707112</v>
      </c>
      <c r="AB177" s="5">
        <f t="shared" si="92"/>
        <v>15.851439560705488</v>
      </c>
      <c r="AC177" s="5">
        <f t="shared" si="91"/>
        <v>15.885661324558912</v>
      </c>
      <c r="AD177" s="300">
        <f t="shared" si="89"/>
        <v>1.7245243871672326E-3</v>
      </c>
      <c r="AE177" s="299">
        <f t="shared" si="89"/>
        <v>1.7245243871672326E-3</v>
      </c>
      <c r="AF177" s="299">
        <f t="shared" si="89"/>
        <v>1.7245243871672326E-3</v>
      </c>
      <c r="AG177" s="299">
        <f t="shared" si="89"/>
        <v>1.7245243871672326E-3</v>
      </c>
      <c r="AH177" s="299">
        <f t="shared" si="89"/>
        <v>1.7245243871672326E-3</v>
      </c>
      <c r="AI177" s="299">
        <f t="shared" si="87"/>
        <v>1.6464405084204744E-3</v>
      </c>
      <c r="AJ177" s="299">
        <f t="shared" si="87"/>
        <v>1.6029291027309758E-3</v>
      </c>
      <c r="AK177" s="299">
        <f t="shared" si="87"/>
        <v>1.5408505046175644E-3</v>
      </c>
      <c r="AL177" s="299">
        <f t="shared" si="87"/>
        <v>1.4584634316889581E-3</v>
      </c>
      <c r="AM177" s="299">
        <f t="shared" si="87"/>
        <v>1.3590260024023595E-3</v>
      </c>
      <c r="AN177" s="299">
        <f t="shared" si="87"/>
        <v>1.251886369838952E-3</v>
      </c>
      <c r="AO177" s="299">
        <f t="shared" si="87"/>
        <v>1.1496829247781551E-3</v>
      </c>
      <c r="AP177" s="299">
        <f t="shared" si="87"/>
        <v>1.0629076205502003E-3</v>
      </c>
      <c r="AQ177" s="299">
        <f t="shared" si="87"/>
        <v>9.9622532042333099E-4</v>
      </c>
      <c r="AR177" s="299">
        <f t="shared" si="87"/>
        <v>9.4880535007221486E-4</v>
      </c>
      <c r="AS177" s="299">
        <f t="shared" si="87"/>
        <v>9.1691145597766217E-4</v>
      </c>
      <c r="AT177" s="299">
        <f t="shared" si="87"/>
        <v>8.9625638259152444E-4</v>
      </c>
      <c r="AU177" s="299">
        <f t="shared" si="87"/>
        <v>8.8320559177626577E-4</v>
      </c>
      <c r="AV177" s="299">
        <f t="shared" si="87"/>
        <v>8.750875780919546E-4</v>
      </c>
      <c r="AW177" s="299">
        <f t="shared" si="94"/>
        <v>8.7008697711142005E-4</v>
      </c>
      <c r="AX177" s="299">
        <f t="shared" si="94"/>
        <v>8.6702517149285236E-4</v>
      </c>
      <c r="AY177" s="299">
        <f t="shared" si="94"/>
        <v>8.6515737826299598E-4</v>
      </c>
      <c r="AZ177" s="298">
        <f t="shared" si="90"/>
        <v>9.5469304132783456E-2</v>
      </c>
      <c r="BA177" s="1">
        <f t="shared" si="90"/>
        <v>9.5469304132783456E-2</v>
      </c>
      <c r="BB177" s="1">
        <f t="shared" si="90"/>
        <v>9.5469304132783456E-2</v>
      </c>
      <c r="BC177" s="1">
        <f t="shared" si="90"/>
        <v>9.5469304132783456E-2</v>
      </c>
      <c r="BD177" s="1">
        <f t="shared" si="90"/>
        <v>9.5469304132783456E-2</v>
      </c>
      <c r="BE177" s="1">
        <f t="shared" si="88"/>
        <v>9.1146597174613472E-2</v>
      </c>
      <c r="BF177" s="1">
        <f t="shared" si="88"/>
        <v>8.8737814988680344E-2</v>
      </c>
      <c r="BG177" s="1">
        <f t="shared" si="88"/>
        <v>8.5301156970082323E-2</v>
      </c>
      <c r="BH177" s="1">
        <f t="shared" si="88"/>
        <v>8.0740226095134843E-2</v>
      </c>
      <c r="BI177" s="1">
        <f t="shared" si="88"/>
        <v>7.5235391110262076E-2</v>
      </c>
      <c r="BJ177" s="1">
        <f t="shared" si="88"/>
        <v>6.9304163786378062E-2</v>
      </c>
      <c r="BK177" s="1">
        <f t="shared" si="88"/>
        <v>6.3646202755188966E-2</v>
      </c>
      <c r="BL177" s="1">
        <f t="shared" si="88"/>
        <v>5.8842340326683895E-2</v>
      </c>
      <c r="BM177" s="1">
        <f t="shared" si="88"/>
        <v>5.515082234151765E-2</v>
      </c>
      <c r="BN177" s="1">
        <f t="shared" si="88"/>
        <v>5.252566284530736E-2</v>
      </c>
      <c r="BO177" s="1">
        <f t="shared" si="88"/>
        <v>5.0760023636056584E-2</v>
      </c>
      <c r="BP177" s="1">
        <f t="shared" si="88"/>
        <v>4.9616563156367283E-2</v>
      </c>
      <c r="BQ177" s="1">
        <f t="shared" si="88"/>
        <v>4.8894074146187551E-2</v>
      </c>
      <c r="BR177" s="1">
        <f t="shared" si="88"/>
        <v>4.8444662631251148E-2</v>
      </c>
      <c r="BS177" s="1">
        <f t="shared" si="95"/>
        <v>4.8167830422086763E-2</v>
      </c>
      <c r="BT177" s="1">
        <f t="shared" si="95"/>
        <v>4.7998329512752187E-2</v>
      </c>
      <c r="BU177" s="1">
        <f t="shared" si="95"/>
        <v>4.7894928875889503E-2</v>
      </c>
    </row>
    <row r="178" spans="1:73" x14ac:dyDescent="0.25">
      <c r="A178" s="1" t="s">
        <v>41</v>
      </c>
      <c r="B178" s="1" t="s">
        <v>5</v>
      </c>
      <c r="C178" s="1" t="s">
        <v>13</v>
      </c>
      <c r="D178" s="1" t="s">
        <v>13</v>
      </c>
      <c r="E178" s="5">
        <v>8.1344999999999992</v>
      </c>
      <c r="F178" s="1">
        <f t="shared" si="57"/>
        <v>1.9929524999999997E-2</v>
      </c>
      <c r="G178" s="1">
        <f>LOOKUP(RIGHT(D178,5),Ref!$C$4:$C$21,Ref!$E$4:$E$21)*$G$3</f>
        <v>1.5</v>
      </c>
      <c r="H178" s="297">
        <f t="shared" si="93"/>
        <v>8.1344999999999992</v>
      </c>
      <c r="I178" s="5">
        <f t="shared" si="93"/>
        <v>8.1344999999999992</v>
      </c>
      <c r="J178" s="5">
        <f t="shared" si="93"/>
        <v>8.1344999999999992</v>
      </c>
      <c r="K178" s="5">
        <f t="shared" si="93"/>
        <v>8.1344999999999992</v>
      </c>
      <c r="L178" s="5">
        <f t="shared" si="93"/>
        <v>8.1344999999999992</v>
      </c>
      <c r="M178" s="5">
        <f t="shared" si="92"/>
        <v>8.5202857653629156</v>
      </c>
      <c r="N178" s="5">
        <f t="shared" si="92"/>
        <v>8.7515683653828038</v>
      </c>
      <c r="O178" s="5">
        <f t="shared" si="92"/>
        <v>9.104156169188915</v>
      </c>
      <c r="P178" s="5">
        <f t="shared" si="92"/>
        <v>9.618440423402804</v>
      </c>
      <c r="Q178" s="5">
        <f t="shared" si="92"/>
        <v>10.322203992134225</v>
      </c>
      <c r="R178" s="5">
        <f t="shared" si="92"/>
        <v>11.205604570338513</v>
      </c>
      <c r="S178" s="5">
        <f t="shared" si="92"/>
        <v>12.201749999999999</v>
      </c>
      <c r="T178" s="5">
        <f t="shared" si="92"/>
        <v>13.197895429661484</v>
      </c>
      <c r="U178" s="5">
        <f t="shared" si="92"/>
        <v>14.081296007865772</v>
      </c>
      <c r="V178" s="5">
        <f t="shared" si="92"/>
        <v>14.785059576597193</v>
      </c>
      <c r="W178" s="5">
        <f t="shared" si="92"/>
        <v>15.299343830811081</v>
      </c>
      <c r="X178" s="5">
        <f t="shared" si="92"/>
        <v>15.651931634617194</v>
      </c>
      <c r="Y178" s="5">
        <f t="shared" si="92"/>
        <v>15.883214234637082</v>
      </c>
      <c r="Z178" s="5">
        <f t="shared" si="92"/>
        <v>16.030559658953091</v>
      </c>
      <c r="AA178" s="5">
        <f t="shared" si="92"/>
        <v>16.122691175063366</v>
      </c>
      <c r="AB178" s="5">
        <f t="shared" si="92"/>
        <v>16.179626715171437</v>
      </c>
      <c r="AC178" s="5">
        <f t="shared" si="91"/>
        <v>16.214557004156404</v>
      </c>
      <c r="AD178" s="300">
        <f t="shared" si="89"/>
        <v>1.6895441764741854E-3</v>
      </c>
      <c r="AE178" s="299">
        <f t="shared" si="89"/>
        <v>1.6895441764741854E-3</v>
      </c>
      <c r="AF178" s="299">
        <f t="shared" si="89"/>
        <v>1.6895441764741854E-3</v>
      </c>
      <c r="AG178" s="299">
        <f t="shared" si="89"/>
        <v>1.6895441764741854E-3</v>
      </c>
      <c r="AH178" s="299">
        <f t="shared" si="89"/>
        <v>1.6895441764741854E-3</v>
      </c>
      <c r="AI178" s="299">
        <f t="shared" si="87"/>
        <v>1.6130441492233048E-3</v>
      </c>
      <c r="AJ178" s="299">
        <f t="shared" si="87"/>
        <v>1.5704153278277109E-3</v>
      </c>
      <c r="AK178" s="299">
        <f t="shared" si="87"/>
        <v>1.5095959304873908E-3</v>
      </c>
      <c r="AL178" s="299">
        <f t="shared" si="87"/>
        <v>1.4288799949407037E-3</v>
      </c>
      <c r="AM178" s="299">
        <f t="shared" si="87"/>
        <v>1.3314595520493705E-3</v>
      </c>
      <c r="AN178" s="299">
        <f t="shared" si="87"/>
        <v>1.2264931371850181E-3</v>
      </c>
      <c r="AO178" s="299">
        <f t="shared" si="87"/>
        <v>1.1263627843161237E-3</v>
      </c>
      <c r="AP178" s="299">
        <f t="shared" si="87"/>
        <v>1.041347628246951E-3</v>
      </c>
      <c r="AQ178" s="299">
        <f t="shared" si="87"/>
        <v>9.7601791027275651E-4</v>
      </c>
      <c r="AR178" s="299">
        <f t="shared" si="87"/>
        <v>9.2955980544600356E-4</v>
      </c>
      <c r="AS178" s="299">
        <f t="shared" si="87"/>
        <v>8.9831284632294289E-4</v>
      </c>
      <c r="AT178" s="299">
        <f t="shared" si="87"/>
        <v>8.7807673994260923E-4</v>
      </c>
      <c r="AU178" s="299">
        <f t="shared" si="87"/>
        <v>8.6529067105058088E-4</v>
      </c>
      <c r="AV178" s="299">
        <f t="shared" si="87"/>
        <v>8.5733732295824371E-4</v>
      </c>
      <c r="AW178" s="299">
        <f t="shared" si="94"/>
        <v>8.5243815404627971E-4</v>
      </c>
      <c r="AX178" s="299">
        <f t="shared" si="94"/>
        <v>8.4943845401835242E-4</v>
      </c>
      <c r="AY178" s="299">
        <f t="shared" si="94"/>
        <v>8.4760854706090679E-4</v>
      </c>
      <c r="AZ178" s="298">
        <f t="shared" si="90"/>
        <v>9.3532807091550541E-2</v>
      </c>
      <c r="BA178" s="1">
        <f t="shared" si="90"/>
        <v>9.3532807091550541E-2</v>
      </c>
      <c r="BB178" s="1">
        <f t="shared" si="90"/>
        <v>9.3532807091550541E-2</v>
      </c>
      <c r="BC178" s="1">
        <f t="shared" si="90"/>
        <v>9.3532807091550541E-2</v>
      </c>
      <c r="BD178" s="1">
        <f t="shared" si="90"/>
        <v>9.3532807091550541E-2</v>
      </c>
      <c r="BE178" s="1">
        <f t="shared" si="88"/>
        <v>8.9297781816102054E-2</v>
      </c>
      <c r="BF178" s="1">
        <f t="shared" si="88"/>
        <v>8.6937859309396778E-2</v>
      </c>
      <c r="BG178" s="1">
        <f t="shared" si="88"/>
        <v>8.357091037839709E-2</v>
      </c>
      <c r="BH178" s="1">
        <f t="shared" si="88"/>
        <v>7.9102493314300484E-2</v>
      </c>
      <c r="BI178" s="1">
        <f t="shared" si="88"/>
        <v>7.3709318268268931E-2</v>
      </c>
      <c r="BJ178" s="1">
        <f t="shared" si="88"/>
        <v>6.7898399815051941E-2</v>
      </c>
      <c r="BK178" s="1">
        <f t="shared" si="88"/>
        <v>6.2355204727700356E-2</v>
      </c>
      <c r="BL178" s="1">
        <f t="shared" si="88"/>
        <v>5.7648783727765357E-2</v>
      </c>
      <c r="BM178" s="1">
        <f t="shared" si="88"/>
        <v>5.4032144403555839E-2</v>
      </c>
      <c r="BN178" s="1">
        <f t="shared" si="88"/>
        <v>5.1460233578668267E-2</v>
      </c>
      <c r="BO178" s="1">
        <f t="shared" si="88"/>
        <v>4.9730408552160918E-2</v>
      </c>
      <c r="BP178" s="1">
        <f t="shared" si="88"/>
        <v>4.8610141997008922E-2</v>
      </c>
      <c r="BQ178" s="1">
        <f t="shared" si="88"/>
        <v>4.7902307936325737E-2</v>
      </c>
      <c r="BR178" s="1">
        <f t="shared" si="88"/>
        <v>4.7462012273619285E-2</v>
      </c>
      <c r="BS178" s="1">
        <f t="shared" si="95"/>
        <v>4.7190795322247278E-2</v>
      </c>
      <c r="BT178" s="1">
        <f t="shared" si="95"/>
        <v>4.7024732565231868E-2</v>
      </c>
      <c r="BU178" s="1">
        <f t="shared" si="95"/>
        <v>4.6923429304370448E-2</v>
      </c>
    </row>
    <row r="179" spans="1:73" x14ac:dyDescent="0.25">
      <c r="A179" s="1" t="s">
        <v>41</v>
      </c>
      <c r="B179" s="1" t="s">
        <v>5</v>
      </c>
      <c r="C179" s="1" t="s">
        <v>14</v>
      </c>
      <c r="D179" s="1" t="s">
        <v>14</v>
      </c>
      <c r="E179" s="5">
        <v>7.7055000000000007</v>
      </c>
      <c r="F179" s="1">
        <f t="shared" si="57"/>
        <v>1.8878475000000002E-2</v>
      </c>
      <c r="G179" s="1">
        <f>LOOKUP(RIGHT(D179,5),Ref!$C$4:$C$21,Ref!$E$4:$E$21)*$G$3</f>
        <v>2</v>
      </c>
      <c r="H179" s="297">
        <f t="shared" si="93"/>
        <v>7.7055000000000007</v>
      </c>
      <c r="I179" s="5">
        <f t="shared" si="93"/>
        <v>7.7055000000000007</v>
      </c>
      <c r="J179" s="5">
        <f t="shared" si="93"/>
        <v>7.7055000000000007</v>
      </c>
      <c r="K179" s="5">
        <f t="shared" si="93"/>
        <v>7.7055000000000007</v>
      </c>
      <c r="L179" s="5">
        <f t="shared" si="93"/>
        <v>7.7055000000000007</v>
      </c>
      <c r="M179" s="5">
        <f t="shared" si="92"/>
        <v>8.0709400657697419</v>
      </c>
      <c r="N179" s="5">
        <f t="shared" si="92"/>
        <v>8.2900252061536914</v>
      </c>
      <c r="O179" s="5">
        <f t="shared" si="92"/>
        <v>8.6240181156414284</v>
      </c>
      <c r="P179" s="5">
        <f t="shared" si="92"/>
        <v>9.1111798736898795</v>
      </c>
      <c r="Q179" s="5">
        <f t="shared" si="92"/>
        <v>9.7778281223664987</v>
      </c>
      <c r="R179" s="5">
        <f t="shared" si="92"/>
        <v>10.614639623424111</v>
      </c>
      <c r="S179" s="5">
        <f t="shared" si="92"/>
        <v>11.558250000000001</v>
      </c>
      <c r="T179" s="5">
        <f t="shared" si="92"/>
        <v>12.501860376575891</v>
      </c>
      <c r="U179" s="5">
        <f t="shared" si="92"/>
        <v>13.338671877633503</v>
      </c>
      <c r="V179" s="5">
        <f t="shared" si="92"/>
        <v>14.005320126310123</v>
      </c>
      <c r="W179" s="5">
        <f t="shared" si="92"/>
        <v>14.492481884358572</v>
      </c>
      <c r="X179" s="5">
        <f t="shared" si="92"/>
        <v>14.826474793846311</v>
      </c>
      <c r="Y179" s="5">
        <f t="shared" si="92"/>
        <v>15.04555993423026</v>
      </c>
      <c r="Z179" s="5">
        <f t="shared" si="92"/>
        <v>15.185134605945425</v>
      </c>
      <c r="AA179" s="5">
        <f t="shared" si="92"/>
        <v>15.272407259137104</v>
      </c>
      <c r="AB179" s="5">
        <f t="shared" si="92"/>
        <v>15.326340113559967</v>
      </c>
      <c r="AC179" s="5">
        <f t="shared" si="91"/>
        <v>15.359428237202925</v>
      </c>
      <c r="AD179" s="300">
        <f t="shared" si="89"/>
        <v>1.7836087344791718E-3</v>
      </c>
      <c r="AE179" s="299">
        <f t="shared" si="89"/>
        <v>1.7836087344791718E-3</v>
      </c>
      <c r="AF179" s="299">
        <f t="shared" si="89"/>
        <v>1.7836087344791718E-3</v>
      </c>
      <c r="AG179" s="299">
        <f t="shared" si="89"/>
        <v>1.7836087344791718E-3</v>
      </c>
      <c r="AH179" s="299">
        <f t="shared" si="89"/>
        <v>1.7836087344791718E-3</v>
      </c>
      <c r="AI179" s="299">
        <f t="shared" si="87"/>
        <v>1.7028496050687132E-3</v>
      </c>
      <c r="AJ179" s="299">
        <f t="shared" si="87"/>
        <v>1.6578474445804311E-3</v>
      </c>
      <c r="AK179" s="299">
        <f t="shared" si="87"/>
        <v>1.5936419565958963E-3</v>
      </c>
      <c r="AL179" s="299">
        <f t="shared" si="87"/>
        <v>1.5084322002264813E-3</v>
      </c>
      <c r="AM179" s="299">
        <f t="shared" si="87"/>
        <v>1.4055879211142175E-3</v>
      </c>
      <c r="AN179" s="299">
        <f t="shared" si="87"/>
        <v>1.2947775516749761E-3</v>
      </c>
      <c r="AO179" s="299">
        <f t="shared" si="87"/>
        <v>1.1890724896527812E-3</v>
      </c>
      <c r="AP179" s="299">
        <f t="shared" si="87"/>
        <v>1.0993241557296504E-3</v>
      </c>
      <c r="AQ179" s="299">
        <f t="shared" si="87"/>
        <v>1.0303572371830167E-3</v>
      </c>
      <c r="AR179" s="299">
        <f t="shared" ref="AR179:AV227" si="96">Algae_electricity_factor/V179</f>
        <v>9.8131259975348974E-4</v>
      </c>
      <c r="AS179" s="299">
        <f t="shared" si="96"/>
        <v>9.4832598123599737E-4</v>
      </c>
      <c r="AT179" s="299">
        <f t="shared" si="96"/>
        <v>9.2696323938266858E-4</v>
      </c>
      <c r="AU179" s="299">
        <f t="shared" si="96"/>
        <v>9.1346531226538827E-4</v>
      </c>
      <c r="AV179" s="299">
        <f t="shared" si="96"/>
        <v>9.0506916534992309E-4</v>
      </c>
      <c r="AW179" s="299">
        <f t="shared" si="94"/>
        <v>8.9989723756919889E-4</v>
      </c>
      <c r="AX179" s="299">
        <f t="shared" si="94"/>
        <v>8.9673053068746813E-4</v>
      </c>
      <c r="AY179" s="299">
        <f t="shared" si="94"/>
        <v>8.9479874454181365E-4</v>
      </c>
      <c r="AZ179" s="298">
        <f t="shared" si="90"/>
        <v>9.8740201062386304E-2</v>
      </c>
      <c r="BA179" s="1">
        <f t="shared" si="90"/>
        <v>9.8740201062386304E-2</v>
      </c>
      <c r="BB179" s="1">
        <f t="shared" si="90"/>
        <v>9.8740201062386304E-2</v>
      </c>
      <c r="BC179" s="1">
        <f t="shared" si="90"/>
        <v>9.8740201062386304E-2</v>
      </c>
      <c r="BD179" s="1">
        <f t="shared" si="90"/>
        <v>9.8740201062386304E-2</v>
      </c>
      <c r="BE179" s="1">
        <f t="shared" si="88"/>
        <v>9.4269392795156962E-2</v>
      </c>
      <c r="BF179" s="1">
        <f t="shared" si="88"/>
        <v>9.1778082739898514E-2</v>
      </c>
      <c r="BG179" s="1">
        <f t="shared" si="88"/>
        <v>8.8223680549357072E-2</v>
      </c>
      <c r="BH179" s="1">
        <f t="shared" si="88"/>
        <v>8.3506486518094489E-2</v>
      </c>
      <c r="BI179" s="1">
        <f t="shared" si="88"/>
        <v>7.7813049049799951E-2</v>
      </c>
      <c r="BJ179" s="1">
        <f t="shared" si="88"/>
        <v>7.1678610511393154E-2</v>
      </c>
      <c r="BK179" s="1">
        <f t="shared" si="88"/>
        <v>6.5826800708257541E-2</v>
      </c>
      <c r="BL179" s="1">
        <f t="shared" si="88"/>
        <v>6.0858351986698749E-2</v>
      </c>
      <c r="BM179" s="1">
        <f t="shared" si="88"/>
        <v>5.7040358010606043E-2</v>
      </c>
      <c r="BN179" s="1">
        <f t="shared" ref="BN179:BR227" si="97">Algae_yield_cost_factor/V179</f>
        <v>5.4325257289686193E-2</v>
      </c>
      <c r="BO179" s="1">
        <f t="shared" si="97"/>
        <v>5.2499125088255522E-2</v>
      </c>
      <c r="BP179" s="1">
        <f t="shared" si="97"/>
        <v>5.1316488232388421E-2</v>
      </c>
      <c r="BQ179" s="1">
        <f t="shared" si="97"/>
        <v>5.0569245851410247E-2</v>
      </c>
      <c r="BR179" s="1">
        <f t="shared" si="97"/>
        <v>5.0104436939816498E-2</v>
      </c>
      <c r="BS179" s="1">
        <f t="shared" si="95"/>
        <v>4.9818120115348835E-2</v>
      </c>
      <c r="BT179" s="1">
        <f t="shared" si="95"/>
        <v>4.9642811894345398E-2</v>
      </c>
      <c r="BU179" s="1">
        <f t="shared" si="95"/>
        <v>4.9535868623243315E-2</v>
      </c>
    </row>
    <row r="180" spans="1:73" x14ac:dyDescent="0.25">
      <c r="A180" s="1" t="s">
        <v>41</v>
      </c>
      <c r="B180" s="1" t="s">
        <v>5</v>
      </c>
      <c r="C180" s="1" t="s">
        <v>15</v>
      </c>
      <c r="D180" s="1" t="s">
        <v>15</v>
      </c>
      <c r="E180" s="5">
        <v>8.8852499999999992</v>
      </c>
      <c r="F180" s="1">
        <f t="shared" si="57"/>
        <v>2.1768862499999996E-2</v>
      </c>
      <c r="G180" s="1">
        <f>LOOKUP(RIGHT(D180,5),Ref!$C$4:$C$21,Ref!$E$4:$E$21)*$G$3</f>
        <v>2.5</v>
      </c>
      <c r="H180" s="297">
        <f t="shared" si="93"/>
        <v>8.8852499999999992</v>
      </c>
      <c r="I180" s="5">
        <f t="shared" si="93"/>
        <v>8.8852499999999992</v>
      </c>
      <c r="J180" s="5">
        <f t="shared" si="93"/>
        <v>8.8852499999999992</v>
      </c>
      <c r="K180" s="5">
        <f t="shared" si="93"/>
        <v>8.8852499999999992</v>
      </c>
      <c r="L180" s="5">
        <f t="shared" si="93"/>
        <v>8.8852499999999992</v>
      </c>
      <c r="M180" s="5">
        <f t="shared" si="92"/>
        <v>9.3066407396509749</v>
      </c>
      <c r="N180" s="5">
        <f t="shared" si="92"/>
        <v>9.5592688940337531</v>
      </c>
      <c r="O180" s="5">
        <f t="shared" si="92"/>
        <v>9.9443977628970188</v>
      </c>
      <c r="P180" s="5">
        <f t="shared" si="92"/>
        <v>10.506146385400427</v>
      </c>
      <c r="Q180" s="5">
        <f t="shared" si="92"/>
        <v>11.274861764227749</v>
      </c>
      <c r="R180" s="5">
        <f t="shared" si="92"/>
        <v>12.239793227438721</v>
      </c>
      <c r="S180" s="5">
        <f t="shared" si="92"/>
        <v>13.327874999999999</v>
      </c>
      <c r="T180" s="5">
        <f t="shared" si="92"/>
        <v>14.415956772561277</v>
      </c>
      <c r="U180" s="5">
        <f t="shared" si="92"/>
        <v>15.380888235772249</v>
      </c>
      <c r="V180" s="5">
        <f t="shared" si="92"/>
        <v>16.14960361459957</v>
      </c>
      <c r="W180" s="5">
        <f t="shared" si="92"/>
        <v>16.711352237102975</v>
      </c>
      <c r="X180" s="5">
        <f t="shared" si="92"/>
        <v>17.096481105966244</v>
      </c>
      <c r="Y180" s="5">
        <f t="shared" si="92"/>
        <v>17.349109260349024</v>
      </c>
      <c r="Z180" s="5">
        <f t="shared" si="92"/>
        <v>17.510053501716509</v>
      </c>
      <c r="AA180" s="5">
        <f t="shared" si="92"/>
        <v>17.610688027934323</v>
      </c>
      <c r="AB180" s="5">
        <f t="shared" ref="AB180:AC195" si="98">AB$3*$E180</f>
        <v>17.672878267991521</v>
      </c>
      <c r="AC180" s="5">
        <f t="shared" si="98"/>
        <v>17.711032346324998</v>
      </c>
      <c r="AD180" s="300">
        <f t="shared" si="89"/>
        <v>1.5467878904396905E-3</v>
      </c>
      <c r="AE180" s="299">
        <f t="shared" si="89"/>
        <v>1.5467878904396905E-3</v>
      </c>
      <c r="AF180" s="299">
        <f t="shared" si="89"/>
        <v>1.5467878904396905E-3</v>
      </c>
      <c r="AG180" s="299">
        <f t="shared" si="89"/>
        <v>1.5467878904396905E-3</v>
      </c>
      <c r="AH180" s="299">
        <f t="shared" si="89"/>
        <v>1.5467878904396905E-3</v>
      </c>
      <c r="AI180" s="299">
        <f t="shared" si="89"/>
        <v>1.4767516537921804E-3</v>
      </c>
      <c r="AJ180" s="299">
        <f t="shared" si="89"/>
        <v>1.4377247105275049E-3</v>
      </c>
      <c r="AK180" s="299">
        <f t="shared" si="89"/>
        <v>1.3820441852001556E-3</v>
      </c>
      <c r="AL180" s="299">
        <f t="shared" si="89"/>
        <v>1.3081482590636339E-3</v>
      </c>
      <c r="AM180" s="299">
        <f t="shared" si="89"/>
        <v>1.2189592556366567E-3</v>
      </c>
      <c r="AN180" s="299">
        <f t="shared" si="89"/>
        <v>1.1228618693263025E-3</v>
      </c>
      <c r="AO180" s="299">
        <f t="shared" si="89"/>
        <v>1.0311919269597937E-3</v>
      </c>
      <c r="AP180" s="299">
        <f t="shared" si="89"/>
        <v>9.5336003848792345E-4</v>
      </c>
      <c r="AQ180" s="299">
        <f t="shared" si="89"/>
        <v>8.935502873991995E-4</v>
      </c>
      <c r="AR180" s="299">
        <f t="shared" si="96"/>
        <v>8.5101761204248801E-4</v>
      </c>
      <c r="AS180" s="299">
        <f t="shared" si="96"/>
        <v>8.2241083238107865E-4</v>
      </c>
      <c r="AT180" s="299">
        <f t="shared" si="96"/>
        <v>8.0388455485925039E-4</v>
      </c>
      <c r="AU180" s="299">
        <f t="shared" si="96"/>
        <v>7.921788316210518E-4</v>
      </c>
      <c r="AV180" s="299">
        <f t="shared" si="96"/>
        <v>7.8489749344180901E-4</v>
      </c>
      <c r="AW180" s="299">
        <f t="shared" si="94"/>
        <v>7.8041227473503428E-4</v>
      </c>
      <c r="AX180" s="299">
        <f t="shared" si="94"/>
        <v>7.7766603125542749E-4</v>
      </c>
      <c r="AY180" s="299">
        <f t="shared" si="94"/>
        <v>7.7599074039187937E-4</v>
      </c>
      <c r="AZ180" s="298">
        <f t="shared" si="90"/>
        <v>8.5629849389293244E-2</v>
      </c>
      <c r="BA180" s="1">
        <f t="shared" si="90"/>
        <v>8.5629849389293244E-2</v>
      </c>
      <c r="BB180" s="1">
        <f t="shared" si="90"/>
        <v>8.5629849389293244E-2</v>
      </c>
      <c r="BC180" s="1">
        <f t="shared" si="90"/>
        <v>8.5629849389293244E-2</v>
      </c>
      <c r="BD180" s="1">
        <f t="shared" si="90"/>
        <v>8.5629849389293244E-2</v>
      </c>
      <c r="BE180" s="1">
        <f t="shared" si="90"/>
        <v>8.1752658190043279E-2</v>
      </c>
      <c r="BF180" s="1">
        <f t="shared" si="90"/>
        <v>7.9592134892353963E-2</v>
      </c>
      <c r="BG180" s="1">
        <f t="shared" si="90"/>
        <v>7.6509672825533462E-2</v>
      </c>
      <c r="BH180" s="1">
        <f t="shared" si="90"/>
        <v>7.2418810035190587E-2</v>
      </c>
      <c r="BI180" s="1">
        <f t="shared" si="90"/>
        <v>6.7481325731210004E-2</v>
      </c>
      <c r="BJ180" s="1">
        <f t="shared" si="90"/>
        <v>6.2161394816751363E-2</v>
      </c>
      <c r="BK180" s="1">
        <f t="shared" si="90"/>
        <v>5.7086566259528834E-2</v>
      </c>
      <c r="BL180" s="1">
        <f t="shared" si="90"/>
        <v>5.2777809429504774E-2</v>
      </c>
      <c r="BM180" s="1">
        <f t="shared" si="90"/>
        <v>4.9466754300748428E-2</v>
      </c>
      <c r="BN180" s="1">
        <f t="shared" si="97"/>
        <v>4.7112154418353681E-2</v>
      </c>
      <c r="BO180" s="1">
        <f t="shared" si="97"/>
        <v>4.5528489166602293E-2</v>
      </c>
      <c r="BP180" s="1">
        <f t="shared" si="97"/>
        <v>4.4502878374234729E-2</v>
      </c>
      <c r="BQ180" s="1">
        <f t="shared" si="97"/>
        <v>4.3854852019700255E-2</v>
      </c>
      <c r="BR180" s="1">
        <f t="shared" si="97"/>
        <v>4.3451758683183489E-2</v>
      </c>
      <c r="BS180" s="1">
        <f t="shared" si="95"/>
        <v>4.320345792733131E-2</v>
      </c>
      <c r="BT180" s="1">
        <f t="shared" si="95"/>
        <v>4.3051426471047927E-2</v>
      </c>
      <c r="BU180" s="1">
        <f t="shared" si="95"/>
        <v>4.2958682724335437E-2</v>
      </c>
    </row>
    <row r="181" spans="1:73" x14ac:dyDescent="0.25">
      <c r="A181" s="1" t="s">
        <v>41</v>
      </c>
      <c r="B181" s="1" t="s">
        <v>5</v>
      </c>
      <c r="C181" s="1" t="s">
        <v>16</v>
      </c>
      <c r="D181" s="1" t="s">
        <v>16</v>
      </c>
      <c r="E181" s="5">
        <v>8.3490000000000002</v>
      </c>
      <c r="F181" s="1">
        <f t="shared" si="57"/>
        <v>2.0455049999999999E-2</v>
      </c>
      <c r="G181" s="1">
        <f>LOOKUP(RIGHT(D181,5),Ref!$C$4:$C$21,Ref!$E$4:$E$21)*$G$3</f>
        <v>3</v>
      </c>
      <c r="H181" s="297">
        <f t="shared" si="93"/>
        <v>8.3490000000000002</v>
      </c>
      <c r="I181" s="5">
        <f t="shared" si="93"/>
        <v>8.3490000000000002</v>
      </c>
      <c r="J181" s="5">
        <f t="shared" si="93"/>
        <v>8.3490000000000002</v>
      </c>
      <c r="K181" s="5">
        <f t="shared" si="93"/>
        <v>8.3490000000000002</v>
      </c>
      <c r="L181" s="5">
        <f t="shared" si="93"/>
        <v>8.3490000000000002</v>
      </c>
      <c r="M181" s="5">
        <f t="shared" ref="M181:AB196" si="99">M$3*$E181</f>
        <v>8.7449586151595042</v>
      </c>
      <c r="N181" s="5">
        <f t="shared" si="99"/>
        <v>8.9823399449973618</v>
      </c>
      <c r="O181" s="5">
        <f t="shared" si="99"/>
        <v>9.3442251959626592</v>
      </c>
      <c r="P181" s="5">
        <f t="shared" si="99"/>
        <v>9.8720706982592699</v>
      </c>
      <c r="Q181" s="5">
        <f t="shared" si="99"/>
        <v>10.594391927018091</v>
      </c>
      <c r="R181" s="5">
        <f t="shared" si="99"/>
        <v>11.501087043795717</v>
      </c>
      <c r="S181" s="5">
        <f t="shared" si="99"/>
        <v>12.5235</v>
      </c>
      <c r="T181" s="5">
        <f t="shared" si="99"/>
        <v>13.545912956204283</v>
      </c>
      <c r="U181" s="5">
        <f t="shared" si="99"/>
        <v>14.45260807298191</v>
      </c>
      <c r="V181" s="5">
        <f t="shared" si="99"/>
        <v>15.174929301740731</v>
      </c>
      <c r="W181" s="5">
        <f t="shared" si="99"/>
        <v>15.70277480403734</v>
      </c>
      <c r="X181" s="5">
        <f t="shared" si="99"/>
        <v>16.064660055002641</v>
      </c>
      <c r="Y181" s="5">
        <f t="shared" si="99"/>
        <v>16.302041384840496</v>
      </c>
      <c r="Z181" s="5">
        <f t="shared" si="99"/>
        <v>16.453272185456928</v>
      </c>
      <c r="AA181" s="5">
        <f t="shared" si="99"/>
        <v>16.547833133026497</v>
      </c>
      <c r="AB181" s="5">
        <f t="shared" si="99"/>
        <v>16.606270015977177</v>
      </c>
      <c r="AC181" s="5">
        <f t="shared" si="98"/>
        <v>16.642121387633146</v>
      </c>
      <c r="AD181" s="300">
        <f t="shared" si="89"/>
        <v>1.6461369150232673E-3</v>
      </c>
      <c r="AE181" s="299">
        <f t="shared" si="89"/>
        <v>1.6461369150232673E-3</v>
      </c>
      <c r="AF181" s="299">
        <f t="shared" si="89"/>
        <v>1.6461369150232673E-3</v>
      </c>
      <c r="AG181" s="299">
        <f t="shared" si="89"/>
        <v>1.6461369150232673E-3</v>
      </c>
      <c r="AH181" s="299">
        <f t="shared" si="89"/>
        <v>1.6461369150232673E-3</v>
      </c>
      <c r="AI181" s="299">
        <f t="shared" si="89"/>
        <v>1.5716023034922713E-3</v>
      </c>
      <c r="AJ181" s="299">
        <f t="shared" si="89"/>
        <v>1.5300686889704769E-3</v>
      </c>
      <c r="AK181" s="299">
        <f t="shared" si="89"/>
        <v>1.4708118453167661E-3</v>
      </c>
      <c r="AL181" s="299">
        <f t="shared" si="89"/>
        <v>1.39216963933946E-3</v>
      </c>
      <c r="AM181" s="299">
        <f t="shared" si="89"/>
        <v>1.2972520932022522E-3</v>
      </c>
      <c r="AN181" s="299">
        <f t="shared" si="89"/>
        <v>1.1949824439371815E-3</v>
      </c>
      <c r="AO181" s="299">
        <f t="shared" si="89"/>
        <v>1.0974246100155117E-3</v>
      </c>
      <c r="AP181" s="299">
        <f t="shared" si="89"/>
        <v>1.0145936377979185E-3</v>
      </c>
      <c r="AQ181" s="299">
        <f t="shared" si="89"/>
        <v>9.5094235131317959E-4</v>
      </c>
      <c r="AR181" s="299">
        <f t="shared" si="96"/>
        <v>9.0567783415984138E-4</v>
      </c>
      <c r="AS181" s="299">
        <f t="shared" si="96"/>
        <v>8.7523366252413202E-4</v>
      </c>
      <c r="AT181" s="299">
        <f t="shared" si="96"/>
        <v>8.555174561100914E-4</v>
      </c>
      <c r="AU181" s="299">
        <f t="shared" si="96"/>
        <v>8.4305988305916275E-4</v>
      </c>
      <c r="AV181" s="299">
        <f t="shared" si="96"/>
        <v>8.3531086999686581E-4</v>
      </c>
      <c r="AW181" s="299">
        <f t="shared" si="94"/>
        <v>8.3053756906090095E-4</v>
      </c>
      <c r="AX181" s="299">
        <f t="shared" si="94"/>
        <v>8.2761493642499544E-4</v>
      </c>
      <c r="AY181" s="299">
        <f t="shared" si="94"/>
        <v>8.2583204288740519E-4</v>
      </c>
      <c r="AZ181" s="298">
        <f t="shared" si="90"/>
        <v>9.1129790308566022E-2</v>
      </c>
      <c r="BA181" s="1">
        <f t="shared" si="90"/>
        <v>9.1129790308566022E-2</v>
      </c>
      <c r="BB181" s="1">
        <f t="shared" si="90"/>
        <v>9.1129790308566022E-2</v>
      </c>
      <c r="BC181" s="1">
        <f t="shared" si="90"/>
        <v>9.1129790308566022E-2</v>
      </c>
      <c r="BD181" s="1">
        <f t="shared" si="90"/>
        <v>9.1129790308566022E-2</v>
      </c>
      <c r="BE181" s="1">
        <f t="shared" si="90"/>
        <v>8.7003570030312866E-2</v>
      </c>
      <c r="BF181" s="1">
        <f t="shared" si="90"/>
        <v>8.470427794374033E-2</v>
      </c>
      <c r="BG181" s="1">
        <f t="shared" si="90"/>
        <v>8.1423831653260406E-2</v>
      </c>
      <c r="BH181" s="1">
        <f t="shared" si="90"/>
        <v>7.7070215818083251E-2</v>
      </c>
      <c r="BI181" s="1">
        <f t="shared" si="90"/>
        <v>7.1815600605250163E-2</v>
      </c>
      <c r="BJ181" s="1">
        <f t="shared" si="90"/>
        <v>6.6153974523360873E-2</v>
      </c>
      <c r="BK181" s="1">
        <f t="shared" si="90"/>
        <v>6.0753193539044015E-2</v>
      </c>
      <c r="BL181" s="1">
        <f t="shared" si="90"/>
        <v>5.6167688493652806E-2</v>
      </c>
      <c r="BM181" s="1">
        <f t="shared" si="90"/>
        <v>5.2643966780539578E-2</v>
      </c>
      <c r="BN181" s="1">
        <f t="shared" si="97"/>
        <v>5.0138132715975212E-2</v>
      </c>
      <c r="BO181" s="1">
        <f t="shared" si="97"/>
        <v>4.8452749834417642E-2</v>
      </c>
      <c r="BP181" s="1">
        <f t="shared" si="97"/>
        <v>4.7361264831077853E-2</v>
      </c>
      <c r="BQ181" s="1">
        <f t="shared" si="97"/>
        <v>4.6671616230451747E-2</v>
      </c>
      <c r="BR181" s="1">
        <f t="shared" si="97"/>
        <v>4.6242632511648819E-2</v>
      </c>
      <c r="BS181" s="1">
        <f t="shared" si="95"/>
        <v>4.5978383584719187E-2</v>
      </c>
      <c r="BT181" s="1">
        <f t="shared" si="95"/>
        <v>4.581658726217254E-2</v>
      </c>
      <c r="BU181" s="1">
        <f t="shared" si="95"/>
        <v>4.5717886654258161E-2</v>
      </c>
    </row>
    <row r="182" spans="1:73" x14ac:dyDescent="0.25">
      <c r="A182" s="1" t="s">
        <v>41</v>
      </c>
      <c r="B182" s="1" t="s">
        <v>5</v>
      </c>
      <c r="C182" s="1" t="s">
        <v>17</v>
      </c>
      <c r="D182" s="1" t="s">
        <v>17</v>
      </c>
      <c r="E182" s="5">
        <v>8.3572499999999987</v>
      </c>
      <c r="F182" s="1">
        <f t="shared" si="57"/>
        <v>2.0475262499999997E-2</v>
      </c>
      <c r="G182" s="1">
        <f>LOOKUP(RIGHT(D182,5),Ref!$C$4:$C$21,Ref!$E$4:$E$21)*$G$3</f>
        <v>3</v>
      </c>
      <c r="H182" s="297">
        <f t="shared" ref="H182:L197" si="100">$E182</f>
        <v>8.3572499999999987</v>
      </c>
      <c r="I182" s="5">
        <f t="shared" si="100"/>
        <v>8.3572499999999987</v>
      </c>
      <c r="J182" s="5">
        <f t="shared" si="100"/>
        <v>8.3572499999999987</v>
      </c>
      <c r="K182" s="5">
        <f t="shared" si="100"/>
        <v>8.3572499999999987</v>
      </c>
      <c r="L182" s="5">
        <f t="shared" si="100"/>
        <v>8.3572499999999987</v>
      </c>
      <c r="M182" s="5">
        <f t="shared" si="99"/>
        <v>8.753599878613219</v>
      </c>
      <c r="N182" s="5">
        <f t="shared" si="99"/>
        <v>8.9912157749825354</v>
      </c>
      <c r="O182" s="5">
        <f t="shared" si="99"/>
        <v>9.3534586200693415</v>
      </c>
      <c r="P182" s="5">
        <f t="shared" si="99"/>
        <v>9.8818257088306698</v>
      </c>
      <c r="Q182" s="5">
        <f t="shared" si="99"/>
        <v>10.60486069374439</v>
      </c>
      <c r="R182" s="5">
        <f t="shared" si="99"/>
        <v>11.5124517543133</v>
      </c>
      <c r="S182" s="5">
        <f t="shared" si="99"/>
        <v>12.535874999999997</v>
      </c>
      <c r="T182" s="5">
        <f t="shared" si="99"/>
        <v>13.559298245686696</v>
      </c>
      <c r="U182" s="5">
        <f t="shared" si="99"/>
        <v>14.466889306255606</v>
      </c>
      <c r="V182" s="5">
        <f t="shared" si="99"/>
        <v>15.189924291169326</v>
      </c>
      <c r="W182" s="5">
        <f t="shared" si="99"/>
        <v>15.718291379930653</v>
      </c>
      <c r="X182" s="5">
        <f t="shared" si="99"/>
        <v>16.080534225017459</v>
      </c>
      <c r="Y182" s="5">
        <f t="shared" si="99"/>
        <v>16.318150121386779</v>
      </c>
      <c r="Z182" s="5">
        <f t="shared" si="99"/>
        <v>16.469530359553225</v>
      </c>
      <c r="AA182" s="5">
        <f t="shared" si="99"/>
        <v>16.564184746794307</v>
      </c>
      <c r="AB182" s="5">
        <f t="shared" si="99"/>
        <v>16.622679373700475</v>
      </c>
      <c r="AC182" s="5">
        <f t="shared" si="98"/>
        <v>16.658566171613018</v>
      </c>
      <c r="AD182" s="300">
        <f t="shared" si="89"/>
        <v>1.6445119032611518E-3</v>
      </c>
      <c r="AE182" s="299">
        <f t="shared" si="89"/>
        <v>1.6445119032611518E-3</v>
      </c>
      <c r="AF182" s="299">
        <f t="shared" si="89"/>
        <v>1.6445119032611518E-3</v>
      </c>
      <c r="AG182" s="299">
        <f t="shared" si="89"/>
        <v>1.6445119032611518E-3</v>
      </c>
      <c r="AH182" s="299">
        <f t="shared" si="89"/>
        <v>1.6445119032611518E-3</v>
      </c>
      <c r="AI182" s="299">
        <f t="shared" si="89"/>
        <v>1.570050869826435E-3</v>
      </c>
      <c r="AJ182" s="299">
        <f t="shared" si="89"/>
        <v>1.5285582559112763E-3</v>
      </c>
      <c r="AK182" s="299">
        <f t="shared" si="89"/>
        <v>1.4693599086481415E-3</v>
      </c>
      <c r="AL182" s="299">
        <f t="shared" si="89"/>
        <v>1.3907953356481085E-3</v>
      </c>
      <c r="AM182" s="299">
        <f t="shared" si="89"/>
        <v>1.2959714889641456E-3</v>
      </c>
      <c r="AN182" s="299">
        <f t="shared" si="89"/>
        <v>1.1938027969046671E-3</v>
      </c>
      <c r="AO182" s="299">
        <f t="shared" si="89"/>
        <v>1.096341268840768E-3</v>
      </c>
      <c r="AP182" s="299">
        <f t="shared" si="89"/>
        <v>1.0135920646115436E-3</v>
      </c>
      <c r="AQ182" s="299">
        <f t="shared" si="89"/>
        <v>9.5000361256558532E-4</v>
      </c>
      <c r="AR182" s="299">
        <f t="shared" si="96"/>
        <v>9.0478377904221088E-4</v>
      </c>
      <c r="AS182" s="299">
        <f t="shared" si="96"/>
        <v>8.7436966088294348E-4</v>
      </c>
      <c r="AT182" s="299">
        <f t="shared" si="96"/>
        <v>8.5467291765391196E-4</v>
      </c>
      <c r="AU182" s="299">
        <f t="shared" si="96"/>
        <v>8.4222764230589616E-4</v>
      </c>
      <c r="AV182" s="299">
        <f t="shared" si="96"/>
        <v>8.3448627881226891E-4</v>
      </c>
      <c r="AW182" s="299">
        <f t="shared" si="94"/>
        <v>8.2971768992066324E-4</v>
      </c>
      <c r="AX182" s="299">
        <f t="shared" si="94"/>
        <v>8.2679794241075555E-4</v>
      </c>
      <c r="AY182" s="299">
        <f t="shared" si="94"/>
        <v>8.2501680888652929E-4</v>
      </c>
      <c r="AZ182" s="298">
        <f t="shared" si="90"/>
        <v>9.1039830002239724E-2</v>
      </c>
      <c r="BA182" s="1">
        <f t="shared" si="90"/>
        <v>9.1039830002239724E-2</v>
      </c>
      <c r="BB182" s="1">
        <f t="shared" si="90"/>
        <v>9.1039830002239724E-2</v>
      </c>
      <c r="BC182" s="1">
        <f t="shared" si="90"/>
        <v>9.1039830002239724E-2</v>
      </c>
      <c r="BD182" s="1">
        <f t="shared" si="90"/>
        <v>9.1039830002239724E-2</v>
      </c>
      <c r="BE182" s="1">
        <f t="shared" si="90"/>
        <v>8.6917682991783443E-2</v>
      </c>
      <c r="BF182" s="1">
        <f t="shared" si="90"/>
        <v>8.462066069009401E-2</v>
      </c>
      <c r="BG182" s="1">
        <f t="shared" si="90"/>
        <v>8.1343452747383541E-2</v>
      </c>
      <c r="BH182" s="1">
        <f t="shared" si="90"/>
        <v>7.6994134657354663E-2</v>
      </c>
      <c r="BI182" s="1">
        <f t="shared" si="90"/>
        <v>7.1744706626370364E-2</v>
      </c>
      <c r="BJ182" s="1">
        <f t="shared" si="90"/>
        <v>6.6088669513959739E-2</v>
      </c>
      <c r="BK182" s="1">
        <f t="shared" si="90"/>
        <v>6.0693220001493152E-2</v>
      </c>
      <c r="BL182" s="1">
        <f t="shared" si="90"/>
        <v>5.611224161458702E-2</v>
      </c>
      <c r="BM182" s="1">
        <f t="shared" si="90"/>
        <v>5.2591998402671328E-2</v>
      </c>
      <c r="BN182" s="1">
        <f t="shared" si="97"/>
        <v>5.0088638014379981E-2</v>
      </c>
      <c r="BO182" s="1">
        <f t="shared" si="97"/>
        <v>4.8404918886900954E-2</v>
      </c>
      <c r="BP182" s="1">
        <f t="shared" si="97"/>
        <v>4.7314511361353215E-2</v>
      </c>
      <c r="BQ182" s="1">
        <f t="shared" si="97"/>
        <v>4.6625543558950815E-2</v>
      </c>
      <c r="BR182" s="1">
        <f t="shared" si="97"/>
        <v>4.6196983318646218E-2</v>
      </c>
      <c r="BS182" s="1">
        <f t="shared" si="95"/>
        <v>4.5932995249492424E-2</v>
      </c>
      <c r="BT182" s="1">
        <f t="shared" si="95"/>
        <v>4.5771358646908802E-2</v>
      </c>
      <c r="BU182" s="1">
        <f t="shared" si="95"/>
        <v>4.5672755472960784E-2</v>
      </c>
    </row>
    <row r="183" spans="1:73" x14ac:dyDescent="0.25">
      <c r="A183" s="1" t="s">
        <v>41</v>
      </c>
      <c r="B183" s="1" t="s">
        <v>5</v>
      </c>
      <c r="C183" s="1" t="s">
        <v>18</v>
      </c>
      <c r="D183" s="1" t="s">
        <v>18</v>
      </c>
      <c r="E183" s="5">
        <v>7.7220000000000004</v>
      </c>
      <c r="F183" s="1">
        <f t="shared" si="57"/>
        <v>1.8918900000000002E-2</v>
      </c>
      <c r="G183" s="1">
        <f>LOOKUP(RIGHT(D183,5),Ref!$C$4:$C$21,Ref!$E$4:$E$21)*$G$3</f>
        <v>3</v>
      </c>
      <c r="H183" s="297">
        <f t="shared" si="100"/>
        <v>7.7220000000000004</v>
      </c>
      <c r="I183" s="5">
        <f t="shared" si="100"/>
        <v>7.7220000000000004</v>
      </c>
      <c r="J183" s="5">
        <f t="shared" si="100"/>
        <v>7.7220000000000004</v>
      </c>
      <c r="K183" s="5">
        <f t="shared" si="100"/>
        <v>7.7220000000000004</v>
      </c>
      <c r="L183" s="5">
        <f t="shared" si="100"/>
        <v>7.7220000000000004</v>
      </c>
      <c r="M183" s="5">
        <f t="shared" si="99"/>
        <v>8.0882225926771714</v>
      </c>
      <c r="N183" s="5">
        <f t="shared" si="99"/>
        <v>8.3077768661240423</v>
      </c>
      <c r="O183" s="5">
        <f t="shared" si="99"/>
        <v>8.6424849638547929</v>
      </c>
      <c r="P183" s="5">
        <f t="shared" si="99"/>
        <v>9.1306898948326847</v>
      </c>
      <c r="Q183" s="5">
        <f t="shared" si="99"/>
        <v>9.7987656558191034</v>
      </c>
      <c r="R183" s="5">
        <f t="shared" si="99"/>
        <v>10.63736904445928</v>
      </c>
      <c r="S183" s="5">
        <f t="shared" si="99"/>
        <v>11.583</v>
      </c>
      <c r="T183" s="5">
        <f t="shared" si="99"/>
        <v>12.528630955540722</v>
      </c>
      <c r="U183" s="5">
        <f t="shared" si="99"/>
        <v>13.367234344180897</v>
      </c>
      <c r="V183" s="5">
        <f t="shared" si="99"/>
        <v>14.035310105167317</v>
      </c>
      <c r="W183" s="5">
        <f t="shared" si="99"/>
        <v>14.523515036145207</v>
      </c>
      <c r="X183" s="5">
        <f t="shared" si="99"/>
        <v>14.858223133875958</v>
      </c>
      <c r="Y183" s="5">
        <f t="shared" si="99"/>
        <v>15.077777407322831</v>
      </c>
      <c r="Z183" s="5">
        <f t="shared" si="99"/>
        <v>15.217650954138028</v>
      </c>
      <c r="AA183" s="5">
        <f t="shared" si="99"/>
        <v>15.30511048667273</v>
      </c>
      <c r="AB183" s="5">
        <f t="shared" si="99"/>
        <v>15.359158829006562</v>
      </c>
      <c r="AC183" s="5">
        <f t="shared" si="98"/>
        <v>15.392317805162675</v>
      </c>
      <c r="AD183" s="300">
        <f t="shared" si="89"/>
        <v>1.7797976047046436E-3</v>
      </c>
      <c r="AE183" s="299">
        <f t="shared" si="89"/>
        <v>1.7797976047046436E-3</v>
      </c>
      <c r="AF183" s="299">
        <f t="shared" si="89"/>
        <v>1.7797976047046436E-3</v>
      </c>
      <c r="AG183" s="299">
        <f t="shared" si="89"/>
        <v>1.7797976047046436E-3</v>
      </c>
      <c r="AH183" s="299">
        <f t="shared" si="89"/>
        <v>1.7797976047046436E-3</v>
      </c>
      <c r="AI183" s="299">
        <f t="shared" si="89"/>
        <v>1.6992110375365153E-3</v>
      </c>
      <c r="AJ183" s="299">
        <f t="shared" si="89"/>
        <v>1.6543050355108148E-3</v>
      </c>
      <c r="AK183" s="299">
        <f t="shared" si="89"/>
        <v>1.5902367387399222E-3</v>
      </c>
      <c r="AL183" s="299">
        <f t="shared" si="89"/>
        <v>1.5052090544995017E-3</v>
      </c>
      <c r="AM183" s="299">
        <f t="shared" si="89"/>
        <v>1.4025845281203837E-3</v>
      </c>
      <c r="AN183" s="299">
        <f t="shared" si="89"/>
        <v>1.2920109329748158E-3</v>
      </c>
      <c r="AO183" s="299">
        <f t="shared" si="89"/>
        <v>1.1865317364697626E-3</v>
      </c>
      <c r="AP183" s="299">
        <f t="shared" si="89"/>
        <v>1.0969751724909118E-3</v>
      </c>
      <c r="AQ183" s="299">
        <f t="shared" si="89"/>
        <v>1.028155619154848E-3</v>
      </c>
      <c r="AR183" s="299">
        <f t="shared" si="96"/>
        <v>9.7921577795914466E-4</v>
      </c>
      <c r="AS183" s="299">
        <f t="shared" si="96"/>
        <v>9.462996436692538E-4</v>
      </c>
      <c r="AT183" s="299">
        <f t="shared" si="96"/>
        <v>9.2498254870022716E-4</v>
      </c>
      <c r="AU183" s="299">
        <f t="shared" si="96"/>
        <v>9.1151346330755625E-4</v>
      </c>
      <c r="AV183" s="299">
        <f t="shared" si="96"/>
        <v>9.031352568769532E-4</v>
      </c>
      <c r="AW183" s="299">
        <f t="shared" si="94"/>
        <v>8.9797438022396554E-4</v>
      </c>
      <c r="AX183" s="299">
        <f t="shared" si="94"/>
        <v>8.9481443980993084E-4</v>
      </c>
      <c r="AY183" s="299">
        <f t="shared" si="94"/>
        <v>8.9288678141245077E-4</v>
      </c>
      <c r="AZ183" s="298">
        <f t="shared" si="90"/>
        <v>9.8529217726782928E-2</v>
      </c>
      <c r="BA183" s="1">
        <f t="shared" si="90"/>
        <v>9.8529217726782928E-2</v>
      </c>
      <c r="BB183" s="1">
        <f t="shared" si="90"/>
        <v>9.8529217726782928E-2</v>
      </c>
      <c r="BC183" s="1">
        <f t="shared" si="90"/>
        <v>9.8529217726782928E-2</v>
      </c>
      <c r="BD183" s="1">
        <f t="shared" si="90"/>
        <v>9.8529217726782928E-2</v>
      </c>
      <c r="BE183" s="1">
        <f t="shared" si="90"/>
        <v>9.4067962468671593E-2</v>
      </c>
      <c r="BF183" s="1">
        <f t="shared" si="90"/>
        <v>9.158197572549702E-2</v>
      </c>
      <c r="BG183" s="1">
        <f t="shared" si="90"/>
        <v>8.8035168411431108E-2</v>
      </c>
      <c r="BH183" s="1">
        <f t="shared" si="90"/>
        <v>8.3328053854594283E-2</v>
      </c>
      <c r="BI183" s="1">
        <f t="shared" si="90"/>
        <v>7.7646781850975594E-2</v>
      </c>
      <c r="BJ183" s="1">
        <f t="shared" si="90"/>
        <v>7.152545108722351E-2</v>
      </c>
      <c r="BK183" s="1">
        <f t="shared" si="90"/>
        <v>6.5686145151188619E-2</v>
      </c>
      <c r="BL183" s="1">
        <f t="shared" si="90"/>
        <v>6.0728312773051955E-2</v>
      </c>
      <c r="BM183" s="1">
        <f t="shared" si="90"/>
        <v>5.6918476903745782E-2</v>
      </c>
      <c r="BN183" s="1">
        <f t="shared" si="97"/>
        <v>5.4209177680092847E-2</v>
      </c>
      <c r="BO183" s="1">
        <f t="shared" si="97"/>
        <v>5.2386947470545571E-2</v>
      </c>
      <c r="BP183" s="1">
        <f t="shared" si="97"/>
        <v>5.120683761650726E-2</v>
      </c>
      <c r="BQ183" s="1">
        <f t="shared" si="97"/>
        <v>5.04611919072833E-2</v>
      </c>
      <c r="BR183" s="1">
        <f t="shared" si="97"/>
        <v>4.9997376177124582E-2</v>
      </c>
      <c r="BS183" s="1">
        <f t="shared" si="95"/>
        <v>4.9711671140743388E-2</v>
      </c>
      <c r="BT183" s="1">
        <f t="shared" si="95"/>
        <v>4.9536737509955776E-2</v>
      </c>
      <c r="BU183" s="1">
        <f t="shared" si="95"/>
        <v>4.943002275011673E-2</v>
      </c>
    </row>
    <row r="184" spans="1:73" x14ac:dyDescent="0.25">
      <c r="A184" s="1" t="s">
        <v>42</v>
      </c>
      <c r="B184" s="1" t="s">
        <v>5</v>
      </c>
      <c r="C184" s="1" t="s">
        <v>13</v>
      </c>
      <c r="D184" s="1" t="s">
        <v>13</v>
      </c>
      <c r="E184" s="5">
        <v>8.0190000000000001</v>
      </c>
      <c r="F184" s="1">
        <f t="shared" si="57"/>
        <v>1.9646550000000002E-2</v>
      </c>
      <c r="G184" s="1">
        <f>LOOKUP(RIGHT(D184,5),Ref!$C$4:$C$21,Ref!$E$4:$E$21)*$G$3</f>
        <v>1.5</v>
      </c>
      <c r="H184" s="297">
        <f t="shared" si="100"/>
        <v>8.0190000000000001</v>
      </c>
      <c r="I184" s="5">
        <f t="shared" si="100"/>
        <v>8.0190000000000001</v>
      </c>
      <c r="J184" s="5">
        <f t="shared" si="100"/>
        <v>8.0190000000000001</v>
      </c>
      <c r="K184" s="5">
        <f t="shared" si="100"/>
        <v>8.0190000000000001</v>
      </c>
      <c r="L184" s="5">
        <f t="shared" si="100"/>
        <v>8.0190000000000001</v>
      </c>
      <c r="M184" s="5">
        <f t="shared" si="99"/>
        <v>8.3993080770109074</v>
      </c>
      <c r="N184" s="5">
        <f t="shared" si="99"/>
        <v>8.6273067455903512</v>
      </c>
      <c r="O184" s="5">
        <f t="shared" si="99"/>
        <v>8.9748882316953615</v>
      </c>
      <c r="P184" s="5">
        <f t="shared" si="99"/>
        <v>9.4818702754031712</v>
      </c>
      <c r="Q184" s="5">
        <f t="shared" si="99"/>
        <v>10.175641257965992</v>
      </c>
      <c r="R184" s="5">
        <f t="shared" si="99"/>
        <v>11.046498623092329</v>
      </c>
      <c r="S184" s="5">
        <f t="shared" si="99"/>
        <v>12.028500000000001</v>
      </c>
      <c r="T184" s="5">
        <f t="shared" si="99"/>
        <v>13.010501376907671</v>
      </c>
      <c r="U184" s="5">
        <f t="shared" si="99"/>
        <v>13.881358742034008</v>
      </c>
      <c r="V184" s="5">
        <f t="shared" si="99"/>
        <v>14.575129724596829</v>
      </c>
      <c r="W184" s="5">
        <f t="shared" si="99"/>
        <v>15.082111768304637</v>
      </c>
      <c r="X184" s="5">
        <f t="shared" si="99"/>
        <v>15.429693254409649</v>
      </c>
      <c r="Y184" s="5">
        <f t="shared" si="99"/>
        <v>15.657691922989093</v>
      </c>
      <c r="Z184" s="5">
        <f t="shared" si="99"/>
        <v>15.802945221604874</v>
      </c>
      <c r="AA184" s="5">
        <f t="shared" si="99"/>
        <v>15.893768582313989</v>
      </c>
      <c r="AB184" s="5">
        <f t="shared" si="99"/>
        <v>15.949895707045274</v>
      </c>
      <c r="AC184" s="5">
        <f t="shared" si="98"/>
        <v>15.98433002843816</v>
      </c>
      <c r="AD184" s="300">
        <f t="shared" si="89"/>
        <v>1.7138791749007681E-3</v>
      </c>
      <c r="AE184" s="299">
        <f t="shared" si="89"/>
        <v>1.7138791749007681E-3</v>
      </c>
      <c r="AF184" s="299">
        <f t="shared" si="89"/>
        <v>1.7138791749007681E-3</v>
      </c>
      <c r="AG184" s="299">
        <f t="shared" si="89"/>
        <v>1.7138791749007681E-3</v>
      </c>
      <c r="AH184" s="299">
        <f t="shared" si="89"/>
        <v>1.7138791749007681E-3</v>
      </c>
      <c r="AI184" s="299">
        <f t="shared" si="89"/>
        <v>1.6362772954055334E-3</v>
      </c>
      <c r="AJ184" s="299">
        <f t="shared" si="89"/>
        <v>1.5930344786400439E-3</v>
      </c>
      <c r="AK184" s="299">
        <f t="shared" si="89"/>
        <v>1.5313390817495547E-3</v>
      </c>
      <c r="AL184" s="299">
        <f t="shared" si="89"/>
        <v>1.4494605709995203E-3</v>
      </c>
      <c r="AM184" s="299">
        <f t="shared" si="89"/>
        <v>1.3506369530048138E-3</v>
      </c>
      <c r="AN184" s="299">
        <f t="shared" si="89"/>
        <v>1.2441586761979709E-3</v>
      </c>
      <c r="AO184" s="299">
        <f t="shared" si="89"/>
        <v>1.1425861166005119E-3</v>
      </c>
      <c r="AP184" s="299">
        <f t="shared" si="89"/>
        <v>1.0563464623986559E-3</v>
      </c>
      <c r="AQ184" s="299">
        <f t="shared" si="89"/>
        <v>9.9007578140837224E-4</v>
      </c>
      <c r="AR184" s="299">
        <f t="shared" si="96"/>
        <v>9.4294852692362082E-4</v>
      </c>
      <c r="AS184" s="299">
        <f t="shared" si="96"/>
        <v>9.1125150871854078E-4</v>
      </c>
      <c r="AT184" s="299">
        <f t="shared" si="96"/>
        <v>8.9072393578540387E-4</v>
      </c>
      <c r="AU184" s="299">
        <f t="shared" si="96"/>
        <v>8.7775370540727642E-4</v>
      </c>
      <c r="AV184" s="299">
        <f t="shared" si="96"/>
        <v>8.6968580291854755E-4</v>
      </c>
      <c r="AW184" s="299">
        <f t="shared" si="94"/>
        <v>8.6471606984530008E-4</v>
      </c>
      <c r="AX184" s="299">
        <f t="shared" si="94"/>
        <v>8.6167316426141499E-4</v>
      </c>
      <c r="AY184" s="299">
        <f t="shared" si="94"/>
        <v>8.5981690061939721E-4</v>
      </c>
      <c r="AZ184" s="298">
        <f t="shared" si="90"/>
        <v>9.4879987440605787E-2</v>
      </c>
      <c r="BA184" s="1">
        <f t="shared" si="90"/>
        <v>9.4879987440605787E-2</v>
      </c>
      <c r="BB184" s="1">
        <f t="shared" si="90"/>
        <v>9.4879987440605787E-2</v>
      </c>
      <c r="BC184" s="1">
        <f t="shared" si="90"/>
        <v>9.4879987440605787E-2</v>
      </c>
      <c r="BD184" s="1">
        <f t="shared" si="90"/>
        <v>9.4879987440605787E-2</v>
      </c>
      <c r="BE184" s="1">
        <f t="shared" si="90"/>
        <v>9.0583963858720806E-2</v>
      </c>
      <c r="BF184" s="1">
        <f t="shared" si="90"/>
        <v>8.8190050698626773E-2</v>
      </c>
      <c r="BG184" s="1">
        <f t="shared" si="90"/>
        <v>8.4774606618415141E-2</v>
      </c>
      <c r="BH184" s="1">
        <f t="shared" si="90"/>
        <v>8.0241829637757472E-2</v>
      </c>
      <c r="BI184" s="1">
        <f t="shared" si="90"/>
        <v>7.4770975115754285E-2</v>
      </c>
      <c r="BJ184" s="1">
        <f t="shared" si="90"/>
        <v>6.8876360306215231E-2</v>
      </c>
      <c r="BK184" s="1">
        <f t="shared" si="90"/>
        <v>6.3253324960403853E-2</v>
      </c>
      <c r="BL184" s="1">
        <f t="shared" si="90"/>
        <v>5.8479116003679672E-2</v>
      </c>
      <c r="BM184" s="1">
        <f t="shared" si="90"/>
        <v>5.4810385166570011E-2</v>
      </c>
      <c r="BN184" s="1">
        <f t="shared" si="97"/>
        <v>5.2201430358607928E-2</v>
      </c>
      <c r="BO184" s="1">
        <f t="shared" si="97"/>
        <v>5.0446690156821669E-2</v>
      </c>
      <c r="BP184" s="1">
        <f t="shared" si="97"/>
        <v>4.9310288075155133E-2</v>
      </c>
      <c r="BQ184" s="1">
        <f t="shared" si="97"/>
        <v>4.8592258873680211E-2</v>
      </c>
      <c r="BR184" s="1">
        <f t="shared" si="97"/>
        <v>4.8145621503897749E-2</v>
      </c>
      <c r="BS184" s="1">
        <f t="shared" si="95"/>
        <v>4.7870498135530674E-2</v>
      </c>
      <c r="BT184" s="1">
        <f t="shared" si="95"/>
        <v>4.7702043528105566E-2</v>
      </c>
      <c r="BU184" s="1">
        <f t="shared" si="95"/>
        <v>4.7599281166779077E-2</v>
      </c>
    </row>
    <row r="185" spans="1:73" x14ac:dyDescent="0.25">
      <c r="A185" s="1" t="s">
        <v>42</v>
      </c>
      <c r="B185" s="1" t="s">
        <v>5</v>
      </c>
      <c r="C185" s="1" t="s">
        <v>14</v>
      </c>
      <c r="D185" s="1" t="s">
        <v>14</v>
      </c>
      <c r="E185" s="5">
        <v>7.6972500000000004</v>
      </c>
      <c r="F185" s="1">
        <f t="shared" si="57"/>
        <v>1.8858262499999997E-2</v>
      </c>
      <c r="G185" s="1">
        <f>LOOKUP(RIGHT(D185,5),Ref!$C$4:$C$21,Ref!$E$4:$E$21)*$G$3</f>
        <v>2</v>
      </c>
      <c r="H185" s="297">
        <f t="shared" si="100"/>
        <v>7.6972500000000004</v>
      </c>
      <c r="I185" s="5">
        <f t="shared" si="100"/>
        <v>7.6972500000000004</v>
      </c>
      <c r="J185" s="5">
        <f t="shared" si="100"/>
        <v>7.6972500000000004</v>
      </c>
      <c r="K185" s="5">
        <f t="shared" si="100"/>
        <v>7.6972500000000004</v>
      </c>
      <c r="L185" s="5">
        <f t="shared" si="100"/>
        <v>7.6972500000000004</v>
      </c>
      <c r="M185" s="5">
        <f t="shared" si="99"/>
        <v>8.0622988023160254</v>
      </c>
      <c r="N185" s="5">
        <f t="shared" si="99"/>
        <v>8.281149376168516</v>
      </c>
      <c r="O185" s="5">
        <f t="shared" si="99"/>
        <v>8.6147846915347444</v>
      </c>
      <c r="P185" s="5">
        <f t="shared" si="99"/>
        <v>9.101424863118476</v>
      </c>
      <c r="Q185" s="5">
        <f t="shared" si="99"/>
        <v>9.7673593556401954</v>
      </c>
      <c r="R185" s="5">
        <f t="shared" si="99"/>
        <v>10.603274912906526</v>
      </c>
      <c r="S185" s="5">
        <f t="shared" si="99"/>
        <v>11.545875000000001</v>
      </c>
      <c r="T185" s="5">
        <f t="shared" si="99"/>
        <v>12.488475087093475</v>
      </c>
      <c r="U185" s="5">
        <f t="shared" si="99"/>
        <v>13.324390644359806</v>
      </c>
      <c r="V185" s="5">
        <f t="shared" si="99"/>
        <v>13.990325136881525</v>
      </c>
      <c r="W185" s="5">
        <f t="shared" si="99"/>
        <v>14.476965308465255</v>
      </c>
      <c r="X185" s="5">
        <f t="shared" si="99"/>
        <v>14.810600623831485</v>
      </c>
      <c r="Y185" s="5">
        <f t="shared" si="99"/>
        <v>15.029451197683976</v>
      </c>
      <c r="Z185" s="5">
        <f t="shared" si="99"/>
        <v>15.168876431849124</v>
      </c>
      <c r="AA185" s="5">
        <f t="shared" si="99"/>
        <v>15.256055645369292</v>
      </c>
      <c r="AB185" s="5">
        <f t="shared" si="99"/>
        <v>15.309930755836668</v>
      </c>
      <c r="AC185" s="5">
        <f t="shared" si="98"/>
        <v>15.34298345322305</v>
      </c>
      <c r="AD185" s="300">
        <f t="shared" si="89"/>
        <v>1.7855204265847229E-3</v>
      </c>
      <c r="AE185" s="299">
        <f t="shared" si="89"/>
        <v>1.7855204265847229E-3</v>
      </c>
      <c r="AF185" s="299">
        <f t="shared" si="89"/>
        <v>1.7855204265847229E-3</v>
      </c>
      <c r="AG185" s="299">
        <f t="shared" si="89"/>
        <v>1.7855204265847229E-3</v>
      </c>
      <c r="AH185" s="299">
        <f t="shared" si="89"/>
        <v>1.7855204265847229E-3</v>
      </c>
      <c r="AI185" s="299">
        <f t="shared" si="89"/>
        <v>1.7046747386218418E-3</v>
      </c>
      <c r="AJ185" s="299">
        <f t="shared" si="89"/>
        <v>1.6596243443066697E-3</v>
      </c>
      <c r="AK185" s="299">
        <f t="shared" si="89"/>
        <v>1.5953500401506616E-3</v>
      </c>
      <c r="AL185" s="299">
        <f t="shared" si="89"/>
        <v>1.5100489549962849E-3</v>
      </c>
      <c r="AM185" s="299">
        <f t="shared" si="89"/>
        <v>1.407094446217234E-3</v>
      </c>
      <c r="AN185" s="299">
        <f t="shared" si="89"/>
        <v>1.2961653089650885E-3</v>
      </c>
      <c r="AO185" s="299">
        <f t="shared" si="89"/>
        <v>1.1903469510564819E-3</v>
      </c>
      <c r="AP185" s="299">
        <f t="shared" si="89"/>
        <v>1.1005024238494034E-3</v>
      </c>
      <c r="AQ185" s="299">
        <f t="shared" si="89"/>
        <v>1.0314615857759247E-3</v>
      </c>
      <c r="AR185" s="299">
        <f t="shared" si="96"/>
        <v>9.8236438174679466E-4</v>
      </c>
      <c r="AS185" s="299">
        <f t="shared" si="96"/>
        <v>9.4934240779680765E-4</v>
      </c>
      <c r="AT185" s="299">
        <f t="shared" si="96"/>
        <v>9.2795676911405409E-4</v>
      </c>
      <c r="AU185" s="299">
        <f t="shared" si="96"/>
        <v>9.1444437476513683E-4</v>
      </c>
      <c r="AV185" s="299">
        <f t="shared" si="96"/>
        <v>9.0603922876401736E-4</v>
      </c>
      <c r="AW185" s="299">
        <f t="shared" si="94"/>
        <v>9.0086175765233831E-4</v>
      </c>
      <c r="AX185" s="299">
        <f t="shared" si="94"/>
        <v>8.9769165665819434E-4</v>
      </c>
      <c r="AY185" s="299">
        <f t="shared" si="94"/>
        <v>8.9575780000220148E-4</v>
      </c>
      <c r="AZ185" s="298">
        <f t="shared" si="90"/>
        <v>9.8846031931692196E-2</v>
      </c>
      <c r="BA185" s="1">
        <f t="shared" si="90"/>
        <v>9.8846031931692196E-2</v>
      </c>
      <c r="BB185" s="1">
        <f t="shared" si="90"/>
        <v>9.8846031931692196E-2</v>
      </c>
      <c r="BC185" s="1">
        <f t="shared" si="90"/>
        <v>9.8846031931692196E-2</v>
      </c>
      <c r="BD185" s="1">
        <f t="shared" si="90"/>
        <v>9.8846031931692196E-2</v>
      </c>
      <c r="BE185" s="1">
        <f t="shared" si="90"/>
        <v>9.4370431801368296E-2</v>
      </c>
      <c r="BF185" s="1">
        <f t="shared" si="90"/>
        <v>9.1876451531688344E-2</v>
      </c>
      <c r="BG185" s="1">
        <f t="shared" si="90"/>
        <v>8.8318239692496817E-2</v>
      </c>
      <c r="BH185" s="1">
        <f t="shared" si="90"/>
        <v>8.3595989719078528E-2</v>
      </c>
      <c r="BI185" s="1">
        <f t="shared" si="90"/>
        <v>7.7896449959821187E-2</v>
      </c>
      <c r="BJ185" s="1">
        <f t="shared" si="90"/>
        <v>7.1755436460494329E-2</v>
      </c>
      <c r="BK185" s="1">
        <f t="shared" si="90"/>
        <v>6.5897354621128126E-2</v>
      </c>
      <c r="BL185" s="1">
        <f t="shared" si="90"/>
        <v>6.0923580659782033E-2</v>
      </c>
      <c r="BM185" s="1">
        <f t="shared" si="90"/>
        <v>5.7101494514368752E-2</v>
      </c>
      <c r="BN185" s="1">
        <f t="shared" si="97"/>
        <v>5.4383483717649415E-2</v>
      </c>
      <c r="BO185" s="1">
        <f t="shared" si="97"/>
        <v>5.2555394246978193E-2</v>
      </c>
      <c r="BP185" s="1">
        <f t="shared" si="97"/>
        <v>5.137148982749281E-2</v>
      </c>
      <c r="BQ185" s="1">
        <f t="shared" si="97"/>
        <v>5.0623446543641121E-2</v>
      </c>
      <c r="BR185" s="1">
        <f t="shared" si="97"/>
        <v>5.0158139444575138E-2</v>
      </c>
      <c r="BS185" s="1">
        <f t="shared" si="95"/>
        <v>4.9871515742482116E-2</v>
      </c>
      <c r="BT185" s="1">
        <f t="shared" si="95"/>
        <v>4.9696019624135702E-2</v>
      </c>
      <c r="BU185" s="1">
        <f t="shared" si="95"/>
        <v>4.9588961730020642E-2</v>
      </c>
    </row>
    <row r="186" spans="1:73" x14ac:dyDescent="0.25">
      <c r="A186" s="1" t="s">
        <v>42</v>
      </c>
      <c r="B186" s="1" t="s">
        <v>5</v>
      </c>
      <c r="C186" s="1" t="s">
        <v>15</v>
      </c>
      <c r="D186" s="1" t="s">
        <v>15</v>
      </c>
      <c r="E186" s="5">
        <v>7.9612499999999997</v>
      </c>
      <c r="F186" s="1">
        <f t="shared" si="57"/>
        <v>1.95050625E-2</v>
      </c>
      <c r="G186" s="1">
        <f>LOOKUP(RIGHT(D186,5),Ref!$C$4:$C$21,Ref!$E$4:$E$21)*$G$3</f>
        <v>2.5</v>
      </c>
      <c r="H186" s="297">
        <f t="shared" si="100"/>
        <v>7.9612499999999997</v>
      </c>
      <c r="I186" s="5">
        <f t="shared" si="100"/>
        <v>7.9612499999999997</v>
      </c>
      <c r="J186" s="5">
        <f t="shared" si="100"/>
        <v>7.9612499999999997</v>
      </c>
      <c r="K186" s="5">
        <f t="shared" si="100"/>
        <v>7.9612499999999997</v>
      </c>
      <c r="L186" s="5">
        <f t="shared" si="100"/>
        <v>7.9612499999999997</v>
      </c>
      <c r="M186" s="5">
        <f t="shared" si="99"/>
        <v>8.3388192328349025</v>
      </c>
      <c r="N186" s="5">
        <f t="shared" si="99"/>
        <v>8.5651759356941248</v>
      </c>
      <c r="O186" s="5">
        <f t="shared" si="99"/>
        <v>8.9102542629485839</v>
      </c>
      <c r="P186" s="5">
        <f t="shared" si="99"/>
        <v>9.4135852014033539</v>
      </c>
      <c r="Q186" s="5">
        <f t="shared" si="99"/>
        <v>10.102359890881875</v>
      </c>
      <c r="R186" s="5">
        <f t="shared" si="99"/>
        <v>10.966945649469235</v>
      </c>
      <c r="S186" s="5">
        <f t="shared" si="99"/>
        <v>11.941875</v>
      </c>
      <c r="T186" s="5">
        <f t="shared" si="99"/>
        <v>12.916804350530764</v>
      </c>
      <c r="U186" s="5">
        <f t="shared" si="99"/>
        <v>13.781390109118124</v>
      </c>
      <c r="V186" s="5">
        <f t="shared" si="99"/>
        <v>14.470164798596645</v>
      </c>
      <c r="W186" s="5">
        <f t="shared" si="99"/>
        <v>14.973495737051413</v>
      </c>
      <c r="X186" s="5">
        <f t="shared" si="99"/>
        <v>15.318574064305874</v>
      </c>
      <c r="Y186" s="5">
        <f t="shared" si="99"/>
        <v>15.544930767165097</v>
      </c>
      <c r="Z186" s="5">
        <f t="shared" si="99"/>
        <v>15.689138002930765</v>
      </c>
      <c r="AA186" s="5">
        <f t="shared" si="99"/>
        <v>15.779307285939298</v>
      </c>
      <c r="AB186" s="5">
        <f t="shared" si="99"/>
        <v>15.835030202982191</v>
      </c>
      <c r="AC186" s="5">
        <f t="shared" si="98"/>
        <v>15.869216540579037</v>
      </c>
      <c r="AD186" s="300">
        <f t="shared" si="89"/>
        <v>1.7263114590710328E-3</v>
      </c>
      <c r="AE186" s="299">
        <f t="shared" si="89"/>
        <v>1.7263114590710328E-3</v>
      </c>
      <c r="AF186" s="299">
        <f t="shared" si="89"/>
        <v>1.7263114590710328E-3</v>
      </c>
      <c r="AG186" s="299">
        <f t="shared" si="89"/>
        <v>1.7263114590710328E-3</v>
      </c>
      <c r="AH186" s="299">
        <f t="shared" si="89"/>
        <v>1.7263114590710328E-3</v>
      </c>
      <c r="AI186" s="299">
        <f t="shared" si="89"/>
        <v>1.6481466643877497E-3</v>
      </c>
      <c r="AJ186" s="299">
        <f t="shared" si="89"/>
        <v>1.6045901691586764E-3</v>
      </c>
      <c r="AK186" s="299">
        <f t="shared" si="89"/>
        <v>1.5424472408917796E-3</v>
      </c>
      <c r="AL186" s="299">
        <f t="shared" si="89"/>
        <v>1.4599747927580662E-3</v>
      </c>
      <c r="AM186" s="299">
        <f t="shared" si="89"/>
        <v>1.3604343195032945E-3</v>
      </c>
      <c r="AN186" s="299">
        <f t="shared" si="89"/>
        <v>1.2531836614139149E-3</v>
      </c>
      <c r="AO186" s="299">
        <f t="shared" si="89"/>
        <v>1.1508743060473553E-3</v>
      </c>
      <c r="AP186" s="299">
        <f t="shared" si="89"/>
        <v>1.0640090792243455E-3</v>
      </c>
      <c r="AQ186" s="299">
        <f t="shared" si="89"/>
        <v>9.972576782683294E-4</v>
      </c>
      <c r="AR186" s="299">
        <f t="shared" si="96"/>
        <v>9.4978856805156425E-4</v>
      </c>
      <c r="AS186" s="299">
        <f t="shared" si="96"/>
        <v>9.1786162328955621E-4</v>
      </c>
      <c r="AT186" s="299">
        <f t="shared" si="96"/>
        <v>8.9718514568229294E-4</v>
      </c>
      <c r="AU186" s="299">
        <f t="shared" si="96"/>
        <v>8.8412083073147435E-4</v>
      </c>
      <c r="AV186" s="299">
        <f t="shared" si="96"/>
        <v>8.7599440459774946E-4</v>
      </c>
      <c r="AW186" s="299">
        <f t="shared" si="94"/>
        <v>8.7098862164728676E-4</v>
      </c>
      <c r="AX186" s="299">
        <f t="shared" si="94"/>
        <v>8.6792364317315584E-4</v>
      </c>
      <c r="AY186" s="299">
        <f t="shared" si="94"/>
        <v>8.6605391440627367E-4</v>
      </c>
      <c r="AZ186" s="298">
        <f t="shared" si="90"/>
        <v>9.556823605416459E-2</v>
      </c>
      <c r="BA186" s="1">
        <f t="shared" si="90"/>
        <v>9.556823605416459E-2</v>
      </c>
      <c r="BB186" s="1">
        <f t="shared" si="90"/>
        <v>9.556823605416459E-2</v>
      </c>
      <c r="BC186" s="1">
        <f t="shared" si="90"/>
        <v>9.556823605416459E-2</v>
      </c>
      <c r="BD186" s="1">
        <f t="shared" si="90"/>
        <v>9.556823605416459E-2</v>
      </c>
      <c r="BE186" s="1">
        <f t="shared" si="90"/>
        <v>9.1241049606918784E-2</v>
      </c>
      <c r="BF186" s="1">
        <f t="shared" si="90"/>
        <v>8.8829771273642708E-2</v>
      </c>
      <c r="BG186" s="1">
        <f t="shared" si="90"/>
        <v>8.5389551951398468E-2</v>
      </c>
      <c r="BH186" s="1">
        <f t="shared" si="90"/>
        <v>8.0823894723212705E-2</v>
      </c>
      <c r="BI186" s="1">
        <f t="shared" si="90"/>
        <v>7.5313355246127631E-2</v>
      </c>
      <c r="BJ186" s="1">
        <f t="shared" si="90"/>
        <v>6.9375981572685208E-2</v>
      </c>
      <c r="BK186" s="1">
        <f t="shared" si="90"/>
        <v>6.3712157369443051E-2</v>
      </c>
      <c r="BL186" s="1">
        <f t="shared" si="90"/>
        <v>5.8903316845157136E-2</v>
      </c>
      <c r="BM186" s="1">
        <f t="shared" si="90"/>
        <v>5.5207973452752392E-2</v>
      </c>
      <c r="BN186" s="1">
        <f t="shared" si="97"/>
        <v>5.2580093584007163E-2</v>
      </c>
      <c r="BO186" s="1">
        <f t="shared" si="97"/>
        <v>5.0812624696819339E-2</v>
      </c>
      <c r="BP186" s="1">
        <f t="shared" si="97"/>
        <v>4.9667979283990464E-2</v>
      </c>
      <c r="BQ186" s="1">
        <f t="shared" si="97"/>
        <v>4.8944741580535925E-2</v>
      </c>
      <c r="BR186" s="1">
        <f t="shared" si="97"/>
        <v>4.849486435418509E-2</v>
      </c>
      <c r="BS186" s="1">
        <f t="shared" si="95"/>
        <v>4.8217745272265099E-2</v>
      </c>
      <c r="BT186" s="1">
        <f t="shared" si="95"/>
        <v>4.8048068714319804E-2</v>
      </c>
      <c r="BU186" s="1">
        <f t="shared" si="95"/>
        <v>4.7944560926538093E-2</v>
      </c>
    </row>
    <row r="187" spans="1:73" x14ac:dyDescent="0.25">
      <c r="A187" s="1" t="s">
        <v>42</v>
      </c>
      <c r="B187" s="1" t="s">
        <v>5</v>
      </c>
      <c r="C187" s="1" t="s">
        <v>16</v>
      </c>
      <c r="D187" s="1" t="s">
        <v>16</v>
      </c>
      <c r="E187" s="5">
        <v>8.0932499999999994</v>
      </c>
      <c r="F187" s="1">
        <f t="shared" si="57"/>
        <v>1.9828462500000001E-2</v>
      </c>
      <c r="G187" s="1">
        <f>LOOKUP(RIGHT(D187,5),Ref!$C$4:$C$21,Ref!$E$4:$E$21)*$G$3</f>
        <v>3</v>
      </c>
      <c r="H187" s="297">
        <f t="shared" si="100"/>
        <v>8.0932499999999994</v>
      </c>
      <c r="I187" s="5">
        <f t="shared" si="100"/>
        <v>8.0932499999999994</v>
      </c>
      <c r="J187" s="5">
        <f t="shared" si="100"/>
        <v>8.0932499999999994</v>
      </c>
      <c r="K187" s="5">
        <f t="shared" si="100"/>
        <v>8.0932499999999994</v>
      </c>
      <c r="L187" s="5">
        <f t="shared" si="100"/>
        <v>8.0932499999999994</v>
      </c>
      <c r="M187" s="5">
        <f t="shared" si="99"/>
        <v>8.4770794480943419</v>
      </c>
      <c r="N187" s="5">
        <f t="shared" si="99"/>
        <v>8.7071892154569284</v>
      </c>
      <c r="O187" s="5">
        <f t="shared" si="99"/>
        <v>9.0579890486555019</v>
      </c>
      <c r="P187" s="5">
        <f t="shared" si="99"/>
        <v>9.5696653705457919</v>
      </c>
      <c r="Q187" s="5">
        <f t="shared" si="99"/>
        <v>10.269860158502713</v>
      </c>
      <c r="R187" s="5">
        <f t="shared" si="99"/>
        <v>11.14878101775059</v>
      </c>
      <c r="S187" s="5">
        <f t="shared" si="99"/>
        <v>12.139875</v>
      </c>
      <c r="T187" s="5">
        <f t="shared" si="99"/>
        <v>13.130968982249408</v>
      </c>
      <c r="U187" s="5">
        <f t="shared" si="99"/>
        <v>14.009889841497285</v>
      </c>
      <c r="V187" s="5">
        <f t="shared" si="99"/>
        <v>14.710084629454206</v>
      </c>
      <c r="W187" s="5">
        <f t="shared" si="99"/>
        <v>15.221760951344494</v>
      </c>
      <c r="X187" s="5">
        <f t="shared" si="99"/>
        <v>15.57256078454307</v>
      </c>
      <c r="Y187" s="5">
        <f t="shared" si="99"/>
        <v>15.802670551905656</v>
      </c>
      <c r="Z187" s="5">
        <f t="shared" si="99"/>
        <v>15.949268788471585</v>
      </c>
      <c r="AA187" s="5">
        <f t="shared" si="99"/>
        <v>16.040933106224301</v>
      </c>
      <c r="AB187" s="5">
        <f t="shared" si="99"/>
        <v>16.09757992655495</v>
      </c>
      <c r="AC187" s="5">
        <f t="shared" si="98"/>
        <v>16.132333084257031</v>
      </c>
      <c r="AD187" s="300">
        <f t="shared" si="89"/>
        <v>1.6981555127457153E-3</v>
      </c>
      <c r="AE187" s="299">
        <f t="shared" si="89"/>
        <v>1.6981555127457153E-3</v>
      </c>
      <c r="AF187" s="299">
        <f t="shared" si="89"/>
        <v>1.6981555127457153E-3</v>
      </c>
      <c r="AG187" s="299">
        <f t="shared" si="89"/>
        <v>1.6981555127457153E-3</v>
      </c>
      <c r="AH187" s="299">
        <f t="shared" si="89"/>
        <v>1.6981555127457153E-3</v>
      </c>
      <c r="AI187" s="299">
        <f t="shared" si="89"/>
        <v>1.6212655770990606E-3</v>
      </c>
      <c r="AJ187" s="299">
        <f t="shared" si="89"/>
        <v>1.5784194834231628E-3</v>
      </c>
      <c r="AK187" s="299">
        <f t="shared" si="89"/>
        <v>1.517290099348183E-3</v>
      </c>
      <c r="AL187" s="299">
        <f t="shared" si="89"/>
        <v>1.4361627675958551E-3</v>
      </c>
      <c r="AM187" s="299">
        <f t="shared" si="89"/>
        <v>1.3382457882983479E-3</v>
      </c>
      <c r="AN187" s="299">
        <f t="shared" si="89"/>
        <v>1.2327443764163382E-3</v>
      </c>
      <c r="AO187" s="299">
        <f t="shared" si="89"/>
        <v>1.13210367516381E-3</v>
      </c>
      <c r="AP187" s="299">
        <f t="shared" si="89"/>
        <v>1.0466552104500444E-3</v>
      </c>
      <c r="AQ187" s="299">
        <f t="shared" si="89"/>
        <v>9.8099251735875412E-4</v>
      </c>
      <c r="AR187" s="299">
        <f t="shared" si="96"/>
        <v>9.3429762300689038E-4</v>
      </c>
      <c r="AS187" s="299">
        <f t="shared" si="96"/>
        <v>9.0289140313396703E-4</v>
      </c>
      <c r="AT187" s="299">
        <f t="shared" si="96"/>
        <v>8.8255215655801491E-4</v>
      </c>
      <c r="AU187" s="299">
        <f t="shared" si="96"/>
        <v>8.6970091911913643E-4</v>
      </c>
      <c r="AV187" s="299">
        <f t="shared" si="96"/>
        <v>8.6170703408443251E-4</v>
      </c>
      <c r="AW187" s="299">
        <f t="shared" si="94"/>
        <v>8.5678289489259107E-4</v>
      </c>
      <c r="AX187" s="299">
        <f t="shared" si="94"/>
        <v>8.5376790587369568E-4</v>
      </c>
      <c r="AY187" s="299">
        <f t="shared" si="94"/>
        <v>8.5192867217334775E-4</v>
      </c>
      <c r="AZ187" s="298">
        <f t="shared" si="90"/>
        <v>9.4009528840233253E-2</v>
      </c>
      <c r="BA187" s="1">
        <f t="shared" si="90"/>
        <v>9.4009528840233253E-2</v>
      </c>
      <c r="BB187" s="1">
        <f t="shared" si="90"/>
        <v>9.4009528840233253E-2</v>
      </c>
      <c r="BC187" s="1">
        <f t="shared" si="90"/>
        <v>9.4009528840233253E-2</v>
      </c>
      <c r="BD187" s="1">
        <f t="shared" si="90"/>
        <v>9.4009528840233253E-2</v>
      </c>
      <c r="BE187" s="1">
        <f t="shared" si="90"/>
        <v>8.9752918318732541E-2</v>
      </c>
      <c r="BF187" s="1">
        <f t="shared" si="90"/>
        <v>8.7380967664694414E-2</v>
      </c>
      <c r="BG187" s="1">
        <f t="shared" si="90"/>
        <v>8.3996857933842539E-2</v>
      </c>
      <c r="BH187" s="1">
        <f t="shared" si="90"/>
        <v>7.9505666063099154E-2</v>
      </c>
      <c r="BI187" s="1">
        <f t="shared" si="90"/>
        <v>7.4085002866985897E-2</v>
      </c>
      <c r="BJ187" s="1">
        <f t="shared" si="90"/>
        <v>6.824446709239676E-2</v>
      </c>
      <c r="BK187" s="1">
        <f t="shared" si="90"/>
        <v>6.2673019226822169E-2</v>
      </c>
      <c r="BL187" s="1">
        <f t="shared" si="90"/>
        <v>5.7942610352269767E-2</v>
      </c>
      <c r="BM187" s="1">
        <f t="shared" si="90"/>
        <v>5.4307537596234509E-2</v>
      </c>
      <c r="BN187" s="1">
        <f t="shared" si="97"/>
        <v>5.1722518153483089E-2</v>
      </c>
      <c r="BO187" s="1">
        <f t="shared" si="97"/>
        <v>4.998387648565817E-2</v>
      </c>
      <c r="BP187" s="1">
        <f t="shared" si="97"/>
        <v>4.8857900111162894E-2</v>
      </c>
      <c r="BQ187" s="1">
        <f t="shared" si="97"/>
        <v>4.8146458333554715E-2</v>
      </c>
      <c r="BR187" s="1">
        <f t="shared" si="97"/>
        <v>4.7703918554320705E-2</v>
      </c>
      <c r="BS187" s="1">
        <f t="shared" si="95"/>
        <v>4.7431319253553331E-2</v>
      </c>
      <c r="BT187" s="1">
        <f t="shared" si="95"/>
        <v>4.7264410101242223E-2</v>
      </c>
      <c r="BU187" s="1">
        <f t="shared" si="95"/>
        <v>4.7162590513872851E-2</v>
      </c>
    </row>
    <row r="188" spans="1:73" x14ac:dyDescent="0.25">
      <c r="A188" s="1" t="s">
        <v>42</v>
      </c>
      <c r="B188" s="1" t="s">
        <v>5</v>
      </c>
      <c r="C188" s="1" t="s">
        <v>17</v>
      </c>
      <c r="D188" s="1" t="s">
        <v>17</v>
      </c>
      <c r="E188" s="5">
        <v>9.0585000000000004</v>
      </c>
      <c r="F188" s="1">
        <f t="shared" si="57"/>
        <v>2.2193325E-2</v>
      </c>
      <c r="G188" s="1">
        <f>LOOKUP(RIGHT(D188,5),Ref!$C$4:$C$21,Ref!$E$4:$E$21)*$G$3</f>
        <v>3</v>
      </c>
      <c r="H188" s="297">
        <f t="shared" si="100"/>
        <v>9.0585000000000004</v>
      </c>
      <c r="I188" s="5">
        <f t="shared" si="100"/>
        <v>9.0585000000000004</v>
      </c>
      <c r="J188" s="5">
        <f t="shared" si="100"/>
        <v>9.0585000000000004</v>
      </c>
      <c r="K188" s="5">
        <f t="shared" si="100"/>
        <v>9.0585000000000004</v>
      </c>
      <c r="L188" s="5">
        <f t="shared" si="100"/>
        <v>9.0585000000000004</v>
      </c>
      <c r="M188" s="5">
        <f t="shared" si="99"/>
        <v>9.4881072721789881</v>
      </c>
      <c r="N188" s="5">
        <f t="shared" si="99"/>
        <v>9.7456613237224339</v>
      </c>
      <c r="O188" s="5">
        <f t="shared" si="99"/>
        <v>10.138299669137352</v>
      </c>
      <c r="P188" s="5">
        <f t="shared" si="99"/>
        <v>10.711001607399879</v>
      </c>
      <c r="Q188" s="5">
        <f t="shared" si="99"/>
        <v>11.494705865480102</v>
      </c>
      <c r="R188" s="5">
        <f t="shared" si="99"/>
        <v>12.478452148308001</v>
      </c>
      <c r="S188" s="5">
        <f t="shared" si="99"/>
        <v>13.58775</v>
      </c>
      <c r="T188" s="5">
        <f t="shared" si="99"/>
        <v>14.697047851692</v>
      </c>
      <c r="U188" s="5">
        <f t="shared" si="99"/>
        <v>15.6807941345199</v>
      </c>
      <c r="V188" s="5">
        <f t="shared" si="99"/>
        <v>16.46449839260012</v>
      </c>
      <c r="W188" s="5">
        <f t="shared" si="99"/>
        <v>17.037200330862646</v>
      </c>
      <c r="X188" s="5">
        <f t="shared" si="99"/>
        <v>17.429838676277566</v>
      </c>
      <c r="Y188" s="5">
        <f t="shared" si="99"/>
        <v>17.687392727821013</v>
      </c>
      <c r="Z188" s="5">
        <f t="shared" si="99"/>
        <v>17.85147515773884</v>
      </c>
      <c r="AA188" s="5">
        <f t="shared" si="99"/>
        <v>17.954071917058396</v>
      </c>
      <c r="AB188" s="5">
        <f t="shared" si="99"/>
        <v>18.017474780180773</v>
      </c>
      <c r="AC188" s="5">
        <f t="shared" si="98"/>
        <v>18.056372809902367</v>
      </c>
      <c r="AD188" s="300">
        <f t="shared" si="89"/>
        <v>1.5172045154859257E-3</v>
      </c>
      <c r="AE188" s="299">
        <f t="shared" si="89"/>
        <v>1.5172045154859257E-3</v>
      </c>
      <c r="AF188" s="299">
        <f t="shared" si="89"/>
        <v>1.5172045154859257E-3</v>
      </c>
      <c r="AG188" s="299">
        <f t="shared" si="89"/>
        <v>1.5172045154859257E-3</v>
      </c>
      <c r="AH188" s="299">
        <f t="shared" si="89"/>
        <v>1.5172045154859257E-3</v>
      </c>
      <c r="AI188" s="299">
        <f t="shared" si="89"/>
        <v>1.4485077697032592E-3</v>
      </c>
      <c r="AJ188" s="299">
        <f t="shared" si="89"/>
        <v>1.4102272433862684E-3</v>
      </c>
      <c r="AK188" s="299">
        <f t="shared" si="89"/>
        <v>1.3556116461389501E-3</v>
      </c>
      <c r="AL188" s="299">
        <f t="shared" si="89"/>
        <v>1.283129030065149E-3</v>
      </c>
      <c r="AM188" s="299">
        <f t="shared" si="89"/>
        <v>1.1956458272501633E-3</v>
      </c>
      <c r="AN188" s="299">
        <f t="shared" si="89"/>
        <v>1.1013863690932857E-3</v>
      </c>
      <c r="AO188" s="299">
        <f t="shared" si="89"/>
        <v>1.0114696769906173E-3</v>
      </c>
      <c r="AP188" s="299">
        <f t="shared" si="89"/>
        <v>9.3512637654962968E-4</v>
      </c>
      <c r="AQ188" s="299">
        <f t="shared" si="89"/>
        <v>8.7646052780413267E-4</v>
      </c>
      <c r="AR188" s="299">
        <f t="shared" si="96"/>
        <v>8.3474131891599231E-4</v>
      </c>
      <c r="AS188" s="299">
        <f t="shared" si="96"/>
        <v>8.0668166345575741E-4</v>
      </c>
      <c r="AT188" s="299">
        <f t="shared" si="96"/>
        <v>7.885097136460953E-4</v>
      </c>
      <c r="AU188" s="299">
        <f t="shared" si="96"/>
        <v>7.7702787036053973E-4</v>
      </c>
      <c r="AV188" s="299">
        <f t="shared" si="96"/>
        <v>7.6988579274756669E-4</v>
      </c>
      <c r="AW188" s="299">
        <f t="shared" si="94"/>
        <v>7.6548635691223285E-4</v>
      </c>
      <c r="AX188" s="299">
        <f t="shared" si="94"/>
        <v>7.6279263721502303E-4</v>
      </c>
      <c r="AY188" s="299">
        <f t="shared" si="94"/>
        <v>7.6114938743356464E-4</v>
      </c>
      <c r="AZ188" s="298">
        <f t="shared" si="90"/>
        <v>8.3992120029388717E-2</v>
      </c>
      <c r="BA188" s="1">
        <f t="shared" si="90"/>
        <v>8.3992120029388717E-2</v>
      </c>
      <c r="BB188" s="1">
        <f t="shared" si="90"/>
        <v>8.3992120029388717E-2</v>
      </c>
      <c r="BC188" s="1">
        <f t="shared" si="90"/>
        <v>8.3992120029388717E-2</v>
      </c>
      <c r="BD188" s="1">
        <f t="shared" si="90"/>
        <v>8.3992120029388717E-2</v>
      </c>
      <c r="BE188" s="1">
        <f t="shared" si="90"/>
        <v>8.0189082760179067E-2</v>
      </c>
      <c r="BF188" s="1">
        <f t="shared" si="90"/>
        <v>7.8069880946325332E-2</v>
      </c>
      <c r="BG188" s="1">
        <f t="shared" si="90"/>
        <v>7.5046373072039638E-2</v>
      </c>
      <c r="BH188" s="1">
        <f t="shared" si="90"/>
        <v>7.1033750826867262E-2</v>
      </c>
      <c r="BI188" s="1">
        <f t="shared" si="90"/>
        <v>6.6190699282798873E-2</v>
      </c>
      <c r="BJ188" s="1">
        <f t="shared" si="90"/>
        <v>6.0972515680911853E-2</v>
      </c>
      <c r="BK188" s="1">
        <f t="shared" si="90"/>
        <v>5.5994746686259152E-2</v>
      </c>
      <c r="BL188" s="1">
        <f t="shared" si="90"/>
        <v>5.1768397773749211E-2</v>
      </c>
      <c r="BM188" s="1">
        <f t="shared" si="90"/>
        <v>4.8520668835980003E-2</v>
      </c>
      <c r="BN188" s="1">
        <f t="shared" si="97"/>
        <v>4.621110228466932E-2</v>
      </c>
      <c r="BO188" s="1">
        <f t="shared" si="97"/>
        <v>4.4657725712596227E-2</v>
      </c>
      <c r="BP188" s="1">
        <f t="shared" si="97"/>
        <v>4.3651730427186515E-2</v>
      </c>
      <c r="BQ188" s="1">
        <f t="shared" si="97"/>
        <v>4.3016098019323469E-2</v>
      </c>
      <c r="BR188" s="1">
        <f t="shared" si="97"/>
        <v>4.2620714118204561E-2</v>
      </c>
      <c r="BS188" s="1">
        <f t="shared" si="95"/>
        <v>4.2377162283912397E-2</v>
      </c>
      <c r="BT188" s="1">
        <f t="shared" si="95"/>
        <v>4.2228038533077057E-2</v>
      </c>
      <c r="BU188" s="1">
        <f t="shared" si="95"/>
        <v>4.213706857387E-2</v>
      </c>
    </row>
    <row r="189" spans="1:73" x14ac:dyDescent="0.25">
      <c r="A189" s="1" t="s">
        <v>42</v>
      </c>
      <c r="B189" s="1" t="s">
        <v>5</v>
      </c>
      <c r="C189" s="1" t="s">
        <v>18</v>
      </c>
      <c r="D189" s="1" t="s">
        <v>18</v>
      </c>
      <c r="E189" s="5">
        <v>8.3077499999999986</v>
      </c>
      <c r="F189" s="1">
        <f t="shared" si="57"/>
        <v>2.0353987499999997E-2</v>
      </c>
      <c r="G189" s="1">
        <f>LOOKUP(RIGHT(D189,5),Ref!$C$4:$C$21,Ref!$E$4:$E$21)*$G$3</f>
        <v>3</v>
      </c>
      <c r="H189" s="297">
        <f t="shared" si="100"/>
        <v>8.3077499999999986</v>
      </c>
      <c r="I189" s="5">
        <f t="shared" si="100"/>
        <v>8.3077499999999986</v>
      </c>
      <c r="J189" s="5">
        <f t="shared" si="100"/>
        <v>8.3077499999999986</v>
      </c>
      <c r="K189" s="5">
        <f t="shared" si="100"/>
        <v>8.3077499999999986</v>
      </c>
      <c r="L189" s="5">
        <f t="shared" si="100"/>
        <v>8.3077499999999986</v>
      </c>
      <c r="M189" s="5">
        <f t="shared" si="99"/>
        <v>8.7017522978909287</v>
      </c>
      <c r="N189" s="5">
        <f t="shared" si="99"/>
        <v>8.9379607950714846</v>
      </c>
      <c r="O189" s="5">
        <f t="shared" si="99"/>
        <v>9.2980580754292461</v>
      </c>
      <c r="P189" s="5">
        <f t="shared" si="99"/>
        <v>9.823295645402256</v>
      </c>
      <c r="Q189" s="5">
        <f t="shared" si="99"/>
        <v>10.542048093386576</v>
      </c>
      <c r="R189" s="5">
        <f t="shared" si="99"/>
        <v>11.444263491207792</v>
      </c>
      <c r="S189" s="5">
        <f t="shared" si="99"/>
        <v>12.461624999999998</v>
      </c>
      <c r="T189" s="5">
        <f t="shared" si="99"/>
        <v>13.478986508792204</v>
      </c>
      <c r="U189" s="5">
        <f t="shared" si="99"/>
        <v>14.38120190661342</v>
      </c>
      <c r="V189" s="5">
        <f t="shared" si="99"/>
        <v>15.09995435459774</v>
      </c>
      <c r="W189" s="5">
        <f t="shared" si="99"/>
        <v>15.625191924570748</v>
      </c>
      <c r="X189" s="5">
        <f t="shared" si="99"/>
        <v>15.985289204928511</v>
      </c>
      <c r="Y189" s="5">
        <f t="shared" si="99"/>
        <v>16.221497702109069</v>
      </c>
      <c r="Z189" s="5">
        <f t="shared" si="99"/>
        <v>16.371981314975418</v>
      </c>
      <c r="AA189" s="5">
        <f t="shared" si="99"/>
        <v>16.466075064187432</v>
      </c>
      <c r="AB189" s="5">
        <f t="shared" si="99"/>
        <v>16.524223227360686</v>
      </c>
      <c r="AC189" s="5">
        <f t="shared" si="98"/>
        <v>16.559897467733769</v>
      </c>
      <c r="AD189" s="300">
        <f t="shared" si="89"/>
        <v>1.654310385306402E-3</v>
      </c>
      <c r="AE189" s="299">
        <f t="shared" si="89"/>
        <v>1.654310385306402E-3</v>
      </c>
      <c r="AF189" s="299">
        <f t="shared" si="89"/>
        <v>1.654310385306402E-3</v>
      </c>
      <c r="AG189" s="299">
        <f t="shared" si="89"/>
        <v>1.654310385306402E-3</v>
      </c>
      <c r="AH189" s="299">
        <f t="shared" si="89"/>
        <v>1.654310385306402E-3</v>
      </c>
      <c r="AI189" s="299">
        <f t="shared" si="89"/>
        <v>1.5794056912951128E-3</v>
      </c>
      <c r="AJ189" s="299">
        <f t="shared" si="89"/>
        <v>1.5376658522722173E-3</v>
      </c>
      <c r="AK189" s="299">
        <f t="shared" si="89"/>
        <v>1.4781147839727582E-3</v>
      </c>
      <c r="AL189" s="299">
        <f t="shared" si="89"/>
        <v>1.3990821003093683E-3</v>
      </c>
      <c r="AM189" s="299">
        <f t="shared" ref="AM189:AQ227" si="101">Algae_electricity_factor/Q189</f>
        <v>1.3036932654624423E-3</v>
      </c>
      <c r="AN189" s="299">
        <f t="shared" si="101"/>
        <v>1.2009158225068795E-3</v>
      </c>
      <c r="AO189" s="299">
        <f t="shared" si="101"/>
        <v>1.1028735902042681E-3</v>
      </c>
      <c r="AP189" s="299">
        <f t="shared" si="101"/>
        <v>1.019631342057094E-3</v>
      </c>
      <c r="AQ189" s="299">
        <f t="shared" si="101"/>
        <v>9.556640114487964E-4</v>
      </c>
      <c r="AR189" s="299">
        <f t="shared" si="96"/>
        <v>9.1017474495507422E-4</v>
      </c>
      <c r="AS189" s="299">
        <f t="shared" si="96"/>
        <v>8.7957941060022029E-4</v>
      </c>
      <c r="AT189" s="299">
        <f t="shared" si="96"/>
        <v>8.5976530842444166E-4</v>
      </c>
      <c r="AU189" s="299">
        <f t="shared" si="96"/>
        <v>8.4724588049242577E-4</v>
      </c>
      <c r="AV189" s="299">
        <f t="shared" si="96"/>
        <v>8.3945839169496364E-4</v>
      </c>
      <c r="AW189" s="299">
        <f t="shared" si="94"/>
        <v>8.3466139015852213E-4</v>
      </c>
      <c r="AX189" s="299">
        <f t="shared" si="94"/>
        <v>8.3172424594051193E-4</v>
      </c>
      <c r="AY189" s="299">
        <f t="shared" si="94"/>
        <v>8.2993249990273511E-4</v>
      </c>
      <c r="AZ189" s="298">
        <f t="shared" si="90"/>
        <v>9.1582271889045511E-2</v>
      </c>
      <c r="BA189" s="1">
        <f t="shared" si="90"/>
        <v>9.1582271889045511E-2</v>
      </c>
      <c r="BB189" s="1">
        <f t="shared" si="90"/>
        <v>9.1582271889045511E-2</v>
      </c>
      <c r="BC189" s="1">
        <f t="shared" si="90"/>
        <v>9.1582271889045511E-2</v>
      </c>
      <c r="BD189" s="1">
        <f t="shared" si="90"/>
        <v>9.1582271889045511E-2</v>
      </c>
      <c r="BE189" s="1">
        <f t="shared" si="90"/>
        <v>8.7435563923214138E-2</v>
      </c>
      <c r="BF189" s="1">
        <f t="shared" si="90"/>
        <v>8.5124855292021073E-2</v>
      </c>
      <c r="BG189" s="1">
        <f t="shared" si="90"/>
        <v>8.1828120787586431E-2</v>
      </c>
      <c r="BH189" s="1">
        <f t="shared" si="90"/>
        <v>7.7452888190566296E-2</v>
      </c>
      <c r="BI189" s="1">
        <f t="shared" ref="BI189:BM227" si="102">Algae_yield_cost_factor/Q189</f>
        <v>7.2172182534769785E-2</v>
      </c>
      <c r="BJ189" s="1">
        <f t="shared" si="102"/>
        <v>6.6482445101927731E-2</v>
      </c>
      <c r="BK189" s="1">
        <f t="shared" si="102"/>
        <v>6.1054847926030345E-2</v>
      </c>
      <c r="BL189" s="1">
        <f t="shared" si="102"/>
        <v>5.6446574732449503E-2</v>
      </c>
      <c r="BM189" s="1">
        <f t="shared" si="102"/>
        <v>5.2905356883720021E-2</v>
      </c>
      <c r="BN189" s="1">
        <f t="shared" si="97"/>
        <v>5.0387080743363379E-2</v>
      </c>
      <c r="BO189" s="1">
        <f t="shared" si="97"/>
        <v>4.8693329525750416E-2</v>
      </c>
      <c r="BP189" s="1">
        <f t="shared" si="97"/>
        <v>4.7596425033814102E-2</v>
      </c>
      <c r="BQ189" s="1">
        <f t="shared" si="97"/>
        <v>4.6903352160096501E-2</v>
      </c>
      <c r="BR189" s="1">
        <f t="shared" si="97"/>
        <v>4.64722384327593E-2</v>
      </c>
      <c r="BS189" s="1">
        <f t="shared" si="95"/>
        <v>4.6206677445616504E-2</v>
      </c>
      <c r="BT189" s="1">
        <f t="shared" si="95"/>
        <v>4.6044077764963873E-2</v>
      </c>
      <c r="BU189" s="1">
        <f t="shared" si="95"/>
        <v>4.5944887084517647E-2</v>
      </c>
    </row>
    <row r="190" spans="1:73" x14ac:dyDescent="0.25">
      <c r="A190" s="1" t="s">
        <v>42</v>
      </c>
      <c r="B190" s="1" t="s">
        <v>5</v>
      </c>
      <c r="C190" s="1" t="s">
        <v>6</v>
      </c>
      <c r="D190" s="1" t="s">
        <v>6</v>
      </c>
      <c r="E190" s="5">
        <v>7.4744999999999999</v>
      </c>
      <c r="F190" s="1">
        <f t="shared" si="57"/>
        <v>1.8312524999999996E-2</v>
      </c>
      <c r="G190" s="1">
        <f>LOOKUP(RIGHT(D190,5),Ref!$C$4:$C$21,Ref!$E$4:$E$21)*$G$3</f>
        <v>3</v>
      </c>
      <c r="H190" s="297">
        <f t="shared" si="100"/>
        <v>7.4744999999999999</v>
      </c>
      <c r="I190" s="5">
        <f t="shared" si="100"/>
        <v>7.4744999999999999</v>
      </c>
      <c r="J190" s="5">
        <f t="shared" si="100"/>
        <v>7.4744999999999999</v>
      </c>
      <c r="K190" s="5">
        <f t="shared" si="100"/>
        <v>7.4744999999999999</v>
      </c>
      <c r="L190" s="5">
        <f t="shared" si="100"/>
        <v>7.4744999999999999</v>
      </c>
      <c r="M190" s="5">
        <f t="shared" si="99"/>
        <v>7.8289846890657229</v>
      </c>
      <c r="N190" s="5">
        <f t="shared" si="99"/>
        <v>8.0415019665687844</v>
      </c>
      <c r="O190" s="5">
        <f t="shared" si="99"/>
        <v>8.3654822406543179</v>
      </c>
      <c r="P190" s="5">
        <f t="shared" si="99"/>
        <v>8.8380395776906102</v>
      </c>
      <c r="Q190" s="5">
        <f t="shared" si="99"/>
        <v>9.4847026540300288</v>
      </c>
      <c r="R190" s="5">
        <f t="shared" si="99"/>
        <v>10.296427728931739</v>
      </c>
      <c r="S190" s="5">
        <f t="shared" si="99"/>
        <v>11.21175</v>
      </c>
      <c r="T190" s="5">
        <f t="shared" si="99"/>
        <v>12.127072271068261</v>
      </c>
      <c r="U190" s="5">
        <f t="shared" si="99"/>
        <v>12.93879734596997</v>
      </c>
      <c r="V190" s="5">
        <f t="shared" si="99"/>
        <v>13.585460422309389</v>
      </c>
      <c r="W190" s="5">
        <f t="shared" si="99"/>
        <v>14.058017759345681</v>
      </c>
      <c r="X190" s="5">
        <f t="shared" si="99"/>
        <v>14.381998033431216</v>
      </c>
      <c r="Y190" s="5">
        <f t="shared" si="99"/>
        <v>14.594515310934277</v>
      </c>
      <c r="Z190" s="5">
        <f t="shared" si="99"/>
        <v>14.729905731248987</v>
      </c>
      <c r="AA190" s="5">
        <f t="shared" si="99"/>
        <v>14.814562073638347</v>
      </c>
      <c r="AB190" s="5">
        <f t="shared" si="99"/>
        <v>14.866878097307632</v>
      </c>
      <c r="AC190" s="5">
        <f t="shared" si="98"/>
        <v>14.898974285766434</v>
      </c>
      <c r="AD190" s="300">
        <f t="shared" ref="AD190:AL218" si="103">Algae_electricity_factor/H190</f>
        <v>1.8387313002246651E-3</v>
      </c>
      <c r="AE190" s="299">
        <f t="shared" si="103"/>
        <v>1.8387313002246651E-3</v>
      </c>
      <c r="AF190" s="299">
        <f t="shared" si="103"/>
        <v>1.8387313002246651E-3</v>
      </c>
      <c r="AG190" s="299">
        <f t="shared" si="103"/>
        <v>1.8387313002246651E-3</v>
      </c>
      <c r="AH190" s="299">
        <f t="shared" si="103"/>
        <v>1.8387313002246651E-3</v>
      </c>
      <c r="AI190" s="299">
        <f t="shared" si="103"/>
        <v>1.7554763036801086E-3</v>
      </c>
      <c r="AJ190" s="299">
        <f t="shared" si="103"/>
        <v>1.7090833479449477E-3</v>
      </c>
      <c r="AK190" s="299">
        <f t="shared" si="103"/>
        <v>1.6428935843935621E-3</v>
      </c>
      <c r="AL190" s="299">
        <f t="shared" si="103"/>
        <v>1.5550504139200151E-3</v>
      </c>
      <c r="AM190" s="299">
        <f t="shared" si="101"/>
        <v>1.4490277244157608E-3</v>
      </c>
      <c r="AN190" s="299">
        <f t="shared" si="101"/>
        <v>1.3347927519474917E-3</v>
      </c>
      <c r="AO190" s="299">
        <f t="shared" si="101"/>
        <v>1.2258208668164434E-3</v>
      </c>
      <c r="AP190" s="299">
        <f t="shared" si="101"/>
        <v>1.1332988536992203E-3</v>
      </c>
      <c r="AQ190" s="299">
        <f t="shared" si="101"/>
        <v>1.0622005072063333E-3</v>
      </c>
      <c r="AR190" s="299">
        <f t="shared" si="96"/>
        <v>1.0116401414677258E-3</v>
      </c>
      <c r="AS190" s="299">
        <f t="shared" si="96"/>
        <v>9.7763406895631528E-4</v>
      </c>
      <c r="AT190" s="299">
        <f t="shared" si="96"/>
        <v>9.5561110991546636E-4</v>
      </c>
      <c r="AU190" s="299">
        <f t="shared" si="96"/>
        <v>9.416960283177403E-4</v>
      </c>
      <c r="AV190" s="299">
        <f t="shared" si="96"/>
        <v>9.3304039783314381E-4</v>
      </c>
      <c r="AW190" s="299">
        <f t="shared" si="94"/>
        <v>9.2770863122475906E-4</v>
      </c>
      <c r="AX190" s="299">
        <f t="shared" si="94"/>
        <v>9.2444405702218023E-4</v>
      </c>
      <c r="AY190" s="299">
        <f t="shared" si="94"/>
        <v>9.2245256887643937E-4</v>
      </c>
      <c r="AZ190" s="298">
        <f t="shared" ref="AZ190:BH218" si="104">Algae_yield_cost_factor/H190</f>
        <v>0.10179177460515322</v>
      </c>
      <c r="BA190" s="1">
        <f t="shared" si="104"/>
        <v>0.10179177460515322</v>
      </c>
      <c r="BB190" s="1">
        <f t="shared" si="104"/>
        <v>0.10179177460515322</v>
      </c>
      <c r="BC190" s="1">
        <f t="shared" si="104"/>
        <v>0.10179177460515322</v>
      </c>
      <c r="BD190" s="1">
        <f t="shared" si="104"/>
        <v>0.10179177460515322</v>
      </c>
      <c r="BE190" s="1">
        <f t="shared" si="104"/>
        <v>9.7182795662998478E-2</v>
      </c>
      <c r="BF190" s="1">
        <f t="shared" si="104"/>
        <v>9.4614491477996929E-2</v>
      </c>
      <c r="BG190" s="1">
        <f t="shared" si="104"/>
        <v>9.0950240213134137E-2</v>
      </c>
      <c r="BH190" s="1">
        <f t="shared" si="104"/>
        <v>8.6087260935872253E-2</v>
      </c>
      <c r="BI190" s="1">
        <f t="shared" si="102"/>
        <v>8.0217867342729759E-2</v>
      </c>
      <c r="BJ190" s="1">
        <f t="shared" si="102"/>
        <v>7.3893843507330248E-2</v>
      </c>
      <c r="BK190" s="1">
        <f t="shared" si="102"/>
        <v>6.7861183070102152E-2</v>
      </c>
      <c r="BL190" s="1">
        <f t="shared" si="102"/>
        <v>6.2739184056927855E-2</v>
      </c>
      <c r="BM190" s="1">
        <f t="shared" si="102"/>
        <v>5.880319468201551E-2</v>
      </c>
      <c r="BN190" s="1">
        <f t="shared" si="97"/>
        <v>5.6004183563539638E-2</v>
      </c>
      <c r="BO190" s="1">
        <f t="shared" si="97"/>
        <v>5.4121614605331853E-2</v>
      </c>
      <c r="BP190" s="1">
        <f t="shared" si="97"/>
        <v>5.2902428266060474E-2</v>
      </c>
      <c r="BQ190" s="1">
        <f t="shared" si="97"/>
        <v>5.2132092301564209E-2</v>
      </c>
      <c r="BR190" s="1">
        <f t="shared" si="97"/>
        <v>5.1652918434645263E-2</v>
      </c>
      <c r="BS190" s="1">
        <f t="shared" si="95"/>
        <v>5.1357752966595824E-2</v>
      </c>
      <c r="BT190" s="1">
        <f t="shared" si="95"/>
        <v>5.1177026831477491E-2</v>
      </c>
      <c r="BU190" s="1">
        <f t="shared" si="95"/>
        <v>5.106677847031927E-2</v>
      </c>
    </row>
    <row r="191" spans="1:73" x14ac:dyDescent="0.25">
      <c r="A191" s="1" t="s">
        <v>42</v>
      </c>
      <c r="B191" s="1" t="s">
        <v>5</v>
      </c>
      <c r="C191" s="1" t="s">
        <v>7</v>
      </c>
      <c r="D191" s="1" t="s">
        <v>7</v>
      </c>
      <c r="E191" s="5">
        <v>8.5387499999999985</v>
      </c>
      <c r="F191" s="1">
        <f t="shared" si="57"/>
        <v>2.0919937499999996E-2</v>
      </c>
      <c r="G191" s="1">
        <f>LOOKUP(RIGHT(D191,5),Ref!$C$4:$C$21,Ref!$E$4:$E$21)*$G$3</f>
        <v>3.5</v>
      </c>
      <c r="H191" s="297">
        <f t="shared" si="100"/>
        <v>8.5387499999999985</v>
      </c>
      <c r="I191" s="5">
        <f t="shared" si="100"/>
        <v>8.5387499999999985</v>
      </c>
      <c r="J191" s="5">
        <f t="shared" si="100"/>
        <v>8.5387499999999985</v>
      </c>
      <c r="K191" s="5">
        <f t="shared" si="100"/>
        <v>8.5387499999999985</v>
      </c>
      <c r="L191" s="5">
        <f t="shared" si="100"/>
        <v>8.5387499999999985</v>
      </c>
      <c r="M191" s="5">
        <f t="shared" si="99"/>
        <v>8.9437076745949469</v>
      </c>
      <c r="N191" s="5">
        <f t="shared" si="99"/>
        <v>9.1864840346563916</v>
      </c>
      <c r="O191" s="5">
        <f t="shared" si="99"/>
        <v>9.5565939504163548</v>
      </c>
      <c r="P191" s="5">
        <f t="shared" si="99"/>
        <v>10.096435941401523</v>
      </c>
      <c r="Q191" s="5">
        <f t="shared" si="99"/>
        <v>10.835173561723044</v>
      </c>
      <c r="R191" s="5">
        <f t="shared" si="99"/>
        <v>11.762475385700164</v>
      </c>
      <c r="S191" s="5">
        <f t="shared" si="99"/>
        <v>12.808124999999997</v>
      </c>
      <c r="T191" s="5">
        <f t="shared" si="99"/>
        <v>13.853774614299832</v>
      </c>
      <c r="U191" s="5">
        <f t="shared" si="99"/>
        <v>14.781076438276951</v>
      </c>
      <c r="V191" s="5">
        <f t="shared" si="99"/>
        <v>15.519814058598472</v>
      </c>
      <c r="W191" s="5">
        <f t="shared" si="99"/>
        <v>16.059656049583637</v>
      </c>
      <c r="X191" s="5">
        <f t="shared" si="99"/>
        <v>16.429765965343606</v>
      </c>
      <c r="Y191" s="5">
        <f t="shared" si="99"/>
        <v>16.67254232540505</v>
      </c>
      <c r="Z191" s="5">
        <f t="shared" si="99"/>
        <v>16.827210189671852</v>
      </c>
      <c r="AA191" s="5">
        <f t="shared" si="99"/>
        <v>16.923920249686187</v>
      </c>
      <c r="AB191" s="5">
        <f t="shared" si="99"/>
        <v>16.983685243613021</v>
      </c>
      <c r="AC191" s="5">
        <f t="shared" si="98"/>
        <v>17.020351419170261</v>
      </c>
      <c r="AD191" s="300">
        <f t="shared" si="103"/>
        <v>1.6095560946894174E-3</v>
      </c>
      <c r="AE191" s="299">
        <f t="shared" si="103"/>
        <v>1.6095560946894174E-3</v>
      </c>
      <c r="AF191" s="299">
        <f t="shared" si="103"/>
        <v>1.6095560946894174E-3</v>
      </c>
      <c r="AG191" s="299">
        <f t="shared" si="103"/>
        <v>1.6095560946894174E-3</v>
      </c>
      <c r="AH191" s="299">
        <f t="shared" si="103"/>
        <v>1.6095560946894174E-3</v>
      </c>
      <c r="AI191" s="299">
        <f t="shared" si="103"/>
        <v>1.5366778078591099E-3</v>
      </c>
      <c r="AJ191" s="299">
        <f t="shared" si="103"/>
        <v>1.496067162548911E-3</v>
      </c>
      <c r="AK191" s="299">
        <f t="shared" si="103"/>
        <v>1.4381271376430603E-3</v>
      </c>
      <c r="AL191" s="299">
        <f t="shared" si="103"/>
        <v>1.361232536243028E-3</v>
      </c>
      <c r="AM191" s="299">
        <f t="shared" si="101"/>
        <v>1.2684242689088691E-3</v>
      </c>
      <c r="AN191" s="299">
        <f t="shared" si="101"/>
        <v>1.1684272785163555E-3</v>
      </c>
      <c r="AO191" s="299">
        <f t="shared" si="101"/>
        <v>1.0730373964596117E-3</v>
      </c>
      <c r="AP191" s="299">
        <f t="shared" si="101"/>
        <v>9.9204711251352044E-4</v>
      </c>
      <c r="AQ191" s="299">
        <f t="shared" si="101"/>
        <v>9.2981029906177577E-4</v>
      </c>
      <c r="AR191" s="299">
        <f t="shared" si="96"/>
        <v>8.8555166006740063E-4</v>
      </c>
      <c r="AS191" s="299">
        <f t="shared" si="96"/>
        <v>8.5578402557915159E-4</v>
      </c>
      <c r="AT191" s="299">
        <f t="shared" si="96"/>
        <v>8.3650595708542282E-4</v>
      </c>
      <c r="AU191" s="299">
        <f t="shared" si="96"/>
        <v>8.2432521899118141E-4</v>
      </c>
      <c r="AV191" s="299">
        <f t="shared" si="96"/>
        <v>8.1674840621915787E-4</v>
      </c>
      <c r="AW191" s="299">
        <f t="shared" si="94"/>
        <v>8.1208117863732551E-4</v>
      </c>
      <c r="AX191" s="299">
        <f t="shared" si="94"/>
        <v>8.0922349339332899E-4</v>
      </c>
      <c r="AY191" s="299">
        <f t="shared" si="94"/>
        <v>8.0748021971212963E-4</v>
      </c>
      <c r="AZ191" s="298">
        <f t="shared" si="104"/>
        <v>8.9104683857264583E-2</v>
      </c>
      <c r="BA191" s="1">
        <f t="shared" si="104"/>
        <v>8.9104683857264583E-2</v>
      </c>
      <c r="BB191" s="1">
        <f t="shared" si="104"/>
        <v>8.9104683857264583E-2</v>
      </c>
      <c r="BC191" s="1">
        <f t="shared" si="104"/>
        <v>8.9104683857264583E-2</v>
      </c>
      <c r="BD191" s="1">
        <f t="shared" si="104"/>
        <v>8.9104683857264583E-2</v>
      </c>
      <c r="BE191" s="1">
        <f t="shared" si="104"/>
        <v>8.507015736297259E-2</v>
      </c>
      <c r="BF191" s="1">
        <f t="shared" si="104"/>
        <v>8.2821960656101673E-2</v>
      </c>
      <c r="BG191" s="1">
        <f t="shared" si="104"/>
        <v>7.9614413172076848E-2</v>
      </c>
      <c r="BH191" s="1">
        <f t="shared" si="104"/>
        <v>7.5357544355459202E-2</v>
      </c>
      <c r="BI191" s="1">
        <f t="shared" si="102"/>
        <v>7.0219698369577949E-2</v>
      </c>
      <c r="BJ191" s="1">
        <f t="shared" si="102"/>
        <v>6.4683886200619531E-2</v>
      </c>
      <c r="BK191" s="1">
        <f t="shared" si="102"/>
        <v>5.9403122571509724E-2</v>
      </c>
      <c r="BL191" s="1">
        <f t="shared" si="102"/>
        <v>5.491951763823831E-2</v>
      </c>
      <c r="BM191" s="1">
        <f t="shared" si="102"/>
        <v>5.1474100852083149E-2</v>
      </c>
      <c r="BN191" s="1">
        <f t="shared" si="97"/>
        <v>4.9023951988953547E-2</v>
      </c>
      <c r="BO191" s="1">
        <f t="shared" si="97"/>
        <v>4.7376022060319489E-2</v>
      </c>
      <c r="BP191" s="1">
        <f t="shared" si="97"/>
        <v>4.6308792279276131E-2</v>
      </c>
      <c r="BQ191" s="1">
        <f t="shared" si="97"/>
        <v>4.5634469203108381E-2</v>
      </c>
      <c r="BR191" s="1">
        <f t="shared" si="97"/>
        <v>4.5215018455834415E-2</v>
      </c>
      <c r="BS191" s="1">
        <f t="shared" si="95"/>
        <v>4.4956641727280991E-2</v>
      </c>
      <c r="BT191" s="1">
        <f t="shared" si="95"/>
        <v>4.4798440878568713E-2</v>
      </c>
      <c r="BU191" s="1">
        <f t="shared" si="95"/>
        <v>4.4701933617496879E-2</v>
      </c>
    </row>
    <row r="192" spans="1:73" x14ac:dyDescent="0.25">
      <c r="A192" s="1" t="s">
        <v>42</v>
      </c>
      <c r="B192" s="1" t="s">
        <v>5</v>
      </c>
      <c r="C192" s="1" t="s">
        <v>8</v>
      </c>
      <c r="D192" s="1" t="s">
        <v>8</v>
      </c>
      <c r="E192" s="5">
        <v>8.3985000000000003</v>
      </c>
      <c r="F192" s="1">
        <f t="shared" si="57"/>
        <v>2.0576324999999999E-2</v>
      </c>
      <c r="G192" s="1">
        <f>LOOKUP(RIGHT(D192,5),Ref!$C$4:$C$21,Ref!$E$4:$E$21)*$G$3</f>
        <v>4</v>
      </c>
      <c r="H192" s="297">
        <f t="shared" si="100"/>
        <v>8.3985000000000003</v>
      </c>
      <c r="I192" s="5">
        <f t="shared" si="100"/>
        <v>8.3985000000000003</v>
      </c>
      <c r="J192" s="5">
        <f t="shared" si="100"/>
        <v>8.3985000000000003</v>
      </c>
      <c r="K192" s="5">
        <f t="shared" si="100"/>
        <v>8.3985000000000003</v>
      </c>
      <c r="L192" s="5">
        <f t="shared" si="100"/>
        <v>8.3985000000000003</v>
      </c>
      <c r="M192" s="5">
        <f t="shared" si="99"/>
        <v>8.7968061958817945</v>
      </c>
      <c r="N192" s="5">
        <f t="shared" si="99"/>
        <v>9.0355949249084127</v>
      </c>
      <c r="O192" s="5">
        <f t="shared" si="99"/>
        <v>9.3996257406027546</v>
      </c>
      <c r="P192" s="5">
        <f t="shared" si="99"/>
        <v>9.9306007616876837</v>
      </c>
      <c r="Q192" s="5">
        <f t="shared" si="99"/>
        <v>10.657204527375905</v>
      </c>
      <c r="R192" s="5">
        <f t="shared" si="99"/>
        <v>11.569275306901226</v>
      </c>
      <c r="S192" s="5">
        <f t="shared" si="99"/>
        <v>12.597750000000001</v>
      </c>
      <c r="T192" s="5">
        <f t="shared" si="99"/>
        <v>13.626224693098775</v>
      </c>
      <c r="U192" s="5">
        <f t="shared" si="99"/>
        <v>14.538295472624096</v>
      </c>
      <c r="V192" s="5">
        <f t="shared" si="99"/>
        <v>15.264899238312317</v>
      </c>
      <c r="W192" s="5">
        <f t="shared" si="99"/>
        <v>15.795874259397245</v>
      </c>
      <c r="X192" s="5">
        <f t="shared" si="99"/>
        <v>16.159905075091586</v>
      </c>
      <c r="Y192" s="5">
        <f t="shared" si="99"/>
        <v>16.398693804118206</v>
      </c>
      <c r="Z192" s="5">
        <f t="shared" si="99"/>
        <v>16.550821230034735</v>
      </c>
      <c r="AA192" s="5">
        <f t="shared" si="99"/>
        <v>16.645942815633376</v>
      </c>
      <c r="AB192" s="5">
        <f t="shared" si="99"/>
        <v>16.704726162316966</v>
      </c>
      <c r="AC192" s="5">
        <f t="shared" si="98"/>
        <v>16.740790091512395</v>
      </c>
      <c r="AD192" s="300">
        <f t="shared" si="103"/>
        <v>1.6364347328129141E-3</v>
      </c>
      <c r="AE192" s="299">
        <f t="shared" si="103"/>
        <v>1.6364347328129141E-3</v>
      </c>
      <c r="AF192" s="299">
        <f t="shared" si="103"/>
        <v>1.6364347328129141E-3</v>
      </c>
      <c r="AG192" s="299">
        <f t="shared" si="103"/>
        <v>1.6364347328129141E-3</v>
      </c>
      <c r="AH192" s="299">
        <f t="shared" si="103"/>
        <v>1.6364347328129141E-3</v>
      </c>
      <c r="AI192" s="299">
        <f t="shared" si="103"/>
        <v>1.5623394215463443E-3</v>
      </c>
      <c r="AJ192" s="299">
        <f t="shared" si="103"/>
        <v>1.5210506023950125E-3</v>
      </c>
      <c r="AK192" s="299">
        <f t="shared" si="103"/>
        <v>1.4621430132225612E-3</v>
      </c>
      <c r="AL192" s="299">
        <f t="shared" si="103"/>
        <v>1.3839643173001314E-3</v>
      </c>
      <c r="AM192" s="299">
        <f t="shared" si="101"/>
        <v>1.2896062066018461E-3</v>
      </c>
      <c r="AN192" s="299">
        <f t="shared" si="101"/>
        <v>1.1879393254070998E-3</v>
      </c>
      <c r="AO192" s="299">
        <f t="shared" si="101"/>
        <v>1.0909564885419427E-3</v>
      </c>
      <c r="AP192" s="299">
        <f t="shared" si="101"/>
        <v>1.0086137145888935E-3</v>
      </c>
      <c r="AQ192" s="299">
        <f t="shared" si="101"/>
        <v>9.4533758303432002E-4</v>
      </c>
      <c r="AR192" s="299">
        <f t="shared" si="96"/>
        <v>9.0033985085438055E-4</v>
      </c>
      <c r="AS192" s="299">
        <f t="shared" si="96"/>
        <v>8.7007511441495244E-4</v>
      </c>
      <c r="AT192" s="299">
        <f t="shared" si="96"/>
        <v>8.5047511353969799E-4</v>
      </c>
      <c r="AU192" s="299">
        <f t="shared" si="96"/>
        <v>8.3809096429849966E-4</v>
      </c>
      <c r="AV192" s="299">
        <f t="shared" si="96"/>
        <v>8.303876232188882E-4</v>
      </c>
      <c r="AW192" s="299">
        <f t="shared" si="94"/>
        <v>8.2564245568726095E-4</v>
      </c>
      <c r="AX192" s="299">
        <f t="shared" si="94"/>
        <v>8.2273704878398351E-4</v>
      </c>
      <c r="AY192" s="299">
        <f t="shared" si="94"/>
        <v>8.2096466345977798E-4</v>
      </c>
      <c r="AZ192" s="298">
        <f t="shared" si="104"/>
        <v>9.0592679560185477E-2</v>
      </c>
      <c r="BA192" s="1">
        <f t="shared" si="104"/>
        <v>9.0592679560185477E-2</v>
      </c>
      <c r="BB192" s="1">
        <f t="shared" si="104"/>
        <v>9.0592679560185477E-2</v>
      </c>
      <c r="BC192" s="1">
        <f t="shared" si="104"/>
        <v>9.0592679560185477E-2</v>
      </c>
      <c r="BD192" s="1">
        <f t="shared" si="104"/>
        <v>9.0592679560185477E-2</v>
      </c>
      <c r="BE192" s="1">
        <f t="shared" si="104"/>
        <v>8.6490778851352271E-2</v>
      </c>
      <c r="BF192" s="1">
        <f t="shared" si="104"/>
        <v>8.4205038584543437E-2</v>
      </c>
      <c r="BG192" s="1">
        <f t="shared" si="104"/>
        <v>8.09439269480349E-2</v>
      </c>
      <c r="BH192" s="1">
        <f t="shared" si="104"/>
        <v>7.661597093113974E-2</v>
      </c>
      <c r="BI192" s="1">
        <f t="shared" si="102"/>
        <v>7.1392325945494273E-2</v>
      </c>
      <c r="BJ192" s="1">
        <f t="shared" si="102"/>
        <v>6.5764068976071913E-2</v>
      </c>
      <c r="BK192" s="1">
        <f t="shared" si="102"/>
        <v>6.0395119706790318E-2</v>
      </c>
      <c r="BL192" s="1">
        <f t="shared" si="102"/>
        <v>5.5836641213729506E-2</v>
      </c>
      <c r="BM192" s="1">
        <f t="shared" si="102"/>
        <v>5.2333687997943072E-2</v>
      </c>
      <c r="BN192" s="1">
        <f t="shared" si="97"/>
        <v>4.9842623092894799E-2</v>
      </c>
      <c r="BO192" s="1">
        <f t="shared" si="97"/>
        <v>4.816717370572756E-2</v>
      </c>
      <c r="BP192" s="1">
        <f t="shared" si="97"/>
        <v>4.7082121816356383E-2</v>
      </c>
      <c r="BQ192" s="1">
        <f t="shared" si="97"/>
        <v>4.6396537942256552E-2</v>
      </c>
      <c r="BR192" s="1">
        <f t="shared" si="97"/>
        <v>4.597008261472358E-2</v>
      </c>
      <c r="BS192" s="1">
        <f t="shared" si="95"/>
        <v>4.5707391147088224E-2</v>
      </c>
      <c r="BT192" s="1">
        <f t="shared" si="95"/>
        <v>4.5546548437444601E-2</v>
      </c>
      <c r="BU192" s="1">
        <f t="shared" si="95"/>
        <v>4.5448429561993381E-2</v>
      </c>
    </row>
    <row r="193" spans="1:73" x14ac:dyDescent="0.25">
      <c r="A193" s="1" t="s">
        <v>42</v>
      </c>
      <c r="B193" s="1" t="s">
        <v>5</v>
      </c>
      <c r="C193" s="1" t="s">
        <v>9</v>
      </c>
      <c r="D193" s="1" t="s">
        <v>9</v>
      </c>
      <c r="E193" s="5">
        <v>7.524</v>
      </c>
      <c r="F193" s="1">
        <f t="shared" si="57"/>
        <v>1.8433799999999997E-2</v>
      </c>
      <c r="G193" s="1">
        <f>LOOKUP(RIGHT(D193,5),Ref!$C$4:$C$21,Ref!$E$4:$E$21)*$G$3</f>
        <v>4.5</v>
      </c>
      <c r="H193" s="297">
        <f t="shared" si="100"/>
        <v>7.524</v>
      </c>
      <c r="I193" s="5">
        <f t="shared" si="100"/>
        <v>7.524</v>
      </c>
      <c r="J193" s="5">
        <f t="shared" si="100"/>
        <v>7.524</v>
      </c>
      <c r="K193" s="5">
        <f t="shared" si="100"/>
        <v>7.524</v>
      </c>
      <c r="L193" s="5">
        <f t="shared" si="100"/>
        <v>7.524</v>
      </c>
      <c r="M193" s="5">
        <f t="shared" si="99"/>
        <v>7.8808322697880122</v>
      </c>
      <c r="N193" s="5">
        <f t="shared" si="99"/>
        <v>8.0947569464798352</v>
      </c>
      <c r="O193" s="5">
        <f t="shared" si="99"/>
        <v>8.4208827852944133</v>
      </c>
      <c r="P193" s="5">
        <f t="shared" si="99"/>
        <v>8.8965696411190258</v>
      </c>
      <c r="Q193" s="5">
        <f t="shared" si="99"/>
        <v>9.5475152543878448</v>
      </c>
      <c r="R193" s="5">
        <f t="shared" si="99"/>
        <v>10.364615992037248</v>
      </c>
      <c r="S193" s="5">
        <f t="shared" si="99"/>
        <v>11.286</v>
      </c>
      <c r="T193" s="5">
        <f t="shared" si="99"/>
        <v>12.207384007962753</v>
      </c>
      <c r="U193" s="5">
        <f t="shared" si="99"/>
        <v>13.024484745612156</v>
      </c>
      <c r="V193" s="5">
        <f t="shared" si="99"/>
        <v>13.675430358880975</v>
      </c>
      <c r="W193" s="5">
        <f t="shared" si="99"/>
        <v>14.151117214705586</v>
      </c>
      <c r="X193" s="5">
        <f t="shared" si="99"/>
        <v>14.477243053520164</v>
      </c>
      <c r="Y193" s="5">
        <f t="shared" si="99"/>
        <v>14.691167730211987</v>
      </c>
      <c r="Z193" s="5">
        <f t="shared" si="99"/>
        <v>14.827454775826796</v>
      </c>
      <c r="AA193" s="5">
        <f t="shared" si="99"/>
        <v>14.912671756245222</v>
      </c>
      <c r="AB193" s="5">
        <f t="shared" si="99"/>
        <v>14.965334243647417</v>
      </c>
      <c r="AC193" s="5">
        <f t="shared" si="98"/>
        <v>14.997642989645682</v>
      </c>
      <c r="AD193" s="300">
        <f t="shared" si="103"/>
        <v>1.8266343837758186E-3</v>
      </c>
      <c r="AE193" s="299">
        <f t="shared" si="103"/>
        <v>1.8266343837758186E-3</v>
      </c>
      <c r="AF193" s="299">
        <f t="shared" si="103"/>
        <v>1.8266343837758186E-3</v>
      </c>
      <c r="AG193" s="299">
        <f t="shared" si="103"/>
        <v>1.8266343837758186E-3</v>
      </c>
      <c r="AH193" s="299">
        <f t="shared" si="103"/>
        <v>1.8266343837758186E-3</v>
      </c>
      <c r="AI193" s="299">
        <f t="shared" si="103"/>
        <v>1.7439271174716868E-3</v>
      </c>
      <c r="AJ193" s="299">
        <f t="shared" si="103"/>
        <v>1.6978393785505733E-3</v>
      </c>
      <c r="AK193" s="299">
        <f t="shared" si="103"/>
        <v>1.6320850739699202E-3</v>
      </c>
      <c r="AL193" s="299">
        <f t="shared" si="103"/>
        <v>1.5448198190915938E-3</v>
      </c>
      <c r="AM193" s="299">
        <f t="shared" si="101"/>
        <v>1.4394946472814465E-3</v>
      </c>
      <c r="AN193" s="299">
        <f t="shared" si="101"/>
        <v>1.3260112206846793E-3</v>
      </c>
      <c r="AO193" s="299">
        <f t="shared" si="101"/>
        <v>1.2177562558505458E-3</v>
      </c>
      <c r="AP193" s="299">
        <f t="shared" si="101"/>
        <v>1.1258429401880411E-3</v>
      </c>
      <c r="AQ193" s="299">
        <f t="shared" si="101"/>
        <v>1.0552123459747125E-3</v>
      </c>
      <c r="AR193" s="299">
        <f t="shared" si="96"/>
        <v>1.0049846142212275E-3</v>
      </c>
      <c r="AS193" s="299">
        <f t="shared" si="96"/>
        <v>9.7120226587107635E-4</v>
      </c>
      <c r="AT193" s="299">
        <f t="shared" si="96"/>
        <v>9.4932419471865416E-4</v>
      </c>
      <c r="AU193" s="299">
        <f t="shared" si="96"/>
        <v>9.3550065971038682E-4</v>
      </c>
      <c r="AV193" s="299">
        <f t="shared" si="96"/>
        <v>9.2690197416318886E-4</v>
      </c>
      <c r="AW193" s="299">
        <f t="shared" si="94"/>
        <v>9.2160528496670153E-4</v>
      </c>
      <c r="AX193" s="299">
        <f t="shared" si="94"/>
        <v>9.1836218822598172E-4</v>
      </c>
      <c r="AY193" s="299">
        <f t="shared" si="94"/>
        <v>9.163838019759364E-4</v>
      </c>
      <c r="AZ193" s="298">
        <f t="shared" si="104"/>
        <v>0.10112209187748775</v>
      </c>
      <c r="BA193" s="1">
        <f t="shared" si="104"/>
        <v>0.10112209187748775</v>
      </c>
      <c r="BB193" s="1">
        <f t="shared" si="104"/>
        <v>0.10112209187748775</v>
      </c>
      <c r="BC193" s="1">
        <f t="shared" si="104"/>
        <v>0.10112209187748775</v>
      </c>
      <c r="BD193" s="1">
        <f t="shared" si="104"/>
        <v>0.10112209187748775</v>
      </c>
      <c r="BE193" s="1">
        <f t="shared" si="104"/>
        <v>9.6543435165215588E-2</v>
      </c>
      <c r="BF193" s="1">
        <f t="shared" si="104"/>
        <v>9.3992027718273266E-2</v>
      </c>
      <c r="BG193" s="1">
        <f t="shared" si="104"/>
        <v>9.035188336962667E-2</v>
      </c>
      <c r="BH193" s="1">
        <f t="shared" si="104"/>
        <v>8.5520897377083613E-2</v>
      </c>
      <c r="BI193" s="1">
        <f t="shared" si="102"/>
        <v>7.9690118215474948E-2</v>
      </c>
      <c r="BJ193" s="1">
        <f t="shared" si="102"/>
        <v>7.340769980004519E-2</v>
      </c>
      <c r="BK193" s="1">
        <f t="shared" si="102"/>
        <v>6.741472791832516E-2</v>
      </c>
      <c r="BL193" s="1">
        <f t="shared" si="102"/>
        <v>6.2326426267079647E-2</v>
      </c>
      <c r="BM193" s="1">
        <f t="shared" si="102"/>
        <v>5.8416331559107512E-2</v>
      </c>
      <c r="BN193" s="1">
        <f t="shared" si="97"/>
        <v>5.5635734987463714E-2</v>
      </c>
      <c r="BO193" s="1">
        <f t="shared" si="97"/>
        <v>5.376555135134941E-2</v>
      </c>
      <c r="BP193" s="1">
        <f t="shared" si="97"/>
        <v>5.2554385974836401E-2</v>
      </c>
      <c r="BQ193" s="1">
        <f t="shared" si="97"/>
        <v>5.178911801010655E-2</v>
      </c>
      <c r="BR193" s="1">
        <f t="shared" si="97"/>
        <v>5.1313096602838386E-2</v>
      </c>
      <c r="BS193" s="1">
        <f t="shared" si="95"/>
        <v>5.1019873012868221E-2</v>
      </c>
      <c r="BT193" s="1">
        <f t="shared" si="95"/>
        <v>5.084033586548093E-2</v>
      </c>
      <c r="BU193" s="1">
        <f t="shared" si="95"/>
        <v>5.0730812822488223E-2</v>
      </c>
    </row>
    <row r="194" spans="1:73" x14ac:dyDescent="0.25">
      <c r="A194" s="1" t="s">
        <v>42</v>
      </c>
      <c r="B194" s="1" t="s">
        <v>5</v>
      </c>
      <c r="C194" s="1" t="s">
        <v>10</v>
      </c>
      <c r="D194" s="1" t="s">
        <v>10</v>
      </c>
      <c r="E194" s="5">
        <v>7.4497499999999999</v>
      </c>
      <c r="F194" s="1">
        <f t="shared" si="57"/>
        <v>1.8251887499999998E-2</v>
      </c>
      <c r="G194" s="1">
        <f>LOOKUP(RIGHT(D194,5),Ref!$C$4:$C$21,Ref!$E$4:$E$21)*$G$3</f>
        <v>4.5</v>
      </c>
      <c r="H194" s="297">
        <f t="shared" si="100"/>
        <v>7.4497499999999999</v>
      </c>
      <c r="I194" s="5">
        <f t="shared" si="100"/>
        <v>7.4497499999999999</v>
      </c>
      <c r="J194" s="5">
        <f t="shared" si="100"/>
        <v>7.4497499999999999</v>
      </c>
      <c r="K194" s="5">
        <f t="shared" si="100"/>
        <v>7.4497499999999999</v>
      </c>
      <c r="L194" s="5">
        <f t="shared" si="100"/>
        <v>7.4497499999999999</v>
      </c>
      <c r="M194" s="5">
        <f t="shared" si="99"/>
        <v>7.8030608987045778</v>
      </c>
      <c r="N194" s="5">
        <f t="shared" si="99"/>
        <v>8.014874476613258</v>
      </c>
      <c r="O194" s="5">
        <f t="shared" si="99"/>
        <v>8.3377819683342711</v>
      </c>
      <c r="P194" s="5">
        <f t="shared" si="99"/>
        <v>8.8087745459764033</v>
      </c>
      <c r="Q194" s="5">
        <f t="shared" si="99"/>
        <v>9.4532963538511225</v>
      </c>
      <c r="R194" s="5">
        <f t="shared" si="99"/>
        <v>10.262333597378984</v>
      </c>
      <c r="S194" s="5">
        <f t="shared" si="99"/>
        <v>11.174624999999999</v>
      </c>
      <c r="T194" s="5">
        <f t="shared" si="99"/>
        <v>12.086916402621016</v>
      </c>
      <c r="U194" s="5">
        <f t="shared" si="99"/>
        <v>12.895953646148877</v>
      </c>
      <c r="V194" s="5">
        <f t="shared" si="99"/>
        <v>13.540475454023596</v>
      </c>
      <c r="W194" s="5">
        <f t="shared" si="99"/>
        <v>14.011468031665729</v>
      </c>
      <c r="X194" s="5">
        <f t="shared" si="99"/>
        <v>14.334375523386742</v>
      </c>
      <c r="Y194" s="5">
        <f t="shared" si="99"/>
        <v>14.546189101295422</v>
      </c>
      <c r="Z194" s="5">
        <f t="shared" si="99"/>
        <v>14.681131208960084</v>
      </c>
      <c r="AA194" s="5">
        <f t="shared" si="99"/>
        <v>14.765507232334908</v>
      </c>
      <c r="AB194" s="5">
        <f t="shared" si="99"/>
        <v>14.817650024137739</v>
      </c>
      <c r="AC194" s="5">
        <f t="shared" si="98"/>
        <v>14.849639933826809</v>
      </c>
      <c r="AD194" s="300">
        <f t="shared" si="103"/>
        <v>1.8448400420858766E-3</v>
      </c>
      <c r="AE194" s="299">
        <f t="shared" si="103"/>
        <v>1.8448400420858766E-3</v>
      </c>
      <c r="AF194" s="299">
        <f t="shared" si="103"/>
        <v>1.8448400420858766E-3</v>
      </c>
      <c r="AG194" s="299">
        <f t="shared" si="103"/>
        <v>1.8448400420858766E-3</v>
      </c>
      <c r="AH194" s="299">
        <f t="shared" si="103"/>
        <v>1.8448400420858766E-3</v>
      </c>
      <c r="AI194" s="299">
        <f t="shared" si="103"/>
        <v>1.7613084508684147E-3</v>
      </c>
      <c r="AJ194" s="299">
        <f t="shared" si="103"/>
        <v>1.7147613657122068E-3</v>
      </c>
      <c r="AK194" s="299">
        <f t="shared" si="103"/>
        <v>1.6483517026141387E-3</v>
      </c>
      <c r="AL194" s="299">
        <f t="shared" si="103"/>
        <v>1.5602166943649322E-3</v>
      </c>
      <c r="AM194" s="299">
        <f t="shared" si="101"/>
        <v>1.4538417700118262E-3</v>
      </c>
      <c r="AN194" s="299">
        <f t="shared" si="101"/>
        <v>1.3392272793626E-3</v>
      </c>
      <c r="AO194" s="299">
        <f t="shared" si="101"/>
        <v>1.2298933613905845E-3</v>
      </c>
      <c r="AP194" s="299">
        <f t="shared" si="101"/>
        <v>1.1370639661699817E-3</v>
      </c>
      <c r="AQ194" s="299">
        <f t="shared" si="101"/>
        <v>1.065729412545889E-3</v>
      </c>
      <c r="AR194" s="299">
        <f t="shared" si="96"/>
        <v>1.0150010721702762E-3</v>
      </c>
      <c r="AS194" s="299">
        <f t="shared" si="96"/>
        <v>9.8088202267377798E-4</v>
      </c>
      <c r="AT194" s="299">
        <f t="shared" si="96"/>
        <v>9.587858976560494E-4</v>
      </c>
      <c r="AU194" s="299">
        <f t="shared" si="96"/>
        <v>9.4482458655135407E-4</v>
      </c>
      <c r="AV194" s="299">
        <f t="shared" si="96"/>
        <v>9.3614019981930034E-4</v>
      </c>
      <c r="AW194" s="299">
        <f t="shared" si="94"/>
        <v>9.3079071970058886E-4</v>
      </c>
      <c r="AX194" s="299">
        <f t="shared" si="94"/>
        <v>9.2751529973653969E-4</v>
      </c>
      <c r="AY194" s="299">
        <f t="shared" si="94"/>
        <v>9.2551719535111186E-4</v>
      </c>
      <c r="AZ194" s="298">
        <f t="shared" si="104"/>
        <v>0.10212995325832649</v>
      </c>
      <c r="BA194" s="1">
        <f t="shared" si="104"/>
        <v>0.10212995325832649</v>
      </c>
      <c r="BB194" s="1">
        <f t="shared" si="104"/>
        <v>0.10212995325832649</v>
      </c>
      <c r="BC194" s="1">
        <f t="shared" si="104"/>
        <v>0.10212995325832649</v>
      </c>
      <c r="BD194" s="1">
        <f t="shared" si="104"/>
        <v>0.10212995325832649</v>
      </c>
      <c r="BE194" s="1">
        <f t="shared" si="104"/>
        <v>9.7505662093772552E-2</v>
      </c>
      <c r="BF194" s="1">
        <f t="shared" si="104"/>
        <v>9.4928825336727821E-2</v>
      </c>
      <c r="BG194" s="1">
        <f t="shared" si="104"/>
        <v>9.125240047962295E-2</v>
      </c>
      <c r="BH194" s="1">
        <f t="shared" si="104"/>
        <v>8.6373265125027965E-2</v>
      </c>
      <c r="BI194" s="1">
        <f t="shared" si="102"/>
        <v>8.048437188539663E-2</v>
      </c>
      <c r="BJ194" s="1">
        <f t="shared" si="102"/>
        <v>7.4139338004032357E-2</v>
      </c>
      <c r="BK194" s="1">
        <f t="shared" si="102"/>
        <v>6.8086635505550996E-2</v>
      </c>
      <c r="BL194" s="1">
        <f t="shared" si="102"/>
        <v>6.2947619884359512E-2</v>
      </c>
      <c r="BM194" s="1">
        <f t="shared" si="102"/>
        <v>5.8998554132786332E-2</v>
      </c>
      <c r="BN194" s="1">
        <f t="shared" si="97"/>
        <v>5.6190243974049738E-2</v>
      </c>
      <c r="BO194" s="1">
        <f t="shared" si="97"/>
        <v>5.4301420633920995E-2</v>
      </c>
      <c r="BP194" s="1">
        <f t="shared" si="97"/>
        <v>5.3078183841695228E-2</v>
      </c>
      <c r="BQ194" s="1">
        <f t="shared" si="97"/>
        <v>5.2305288621502959E-2</v>
      </c>
      <c r="BR194" s="1">
        <f t="shared" si="97"/>
        <v>5.1824522814826808E-2</v>
      </c>
      <c r="BS194" s="1">
        <f t="shared" si="95"/>
        <v>5.1528376730604446E-2</v>
      </c>
      <c r="BT194" s="1">
        <f t="shared" si="95"/>
        <v>5.1347050176432568E-2</v>
      </c>
      <c r="BU194" s="1">
        <f t="shared" si="95"/>
        <v>5.1236435541649236E-2</v>
      </c>
    </row>
    <row r="195" spans="1:73" x14ac:dyDescent="0.25">
      <c r="A195" s="1" t="s">
        <v>42</v>
      </c>
      <c r="B195" s="1" t="s">
        <v>5</v>
      </c>
      <c r="C195" s="1" t="s">
        <v>11</v>
      </c>
      <c r="D195" s="1" t="s">
        <v>11</v>
      </c>
      <c r="E195" s="5">
        <v>7.6395</v>
      </c>
      <c r="F195" s="1">
        <f t="shared" si="57"/>
        <v>1.8716775000000001E-2</v>
      </c>
      <c r="G195" s="1">
        <f>LOOKUP(RIGHT(D195,5),Ref!$C$4:$C$21,Ref!$E$4:$E$21)*$G$3</f>
        <v>4.5</v>
      </c>
      <c r="H195" s="297">
        <f t="shared" si="100"/>
        <v>7.6395</v>
      </c>
      <c r="I195" s="5">
        <f t="shared" si="100"/>
        <v>7.6395</v>
      </c>
      <c r="J195" s="5">
        <f t="shared" si="100"/>
        <v>7.6395</v>
      </c>
      <c r="K195" s="5">
        <f t="shared" si="100"/>
        <v>7.6395</v>
      </c>
      <c r="L195" s="5">
        <f t="shared" si="100"/>
        <v>7.6395</v>
      </c>
      <c r="M195" s="5">
        <f t="shared" si="99"/>
        <v>8.0018099581400204</v>
      </c>
      <c r="N195" s="5">
        <f t="shared" si="99"/>
        <v>8.2190185662722897</v>
      </c>
      <c r="O195" s="5">
        <f t="shared" si="99"/>
        <v>8.5501507227879667</v>
      </c>
      <c r="P195" s="5">
        <f t="shared" si="99"/>
        <v>9.0331397891186587</v>
      </c>
      <c r="Q195" s="5">
        <f t="shared" si="99"/>
        <v>9.6940779885560779</v>
      </c>
      <c r="R195" s="5">
        <f t="shared" si="99"/>
        <v>10.523721939283433</v>
      </c>
      <c r="S195" s="5">
        <f t="shared" si="99"/>
        <v>11.459250000000001</v>
      </c>
      <c r="T195" s="5">
        <f t="shared" si="99"/>
        <v>12.394778060716567</v>
      </c>
      <c r="U195" s="5">
        <f t="shared" si="99"/>
        <v>13.224422011443922</v>
      </c>
      <c r="V195" s="5">
        <f t="shared" si="99"/>
        <v>13.885360210881341</v>
      </c>
      <c r="W195" s="5">
        <f t="shared" si="99"/>
        <v>14.368349277212031</v>
      </c>
      <c r="X195" s="5">
        <f t="shared" si="99"/>
        <v>14.69948143372771</v>
      </c>
      <c r="Y195" s="5">
        <f t="shared" si="99"/>
        <v>14.916690041859979</v>
      </c>
      <c r="Z195" s="5">
        <f t="shared" si="99"/>
        <v>15.055069213175013</v>
      </c>
      <c r="AA195" s="5">
        <f t="shared" si="99"/>
        <v>15.141594348994602</v>
      </c>
      <c r="AB195" s="5">
        <f t="shared" si="99"/>
        <v>15.195065251773585</v>
      </c>
      <c r="AC195" s="5">
        <f t="shared" si="98"/>
        <v>15.227869965363928</v>
      </c>
      <c r="AD195" s="300">
        <f t="shared" si="103"/>
        <v>1.7990178812133332E-3</v>
      </c>
      <c r="AE195" s="299">
        <f t="shared" si="103"/>
        <v>1.7990178812133332E-3</v>
      </c>
      <c r="AF195" s="299">
        <f t="shared" si="103"/>
        <v>1.7990178812133332E-3</v>
      </c>
      <c r="AG195" s="299">
        <f t="shared" si="103"/>
        <v>1.7990178812133332E-3</v>
      </c>
      <c r="AH195" s="299">
        <f t="shared" si="103"/>
        <v>1.7990178812133332E-3</v>
      </c>
      <c r="AI195" s="299">
        <f t="shared" si="103"/>
        <v>1.7175610487410137E-3</v>
      </c>
      <c r="AJ195" s="299">
        <f t="shared" si="103"/>
        <v>1.6721701006891174E-3</v>
      </c>
      <c r="AK195" s="299">
        <f t="shared" si="103"/>
        <v>1.6074099216636796E-3</v>
      </c>
      <c r="AL195" s="299">
        <f t="shared" si="103"/>
        <v>1.5214640118915053E-3</v>
      </c>
      <c r="AM195" s="299">
        <f t="shared" si="101"/>
        <v>1.4177312292879905E-3</v>
      </c>
      <c r="AN195" s="299">
        <f t="shared" si="101"/>
        <v>1.3059635348427944E-3</v>
      </c>
      <c r="AO195" s="299">
        <f t="shared" si="101"/>
        <v>1.1993452541422221E-3</v>
      </c>
      <c r="AP195" s="299">
        <f t="shared" si="101"/>
        <v>1.1088215566430815E-3</v>
      </c>
      <c r="AQ195" s="299">
        <f t="shared" si="101"/>
        <v>1.0392588115863259E-3</v>
      </c>
      <c r="AR195" s="299">
        <f t="shared" si="96"/>
        <v>9.8979046238634942E-4</v>
      </c>
      <c r="AS195" s="299">
        <f t="shared" si="96"/>
        <v>9.5651886228339264E-4</v>
      </c>
      <c r="AT195" s="299">
        <f t="shared" si="96"/>
        <v>9.3497156110519718E-4</v>
      </c>
      <c r="AU195" s="299">
        <f t="shared" si="96"/>
        <v>9.2135702122664439E-4</v>
      </c>
      <c r="AV195" s="299">
        <f t="shared" si="96"/>
        <v>9.1288833740478211E-4</v>
      </c>
      <c r="AW195" s="299">
        <f t="shared" si="94"/>
        <v>9.0767172774258286E-4</v>
      </c>
      <c r="AX195" s="299">
        <f t="shared" si="94"/>
        <v>9.0447766270204677E-4</v>
      </c>
      <c r="AY195" s="299">
        <f t="shared" si="94"/>
        <v>9.0252918725923753E-4</v>
      </c>
      <c r="AZ195" s="298">
        <f t="shared" si="104"/>
        <v>9.9593248155797856E-2</v>
      </c>
      <c r="BA195" s="1">
        <f t="shared" si="104"/>
        <v>9.9593248155797856E-2</v>
      </c>
      <c r="BB195" s="1">
        <f t="shared" si="104"/>
        <v>9.9593248155797856E-2</v>
      </c>
      <c r="BC195" s="1">
        <f t="shared" si="104"/>
        <v>9.9593248155797856E-2</v>
      </c>
      <c r="BD195" s="1">
        <f t="shared" si="104"/>
        <v>9.9593248155797856E-2</v>
      </c>
      <c r="BE195" s="1">
        <f t="shared" si="104"/>
        <v>9.5083815195115148E-2</v>
      </c>
      <c r="BF195" s="1">
        <f t="shared" si="104"/>
        <v>9.2570981942835001E-2</v>
      </c>
      <c r="BG195" s="1">
        <f t="shared" si="104"/>
        <v>8.8985872173973579E-2</v>
      </c>
      <c r="BH195" s="1">
        <f t="shared" si="104"/>
        <v>8.4227924846544566E-2</v>
      </c>
      <c r="BI195" s="1">
        <f t="shared" si="102"/>
        <v>7.8485300013513143E-2</v>
      </c>
      <c r="BJ195" s="1">
        <f t="shared" si="102"/>
        <v>7.2297864165919226E-2</v>
      </c>
      <c r="BK195" s="1">
        <f t="shared" si="102"/>
        <v>6.6395498770531899E-2</v>
      </c>
      <c r="BL195" s="1">
        <f t="shared" si="102"/>
        <v>6.1384126085935901E-2</v>
      </c>
      <c r="BM195" s="1">
        <f t="shared" si="102"/>
        <v>5.7533147280676079E-2</v>
      </c>
      <c r="BN195" s="1">
        <f t="shared" si="97"/>
        <v>5.4794589966054977E-2</v>
      </c>
      <c r="BO195" s="1">
        <f t="shared" si="97"/>
        <v>5.2952681244525547E-2</v>
      </c>
      <c r="BP195" s="1">
        <f t="shared" si="97"/>
        <v>5.1759827223596969E-2</v>
      </c>
      <c r="BQ195" s="1">
        <f t="shared" si="97"/>
        <v>5.1006129184899753E-2</v>
      </c>
      <c r="BR195" s="1">
        <f t="shared" si="97"/>
        <v>5.0537304645560055E-2</v>
      </c>
      <c r="BS195" s="1">
        <f t="shared" si="95"/>
        <v>5.0248514241615354E-2</v>
      </c>
      <c r="BT195" s="1">
        <f t="shared" si="95"/>
        <v>5.0071691478745795E-2</v>
      </c>
      <c r="BU195" s="1">
        <f t="shared" si="95"/>
        <v>4.9963824291694665E-2</v>
      </c>
    </row>
    <row r="196" spans="1:73" x14ac:dyDescent="0.25">
      <c r="A196" s="1" t="s">
        <v>43</v>
      </c>
      <c r="B196" s="1" t="s">
        <v>5</v>
      </c>
      <c r="C196" s="1" t="s">
        <v>15</v>
      </c>
      <c r="D196" s="1" t="s">
        <v>15</v>
      </c>
      <c r="E196" s="5">
        <v>8.3242499999999993</v>
      </c>
      <c r="F196" s="1">
        <f t="shared" si="57"/>
        <v>2.0394412499999997E-2</v>
      </c>
      <c r="G196" s="1">
        <f>LOOKUP(RIGHT(D196,5),Ref!$C$4:$C$21,Ref!$E$4:$E$21)*$G$3</f>
        <v>2.5</v>
      </c>
      <c r="H196" s="297">
        <f t="shared" si="100"/>
        <v>8.3242499999999993</v>
      </c>
      <c r="I196" s="5">
        <f t="shared" si="100"/>
        <v>8.3242499999999993</v>
      </c>
      <c r="J196" s="5">
        <f t="shared" si="100"/>
        <v>8.3242499999999993</v>
      </c>
      <c r="K196" s="5">
        <f t="shared" si="100"/>
        <v>8.3242499999999993</v>
      </c>
      <c r="L196" s="5">
        <f t="shared" si="100"/>
        <v>8.3242499999999993</v>
      </c>
      <c r="M196" s="5">
        <f t="shared" si="99"/>
        <v>8.71903482479836</v>
      </c>
      <c r="N196" s="5">
        <f t="shared" si="99"/>
        <v>8.9557124550418354</v>
      </c>
      <c r="O196" s="5">
        <f t="shared" si="99"/>
        <v>9.3165249236426106</v>
      </c>
      <c r="P196" s="5">
        <f t="shared" si="99"/>
        <v>9.8428056665450612</v>
      </c>
      <c r="Q196" s="5">
        <f t="shared" si="99"/>
        <v>10.562985626839181</v>
      </c>
      <c r="R196" s="5">
        <f t="shared" si="99"/>
        <v>11.466992912242961</v>
      </c>
      <c r="S196" s="5">
        <f t="shared" si="99"/>
        <v>12.486374999999999</v>
      </c>
      <c r="T196" s="5">
        <f t="shared" si="99"/>
        <v>13.505757087757036</v>
      </c>
      <c r="U196" s="5">
        <f t="shared" si="99"/>
        <v>14.409764373160817</v>
      </c>
      <c r="V196" s="5">
        <f t="shared" si="99"/>
        <v>15.129944333454937</v>
      </c>
      <c r="W196" s="5">
        <f t="shared" si="99"/>
        <v>15.656225076357385</v>
      </c>
      <c r="X196" s="5">
        <f t="shared" si="99"/>
        <v>16.017037544958164</v>
      </c>
      <c r="Y196" s="5">
        <f t="shared" si="99"/>
        <v>16.253715175201638</v>
      </c>
      <c r="Z196" s="5">
        <f t="shared" si="99"/>
        <v>16.404497663168023</v>
      </c>
      <c r="AA196" s="5">
        <f t="shared" si="99"/>
        <v>16.49877829172306</v>
      </c>
      <c r="AB196" s="5">
        <f t="shared" ref="AB196:AC211" si="105">AB$3*$E196</f>
        <v>16.557041942807285</v>
      </c>
      <c r="AC196" s="5">
        <f t="shared" si="105"/>
        <v>16.592787035693522</v>
      </c>
      <c r="AD196" s="300">
        <f t="shared" si="103"/>
        <v>1.6510312765149126E-3</v>
      </c>
      <c r="AE196" s="299">
        <f t="shared" si="103"/>
        <v>1.6510312765149126E-3</v>
      </c>
      <c r="AF196" s="299">
        <f t="shared" si="103"/>
        <v>1.6510312765149126E-3</v>
      </c>
      <c r="AG196" s="299">
        <f t="shared" si="103"/>
        <v>1.6510312765149126E-3</v>
      </c>
      <c r="AH196" s="299">
        <f t="shared" si="103"/>
        <v>1.6510312765149126E-3</v>
      </c>
      <c r="AI196" s="299">
        <f t="shared" si="103"/>
        <v>1.5762750556334772E-3</v>
      </c>
      <c r="AJ196" s="299">
        <f t="shared" si="103"/>
        <v>1.5346179516730653E-3</v>
      </c>
      <c r="AK196" s="299">
        <f t="shared" si="103"/>
        <v>1.4751849231521977E-3</v>
      </c>
      <c r="AL196" s="299">
        <f t="shared" si="103"/>
        <v>1.3963088949569215E-3</v>
      </c>
      <c r="AM196" s="299">
        <f t="shared" si="101"/>
        <v>1.3011091360958171E-3</v>
      </c>
      <c r="AN196" s="299">
        <f t="shared" si="101"/>
        <v>1.1985354145336252E-3</v>
      </c>
      <c r="AO196" s="299">
        <f t="shared" si="101"/>
        <v>1.1006875176766083E-3</v>
      </c>
      <c r="AP196" s="299">
        <f t="shared" si="101"/>
        <v>1.0176102690302217E-3</v>
      </c>
      <c r="AQ196" s="299">
        <f t="shared" si="101"/>
        <v>9.5376973194146461E-4</v>
      </c>
      <c r="AR196" s="299">
        <f t="shared" si="96"/>
        <v>9.0837063247746247E-4</v>
      </c>
      <c r="AS196" s="299">
        <f t="shared" si="96"/>
        <v>8.7783594298753386E-4</v>
      </c>
      <c r="AT196" s="299">
        <f t="shared" si="96"/>
        <v>8.5806111554352085E-4</v>
      </c>
      <c r="AU196" s="299">
        <f t="shared" si="96"/>
        <v>8.4556650312772336E-4</v>
      </c>
      <c r="AV196" s="299">
        <f t="shared" si="96"/>
        <v>8.3779445038337783E-4</v>
      </c>
      <c r="AW196" s="299">
        <f t="shared" si="94"/>
        <v>8.330069572741643E-4</v>
      </c>
      <c r="AX196" s="299">
        <f t="shared" si="94"/>
        <v>8.3007563494756729E-4</v>
      </c>
      <c r="AY196" s="299">
        <f t="shared" si="94"/>
        <v>8.2828744043811104E-4</v>
      </c>
      <c r="AZ196" s="298">
        <f t="shared" si="104"/>
        <v>9.140074112216931E-2</v>
      </c>
      <c r="BA196" s="1">
        <f t="shared" si="104"/>
        <v>9.140074112216931E-2</v>
      </c>
      <c r="BB196" s="1">
        <f t="shared" si="104"/>
        <v>9.140074112216931E-2</v>
      </c>
      <c r="BC196" s="1">
        <f t="shared" si="104"/>
        <v>9.140074112216931E-2</v>
      </c>
      <c r="BD196" s="1">
        <f t="shared" si="104"/>
        <v>9.140074112216931E-2</v>
      </c>
      <c r="BE196" s="1">
        <f t="shared" si="104"/>
        <v>8.7262252597300916E-2</v>
      </c>
      <c r="BF196" s="1">
        <f t="shared" si="104"/>
        <v>8.4956124161610719E-2</v>
      </c>
      <c r="BG196" s="1">
        <f t="shared" si="104"/>
        <v>8.1665924314271096E-2</v>
      </c>
      <c r="BH196" s="1">
        <f t="shared" si="104"/>
        <v>7.7299364130723747E-2</v>
      </c>
      <c r="BI196" s="1">
        <f t="shared" si="102"/>
        <v>7.2029125681380743E-2</v>
      </c>
      <c r="BJ196" s="1">
        <f t="shared" si="102"/>
        <v>6.6350666221646398E-2</v>
      </c>
      <c r="BK196" s="1">
        <f t="shared" si="102"/>
        <v>6.093382741477954E-2</v>
      </c>
      <c r="BL196" s="1">
        <f t="shared" si="102"/>
        <v>5.6334688558549693E-2</v>
      </c>
      <c r="BM196" s="1">
        <f t="shared" si="102"/>
        <v>5.2800489972156646E-2</v>
      </c>
      <c r="BN196" s="1">
        <f t="shared" si="97"/>
        <v>5.0287205459432029E-2</v>
      </c>
      <c r="BO196" s="1">
        <f t="shared" si="97"/>
        <v>4.8596811528672609E-2</v>
      </c>
      <c r="BP196" s="1">
        <f t="shared" si="97"/>
        <v>4.7502081277552816E-2</v>
      </c>
      <c r="BQ196" s="1">
        <f t="shared" si="97"/>
        <v>4.6810382185547249E-2</v>
      </c>
      <c r="BR196" s="1">
        <f t="shared" si="97"/>
        <v>4.6380122994835092E-2</v>
      </c>
      <c r="BS196" s="1">
        <f t="shared" si="95"/>
        <v>4.6115088392205961E-2</v>
      </c>
      <c r="BT196" s="1">
        <f t="shared" si="95"/>
        <v>4.5952811010226573E-2</v>
      </c>
      <c r="BU196" s="1">
        <f t="shared" si="95"/>
        <v>4.5853816941634554E-2</v>
      </c>
    </row>
    <row r="197" spans="1:73" x14ac:dyDescent="0.25">
      <c r="A197" s="1" t="s">
        <v>43</v>
      </c>
      <c r="B197" s="1" t="s">
        <v>5</v>
      </c>
      <c r="C197" s="1" t="s">
        <v>16</v>
      </c>
      <c r="D197" s="1" t="s">
        <v>16</v>
      </c>
      <c r="E197" s="5">
        <v>8.4480000000000004</v>
      </c>
      <c r="F197" s="1">
        <f t="shared" si="57"/>
        <v>2.06976E-2</v>
      </c>
      <c r="G197" s="1">
        <f>LOOKUP(RIGHT(D197,5),Ref!$C$4:$C$21,Ref!$E$4:$E$21)*$G$3</f>
        <v>3</v>
      </c>
      <c r="H197" s="297">
        <f t="shared" si="100"/>
        <v>8.4480000000000004</v>
      </c>
      <c r="I197" s="5">
        <f t="shared" si="100"/>
        <v>8.4480000000000004</v>
      </c>
      <c r="J197" s="5">
        <f t="shared" si="100"/>
        <v>8.4480000000000004</v>
      </c>
      <c r="K197" s="5">
        <f t="shared" si="100"/>
        <v>8.4480000000000004</v>
      </c>
      <c r="L197" s="5">
        <f t="shared" si="100"/>
        <v>8.4480000000000004</v>
      </c>
      <c r="M197" s="5">
        <f t="shared" ref="M197:AB212" si="106">M$3*$E197</f>
        <v>8.8486537766040847</v>
      </c>
      <c r="N197" s="5">
        <f t="shared" si="106"/>
        <v>9.0888499048194653</v>
      </c>
      <c r="O197" s="5">
        <f t="shared" si="106"/>
        <v>9.4550262852428499</v>
      </c>
      <c r="P197" s="5">
        <f t="shared" si="106"/>
        <v>9.9891308251160993</v>
      </c>
      <c r="Q197" s="5">
        <f t="shared" si="106"/>
        <v>10.720017127733721</v>
      </c>
      <c r="R197" s="5">
        <f t="shared" si="106"/>
        <v>11.637463570006734</v>
      </c>
      <c r="S197" s="5">
        <f t="shared" si="106"/>
        <v>12.672000000000001</v>
      </c>
      <c r="T197" s="5">
        <f t="shared" si="106"/>
        <v>13.706536429993267</v>
      </c>
      <c r="U197" s="5">
        <f t="shared" si="106"/>
        <v>14.62398287226628</v>
      </c>
      <c r="V197" s="5">
        <f t="shared" si="106"/>
        <v>15.354869174883902</v>
      </c>
      <c r="W197" s="5">
        <f t="shared" si="106"/>
        <v>15.888973714757149</v>
      </c>
      <c r="X197" s="5">
        <f t="shared" si="106"/>
        <v>16.255150095180536</v>
      </c>
      <c r="Y197" s="5">
        <f t="shared" si="106"/>
        <v>16.495346223395916</v>
      </c>
      <c r="Z197" s="5">
        <f t="shared" si="106"/>
        <v>16.648370274612542</v>
      </c>
      <c r="AA197" s="5">
        <f t="shared" si="106"/>
        <v>16.744052498240251</v>
      </c>
      <c r="AB197" s="5">
        <f t="shared" si="106"/>
        <v>16.803182308656751</v>
      </c>
      <c r="AC197" s="5">
        <f t="shared" si="105"/>
        <v>16.839458795391643</v>
      </c>
      <c r="AD197" s="300">
        <f t="shared" si="103"/>
        <v>1.6268462480503385E-3</v>
      </c>
      <c r="AE197" s="299">
        <f t="shared" si="103"/>
        <v>1.6268462480503385E-3</v>
      </c>
      <c r="AF197" s="299">
        <f t="shared" si="103"/>
        <v>1.6268462480503385E-3</v>
      </c>
      <c r="AG197" s="299">
        <f t="shared" si="103"/>
        <v>1.6268462480503385E-3</v>
      </c>
      <c r="AH197" s="299">
        <f t="shared" si="103"/>
        <v>1.6268462480503385E-3</v>
      </c>
      <c r="AI197" s="299">
        <f t="shared" si="103"/>
        <v>1.553185088998221E-3</v>
      </c>
      <c r="AJ197" s="299">
        <f t="shared" si="103"/>
        <v>1.5121381965216042E-3</v>
      </c>
      <c r="AK197" s="299">
        <f t="shared" si="103"/>
        <v>1.4535757690044601E-3</v>
      </c>
      <c r="AL197" s="299">
        <f t="shared" si="103"/>
        <v>1.3758551513784508E-3</v>
      </c>
      <c r="AM197" s="299">
        <f t="shared" si="101"/>
        <v>1.2820499202350381E-3</v>
      </c>
      <c r="AN197" s="299">
        <f t="shared" si="101"/>
        <v>1.1809787434222925E-3</v>
      </c>
      <c r="AO197" s="299">
        <f t="shared" si="101"/>
        <v>1.0845641653668924E-3</v>
      </c>
      <c r="AP197" s="299">
        <f t="shared" si="101"/>
        <v>1.0027038686049742E-3</v>
      </c>
      <c r="AQ197" s="299">
        <f t="shared" si="101"/>
        <v>9.3979849563372833E-4</v>
      </c>
      <c r="AR197" s="299">
        <f t="shared" si="96"/>
        <v>8.9506442204078079E-4</v>
      </c>
      <c r="AS197" s="299">
        <f t="shared" si="96"/>
        <v>8.6497701804142736E-4</v>
      </c>
      <c r="AT197" s="299">
        <f t="shared" si="96"/>
        <v>8.4549186092130134E-4</v>
      </c>
      <c r="AU197" s="299">
        <f t="shared" si="96"/>
        <v>8.3318027505456321E-4</v>
      </c>
      <c r="AV197" s="299">
        <f t="shared" si="96"/>
        <v>8.2552207073909002E-4</v>
      </c>
      <c r="AW197" s="299">
        <f t="shared" si="94"/>
        <v>8.208047069234685E-4</v>
      </c>
      <c r="AX197" s="299">
        <f t="shared" si="94"/>
        <v>8.179163238887649E-4</v>
      </c>
      <c r="AY197" s="299">
        <f t="shared" si="94"/>
        <v>8.1615432363481841E-4</v>
      </c>
      <c r="AZ197" s="298">
        <f t="shared" si="104"/>
        <v>9.0061863078387511E-2</v>
      </c>
      <c r="BA197" s="1">
        <f t="shared" si="104"/>
        <v>9.0061863078387511E-2</v>
      </c>
      <c r="BB197" s="1">
        <f t="shared" si="104"/>
        <v>9.0061863078387511E-2</v>
      </c>
      <c r="BC197" s="1">
        <f t="shared" si="104"/>
        <v>9.0061863078387511E-2</v>
      </c>
      <c r="BD197" s="1">
        <f t="shared" si="104"/>
        <v>9.0061863078387511E-2</v>
      </c>
      <c r="BE197" s="1">
        <f t="shared" si="104"/>
        <v>8.5983996944020133E-2</v>
      </c>
      <c r="BF197" s="1">
        <f t="shared" si="104"/>
        <v>8.371164968658712E-2</v>
      </c>
      <c r="BG197" s="1">
        <f t="shared" si="104"/>
        <v>8.0469646126073754E-2</v>
      </c>
      <c r="BH197" s="1">
        <f t="shared" si="104"/>
        <v>7.6167049226465083E-2</v>
      </c>
      <c r="BI197" s="1">
        <f t="shared" si="102"/>
        <v>7.0974011535657383E-2</v>
      </c>
      <c r="BJ197" s="1">
        <f t="shared" si="102"/>
        <v>6.5378732634415238E-2</v>
      </c>
      <c r="BK197" s="1">
        <f t="shared" si="102"/>
        <v>6.0041242052258345E-2</v>
      </c>
      <c r="BL197" s="1">
        <f t="shared" si="102"/>
        <v>5.5509473394117811E-2</v>
      </c>
      <c r="BM197" s="1">
        <f t="shared" si="102"/>
        <v>5.2027045294830127E-2</v>
      </c>
      <c r="BN197" s="1">
        <f t="shared" si="97"/>
        <v>4.9550576473209873E-2</v>
      </c>
      <c r="BO197" s="1">
        <f t="shared" si="97"/>
        <v>4.7884944172295565E-2</v>
      </c>
      <c r="BP197" s="1">
        <f t="shared" si="97"/>
        <v>4.6806250008838667E-2</v>
      </c>
      <c r="BQ197" s="1">
        <f t="shared" si="97"/>
        <v>4.6124683227751144E-2</v>
      </c>
      <c r="BR197" s="1">
        <f t="shared" si="97"/>
        <v>4.5700726661902939E-2</v>
      </c>
      <c r="BS197" s="1">
        <f t="shared" si="95"/>
        <v>4.5439574402085757E-2</v>
      </c>
      <c r="BT197" s="1">
        <f t="shared" si="95"/>
        <v>4.5279674130193952E-2</v>
      </c>
      <c r="BU197" s="1">
        <f t="shared" si="95"/>
        <v>4.5182130170028575E-2</v>
      </c>
    </row>
    <row r="198" spans="1:73" x14ac:dyDescent="0.25">
      <c r="A198" s="1" t="s">
        <v>43</v>
      </c>
      <c r="B198" s="1" t="s">
        <v>5</v>
      </c>
      <c r="C198" s="1" t="s">
        <v>17</v>
      </c>
      <c r="D198" s="1" t="s">
        <v>17</v>
      </c>
      <c r="E198" s="5">
        <v>8.1839999999999993</v>
      </c>
      <c r="F198" s="1">
        <f t="shared" si="57"/>
        <v>2.0050800000000001E-2</v>
      </c>
      <c r="G198" s="1">
        <f>LOOKUP(RIGHT(D198,5),Ref!$C$4:$C$21,Ref!$E$4:$E$21)*$G$3</f>
        <v>3</v>
      </c>
      <c r="H198" s="297">
        <f t="shared" ref="H198:L213" si="107">$E198</f>
        <v>8.1839999999999993</v>
      </c>
      <c r="I198" s="5">
        <f t="shared" si="107"/>
        <v>8.1839999999999993</v>
      </c>
      <c r="J198" s="5">
        <f t="shared" si="107"/>
        <v>8.1839999999999993</v>
      </c>
      <c r="K198" s="5">
        <f t="shared" si="107"/>
        <v>8.1839999999999993</v>
      </c>
      <c r="L198" s="5">
        <f t="shared" si="107"/>
        <v>8.1839999999999993</v>
      </c>
      <c r="M198" s="5">
        <f t="shared" si="106"/>
        <v>8.5721333460852058</v>
      </c>
      <c r="N198" s="5">
        <f t="shared" si="106"/>
        <v>8.8048233452938565</v>
      </c>
      <c r="O198" s="5">
        <f t="shared" si="106"/>
        <v>9.1595567138290086</v>
      </c>
      <c r="P198" s="5">
        <f t="shared" si="106"/>
        <v>9.6769704868312196</v>
      </c>
      <c r="Q198" s="5">
        <f t="shared" si="106"/>
        <v>10.38501659249204</v>
      </c>
      <c r="R198" s="5">
        <f t="shared" si="106"/>
        <v>11.273792833444022</v>
      </c>
      <c r="S198" s="5">
        <f t="shared" si="106"/>
        <v>12.276</v>
      </c>
      <c r="T198" s="5">
        <f t="shared" si="106"/>
        <v>13.278207166555976</v>
      </c>
      <c r="U198" s="5">
        <f t="shared" si="106"/>
        <v>14.166983407507958</v>
      </c>
      <c r="V198" s="5">
        <f t="shared" si="106"/>
        <v>14.875029513168778</v>
      </c>
      <c r="W198" s="5">
        <f t="shared" si="106"/>
        <v>15.392443286170987</v>
      </c>
      <c r="X198" s="5">
        <f t="shared" si="106"/>
        <v>15.747176654706141</v>
      </c>
      <c r="Y198" s="5">
        <f t="shared" si="106"/>
        <v>15.979866653914792</v>
      </c>
      <c r="Z198" s="5">
        <f t="shared" si="106"/>
        <v>16.128108703530899</v>
      </c>
      <c r="AA198" s="5">
        <f t="shared" si="106"/>
        <v>16.220800857670241</v>
      </c>
      <c r="AB198" s="5">
        <f t="shared" si="106"/>
        <v>16.278082861511226</v>
      </c>
      <c r="AC198" s="5">
        <f t="shared" si="105"/>
        <v>16.313225708035652</v>
      </c>
      <c r="AD198" s="300">
        <f t="shared" si="103"/>
        <v>1.6793251592777689E-3</v>
      </c>
      <c r="AE198" s="299">
        <f t="shared" si="103"/>
        <v>1.6793251592777689E-3</v>
      </c>
      <c r="AF198" s="299">
        <f t="shared" si="103"/>
        <v>1.6793251592777689E-3</v>
      </c>
      <c r="AG198" s="299">
        <f t="shared" si="103"/>
        <v>1.6793251592777689E-3</v>
      </c>
      <c r="AH198" s="299">
        <f t="shared" si="103"/>
        <v>1.6793251592777689E-3</v>
      </c>
      <c r="AI198" s="299">
        <f t="shared" si="103"/>
        <v>1.6032878338046155E-3</v>
      </c>
      <c r="AJ198" s="299">
        <f t="shared" si="103"/>
        <v>1.5609168480223011E-3</v>
      </c>
      <c r="AK198" s="299">
        <f t="shared" si="103"/>
        <v>1.5004653099400882E-3</v>
      </c>
      <c r="AL198" s="299">
        <f t="shared" si="103"/>
        <v>1.4202375756164655E-3</v>
      </c>
      <c r="AM198" s="299">
        <f t="shared" si="101"/>
        <v>1.3234063692748783E-3</v>
      </c>
      <c r="AN198" s="299">
        <f t="shared" si="101"/>
        <v>1.219074831919786E-3</v>
      </c>
      <c r="AO198" s="299">
        <f t="shared" si="101"/>
        <v>1.1195501061851791E-3</v>
      </c>
      <c r="AP198" s="299">
        <f t="shared" si="101"/>
        <v>1.0350491546890057E-3</v>
      </c>
      <c r="AQ198" s="299">
        <f t="shared" si="101"/>
        <v>9.7011457613804222E-4</v>
      </c>
      <c r="AR198" s="299">
        <f t="shared" si="96"/>
        <v>9.2393746791306409E-4</v>
      </c>
      <c r="AS198" s="299">
        <f t="shared" si="96"/>
        <v>8.9287950249437669E-4</v>
      </c>
      <c r="AT198" s="299">
        <f t="shared" si="96"/>
        <v>8.7276579191876283E-4</v>
      </c>
      <c r="AU198" s="299">
        <f t="shared" si="96"/>
        <v>8.6005705812083953E-4</v>
      </c>
      <c r="AV198" s="299">
        <f t="shared" si="96"/>
        <v>8.5215181495648022E-4</v>
      </c>
      <c r="AW198" s="299">
        <f t="shared" si="94"/>
        <v>8.4728227811454819E-4</v>
      </c>
      <c r="AX198" s="299">
        <f t="shared" si="94"/>
        <v>8.443007214335638E-4</v>
      </c>
      <c r="AY198" s="299">
        <f t="shared" si="94"/>
        <v>8.4248188246174806E-4</v>
      </c>
      <c r="AZ198" s="298">
        <f t="shared" si="104"/>
        <v>9.2967084468012925E-2</v>
      </c>
      <c r="BA198" s="1">
        <f t="shared" si="104"/>
        <v>9.2967084468012925E-2</v>
      </c>
      <c r="BB198" s="1">
        <f t="shared" si="104"/>
        <v>9.2967084468012925E-2</v>
      </c>
      <c r="BC198" s="1">
        <f t="shared" si="104"/>
        <v>9.2967084468012925E-2</v>
      </c>
      <c r="BD198" s="1">
        <f t="shared" si="104"/>
        <v>9.2967084468012925E-2</v>
      </c>
      <c r="BE198" s="1">
        <f t="shared" si="104"/>
        <v>8.8757674264794986E-2</v>
      </c>
      <c r="BF198" s="1">
        <f t="shared" si="104"/>
        <v>8.6412025482928645E-2</v>
      </c>
      <c r="BG198" s="1">
        <f t="shared" si="104"/>
        <v>8.3065441162398723E-2</v>
      </c>
      <c r="BH198" s="1">
        <f t="shared" si="104"/>
        <v>7.8624050814415591E-2</v>
      </c>
      <c r="BI198" s="1">
        <f t="shared" si="102"/>
        <v>7.326349577874311E-2</v>
      </c>
      <c r="BJ198" s="1">
        <f t="shared" si="102"/>
        <v>6.7487724009718975E-2</v>
      </c>
      <c r="BK198" s="1">
        <f t="shared" si="102"/>
        <v>6.1978056312008617E-2</v>
      </c>
      <c r="BL198" s="1">
        <f t="shared" si="102"/>
        <v>5.7300101568121618E-2</v>
      </c>
      <c r="BM198" s="1">
        <f t="shared" si="102"/>
        <v>5.3705337078534331E-2</v>
      </c>
      <c r="BN198" s="1">
        <f t="shared" si="97"/>
        <v>5.1148982165894072E-2</v>
      </c>
      <c r="BO198" s="1">
        <f t="shared" si="97"/>
        <v>4.9429619790756718E-2</v>
      </c>
      <c r="BP198" s="1">
        <f t="shared" si="97"/>
        <v>4.8316129041381856E-2</v>
      </c>
      <c r="BQ198" s="1">
        <f t="shared" si="97"/>
        <v>4.7612576235097959E-2</v>
      </c>
      <c r="BR198" s="1">
        <f t="shared" si="97"/>
        <v>4.7174943650996587E-2</v>
      </c>
      <c r="BS198" s="1">
        <f t="shared" si="95"/>
        <v>4.6905367124733692E-2</v>
      </c>
      <c r="BT198" s="1">
        <f t="shared" si="95"/>
        <v>4.6740308779555054E-2</v>
      </c>
      <c r="BU198" s="1">
        <f t="shared" si="95"/>
        <v>4.6639618240029497E-2</v>
      </c>
    </row>
    <row r="199" spans="1:73" x14ac:dyDescent="0.25">
      <c r="A199" s="1" t="s">
        <v>43</v>
      </c>
      <c r="B199" s="1" t="s">
        <v>5</v>
      </c>
      <c r="C199" s="1" t="s">
        <v>18</v>
      </c>
      <c r="D199" s="1" t="s">
        <v>18</v>
      </c>
      <c r="E199" s="5">
        <v>9.0750000000000011</v>
      </c>
      <c r="F199" s="1">
        <f t="shared" ref="F199:F227" si="108">E199/$B$2*$F$3/1000</f>
        <v>2.223375E-2</v>
      </c>
      <c r="G199" s="1">
        <f>LOOKUP(RIGHT(D199,5),Ref!$C$4:$C$21,Ref!$E$4:$E$21)*$G$3</f>
        <v>3</v>
      </c>
      <c r="H199" s="297">
        <f t="shared" si="107"/>
        <v>9.0750000000000011</v>
      </c>
      <c r="I199" s="5">
        <f t="shared" si="107"/>
        <v>9.0750000000000011</v>
      </c>
      <c r="J199" s="5">
        <f t="shared" si="107"/>
        <v>9.0750000000000011</v>
      </c>
      <c r="K199" s="5">
        <f t="shared" si="107"/>
        <v>9.0750000000000011</v>
      </c>
      <c r="L199" s="5">
        <f t="shared" si="107"/>
        <v>9.0750000000000011</v>
      </c>
      <c r="M199" s="5">
        <f t="shared" si="106"/>
        <v>9.5053897990864193</v>
      </c>
      <c r="N199" s="5">
        <f t="shared" si="106"/>
        <v>9.7634129836927848</v>
      </c>
      <c r="O199" s="5">
        <f t="shared" si="106"/>
        <v>10.156766517350718</v>
      </c>
      <c r="P199" s="5">
        <f t="shared" si="106"/>
        <v>10.730511628542684</v>
      </c>
      <c r="Q199" s="5">
        <f t="shared" si="106"/>
        <v>11.515643398932708</v>
      </c>
      <c r="R199" s="5">
        <f t="shared" si="106"/>
        <v>12.501181569343172</v>
      </c>
      <c r="S199" s="5">
        <f t="shared" si="106"/>
        <v>13.612500000000001</v>
      </c>
      <c r="T199" s="5">
        <f t="shared" si="106"/>
        <v>14.723818430656831</v>
      </c>
      <c r="U199" s="5">
        <f t="shared" si="106"/>
        <v>15.709356601067295</v>
      </c>
      <c r="V199" s="5">
        <f t="shared" si="106"/>
        <v>16.494488371457319</v>
      </c>
      <c r="W199" s="5">
        <f t="shared" si="106"/>
        <v>17.068233482649283</v>
      </c>
      <c r="X199" s="5">
        <f t="shared" si="106"/>
        <v>17.461587016307217</v>
      </c>
      <c r="Y199" s="5">
        <f t="shared" si="106"/>
        <v>17.719610200913586</v>
      </c>
      <c r="Z199" s="5">
        <f t="shared" si="106"/>
        <v>17.883991505931444</v>
      </c>
      <c r="AA199" s="5">
        <f t="shared" si="106"/>
        <v>17.98677514459402</v>
      </c>
      <c r="AB199" s="5">
        <f t="shared" si="106"/>
        <v>18.050293495627368</v>
      </c>
      <c r="AC199" s="5">
        <f t="shared" si="105"/>
        <v>18.089262377862116</v>
      </c>
      <c r="AD199" s="300">
        <f t="shared" si="103"/>
        <v>1.5144459618214058E-3</v>
      </c>
      <c r="AE199" s="299">
        <f t="shared" si="103"/>
        <v>1.5144459618214058E-3</v>
      </c>
      <c r="AF199" s="299">
        <f t="shared" si="103"/>
        <v>1.5144459618214058E-3</v>
      </c>
      <c r="AG199" s="299">
        <f t="shared" si="103"/>
        <v>1.5144459618214058E-3</v>
      </c>
      <c r="AH199" s="299">
        <f t="shared" si="103"/>
        <v>1.5144459618214058E-3</v>
      </c>
      <c r="AI199" s="299">
        <f t="shared" si="103"/>
        <v>1.4458741192128893E-3</v>
      </c>
      <c r="AJ199" s="299">
        <f t="shared" si="103"/>
        <v>1.4076631938528387E-3</v>
      </c>
      <c r="AK199" s="299">
        <f t="shared" si="103"/>
        <v>1.3531468976914246E-3</v>
      </c>
      <c r="AL199" s="299">
        <f t="shared" si="103"/>
        <v>1.2807960681923032E-3</v>
      </c>
      <c r="AM199" s="299">
        <f t="shared" si="101"/>
        <v>1.1934719257460718E-3</v>
      </c>
      <c r="AN199" s="299">
        <f t="shared" si="101"/>
        <v>1.0993838484222068E-3</v>
      </c>
      <c r="AO199" s="299">
        <f t="shared" si="101"/>
        <v>1.0096306412142706E-3</v>
      </c>
      <c r="AP199" s="299">
        <f t="shared" si="101"/>
        <v>9.3342614677408497E-4</v>
      </c>
      <c r="AQ199" s="299">
        <f t="shared" si="101"/>
        <v>8.7486696320812521E-4</v>
      </c>
      <c r="AR199" s="299">
        <f t="shared" si="96"/>
        <v>8.3322360742705398E-4</v>
      </c>
      <c r="AS199" s="299">
        <f t="shared" si="96"/>
        <v>8.0521496952220141E-4</v>
      </c>
      <c r="AT199" s="299">
        <f t="shared" si="96"/>
        <v>7.8707605962128409E-4</v>
      </c>
      <c r="AU199" s="299">
        <f t="shared" si="96"/>
        <v>7.7561509241442952E-4</v>
      </c>
      <c r="AV199" s="299">
        <f t="shared" si="96"/>
        <v>7.6848600039711645E-4</v>
      </c>
      <c r="AW199" s="299">
        <f t="shared" si="94"/>
        <v>7.6409456353602882E-4</v>
      </c>
      <c r="AX199" s="299">
        <f t="shared" si="94"/>
        <v>7.6140574151099577E-4</v>
      </c>
      <c r="AY199" s="299">
        <f t="shared" si="94"/>
        <v>7.5976547945641275E-4</v>
      </c>
      <c r="AZ199" s="298">
        <f t="shared" si="104"/>
        <v>8.383940708388074E-2</v>
      </c>
      <c r="BA199" s="1">
        <f t="shared" si="104"/>
        <v>8.383940708388074E-2</v>
      </c>
      <c r="BB199" s="1">
        <f t="shared" si="104"/>
        <v>8.383940708388074E-2</v>
      </c>
      <c r="BC199" s="1">
        <f t="shared" si="104"/>
        <v>8.383940708388074E-2</v>
      </c>
      <c r="BD199" s="1">
        <f t="shared" si="104"/>
        <v>8.383940708388074E-2</v>
      </c>
      <c r="BE199" s="1">
        <f t="shared" si="104"/>
        <v>8.0043284427887829E-2</v>
      </c>
      <c r="BF199" s="1">
        <f t="shared" si="104"/>
        <v>7.7927935708241108E-2</v>
      </c>
      <c r="BG199" s="1">
        <f t="shared" si="104"/>
        <v>7.490992512099956E-2</v>
      </c>
      <c r="BH199" s="1">
        <f t="shared" si="104"/>
        <v>7.0904598552636589E-2</v>
      </c>
      <c r="BI199" s="1">
        <f t="shared" si="102"/>
        <v>6.6070352556830136E-2</v>
      </c>
      <c r="BJ199" s="1">
        <f t="shared" si="102"/>
        <v>6.0861656561491999E-2</v>
      </c>
      <c r="BK199" s="1">
        <f t="shared" si="102"/>
        <v>5.5892938055920494E-2</v>
      </c>
      <c r="BL199" s="1">
        <f t="shared" si="102"/>
        <v>5.1674273414160574E-2</v>
      </c>
      <c r="BM199" s="1">
        <f t="shared" si="102"/>
        <v>4.8432449438096402E-2</v>
      </c>
      <c r="BN199" s="1">
        <f t="shared" si="97"/>
        <v>4.6127082098697182E-2</v>
      </c>
      <c r="BO199" s="1">
        <f t="shared" si="97"/>
        <v>4.4576529847664227E-2</v>
      </c>
      <c r="BP199" s="1">
        <f t="shared" si="97"/>
        <v>4.3572363644591626E-2</v>
      </c>
      <c r="BQ199" s="1">
        <f t="shared" si="97"/>
        <v>4.2937886932015598E-2</v>
      </c>
      <c r="BR199" s="1">
        <f t="shared" si="97"/>
        <v>4.2543221910716911E-2</v>
      </c>
      <c r="BS199" s="1">
        <f t="shared" si="95"/>
        <v>4.2300112897941645E-2</v>
      </c>
      <c r="BT199" s="1">
        <f t="shared" si="95"/>
        <v>4.2151260281198734E-2</v>
      </c>
      <c r="BU199" s="1">
        <f t="shared" si="95"/>
        <v>4.2060455721917508E-2</v>
      </c>
    </row>
    <row r="200" spans="1:73" x14ac:dyDescent="0.25">
      <c r="A200" s="1" t="s">
        <v>43</v>
      </c>
      <c r="B200" s="1" t="s">
        <v>5</v>
      </c>
      <c r="C200" s="1" t="s">
        <v>6</v>
      </c>
      <c r="D200" s="1" t="s">
        <v>6</v>
      </c>
      <c r="E200" s="5">
        <v>7.7467499999999996</v>
      </c>
      <c r="F200" s="1">
        <f t="shared" si="108"/>
        <v>1.8979537500000001E-2</v>
      </c>
      <c r="G200" s="1">
        <f>LOOKUP(RIGHT(D200,5),Ref!$C$4:$C$21,Ref!$E$4:$E$21)*$G$3</f>
        <v>3</v>
      </c>
      <c r="H200" s="297">
        <f t="shared" si="107"/>
        <v>7.7467499999999996</v>
      </c>
      <c r="I200" s="5">
        <f t="shared" si="107"/>
        <v>7.7467499999999996</v>
      </c>
      <c r="J200" s="5">
        <f t="shared" si="107"/>
        <v>7.7467499999999996</v>
      </c>
      <c r="K200" s="5">
        <f t="shared" si="107"/>
        <v>7.7467499999999996</v>
      </c>
      <c r="L200" s="5">
        <f t="shared" si="107"/>
        <v>7.7467499999999996</v>
      </c>
      <c r="M200" s="5">
        <f t="shared" si="106"/>
        <v>8.1141463830383156</v>
      </c>
      <c r="N200" s="5">
        <f t="shared" si="106"/>
        <v>8.3344043560795669</v>
      </c>
      <c r="O200" s="5">
        <f t="shared" si="106"/>
        <v>8.6701852361748397</v>
      </c>
      <c r="P200" s="5">
        <f t="shared" si="106"/>
        <v>9.1599549265468898</v>
      </c>
      <c r="Q200" s="5">
        <f t="shared" si="106"/>
        <v>9.8301719559980096</v>
      </c>
      <c r="R200" s="5">
        <f t="shared" si="106"/>
        <v>10.671463176012033</v>
      </c>
      <c r="S200" s="5">
        <f t="shared" si="106"/>
        <v>11.620125</v>
      </c>
      <c r="T200" s="5">
        <f t="shared" si="106"/>
        <v>12.568786823987965</v>
      </c>
      <c r="U200" s="5">
        <f t="shared" si="106"/>
        <v>13.410078044001988</v>
      </c>
      <c r="V200" s="5">
        <f t="shared" si="106"/>
        <v>14.080295073453108</v>
      </c>
      <c r="W200" s="5">
        <f t="shared" si="106"/>
        <v>14.570064763825158</v>
      </c>
      <c r="X200" s="5">
        <f t="shared" si="106"/>
        <v>14.905845643920431</v>
      </c>
      <c r="Y200" s="5">
        <f t="shared" si="106"/>
        <v>15.126103616961684</v>
      </c>
      <c r="Z200" s="5">
        <f t="shared" si="106"/>
        <v>15.26642547642693</v>
      </c>
      <c r="AA200" s="5">
        <f t="shared" si="106"/>
        <v>15.354165327976167</v>
      </c>
      <c r="AB200" s="5">
        <f t="shared" si="106"/>
        <v>15.408386902176453</v>
      </c>
      <c r="AC200" s="5">
        <f t="shared" si="105"/>
        <v>15.441652157102297</v>
      </c>
      <c r="AD200" s="300">
        <f t="shared" si="103"/>
        <v>1.7741113503765141E-3</v>
      </c>
      <c r="AE200" s="299">
        <f t="shared" si="103"/>
        <v>1.7741113503765141E-3</v>
      </c>
      <c r="AF200" s="299">
        <f t="shared" si="103"/>
        <v>1.7741113503765141E-3</v>
      </c>
      <c r="AG200" s="299">
        <f t="shared" si="103"/>
        <v>1.7741113503765141E-3</v>
      </c>
      <c r="AH200" s="299">
        <f t="shared" si="103"/>
        <v>1.7741113503765141E-3</v>
      </c>
      <c r="AI200" s="299">
        <f t="shared" si="103"/>
        <v>1.6937822482792101E-3</v>
      </c>
      <c r="AJ200" s="299">
        <f t="shared" si="103"/>
        <v>1.6490197159085441E-3</v>
      </c>
      <c r="AK200" s="299">
        <f t="shared" si="103"/>
        <v>1.5851561101816478E-3</v>
      </c>
      <c r="AL200" s="299">
        <f t="shared" si="103"/>
        <v>1.5004000798844877E-3</v>
      </c>
      <c r="AM200" s="299">
        <f t="shared" si="101"/>
        <v>1.3981034273915648E-3</v>
      </c>
      <c r="AN200" s="299">
        <f t="shared" si="101"/>
        <v>1.2878831025180274E-3</v>
      </c>
      <c r="AO200" s="299">
        <f t="shared" si="101"/>
        <v>1.1827409002510094E-3</v>
      </c>
      <c r="AP200" s="299">
        <f t="shared" si="101"/>
        <v>1.093470459479759E-3</v>
      </c>
      <c r="AQ200" s="299">
        <f t="shared" si="101"/>
        <v>1.0248707769211266E-3</v>
      </c>
      <c r="AR200" s="299">
        <f t="shared" si="96"/>
        <v>9.7608729304553732E-4</v>
      </c>
      <c r="AS200" s="299">
        <f t="shared" si="96"/>
        <v>9.4327632212398477E-4</v>
      </c>
      <c r="AT200" s="299">
        <f t="shared" si="96"/>
        <v>9.2202733288968333E-4</v>
      </c>
      <c r="AU200" s="299">
        <f t="shared" si="96"/>
        <v>9.0860127971871432E-4</v>
      </c>
      <c r="AV200" s="299">
        <f t="shared" si="96"/>
        <v>9.002498407207969E-4</v>
      </c>
      <c r="AW200" s="299">
        <f t="shared" si="94"/>
        <v>8.9510545249162066E-4</v>
      </c>
      <c r="AX200" s="299">
        <f t="shared" si="94"/>
        <v>8.919556077338609E-4</v>
      </c>
      <c r="AY200" s="299">
        <f t="shared" si="94"/>
        <v>8.9003410798940794E-4</v>
      </c>
      <c r="AZ200" s="298">
        <f t="shared" si="104"/>
        <v>9.8214427893790021E-2</v>
      </c>
      <c r="BA200" s="1">
        <f t="shared" si="104"/>
        <v>9.8214427893790021E-2</v>
      </c>
      <c r="BB200" s="1">
        <f t="shared" si="104"/>
        <v>9.8214427893790021E-2</v>
      </c>
      <c r="BC200" s="1">
        <f t="shared" si="104"/>
        <v>9.8214427893790021E-2</v>
      </c>
      <c r="BD200" s="1">
        <f t="shared" si="104"/>
        <v>9.8214427893790021E-2</v>
      </c>
      <c r="BE200" s="1">
        <f t="shared" si="104"/>
        <v>9.3767425847365929E-2</v>
      </c>
      <c r="BF200" s="1">
        <f t="shared" si="104"/>
        <v>9.128938155385008E-2</v>
      </c>
      <c r="BG200" s="1">
        <f t="shared" si="104"/>
        <v>8.7753905892544753E-2</v>
      </c>
      <c r="BH200" s="1">
        <f t="shared" si="104"/>
        <v>8.3061830040362369E-2</v>
      </c>
      <c r="BI200" s="1">
        <f t="shared" si="102"/>
        <v>7.7398709065509233E-2</v>
      </c>
      <c r="BJ200" s="1">
        <f t="shared" si="102"/>
        <v>7.129693526905348E-2</v>
      </c>
      <c r="BK200" s="1">
        <f t="shared" si="102"/>
        <v>6.5476285262526676E-2</v>
      </c>
      <c r="BL200" s="1">
        <f t="shared" si="102"/>
        <v>6.0534292604447967E-2</v>
      </c>
      <c r="BM200" s="1">
        <f t="shared" si="102"/>
        <v>5.6736628734724237E-2</v>
      </c>
      <c r="BN200" s="1">
        <f t="shared" si="97"/>
        <v>5.4035985419134097E-2</v>
      </c>
      <c r="BO200" s="1">
        <f t="shared" si="97"/>
        <v>5.2219577031342557E-2</v>
      </c>
      <c r="BP200" s="1">
        <f t="shared" si="97"/>
        <v>5.1043237496326728E-2</v>
      </c>
      <c r="BQ200" s="1">
        <f t="shared" si="97"/>
        <v>5.0299974041764825E-2</v>
      </c>
      <c r="BR200" s="1">
        <f t="shared" si="97"/>
        <v>4.983764015099959E-2</v>
      </c>
      <c r="BS200" s="1">
        <f t="shared" si="95"/>
        <v>4.9552847910261787E-2</v>
      </c>
      <c r="BT200" s="1">
        <f t="shared" si="95"/>
        <v>4.9378473172863271E-2</v>
      </c>
      <c r="BU200" s="1">
        <f t="shared" si="95"/>
        <v>4.9272099354748945E-2</v>
      </c>
    </row>
    <row r="201" spans="1:73" x14ac:dyDescent="0.25">
      <c r="A201" s="1" t="s">
        <v>43</v>
      </c>
      <c r="B201" s="1" t="s">
        <v>5</v>
      </c>
      <c r="C201" s="1" t="s">
        <v>7</v>
      </c>
      <c r="D201" s="1" t="s">
        <v>7</v>
      </c>
      <c r="E201" s="5">
        <v>8.8935000000000013</v>
      </c>
      <c r="F201" s="1">
        <f t="shared" si="108"/>
        <v>2.1789075000000001E-2</v>
      </c>
      <c r="G201" s="1">
        <f>LOOKUP(RIGHT(D201,5),Ref!$C$4:$C$21,Ref!$E$4:$E$21)*$G$3</f>
        <v>3.5</v>
      </c>
      <c r="H201" s="297">
        <f t="shared" si="107"/>
        <v>8.8935000000000013</v>
      </c>
      <c r="I201" s="5">
        <f t="shared" si="107"/>
        <v>8.8935000000000013</v>
      </c>
      <c r="J201" s="5">
        <f t="shared" si="107"/>
        <v>8.8935000000000013</v>
      </c>
      <c r="K201" s="5">
        <f t="shared" si="107"/>
        <v>8.8935000000000013</v>
      </c>
      <c r="L201" s="5">
        <f t="shared" si="107"/>
        <v>8.8935000000000013</v>
      </c>
      <c r="M201" s="5">
        <f t="shared" si="106"/>
        <v>9.3152820031046915</v>
      </c>
      <c r="N201" s="5">
        <f t="shared" si="106"/>
        <v>9.5681447240189303</v>
      </c>
      <c r="O201" s="5">
        <f t="shared" si="106"/>
        <v>9.9536311870037046</v>
      </c>
      <c r="P201" s="5">
        <f t="shared" si="106"/>
        <v>10.515901395971833</v>
      </c>
      <c r="Q201" s="5">
        <f t="shared" si="106"/>
        <v>11.285330530954054</v>
      </c>
      <c r="R201" s="5">
        <f t="shared" si="106"/>
        <v>12.251157937956309</v>
      </c>
      <c r="S201" s="5">
        <f t="shared" si="106"/>
        <v>13.340250000000001</v>
      </c>
      <c r="T201" s="5">
        <f t="shared" si="106"/>
        <v>14.429342062043695</v>
      </c>
      <c r="U201" s="5">
        <f t="shared" si="106"/>
        <v>15.39516946904595</v>
      </c>
      <c r="V201" s="5">
        <f t="shared" si="106"/>
        <v>16.164598604028171</v>
      </c>
      <c r="W201" s="5">
        <f t="shared" si="106"/>
        <v>16.726868812996297</v>
      </c>
      <c r="X201" s="5">
        <f t="shared" si="106"/>
        <v>17.112355275981074</v>
      </c>
      <c r="Y201" s="5">
        <f t="shared" si="106"/>
        <v>17.365217996895314</v>
      </c>
      <c r="Z201" s="5">
        <f t="shared" si="106"/>
        <v>17.526311675812817</v>
      </c>
      <c r="AA201" s="5">
        <f t="shared" si="106"/>
        <v>17.62703964170214</v>
      </c>
      <c r="AB201" s="5">
        <f t="shared" si="106"/>
        <v>17.689287625714822</v>
      </c>
      <c r="AC201" s="5">
        <f t="shared" si="105"/>
        <v>17.727477130304877</v>
      </c>
      <c r="AD201" s="300">
        <f t="shared" si="103"/>
        <v>1.5453530222667407E-3</v>
      </c>
      <c r="AE201" s="299">
        <f t="shared" si="103"/>
        <v>1.5453530222667407E-3</v>
      </c>
      <c r="AF201" s="299">
        <f t="shared" si="103"/>
        <v>1.5453530222667407E-3</v>
      </c>
      <c r="AG201" s="299">
        <f t="shared" si="103"/>
        <v>1.5453530222667407E-3</v>
      </c>
      <c r="AH201" s="299">
        <f t="shared" si="103"/>
        <v>1.5453530222667407E-3</v>
      </c>
      <c r="AI201" s="299">
        <f t="shared" si="103"/>
        <v>1.4753817542988666E-3</v>
      </c>
      <c r="AJ201" s="299">
        <f t="shared" si="103"/>
        <v>1.4363910141355497E-3</v>
      </c>
      <c r="AK201" s="299">
        <f t="shared" si="103"/>
        <v>1.3807621405014536E-3</v>
      </c>
      <c r="AL201" s="299">
        <f t="shared" si="103"/>
        <v>1.3069347634615338E-3</v>
      </c>
      <c r="AM201" s="299">
        <f t="shared" si="101"/>
        <v>1.2178284956592569E-3</v>
      </c>
      <c r="AN201" s="299">
        <f t="shared" si="101"/>
        <v>1.1218202534920478E-3</v>
      </c>
      <c r="AO201" s="299">
        <f t="shared" si="101"/>
        <v>1.0302353481778271E-3</v>
      </c>
      <c r="AP201" s="299">
        <f t="shared" si="101"/>
        <v>9.5247565997355599E-4</v>
      </c>
      <c r="AQ201" s="299">
        <f t="shared" si="101"/>
        <v>8.9272139102869908E-4</v>
      </c>
      <c r="AR201" s="299">
        <f t="shared" si="96"/>
        <v>8.5022817084393272E-4</v>
      </c>
      <c r="AS201" s="299">
        <f t="shared" si="96"/>
        <v>8.2164792808387896E-4</v>
      </c>
      <c r="AT201" s="299">
        <f t="shared" si="96"/>
        <v>8.0313883634824902E-4</v>
      </c>
      <c r="AU201" s="299">
        <f t="shared" si="96"/>
        <v>7.9144397185145876E-4</v>
      </c>
      <c r="AV201" s="299">
        <f t="shared" si="96"/>
        <v>7.8416938816032282E-4</v>
      </c>
      <c r="AW201" s="299">
        <f t="shared" si="94"/>
        <v>7.7968833013880492E-4</v>
      </c>
      <c r="AX201" s="299">
        <f t="shared" si="94"/>
        <v>7.7694463419489355E-4</v>
      </c>
      <c r="AY201" s="299">
        <f t="shared" si="94"/>
        <v>7.752708974045027E-4</v>
      </c>
      <c r="AZ201" s="298">
        <f t="shared" si="104"/>
        <v>8.555041539171504E-2</v>
      </c>
      <c r="BA201" s="1">
        <f t="shared" si="104"/>
        <v>8.555041539171504E-2</v>
      </c>
      <c r="BB201" s="1">
        <f t="shared" si="104"/>
        <v>8.555041539171504E-2</v>
      </c>
      <c r="BC201" s="1">
        <f t="shared" si="104"/>
        <v>8.555041539171504E-2</v>
      </c>
      <c r="BD201" s="1">
        <f t="shared" si="104"/>
        <v>8.555041539171504E-2</v>
      </c>
      <c r="BE201" s="1">
        <f t="shared" si="104"/>
        <v>8.167682084478349E-2</v>
      </c>
      <c r="BF201" s="1">
        <f t="shared" si="104"/>
        <v>7.9518301743103162E-2</v>
      </c>
      <c r="BG201" s="1">
        <f t="shared" si="104"/>
        <v>7.6438699103060767E-2</v>
      </c>
      <c r="BH201" s="1">
        <f t="shared" si="104"/>
        <v>7.2351631176159781E-2</v>
      </c>
      <c r="BI201" s="1">
        <f t="shared" si="102"/>
        <v>6.7418727098806266E-2</v>
      </c>
      <c r="BJ201" s="1">
        <f t="shared" si="102"/>
        <v>6.2103731185195916E-2</v>
      </c>
      <c r="BK201" s="1">
        <f t="shared" si="102"/>
        <v>5.7033610261143362E-2</v>
      </c>
      <c r="BL201" s="1">
        <f t="shared" si="102"/>
        <v>5.2728850422612827E-2</v>
      </c>
      <c r="BM201" s="1">
        <f t="shared" si="102"/>
        <v>4.9420866773567759E-2</v>
      </c>
      <c r="BN201" s="1">
        <f t="shared" si="97"/>
        <v>4.7068451121119577E-2</v>
      </c>
      <c r="BO201" s="1">
        <f t="shared" si="97"/>
        <v>4.5486254946596152E-2</v>
      </c>
      <c r="BP201" s="1">
        <f t="shared" si="97"/>
        <v>4.4461595555705738E-2</v>
      </c>
      <c r="BQ201" s="1">
        <f t="shared" si="97"/>
        <v>4.3814170338791425E-2</v>
      </c>
      <c r="BR201" s="1">
        <f t="shared" si="97"/>
        <v>4.3411450929302965E-2</v>
      </c>
      <c r="BS201" s="1">
        <f t="shared" si="95"/>
        <v>4.316338050810372E-2</v>
      </c>
      <c r="BT201" s="1">
        <f t="shared" si="95"/>
        <v>4.3011490082855847E-2</v>
      </c>
      <c r="BU201" s="1">
        <f t="shared" si="95"/>
        <v>4.2918832369303571E-2</v>
      </c>
    </row>
    <row r="202" spans="1:73" x14ac:dyDescent="0.25">
      <c r="A202" s="1" t="s">
        <v>43</v>
      </c>
      <c r="B202" s="1" t="s">
        <v>5</v>
      </c>
      <c r="C202" s="1" t="s">
        <v>8</v>
      </c>
      <c r="D202" s="1" t="s">
        <v>8</v>
      </c>
      <c r="E202" s="5">
        <v>8.8275000000000006</v>
      </c>
      <c r="F202" s="1">
        <f t="shared" si="108"/>
        <v>2.1627375000000001E-2</v>
      </c>
      <c r="G202" s="1">
        <f>LOOKUP(RIGHT(D202,5),Ref!$C$4:$C$21,Ref!$E$4:$E$21)*$G$3</f>
        <v>4</v>
      </c>
      <c r="H202" s="297">
        <f t="shared" si="107"/>
        <v>8.8275000000000006</v>
      </c>
      <c r="I202" s="5">
        <f t="shared" si="107"/>
        <v>8.8275000000000006</v>
      </c>
      <c r="J202" s="5">
        <f t="shared" si="107"/>
        <v>8.8275000000000006</v>
      </c>
      <c r="K202" s="5">
        <f t="shared" si="107"/>
        <v>8.8275000000000006</v>
      </c>
      <c r="L202" s="5">
        <f t="shared" si="107"/>
        <v>8.8275000000000006</v>
      </c>
      <c r="M202" s="5">
        <f t="shared" si="106"/>
        <v>9.2461518954749717</v>
      </c>
      <c r="N202" s="5">
        <f t="shared" si="106"/>
        <v>9.4971380841375268</v>
      </c>
      <c r="O202" s="5">
        <f t="shared" si="106"/>
        <v>9.879763794150243</v>
      </c>
      <c r="P202" s="5">
        <f t="shared" si="106"/>
        <v>10.437861311400612</v>
      </c>
      <c r="Q202" s="5">
        <f t="shared" si="106"/>
        <v>11.201580397143633</v>
      </c>
      <c r="R202" s="5">
        <f t="shared" si="106"/>
        <v>12.16024025381563</v>
      </c>
      <c r="S202" s="5">
        <f t="shared" si="106"/>
        <v>13.241250000000001</v>
      </c>
      <c r="T202" s="5">
        <f t="shared" si="106"/>
        <v>14.322259746184372</v>
      </c>
      <c r="U202" s="5">
        <f t="shared" si="106"/>
        <v>15.280919602856368</v>
      </c>
      <c r="V202" s="5">
        <f t="shared" si="106"/>
        <v>16.044638688599392</v>
      </c>
      <c r="W202" s="5">
        <f t="shared" si="106"/>
        <v>16.602736205849755</v>
      </c>
      <c r="X202" s="5">
        <f t="shared" si="106"/>
        <v>16.985361915862473</v>
      </c>
      <c r="Y202" s="5">
        <f t="shared" si="106"/>
        <v>17.236348104525032</v>
      </c>
      <c r="Z202" s="5">
        <f t="shared" si="106"/>
        <v>17.396246283042405</v>
      </c>
      <c r="AA202" s="5">
        <f t="shared" si="106"/>
        <v>17.496226731559638</v>
      </c>
      <c r="AB202" s="5">
        <f t="shared" si="106"/>
        <v>17.558012763928442</v>
      </c>
      <c r="AC202" s="5">
        <f t="shared" si="105"/>
        <v>17.595918858465879</v>
      </c>
      <c r="AD202" s="300">
        <f t="shared" si="103"/>
        <v>1.5569070635547163E-3</v>
      </c>
      <c r="AE202" s="299">
        <f t="shared" si="103"/>
        <v>1.5569070635547163E-3</v>
      </c>
      <c r="AF202" s="299">
        <f t="shared" si="103"/>
        <v>1.5569070635547163E-3</v>
      </c>
      <c r="AG202" s="299">
        <f t="shared" si="103"/>
        <v>1.5569070635547163E-3</v>
      </c>
      <c r="AH202" s="299">
        <f t="shared" si="103"/>
        <v>1.5569070635547163E-3</v>
      </c>
      <c r="AI202" s="299">
        <f t="shared" si="103"/>
        <v>1.4864126459197928E-3</v>
      </c>
      <c r="AJ202" s="299">
        <f t="shared" si="103"/>
        <v>1.447130386203853E-3</v>
      </c>
      <c r="AK202" s="299">
        <f t="shared" si="103"/>
        <v>1.3910855957575395E-3</v>
      </c>
      <c r="AL202" s="299">
        <f t="shared" si="103"/>
        <v>1.3167062383285361E-3</v>
      </c>
      <c r="AM202" s="299">
        <f t="shared" si="101"/>
        <v>1.226933755439887E-3</v>
      </c>
      <c r="AN202" s="299">
        <f t="shared" si="101"/>
        <v>1.130207694639652E-3</v>
      </c>
      <c r="AO202" s="299">
        <f t="shared" si="101"/>
        <v>1.037938042369811E-3</v>
      </c>
      <c r="AP202" s="299">
        <f t="shared" si="101"/>
        <v>9.5959697331915266E-4</v>
      </c>
      <c r="AQ202" s="299">
        <f t="shared" si="101"/>
        <v>8.9939594348498848E-4</v>
      </c>
      <c r="AR202" s="299">
        <f t="shared" si="96"/>
        <v>8.5658501698108352E-4</v>
      </c>
      <c r="AS202" s="299">
        <f t="shared" si="96"/>
        <v>8.2779109016301088E-4</v>
      </c>
      <c r="AT202" s="299">
        <f t="shared" si="96"/>
        <v>8.0914361269477817E-4</v>
      </c>
      <c r="AU202" s="299">
        <f t="shared" si="96"/>
        <v>7.9736130995875941E-4</v>
      </c>
      <c r="AV202" s="299">
        <f t="shared" si="96"/>
        <v>7.900323368568487E-4</v>
      </c>
      <c r="AW202" s="299">
        <f t="shared" si="94"/>
        <v>7.8551777559778663E-4</v>
      </c>
      <c r="AX202" s="299">
        <f t="shared" si="94"/>
        <v>7.8275356603934134E-4</v>
      </c>
      <c r="AY202" s="299">
        <f t="shared" si="94"/>
        <v>7.8106731532902231E-4</v>
      </c>
      <c r="AZ202" s="298">
        <f t="shared" si="104"/>
        <v>8.6190044665671789E-2</v>
      </c>
      <c r="BA202" s="1">
        <f t="shared" si="104"/>
        <v>8.6190044665671789E-2</v>
      </c>
      <c r="BB202" s="1">
        <f t="shared" si="104"/>
        <v>8.6190044665671789E-2</v>
      </c>
      <c r="BC202" s="1">
        <f t="shared" si="104"/>
        <v>8.6190044665671789E-2</v>
      </c>
      <c r="BD202" s="1">
        <f t="shared" si="104"/>
        <v>8.6190044665671789E-2</v>
      </c>
      <c r="BE202" s="1">
        <f t="shared" si="104"/>
        <v>8.2287488664183742E-2</v>
      </c>
      <c r="BF202" s="1">
        <f t="shared" si="104"/>
        <v>8.0112831101930113E-2</v>
      </c>
      <c r="BG202" s="1">
        <f t="shared" si="104"/>
        <v>7.7010203395420113E-2</v>
      </c>
      <c r="BH202" s="1">
        <f t="shared" si="104"/>
        <v>7.2892577951308643E-2</v>
      </c>
      <c r="BI202" s="1">
        <f t="shared" si="102"/>
        <v>6.7922792348143135E-2</v>
      </c>
      <c r="BJ202" s="1">
        <f t="shared" si="102"/>
        <v>6.2568058147328229E-2</v>
      </c>
      <c r="BK202" s="1">
        <f t="shared" si="102"/>
        <v>5.7460029777114528E-2</v>
      </c>
      <c r="BL202" s="1">
        <f t="shared" si="102"/>
        <v>5.3123084818295918E-2</v>
      </c>
      <c r="BM202" s="1">
        <f t="shared" si="102"/>
        <v>4.9790368581220608E-2</v>
      </c>
      <c r="BN202" s="1">
        <f t="shared" si="97"/>
        <v>4.7420364774361595E-2</v>
      </c>
      <c r="BO202" s="1">
        <f t="shared" si="97"/>
        <v>4.5826339095729592E-2</v>
      </c>
      <c r="BP202" s="1">
        <f t="shared" si="97"/>
        <v>4.4794018700047469E-2</v>
      </c>
      <c r="BQ202" s="1">
        <f t="shared" si="97"/>
        <v>4.4141752920763708E-2</v>
      </c>
      <c r="BR202" s="1">
        <f t="shared" si="97"/>
        <v>4.3736022525036077E-2</v>
      </c>
      <c r="BS202" s="1">
        <f t="shared" si="95"/>
        <v>4.3486097371715715E-2</v>
      </c>
      <c r="BT202" s="1">
        <f t="shared" si="95"/>
        <v>4.3333071317120192E-2</v>
      </c>
      <c r="BU202" s="1">
        <f t="shared" si="95"/>
        <v>4.3239720835616127E-2</v>
      </c>
    </row>
    <row r="203" spans="1:73" x14ac:dyDescent="0.25">
      <c r="A203" s="1" t="s">
        <v>43</v>
      </c>
      <c r="B203" s="1" t="s">
        <v>5</v>
      </c>
      <c r="C203" s="1" t="s">
        <v>9</v>
      </c>
      <c r="D203" s="1" t="s">
        <v>9</v>
      </c>
      <c r="E203" s="5">
        <v>8.0272500000000004</v>
      </c>
      <c r="F203" s="1">
        <f t="shared" si="108"/>
        <v>1.9666762500000001E-2</v>
      </c>
      <c r="G203" s="1">
        <f>LOOKUP(RIGHT(D203,5),Ref!$C$4:$C$21,Ref!$E$4:$E$21)*$G$3</f>
        <v>4.5</v>
      </c>
      <c r="H203" s="297">
        <f t="shared" si="107"/>
        <v>8.0272500000000004</v>
      </c>
      <c r="I203" s="5">
        <f t="shared" si="107"/>
        <v>8.0272500000000004</v>
      </c>
      <c r="J203" s="5">
        <f t="shared" si="107"/>
        <v>8.0272500000000004</v>
      </c>
      <c r="K203" s="5">
        <f t="shared" si="107"/>
        <v>8.0272500000000004</v>
      </c>
      <c r="L203" s="5">
        <f t="shared" si="107"/>
        <v>8.0272500000000004</v>
      </c>
      <c r="M203" s="5">
        <f t="shared" si="106"/>
        <v>8.4079493404646239</v>
      </c>
      <c r="N203" s="5">
        <f t="shared" si="106"/>
        <v>8.6361825755755266</v>
      </c>
      <c r="O203" s="5">
        <f t="shared" si="106"/>
        <v>8.9841216558020438</v>
      </c>
      <c r="P203" s="5">
        <f t="shared" si="106"/>
        <v>9.4916252859745747</v>
      </c>
      <c r="Q203" s="5">
        <f t="shared" si="106"/>
        <v>10.186110024692294</v>
      </c>
      <c r="R203" s="5">
        <f t="shared" si="106"/>
        <v>11.057863333609914</v>
      </c>
      <c r="S203" s="5">
        <f t="shared" si="106"/>
        <v>12.040875</v>
      </c>
      <c r="T203" s="5">
        <f t="shared" si="106"/>
        <v>13.023886666390087</v>
      </c>
      <c r="U203" s="5">
        <f t="shared" si="106"/>
        <v>13.895639975307708</v>
      </c>
      <c r="V203" s="5">
        <f t="shared" si="106"/>
        <v>14.590124714025427</v>
      </c>
      <c r="W203" s="5">
        <f t="shared" si="106"/>
        <v>15.097628344197956</v>
      </c>
      <c r="X203" s="5">
        <f t="shared" si="106"/>
        <v>15.445567424424475</v>
      </c>
      <c r="Y203" s="5">
        <f t="shared" si="106"/>
        <v>15.673800659535377</v>
      </c>
      <c r="Z203" s="5">
        <f t="shared" si="106"/>
        <v>15.819203395701177</v>
      </c>
      <c r="AA203" s="5">
        <f t="shared" si="106"/>
        <v>15.910120196081801</v>
      </c>
      <c r="AB203" s="5">
        <f t="shared" si="106"/>
        <v>15.966305064768573</v>
      </c>
      <c r="AC203" s="5">
        <f t="shared" si="105"/>
        <v>16.000774812418037</v>
      </c>
      <c r="AD203" s="300">
        <f t="shared" si="103"/>
        <v>1.7121177368998423E-3</v>
      </c>
      <c r="AE203" s="299">
        <f t="shared" si="103"/>
        <v>1.7121177368998423E-3</v>
      </c>
      <c r="AF203" s="299">
        <f t="shared" si="103"/>
        <v>1.7121177368998423E-3</v>
      </c>
      <c r="AG203" s="299">
        <f t="shared" si="103"/>
        <v>1.7121177368998423E-3</v>
      </c>
      <c r="AH203" s="299">
        <f t="shared" si="103"/>
        <v>1.7121177368998423E-3</v>
      </c>
      <c r="AI203" s="299">
        <f t="shared" si="103"/>
        <v>1.6345956126764421E-3</v>
      </c>
      <c r="AJ203" s="299">
        <f t="shared" si="103"/>
        <v>1.5913972386825516E-3</v>
      </c>
      <c r="AK203" s="299">
        <f t="shared" si="103"/>
        <v>1.529765249188661E-3</v>
      </c>
      <c r="AL203" s="299">
        <f t="shared" si="103"/>
        <v>1.447970889014937E-3</v>
      </c>
      <c r="AM203" s="299">
        <f t="shared" si="101"/>
        <v>1.3492488369174504E-3</v>
      </c>
      <c r="AN203" s="299">
        <f t="shared" si="101"/>
        <v>1.2428799930775207E-3</v>
      </c>
      <c r="AO203" s="299">
        <f t="shared" si="101"/>
        <v>1.1414118245998948E-3</v>
      </c>
      <c r="AP203" s="299">
        <f t="shared" si="101"/>
        <v>1.0552608031361701E-3</v>
      </c>
      <c r="AQ203" s="299">
        <f t="shared" si="101"/>
        <v>9.8905823178719178E-4</v>
      </c>
      <c r="AR203" s="299">
        <f t="shared" si="96"/>
        <v>9.4197941230191105E-4</v>
      </c>
      <c r="AS203" s="299">
        <f t="shared" si="96"/>
        <v>9.1031497068285881E-4</v>
      </c>
      <c r="AT203" s="299">
        <f t="shared" si="96"/>
        <v>8.8980849494698104E-4</v>
      </c>
      <c r="AU203" s="299">
        <f t="shared" si="96"/>
        <v>8.7685159471312716E-4</v>
      </c>
      <c r="AV203" s="299">
        <f t="shared" si="96"/>
        <v>8.687919840049622E-4</v>
      </c>
      <c r="AW203" s="299">
        <f t="shared" si="94"/>
        <v>8.6382735857105008E-4</v>
      </c>
      <c r="AX203" s="299">
        <f t="shared" si="94"/>
        <v>8.6078758033103313E-4</v>
      </c>
      <c r="AY203" s="299">
        <f t="shared" si="94"/>
        <v>8.5893322446254261E-4</v>
      </c>
      <c r="AZ203" s="298">
        <f t="shared" si="104"/>
        <v>9.478247460664832E-2</v>
      </c>
      <c r="BA203" s="1">
        <f t="shared" si="104"/>
        <v>9.478247460664832E-2</v>
      </c>
      <c r="BB203" s="1">
        <f t="shared" si="104"/>
        <v>9.478247460664832E-2</v>
      </c>
      <c r="BC203" s="1">
        <f t="shared" si="104"/>
        <v>9.478247460664832E-2</v>
      </c>
      <c r="BD203" s="1">
        <f t="shared" si="104"/>
        <v>9.478247460664832E-2</v>
      </c>
      <c r="BE203" s="1">
        <f t="shared" si="104"/>
        <v>9.0490866259688191E-2</v>
      </c>
      <c r="BF203" s="1">
        <f t="shared" si="104"/>
        <v>8.8099413441999189E-2</v>
      </c>
      <c r="BG203" s="1">
        <f t="shared" si="104"/>
        <v>8.4687479581808348E-2</v>
      </c>
      <c r="BH203" s="1">
        <f t="shared" si="104"/>
        <v>8.0159361159198611E-2</v>
      </c>
      <c r="BI203" s="1">
        <f t="shared" si="102"/>
        <v>7.4694129303713427E-2</v>
      </c>
      <c r="BJ203" s="1">
        <f t="shared" si="102"/>
        <v>6.8805572680001245E-2</v>
      </c>
      <c r="BK203" s="1">
        <f t="shared" si="102"/>
        <v>6.3188316404432218E-2</v>
      </c>
      <c r="BL203" s="1">
        <f t="shared" si="102"/>
        <v>5.8419014137283287E-2</v>
      </c>
      <c r="BM203" s="1">
        <f t="shared" si="102"/>
        <v>5.4754053835463563E-2</v>
      </c>
      <c r="BN203" s="1">
        <f t="shared" si="97"/>
        <v>5.2147780378794355E-2</v>
      </c>
      <c r="BO203" s="1">
        <f t="shared" si="97"/>
        <v>5.0394843609897898E-2</v>
      </c>
      <c r="BP203" s="1">
        <f t="shared" si="97"/>
        <v>4.9259609464594852E-2</v>
      </c>
      <c r="BQ203" s="1">
        <f t="shared" si="97"/>
        <v>4.8542318217078287E-2</v>
      </c>
      <c r="BR203" s="1">
        <f t="shared" si="97"/>
        <v>4.8096139878508332E-2</v>
      </c>
      <c r="BS203" s="1">
        <f t="shared" si="95"/>
        <v>4.7821299267971032E-2</v>
      </c>
      <c r="BT203" s="1">
        <f t="shared" si="95"/>
        <v>4.7653017789638853E-2</v>
      </c>
      <c r="BU203" s="1">
        <f t="shared" si="95"/>
        <v>4.7550361042250008E-2</v>
      </c>
    </row>
    <row r="204" spans="1:73" x14ac:dyDescent="0.25">
      <c r="A204" s="1" t="s">
        <v>43</v>
      </c>
      <c r="B204" s="1" t="s">
        <v>5</v>
      </c>
      <c r="C204" s="1" t="s">
        <v>10</v>
      </c>
      <c r="D204" s="1" t="s">
        <v>10</v>
      </c>
      <c r="E204" s="5">
        <v>8.9595000000000002</v>
      </c>
      <c r="F204" s="1">
        <f t="shared" si="108"/>
        <v>2.1950774999999999E-2</v>
      </c>
      <c r="G204" s="1">
        <f>LOOKUP(RIGHT(D204,5),Ref!$C$4:$C$21,Ref!$E$4:$E$21)*$G$3</f>
        <v>4.5</v>
      </c>
      <c r="H204" s="297">
        <f t="shared" si="107"/>
        <v>8.9595000000000002</v>
      </c>
      <c r="I204" s="5">
        <f t="shared" si="107"/>
        <v>8.9595000000000002</v>
      </c>
      <c r="J204" s="5">
        <f t="shared" si="107"/>
        <v>8.9595000000000002</v>
      </c>
      <c r="K204" s="5">
        <f t="shared" si="107"/>
        <v>8.9595000000000002</v>
      </c>
      <c r="L204" s="5">
        <f t="shared" si="107"/>
        <v>8.9595000000000002</v>
      </c>
      <c r="M204" s="5">
        <f t="shared" si="106"/>
        <v>9.3844121107344094</v>
      </c>
      <c r="N204" s="5">
        <f t="shared" si="106"/>
        <v>9.6391513639003303</v>
      </c>
      <c r="O204" s="5">
        <f t="shared" si="106"/>
        <v>10.027498579857163</v>
      </c>
      <c r="P204" s="5">
        <f t="shared" si="106"/>
        <v>10.59394148054305</v>
      </c>
      <c r="Q204" s="5">
        <f t="shared" si="106"/>
        <v>11.369080664764473</v>
      </c>
      <c r="R204" s="5">
        <f t="shared" si="106"/>
        <v>12.342075622096985</v>
      </c>
      <c r="S204" s="5">
        <f t="shared" si="106"/>
        <v>13.439250000000001</v>
      </c>
      <c r="T204" s="5">
        <f t="shared" si="106"/>
        <v>14.536424377903016</v>
      </c>
      <c r="U204" s="5">
        <f t="shared" si="106"/>
        <v>15.509419335235528</v>
      </c>
      <c r="V204" s="5">
        <f t="shared" si="106"/>
        <v>16.284558519456951</v>
      </c>
      <c r="W204" s="5">
        <f t="shared" si="106"/>
        <v>16.851001420142836</v>
      </c>
      <c r="X204" s="5">
        <f t="shared" si="106"/>
        <v>17.23934863609967</v>
      </c>
      <c r="Y204" s="5">
        <f t="shared" si="106"/>
        <v>17.49408788926559</v>
      </c>
      <c r="Z204" s="5">
        <f t="shared" si="106"/>
        <v>17.656377068583225</v>
      </c>
      <c r="AA204" s="5">
        <f t="shared" si="106"/>
        <v>17.757852551844643</v>
      </c>
      <c r="AB204" s="5">
        <f t="shared" si="106"/>
        <v>17.820562487501203</v>
      </c>
      <c r="AC204" s="5">
        <f t="shared" si="105"/>
        <v>17.859035402143871</v>
      </c>
      <c r="AD204" s="300">
        <f t="shared" si="103"/>
        <v>1.5339692062647759E-3</v>
      </c>
      <c r="AE204" s="299">
        <f t="shared" si="103"/>
        <v>1.5339692062647759E-3</v>
      </c>
      <c r="AF204" s="299">
        <f t="shared" si="103"/>
        <v>1.5339692062647759E-3</v>
      </c>
      <c r="AG204" s="299">
        <f t="shared" si="103"/>
        <v>1.5339692062647759E-3</v>
      </c>
      <c r="AH204" s="299">
        <f t="shared" si="103"/>
        <v>1.5339692062647759E-3</v>
      </c>
      <c r="AI204" s="299">
        <f t="shared" si="103"/>
        <v>1.4645133804182121E-3</v>
      </c>
      <c r="AJ204" s="299">
        <f t="shared" si="103"/>
        <v>1.42580986486015E-3</v>
      </c>
      <c r="AK204" s="299">
        <f t="shared" si="103"/>
        <v>1.3705907803504302E-3</v>
      </c>
      <c r="AL204" s="299">
        <f t="shared" si="103"/>
        <v>1.2973072513918359E-3</v>
      </c>
      <c r="AM204" s="299">
        <f t="shared" si="101"/>
        <v>1.2088573833523748E-3</v>
      </c>
      <c r="AN204" s="299">
        <f t="shared" si="101"/>
        <v>1.1135563842213884E-3</v>
      </c>
      <c r="AO204" s="299">
        <f t="shared" si="101"/>
        <v>1.0226461375098504E-3</v>
      </c>
      <c r="AP204" s="299">
        <f t="shared" si="101"/>
        <v>9.4545926468829965E-4</v>
      </c>
      <c r="AQ204" s="299">
        <f t="shared" si="101"/>
        <v>8.8614517452020056E-4</v>
      </c>
      <c r="AR204" s="299">
        <f t="shared" si="96"/>
        <v>8.4396497989848939E-4</v>
      </c>
      <c r="AS204" s="299">
        <f t="shared" si="96"/>
        <v>8.1559527299670501E-4</v>
      </c>
      <c r="AT204" s="299">
        <f t="shared" si="96"/>
        <v>7.9722252816152167E-4</v>
      </c>
      <c r="AU204" s="299">
        <f t="shared" si="96"/>
        <v>7.8561381367944088E-4</v>
      </c>
      <c r="AV204" s="299">
        <f t="shared" si="96"/>
        <v>7.7839281808179386E-4</v>
      </c>
      <c r="AW204" s="299">
        <f t="shared" si="94"/>
        <v>7.7394476969579347E-4</v>
      </c>
      <c r="AX204" s="299">
        <f t="shared" si="94"/>
        <v>7.7122128514005089E-4</v>
      </c>
      <c r="AY204" s="299">
        <f t="shared" si="94"/>
        <v>7.6955987790244384E-4</v>
      </c>
      <c r="AZ204" s="298">
        <f t="shared" si="104"/>
        <v>8.4920209753470366E-2</v>
      </c>
      <c r="BA204" s="1">
        <f t="shared" si="104"/>
        <v>8.4920209753470366E-2</v>
      </c>
      <c r="BB204" s="1">
        <f t="shared" si="104"/>
        <v>8.4920209753470366E-2</v>
      </c>
      <c r="BC204" s="1">
        <f t="shared" si="104"/>
        <v>8.4920209753470366E-2</v>
      </c>
      <c r="BD204" s="1">
        <f t="shared" si="104"/>
        <v>8.4920209753470366E-2</v>
      </c>
      <c r="BE204" s="1">
        <f t="shared" si="104"/>
        <v>8.1075149972998722E-2</v>
      </c>
      <c r="BF204" s="1">
        <f t="shared" si="104"/>
        <v>7.8932531564516781E-2</v>
      </c>
      <c r="BG204" s="1">
        <f t="shared" si="104"/>
        <v>7.5875614763443386E-2</v>
      </c>
      <c r="BH204" s="1">
        <f t="shared" si="104"/>
        <v>7.1818654150921049E-2</v>
      </c>
      <c r="BI204" s="1">
        <f t="shared" si="102"/>
        <v>6.6922088225150236E-2</v>
      </c>
      <c r="BJ204" s="1">
        <f t="shared" si="102"/>
        <v>6.1646245135949553E-2</v>
      </c>
      <c r="BK204" s="1">
        <f t="shared" si="102"/>
        <v>5.6613473168980244E-2</v>
      </c>
      <c r="BL204" s="1">
        <f t="shared" si="102"/>
        <v>5.2340424268486771E-2</v>
      </c>
      <c r="BM204" s="1">
        <f t="shared" si="102"/>
        <v>4.9056808823117914E-2</v>
      </c>
      <c r="BN204" s="1">
        <f t="shared" si="97"/>
        <v>4.6721722199417046E-2</v>
      </c>
      <c r="BO204" s="1">
        <f t="shared" si="97"/>
        <v>4.51511812453321E-2</v>
      </c>
      <c r="BP204" s="1">
        <f t="shared" si="97"/>
        <v>4.4134069989917854E-2</v>
      </c>
      <c r="BQ204" s="1">
        <f t="shared" si="97"/>
        <v>4.3491414019536989E-2</v>
      </c>
      <c r="BR204" s="1">
        <f t="shared" si="97"/>
        <v>4.3091661235532784E-2</v>
      </c>
      <c r="BS204" s="1">
        <f t="shared" si="95"/>
        <v>4.2845418220751205E-2</v>
      </c>
      <c r="BT204" s="1">
        <f t="shared" si="95"/>
        <v>4.2694646693663539E-2</v>
      </c>
      <c r="BU204" s="1">
        <f t="shared" si="95"/>
        <v>4.2602671541537074E-2</v>
      </c>
    </row>
    <row r="205" spans="1:73" x14ac:dyDescent="0.25">
      <c r="A205" s="1" t="s">
        <v>43</v>
      </c>
      <c r="B205" s="1" t="s">
        <v>5</v>
      </c>
      <c r="C205" s="1" t="s">
        <v>11</v>
      </c>
      <c r="D205" s="1" t="s">
        <v>11</v>
      </c>
      <c r="E205" s="5">
        <v>8.6460000000000008</v>
      </c>
      <c r="F205" s="1">
        <f t="shared" si="108"/>
        <v>2.1182700000000002E-2</v>
      </c>
      <c r="G205" s="1">
        <f>LOOKUP(RIGHT(D205,5),Ref!$C$4:$C$21,Ref!$E$4:$E$21)*$G$3</f>
        <v>4.5</v>
      </c>
      <c r="H205" s="297">
        <f t="shared" si="107"/>
        <v>8.6460000000000008</v>
      </c>
      <c r="I205" s="5">
        <f t="shared" si="107"/>
        <v>8.6460000000000008</v>
      </c>
      <c r="J205" s="5">
        <f t="shared" si="107"/>
        <v>8.6460000000000008</v>
      </c>
      <c r="K205" s="5">
        <f t="shared" si="107"/>
        <v>8.6460000000000008</v>
      </c>
      <c r="L205" s="5">
        <f t="shared" si="107"/>
        <v>8.6460000000000008</v>
      </c>
      <c r="M205" s="5">
        <f t="shared" si="106"/>
        <v>9.0560440994932421</v>
      </c>
      <c r="N205" s="5">
        <f t="shared" si="106"/>
        <v>9.3018698244636724</v>
      </c>
      <c r="O205" s="5">
        <f t="shared" si="106"/>
        <v>9.6766284638032296</v>
      </c>
      <c r="P205" s="5">
        <f t="shared" si="106"/>
        <v>10.223251078829758</v>
      </c>
      <c r="Q205" s="5">
        <f t="shared" si="106"/>
        <v>10.971267529164979</v>
      </c>
      <c r="R205" s="5">
        <f t="shared" si="106"/>
        <v>11.910216622428766</v>
      </c>
      <c r="S205" s="5">
        <f t="shared" si="106"/>
        <v>12.969000000000001</v>
      </c>
      <c r="T205" s="5">
        <f t="shared" si="106"/>
        <v>14.027783377571236</v>
      </c>
      <c r="U205" s="5">
        <f t="shared" si="106"/>
        <v>14.966732470835023</v>
      </c>
      <c r="V205" s="5">
        <f t="shared" si="106"/>
        <v>15.714748921170244</v>
      </c>
      <c r="W205" s="5">
        <f t="shared" si="106"/>
        <v>16.261371536196773</v>
      </c>
      <c r="X205" s="5">
        <f t="shared" si="106"/>
        <v>16.63613017553633</v>
      </c>
      <c r="Y205" s="5">
        <f t="shared" si="106"/>
        <v>16.88195590050676</v>
      </c>
      <c r="Z205" s="5">
        <f t="shared" si="106"/>
        <v>17.038566452923774</v>
      </c>
      <c r="AA205" s="5">
        <f t="shared" si="106"/>
        <v>17.136491228667758</v>
      </c>
      <c r="AB205" s="5">
        <f t="shared" si="106"/>
        <v>17.197006894015892</v>
      </c>
      <c r="AC205" s="5">
        <f t="shared" si="105"/>
        <v>17.234133610908636</v>
      </c>
      <c r="AD205" s="300">
        <f t="shared" si="103"/>
        <v>1.5895902271026207E-3</v>
      </c>
      <c r="AE205" s="299">
        <f t="shared" si="103"/>
        <v>1.5895902271026207E-3</v>
      </c>
      <c r="AF205" s="299">
        <f t="shared" si="103"/>
        <v>1.5895902271026207E-3</v>
      </c>
      <c r="AG205" s="299">
        <f t="shared" si="103"/>
        <v>1.5895902271026207E-3</v>
      </c>
      <c r="AH205" s="299">
        <f t="shared" si="103"/>
        <v>1.5895902271026207E-3</v>
      </c>
      <c r="AI205" s="299">
        <f t="shared" si="103"/>
        <v>1.5176159648226893E-3</v>
      </c>
      <c r="AJ205" s="299">
        <f t="shared" si="103"/>
        <v>1.4775090775172924E-3</v>
      </c>
      <c r="AK205" s="299">
        <f t="shared" si="103"/>
        <v>1.4202877742944342E-3</v>
      </c>
      <c r="AL205" s="299">
        <f t="shared" si="103"/>
        <v>1.3443470181407763E-3</v>
      </c>
      <c r="AM205" s="299">
        <f t="shared" si="101"/>
        <v>1.2526899983975946E-3</v>
      </c>
      <c r="AN205" s="299">
        <f t="shared" si="101"/>
        <v>1.153933428687431E-3</v>
      </c>
      <c r="AO205" s="299">
        <f t="shared" si="101"/>
        <v>1.0597268180684138E-3</v>
      </c>
      <c r="AP205" s="299">
        <f t="shared" si="101"/>
        <v>9.7974118459111964E-4</v>
      </c>
      <c r="AQ205" s="299">
        <f t="shared" si="101"/>
        <v>9.1827639268028411E-4</v>
      </c>
      <c r="AR205" s="299">
        <f t="shared" si="96"/>
        <v>8.745667635207628E-4</v>
      </c>
      <c r="AS205" s="299">
        <f t="shared" si="96"/>
        <v>8.4516838404047844E-4</v>
      </c>
      <c r="AT205" s="299">
        <f t="shared" si="96"/>
        <v>8.2612945189256925E-4</v>
      </c>
      <c r="AU205" s="299">
        <f t="shared" si="96"/>
        <v>8.140998107403364E-4</v>
      </c>
      <c r="AV205" s="299">
        <f t="shared" si="96"/>
        <v>8.0661698514964525E-4</v>
      </c>
      <c r="AW205" s="299">
        <f t="shared" si="94"/>
        <v>8.0200765256644249E-4</v>
      </c>
      <c r="AX205" s="299">
        <f t="shared" si="94"/>
        <v>7.9918541570810618E-4</v>
      </c>
      <c r="AY205" s="299">
        <f t="shared" si="94"/>
        <v>7.9746376660501329E-4</v>
      </c>
      <c r="AZ205" s="298">
        <f t="shared" si="104"/>
        <v>8.7999377664378639E-2</v>
      </c>
      <c r="BA205" s="1">
        <f t="shared" si="104"/>
        <v>8.7999377664378639E-2</v>
      </c>
      <c r="BB205" s="1">
        <f t="shared" si="104"/>
        <v>8.7999377664378639E-2</v>
      </c>
      <c r="BC205" s="1">
        <f t="shared" si="104"/>
        <v>8.7999377664378639E-2</v>
      </c>
      <c r="BD205" s="1">
        <f t="shared" si="104"/>
        <v>8.7999377664378639E-2</v>
      </c>
      <c r="BE205" s="1">
        <f t="shared" si="104"/>
        <v>8.4014897777363179E-2</v>
      </c>
      <c r="BF205" s="1">
        <f t="shared" si="104"/>
        <v>8.1794589006741608E-2</v>
      </c>
      <c r="BG205" s="1">
        <f t="shared" si="104"/>
        <v>7.8626829802575876E-2</v>
      </c>
      <c r="BH205" s="1">
        <f t="shared" si="104"/>
        <v>7.4422765656393372E-2</v>
      </c>
      <c r="BI205" s="1">
        <f t="shared" si="102"/>
        <v>6.9348652492856072E-2</v>
      </c>
      <c r="BJ205" s="1">
        <f t="shared" si="102"/>
        <v>6.3881509749657645E-2</v>
      </c>
      <c r="BK205" s="1">
        <f t="shared" si="102"/>
        <v>5.8666251776252426E-2</v>
      </c>
      <c r="BL205" s="1">
        <f t="shared" si="102"/>
        <v>5.4238264079748695E-2</v>
      </c>
      <c r="BM205" s="1">
        <f t="shared" si="102"/>
        <v>5.0835586242276763E-2</v>
      </c>
      <c r="BN205" s="1">
        <f t="shared" si="97"/>
        <v>4.8415830447105825E-2</v>
      </c>
      <c r="BO205" s="1">
        <f t="shared" si="97"/>
        <v>4.6788342397357491E-2</v>
      </c>
      <c r="BP205" s="1">
        <f t="shared" si="97"/>
        <v>4.573435115367442E-2</v>
      </c>
      <c r="BQ205" s="1">
        <f t="shared" si="97"/>
        <v>4.5068392772153784E-2</v>
      </c>
      <c r="BR205" s="1">
        <f t="shared" si="97"/>
        <v>4.4654145135294476E-2</v>
      </c>
      <c r="BS205" s="1">
        <f t="shared" si="95"/>
        <v>4.439897346157997E-2</v>
      </c>
      <c r="BT205" s="1">
        <f t="shared" si="95"/>
        <v>4.4242735027975773E-2</v>
      </c>
      <c r="BU205" s="1">
        <f t="shared" si="95"/>
        <v>4.4147424898959217E-2</v>
      </c>
    </row>
    <row r="206" spans="1:73" x14ac:dyDescent="0.25">
      <c r="A206" s="1" t="s">
        <v>44</v>
      </c>
      <c r="B206" s="1" t="s">
        <v>5</v>
      </c>
      <c r="C206" s="1" t="s">
        <v>9</v>
      </c>
      <c r="D206" s="1" t="s">
        <v>9</v>
      </c>
      <c r="E206" s="5">
        <v>9.0172500000000007</v>
      </c>
      <c r="F206" s="1">
        <f t="shared" si="108"/>
        <v>2.2092262500000005E-2</v>
      </c>
      <c r="G206" s="1">
        <f>LOOKUP(RIGHT(D206,5),Ref!$C$4:$C$21,Ref!$E$4:$E$21)*$G$3</f>
        <v>4.5</v>
      </c>
      <c r="H206" s="297">
        <f t="shared" si="107"/>
        <v>9.0172500000000007</v>
      </c>
      <c r="I206" s="5">
        <f t="shared" si="107"/>
        <v>9.0172500000000007</v>
      </c>
      <c r="J206" s="5">
        <f t="shared" si="107"/>
        <v>9.0172500000000007</v>
      </c>
      <c r="K206" s="5">
        <f t="shared" si="107"/>
        <v>9.0172500000000007</v>
      </c>
      <c r="L206" s="5">
        <f t="shared" si="107"/>
        <v>9.0172500000000007</v>
      </c>
      <c r="M206" s="5">
        <f t="shared" si="106"/>
        <v>9.4449009549104144</v>
      </c>
      <c r="N206" s="5">
        <f t="shared" si="106"/>
        <v>9.7012821737965584</v>
      </c>
      <c r="O206" s="5">
        <f t="shared" si="106"/>
        <v>10.09213254860394</v>
      </c>
      <c r="P206" s="5">
        <f t="shared" si="106"/>
        <v>10.662226554542867</v>
      </c>
      <c r="Q206" s="5">
        <f t="shared" si="106"/>
        <v>11.442362031848591</v>
      </c>
      <c r="R206" s="5">
        <f t="shared" si="106"/>
        <v>12.421628595720078</v>
      </c>
      <c r="S206" s="5">
        <f t="shared" si="106"/>
        <v>13.525875000000001</v>
      </c>
      <c r="T206" s="5">
        <f t="shared" si="106"/>
        <v>14.630121404279924</v>
      </c>
      <c r="U206" s="5">
        <f t="shared" si="106"/>
        <v>15.609387968151411</v>
      </c>
      <c r="V206" s="5">
        <f t="shared" si="106"/>
        <v>16.389523445457133</v>
      </c>
      <c r="W206" s="5">
        <f t="shared" si="106"/>
        <v>16.95961745139606</v>
      </c>
      <c r="X206" s="5">
        <f t="shared" si="106"/>
        <v>17.350467826203445</v>
      </c>
      <c r="Y206" s="5">
        <f t="shared" si="106"/>
        <v>17.606849045089586</v>
      </c>
      <c r="Z206" s="5">
        <f t="shared" si="106"/>
        <v>17.770184287257333</v>
      </c>
      <c r="AA206" s="5">
        <f t="shared" si="106"/>
        <v>17.872313848219331</v>
      </c>
      <c r="AB206" s="5">
        <f t="shared" si="106"/>
        <v>17.935427991564286</v>
      </c>
      <c r="AC206" s="5">
        <f t="shared" si="105"/>
        <v>17.974148890002994</v>
      </c>
      <c r="AD206" s="300">
        <f t="shared" si="103"/>
        <v>1.5241450667918999E-3</v>
      </c>
      <c r="AE206" s="299">
        <f t="shared" si="103"/>
        <v>1.5241450667918999E-3</v>
      </c>
      <c r="AF206" s="299">
        <f t="shared" si="103"/>
        <v>1.5241450667918999E-3</v>
      </c>
      <c r="AG206" s="299">
        <f t="shared" si="103"/>
        <v>1.5241450667918999E-3</v>
      </c>
      <c r="AH206" s="299">
        <f t="shared" si="103"/>
        <v>1.5241450667918999E-3</v>
      </c>
      <c r="AI206" s="299">
        <f t="shared" si="103"/>
        <v>1.4551340632517644E-3</v>
      </c>
      <c r="AJ206" s="299">
        <f t="shared" si="103"/>
        <v>1.4166784201629667E-3</v>
      </c>
      <c r="AK206" s="299">
        <f t="shared" si="103"/>
        <v>1.3618129802932912E-3</v>
      </c>
      <c r="AL206" s="299">
        <f t="shared" si="103"/>
        <v>1.2889987877507171E-3</v>
      </c>
      <c r="AM206" s="299">
        <f t="shared" si="101"/>
        <v>1.2011153873016276E-3</v>
      </c>
      <c r="AN206" s="299">
        <f t="shared" si="101"/>
        <v>1.106424733087308E-3</v>
      </c>
      <c r="AO206" s="299">
        <f t="shared" si="101"/>
        <v>1.0160967111945999E-3</v>
      </c>
      <c r="AP206" s="299">
        <f t="shared" si="101"/>
        <v>9.3940417333164994E-4</v>
      </c>
      <c r="AQ206" s="299">
        <f t="shared" si="101"/>
        <v>8.8046995382336484E-4</v>
      </c>
      <c r="AR206" s="299">
        <f t="shared" si="96"/>
        <v>8.3855989768504989E-4</v>
      </c>
      <c r="AS206" s="299">
        <f t="shared" si="96"/>
        <v>8.1037188149535365E-4</v>
      </c>
      <c r="AT206" s="299">
        <f t="shared" si="96"/>
        <v>7.9211680291254574E-4</v>
      </c>
      <c r="AU206" s="299">
        <f t="shared" si="96"/>
        <v>7.8058243518378109E-4</v>
      </c>
      <c r="AV206" s="299">
        <f t="shared" si="96"/>
        <v>7.7340768566955926E-4</v>
      </c>
      <c r="AW206" s="299">
        <f t="shared" si="94"/>
        <v>7.6898812432720193E-4</v>
      </c>
      <c r="AX206" s="299">
        <f t="shared" si="94"/>
        <v>7.66282082033024E-4</v>
      </c>
      <c r="AY206" s="299">
        <f t="shared" si="94"/>
        <v>7.6463131509794512E-4</v>
      </c>
      <c r="AZ206" s="298">
        <f t="shared" si="104"/>
        <v>8.4376347476915664E-2</v>
      </c>
      <c r="BA206" s="1">
        <f t="shared" si="104"/>
        <v>8.4376347476915664E-2</v>
      </c>
      <c r="BB206" s="1">
        <f t="shared" si="104"/>
        <v>8.4376347476915664E-2</v>
      </c>
      <c r="BC206" s="1">
        <f t="shared" si="104"/>
        <v>8.4376347476915664E-2</v>
      </c>
      <c r="BD206" s="1">
        <f t="shared" si="104"/>
        <v>8.4376347476915664E-2</v>
      </c>
      <c r="BE206" s="1">
        <f t="shared" si="104"/>
        <v>8.0555912964937429E-2</v>
      </c>
      <c r="BF206" s="1">
        <f t="shared" si="104"/>
        <v>7.8427016723755905E-2</v>
      </c>
      <c r="BG206" s="1">
        <f t="shared" si="104"/>
        <v>7.5389677614912637E-2</v>
      </c>
      <c r="BH206" s="1">
        <f t="shared" si="104"/>
        <v>7.1358699366788889E-2</v>
      </c>
      <c r="BI206" s="1">
        <f t="shared" si="102"/>
        <v>6.6493492966617704E-2</v>
      </c>
      <c r="BJ206" s="1">
        <f t="shared" si="102"/>
        <v>6.1251438442489668E-2</v>
      </c>
      <c r="BK206" s="1">
        <f t="shared" si="102"/>
        <v>5.6250898317943769E-2</v>
      </c>
      <c r="BL206" s="1">
        <f t="shared" si="102"/>
        <v>5.2005215695861515E-2</v>
      </c>
      <c r="BM206" s="1">
        <f t="shared" si="102"/>
        <v>4.8742629809612123E-2</v>
      </c>
      <c r="BN206" s="1">
        <f t="shared" si="97"/>
        <v>4.6422497995029198E-2</v>
      </c>
      <c r="BO206" s="1">
        <f t="shared" si="97"/>
        <v>4.4862015400211029E-2</v>
      </c>
      <c r="BP206" s="1">
        <f t="shared" si="97"/>
        <v>4.3851418123559728E-2</v>
      </c>
      <c r="BQ206" s="1">
        <f t="shared" si="97"/>
        <v>4.3212877973666214E-2</v>
      </c>
      <c r="BR206" s="1">
        <f t="shared" si="97"/>
        <v>4.2815685363027087E-2</v>
      </c>
      <c r="BS206" s="1">
        <f t="shared" si="95"/>
        <v>4.2571019384936702E-2</v>
      </c>
      <c r="BT206" s="1">
        <f t="shared" si="95"/>
        <v>4.242121345774804E-2</v>
      </c>
      <c r="BU206" s="1">
        <f t="shared" si="95"/>
        <v>4.2329827350511676E-2</v>
      </c>
    </row>
    <row r="207" spans="1:73" x14ac:dyDescent="0.25">
      <c r="A207" s="1" t="s">
        <v>44</v>
      </c>
      <c r="B207" s="1" t="s">
        <v>5</v>
      </c>
      <c r="C207" s="1" t="s">
        <v>10</v>
      </c>
      <c r="D207" s="1" t="s">
        <v>10</v>
      </c>
      <c r="E207" s="5">
        <v>9.0750000000000011</v>
      </c>
      <c r="F207" s="1">
        <f t="shared" si="108"/>
        <v>2.223375E-2</v>
      </c>
      <c r="G207" s="1">
        <f>LOOKUP(RIGHT(D207,5),Ref!$C$4:$C$21,Ref!$E$4:$E$21)*$G$3</f>
        <v>4.5</v>
      </c>
      <c r="H207" s="297">
        <f t="shared" si="107"/>
        <v>9.0750000000000011</v>
      </c>
      <c r="I207" s="5">
        <f t="shared" si="107"/>
        <v>9.0750000000000011</v>
      </c>
      <c r="J207" s="5">
        <f t="shared" si="107"/>
        <v>9.0750000000000011</v>
      </c>
      <c r="K207" s="5">
        <f t="shared" si="107"/>
        <v>9.0750000000000011</v>
      </c>
      <c r="L207" s="5">
        <f t="shared" si="107"/>
        <v>9.0750000000000011</v>
      </c>
      <c r="M207" s="5">
        <f t="shared" si="106"/>
        <v>9.5053897990864193</v>
      </c>
      <c r="N207" s="5">
        <f t="shared" si="106"/>
        <v>9.7634129836927848</v>
      </c>
      <c r="O207" s="5">
        <f t="shared" si="106"/>
        <v>10.156766517350718</v>
      </c>
      <c r="P207" s="5">
        <f t="shared" si="106"/>
        <v>10.730511628542684</v>
      </c>
      <c r="Q207" s="5">
        <f t="shared" si="106"/>
        <v>11.515643398932708</v>
      </c>
      <c r="R207" s="5">
        <f t="shared" si="106"/>
        <v>12.501181569343172</v>
      </c>
      <c r="S207" s="5">
        <f t="shared" si="106"/>
        <v>13.612500000000001</v>
      </c>
      <c r="T207" s="5">
        <f t="shared" si="106"/>
        <v>14.723818430656831</v>
      </c>
      <c r="U207" s="5">
        <f t="shared" si="106"/>
        <v>15.709356601067295</v>
      </c>
      <c r="V207" s="5">
        <f t="shared" si="106"/>
        <v>16.494488371457319</v>
      </c>
      <c r="W207" s="5">
        <f t="shared" si="106"/>
        <v>17.068233482649283</v>
      </c>
      <c r="X207" s="5">
        <f t="shared" si="106"/>
        <v>17.461587016307217</v>
      </c>
      <c r="Y207" s="5">
        <f t="shared" si="106"/>
        <v>17.719610200913586</v>
      </c>
      <c r="Z207" s="5">
        <f t="shared" si="106"/>
        <v>17.883991505931444</v>
      </c>
      <c r="AA207" s="5">
        <f t="shared" si="106"/>
        <v>17.98677514459402</v>
      </c>
      <c r="AB207" s="5">
        <f t="shared" si="106"/>
        <v>18.050293495627368</v>
      </c>
      <c r="AC207" s="5">
        <f t="shared" si="105"/>
        <v>18.089262377862116</v>
      </c>
      <c r="AD207" s="300">
        <f t="shared" si="103"/>
        <v>1.5144459618214058E-3</v>
      </c>
      <c r="AE207" s="299">
        <f t="shared" si="103"/>
        <v>1.5144459618214058E-3</v>
      </c>
      <c r="AF207" s="299">
        <f t="shared" si="103"/>
        <v>1.5144459618214058E-3</v>
      </c>
      <c r="AG207" s="299">
        <f t="shared" si="103"/>
        <v>1.5144459618214058E-3</v>
      </c>
      <c r="AH207" s="299">
        <f t="shared" si="103"/>
        <v>1.5144459618214058E-3</v>
      </c>
      <c r="AI207" s="299">
        <f t="shared" si="103"/>
        <v>1.4458741192128893E-3</v>
      </c>
      <c r="AJ207" s="299">
        <f t="shared" si="103"/>
        <v>1.4076631938528387E-3</v>
      </c>
      <c r="AK207" s="299">
        <f t="shared" si="103"/>
        <v>1.3531468976914246E-3</v>
      </c>
      <c r="AL207" s="299">
        <f t="shared" si="103"/>
        <v>1.2807960681923032E-3</v>
      </c>
      <c r="AM207" s="299">
        <f t="shared" si="101"/>
        <v>1.1934719257460718E-3</v>
      </c>
      <c r="AN207" s="299">
        <f t="shared" si="101"/>
        <v>1.0993838484222068E-3</v>
      </c>
      <c r="AO207" s="299">
        <f t="shared" si="101"/>
        <v>1.0096306412142706E-3</v>
      </c>
      <c r="AP207" s="299">
        <f t="shared" si="101"/>
        <v>9.3342614677408497E-4</v>
      </c>
      <c r="AQ207" s="299">
        <f t="shared" si="101"/>
        <v>8.7486696320812521E-4</v>
      </c>
      <c r="AR207" s="299">
        <f t="shared" si="96"/>
        <v>8.3322360742705398E-4</v>
      </c>
      <c r="AS207" s="299">
        <f t="shared" si="96"/>
        <v>8.0521496952220141E-4</v>
      </c>
      <c r="AT207" s="299">
        <f t="shared" si="96"/>
        <v>7.8707605962128409E-4</v>
      </c>
      <c r="AU207" s="299">
        <f t="shared" si="96"/>
        <v>7.7561509241442952E-4</v>
      </c>
      <c r="AV207" s="299">
        <f t="shared" si="96"/>
        <v>7.6848600039711645E-4</v>
      </c>
      <c r="AW207" s="299">
        <f t="shared" si="94"/>
        <v>7.6409456353602882E-4</v>
      </c>
      <c r="AX207" s="299">
        <f t="shared" si="94"/>
        <v>7.6140574151099577E-4</v>
      </c>
      <c r="AY207" s="299">
        <f t="shared" si="94"/>
        <v>7.5976547945641275E-4</v>
      </c>
      <c r="AZ207" s="298">
        <f t="shared" si="104"/>
        <v>8.383940708388074E-2</v>
      </c>
      <c r="BA207" s="1">
        <f t="shared" si="104"/>
        <v>8.383940708388074E-2</v>
      </c>
      <c r="BB207" s="1">
        <f t="shared" si="104"/>
        <v>8.383940708388074E-2</v>
      </c>
      <c r="BC207" s="1">
        <f t="shared" si="104"/>
        <v>8.383940708388074E-2</v>
      </c>
      <c r="BD207" s="1">
        <f t="shared" si="104"/>
        <v>8.383940708388074E-2</v>
      </c>
      <c r="BE207" s="1">
        <f t="shared" si="104"/>
        <v>8.0043284427887829E-2</v>
      </c>
      <c r="BF207" s="1">
        <f t="shared" si="104"/>
        <v>7.7927935708241108E-2</v>
      </c>
      <c r="BG207" s="1">
        <f t="shared" si="104"/>
        <v>7.490992512099956E-2</v>
      </c>
      <c r="BH207" s="1">
        <f t="shared" si="104"/>
        <v>7.0904598552636589E-2</v>
      </c>
      <c r="BI207" s="1">
        <f t="shared" si="102"/>
        <v>6.6070352556830136E-2</v>
      </c>
      <c r="BJ207" s="1">
        <f t="shared" si="102"/>
        <v>6.0861656561491999E-2</v>
      </c>
      <c r="BK207" s="1">
        <f t="shared" si="102"/>
        <v>5.5892938055920494E-2</v>
      </c>
      <c r="BL207" s="1">
        <f t="shared" si="102"/>
        <v>5.1674273414160574E-2</v>
      </c>
      <c r="BM207" s="1">
        <f t="shared" si="102"/>
        <v>4.8432449438096402E-2</v>
      </c>
      <c r="BN207" s="1">
        <f t="shared" si="97"/>
        <v>4.6127082098697182E-2</v>
      </c>
      <c r="BO207" s="1">
        <f t="shared" si="97"/>
        <v>4.4576529847664227E-2</v>
      </c>
      <c r="BP207" s="1">
        <f t="shared" si="97"/>
        <v>4.3572363644591626E-2</v>
      </c>
      <c r="BQ207" s="1">
        <f t="shared" si="97"/>
        <v>4.2937886932015598E-2</v>
      </c>
      <c r="BR207" s="1">
        <f t="shared" si="97"/>
        <v>4.2543221910716911E-2</v>
      </c>
      <c r="BS207" s="1">
        <f t="shared" si="95"/>
        <v>4.2300112897941645E-2</v>
      </c>
      <c r="BT207" s="1">
        <f t="shared" si="95"/>
        <v>4.2151260281198734E-2</v>
      </c>
      <c r="BU207" s="1">
        <f t="shared" si="95"/>
        <v>4.2060455721917508E-2</v>
      </c>
    </row>
    <row r="208" spans="1:73" x14ac:dyDescent="0.25">
      <c r="A208" s="1" t="s">
        <v>45</v>
      </c>
      <c r="B208" s="1" t="s">
        <v>5</v>
      </c>
      <c r="C208" s="1" t="s">
        <v>16</v>
      </c>
      <c r="D208" s="1" t="s">
        <v>16</v>
      </c>
      <c r="E208" s="5">
        <v>8.4150000000000009</v>
      </c>
      <c r="F208" s="1">
        <f t="shared" si="108"/>
        <v>2.0616750000000003E-2</v>
      </c>
      <c r="G208" s="1">
        <f>LOOKUP(RIGHT(D208,5),Ref!$C$4:$C$21,Ref!$E$4:$E$21)*$G$3</f>
        <v>3</v>
      </c>
      <c r="H208" s="297">
        <f t="shared" si="107"/>
        <v>8.4150000000000009</v>
      </c>
      <c r="I208" s="5">
        <f t="shared" si="107"/>
        <v>8.4150000000000009</v>
      </c>
      <c r="J208" s="5">
        <f t="shared" si="107"/>
        <v>8.4150000000000009</v>
      </c>
      <c r="K208" s="5">
        <f t="shared" si="107"/>
        <v>8.4150000000000009</v>
      </c>
      <c r="L208" s="5">
        <f t="shared" si="107"/>
        <v>8.4150000000000009</v>
      </c>
      <c r="M208" s="5">
        <f t="shared" si="106"/>
        <v>8.8140887227892257</v>
      </c>
      <c r="N208" s="5">
        <f t="shared" si="106"/>
        <v>9.0533465848787653</v>
      </c>
      <c r="O208" s="5">
        <f t="shared" si="106"/>
        <v>9.4180925888161209</v>
      </c>
      <c r="P208" s="5">
        <f t="shared" si="106"/>
        <v>9.9501107828304889</v>
      </c>
      <c r="Q208" s="5">
        <f t="shared" si="106"/>
        <v>10.678142060828511</v>
      </c>
      <c r="R208" s="5">
        <f t="shared" si="106"/>
        <v>11.592004727936397</v>
      </c>
      <c r="S208" s="5">
        <f t="shared" si="106"/>
        <v>12.622500000000002</v>
      </c>
      <c r="T208" s="5">
        <f t="shared" si="106"/>
        <v>13.652995272063606</v>
      </c>
      <c r="U208" s="5">
        <f t="shared" si="106"/>
        <v>14.566857939171491</v>
      </c>
      <c r="V208" s="5">
        <f t="shared" si="106"/>
        <v>15.294889217169514</v>
      </c>
      <c r="W208" s="5">
        <f t="shared" si="106"/>
        <v>15.82690741118388</v>
      </c>
      <c r="X208" s="5">
        <f t="shared" si="106"/>
        <v>16.191653415121237</v>
      </c>
      <c r="Y208" s="5">
        <f t="shared" si="106"/>
        <v>16.430911277210779</v>
      </c>
      <c r="Z208" s="5">
        <f t="shared" si="106"/>
        <v>16.58333757822734</v>
      </c>
      <c r="AA208" s="5">
        <f t="shared" si="106"/>
        <v>16.678646043169003</v>
      </c>
      <c r="AB208" s="5">
        <f t="shared" si="106"/>
        <v>16.737544877763561</v>
      </c>
      <c r="AC208" s="5">
        <f t="shared" si="105"/>
        <v>16.773679659472148</v>
      </c>
      <c r="AD208" s="300">
        <f t="shared" si="103"/>
        <v>1.6332260372583789E-3</v>
      </c>
      <c r="AE208" s="299">
        <f t="shared" si="103"/>
        <v>1.6332260372583789E-3</v>
      </c>
      <c r="AF208" s="299">
        <f t="shared" si="103"/>
        <v>1.6332260372583789E-3</v>
      </c>
      <c r="AG208" s="299">
        <f t="shared" si="103"/>
        <v>1.6332260372583789E-3</v>
      </c>
      <c r="AH208" s="299">
        <f t="shared" si="103"/>
        <v>1.6332260372583789E-3</v>
      </c>
      <c r="AI208" s="299">
        <f t="shared" si="103"/>
        <v>1.5592760109158609E-3</v>
      </c>
      <c r="AJ208" s="299">
        <f t="shared" si="103"/>
        <v>1.5180681502334533E-3</v>
      </c>
      <c r="AK208" s="299">
        <f t="shared" si="103"/>
        <v>1.4592760661378107E-3</v>
      </c>
      <c r="AL208" s="299">
        <f t="shared" si="103"/>
        <v>1.3812506617760134E-3</v>
      </c>
      <c r="AM208" s="299">
        <f t="shared" si="101"/>
        <v>1.2870775669810578E-3</v>
      </c>
      <c r="AN208" s="299">
        <f t="shared" si="101"/>
        <v>1.1856100326121837E-3</v>
      </c>
      <c r="AO208" s="299">
        <f t="shared" si="101"/>
        <v>1.0888173581722524E-3</v>
      </c>
      <c r="AP208" s="299">
        <f t="shared" si="101"/>
        <v>1.0066360406387192E-3</v>
      </c>
      <c r="AQ208" s="299">
        <f t="shared" si="101"/>
        <v>9.4348397993033106E-4</v>
      </c>
      <c r="AR208" s="299">
        <f t="shared" si="96"/>
        <v>8.9857447859780328E-4</v>
      </c>
      <c r="AS208" s="299">
        <f t="shared" si="96"/>
        <v>8.6836908477884466E-4</v>
      </c>
      <c r="AT208" s="299">
        <f t="shared" si="96"/>
        <v>8.4880751527785547E-4</v>
      </c>
      <c r="AU208" s="299">
        <f t="shared" si="96"/>
        <v>8.3644764868222798E-4</v>
      </c>
      <c r="AV208" s="299">
        <f t="shared" si="96"/>
        <v>8.2875941219296876E-4</v>
      </c>
      <c r="AW208" s="299">
        <f t="shared" si="94"/>
        <v>8.2402354891140353E-4</v>
      </c>
      <c r="AX208" s="299">
        <f t="shared" si="94"/>
        <v>8.2112383888440714E-4</v>
      </c>
      <c r="AY208" s="299">
        <f t="shared" si="94"/>
        <v>8.1935492882554296E-4</v>
      </c>
      <c r="AZ208" s="298">
        <f t="shared" si="104"/>
        <v>9.0415046855165507E-2</v>
      </c>
      <c r="BA208" s="1">
        <f t="shared" si="104"/>
        <v>9.0415046855165507E-2</v>
      </c>
      <c r="BB208" s="1">
        <f t="shared" si="104"/>
        <v>9.0415046855165507E-2</v>
      </c>
      <c r="BC208" s="1">
        <f t="shared" si="104"/>
        <v>9.0415046855165507E-2</v>
      </c>
      <c r="BD208" s="1">
        <f t="shared" si="104"/>
        <v>9.0415046855165507E-2</v>
      </c>
      <c r="BE208" s="1">
        <f t="shared" si="104"/>
        <v>8.6321189088898631E-2</v>
      </c>
      <c r="BF208" s="1">
        <f t="shared" si="104"/>
        <v>8.4039930665750204E-2</v>
      </c>
      <c r="BG208" s="1">
        <f t="shared" si="104"/>
        <v>8.0785213365783828E-2</v>
      </c>
      <c r="BH208" s="1">
        <f t="shared" si="104"/>
        <v>7.6465743537157113E-2</v>
      </c>
      <c r="BI208" s="1">
        <f t="shared" si="102"/>
        <v>7.1252340992659952E-2</v>
      </c>
      <c r="BJ208" s="1">
        <f t="shared" si="102"/>
        <v>6.5635119821216864E-2</v>
      </c>
      <c r="BK208" s="1">
        <f t="shared" si="102"/>
        <v>6.0276697903443664E-2</v>
      </c>
      <c r="BL208" s="1">
        <f t="shared" si="102"/>
        <v>5.5727157603506508E-2</v>
      </c>
      <c r="BM208" s="1">
        <f t="shared" si="102"/>
        <v>5.2231072923437302E-2</v>
      </c>
      <c r="BN208" s="1">
        <f t="shared" si="97"/>
        <v>4.9744892459379318E-2</v>
      </c>
      <c r="BO208" s="1">
        <f t="shared" si="97"/>
        <v>4.8072728267088881E-2</v>
      </c>
      <c r="BP208" s="1">
        <f t="shared" si="97"/>
        <v>4.6989803930441949E-2</v>
      </c>
      <c r="BQ208" s="1">
        <f t="shared" si="97"/>
        <v>4.63055643384482E-2</v>
      </c>
      <c r="BR208" s="1">
        <f t="shared" si="97"/>
        <v>4.5879945197831964E-2</v>
      </c>
      <c r="BS208" s="1">
        <f t="shared" si="95"/>
        <v>4.5617768811505692E-2</v>
      </c>
      <c r="BT208" s="1">
        <f t="shared" si="95"/>
        <v>4.5457241479724124E-2</v>
      </c>
      <c r="BU208" s="1">
        <f t="shared" si="95"/>
        <v>4.5359314994224756E-2</v>
      </c>
    </row>
    <row r="209" spans="1:73" x14ac:dyDescent="0.25">
      <c r="A209" s="1" t="s">
        <v>45</v>
      </c>
      <c r="B209" s="1" t="s">
        <v>5</v>
      </c>
      <c r="C209" s="1" t="s">
        <v>17</v>
      </c>
      <c r="D209" s="1" t="s">
        <v>17</v>
      </c>
      <c r="E209" s="5">
        <v>8.1262500000000006</v>
      </c>
      <c r="F209" s="1">
        <f t="shared" si="108"/>
        <v>1.9909312500000002E-2</v>
      </c>
      <c r="G209" s="1">
        <f>LOOKUP(RIGHT(D209,5),Ref!$C$4:$C$21,Ref!$E$4:$E$21)*$G$3</f>
        <v>3</v>
      </c>
      <c r="H209" s="297">
        <f t="shared" si="107"/>
        <v>8.1262500000000006</v>
      </c>
      <c r="I209" s="5">
        <f t="shared" si="107"/>
        <v>8.1262500000000006</v>
      </c>
      <c r="J209" s="5">
        <f t="shared" si="107"/>
        <v>8.1262500000000006</v>
      </c>
      <c r="K209" s="5">
        <f t="shared" si="107"/>
        <v>8.1262500000000006</v>
      </c>
      <c r="L209" s="5">
        <f t="shared" si="107"/>
        <v>8.1262500000000006</v>
      </c>
      <c r="M209" s="5">
        <f t="shared" si="106"/>
        <v>8.5116445019092026</v>
      </c>
      <c r="N209" s="5">
        <f t="shared" si="106"/>
        <v>8.7426925353976301</v>
      </c>
      <c r="O209" s="5">
        <f t="shared" si="106"/>
        <v>9.0949227450822345</v>
      </c>
      <c r="P209" s="5">
        <f t="shared" si="106"/>
        <v>9.6086854128314041</v>
      </c>
      <c r="Q209" s="5">
        <f t="shared" si="106"/>
        <v>10.311735225407924</v>
      </c>
      <c r="R209" s="5">
        <f t="shared" si="106"/>
        <v>11.194239859820931</v>
      </c>
      <c r="S209" s="5">
        <f t="shared" si="106"/>
        <v>12.189375000000002</v>
      </c>
      <c r="T209" s="5">
        <f t="shared" si="106"/>
        <v>13.184510140179071</v>
      </c>
      <c r="U209" s="5">
        <f t="shared" si="106"/>
        <v>14.067014774592078</v>
      </c>
      <c r="V209" s="5">
        <f t="shared" si="106"/>
        <v>14.770064587168598</v>
      </c>
      <c r="W209" s="5">
        <f t="shared" si="106"/>
        <v>15.283827254917766</v>
      </c>
      <c r="X209" s="5">
        <f t="shared" si="106"/>
        <v>15.636057464602372</v>
      </c>
      <c r="Y209" s="5">
        <f t="shared" si="106"/>
        <v>15.867105498090799</v>
      </c>
      <c r="Z209" s="5">
        <f t="shared" si="106"/>
        <v>16.014301484856791</v>
      </c>
      <c r="AA209" s="5">
        <f t="shared" si="106"/>
        <v>16.106339561295556</v>
      </c>
      <c r="AB209" s="5">
        <f t="shared" si="106"/>
        <v>16.163217357448143</v>
      </c>
      <c r="AC209" s="5">
        <f t="shared" si="105"/>
        <v>16.198112220176533</v>
      </c>
      <c r="AD209" s="300">
        <f t="shared" si="103"/>
        <v>1.6912594497497935E-3</v>
      </c>
      <c r="AE209" s="299">
        <f t="shared" si="103"/>
        <v>1.6912594497497935E-3</v>
      </c>
      <c r="AF209" s="299">
        <f t="shared" si="103"/>
        <v>1.6912594497497935E-3</v>
      </c>
      <c r="AG209" s="299">
        <f t="shared" si="103"/>
        <v>1.6912594497497935E-3</v>
      </c>
      <c r="AH209" s="299">
        <f t="shared" si="103"/>
        <v>1.6912594497497935E-3</v>
      </c>
      <c r="AI209" s="299">
        <f t="shared" si="103"/>
        <v>1.6146817574966277E-3</v>
      </c>
      <c r="AJ209" s="299">
        <f t="shared" si="103"/>
        <v>1.5720096581097692E-3</v>
      </c>
      <c r="AK209" s="299">
        <f t="shared" si="103"/>
        <v>1.5111285151883929E-3</v>
      </c>
      <c r="AL209" s="299">
        <f t="shared" si="103"/>
        <v>1.4303306345294757E-3</v>
      </c>
      <c r="AM209" s="299">
        <f t="shared" si="101"/>
        <v>1.3328112876352073E-3</v>
      </c>
      <c r="AN209" s="299">
        <f t="shared" si="101"/>
        <v>1.2277383078826676E-3</v>
      </c>
      <c r="AO209" s="299">
        <f t="shared" si="101"/>
        <v>1.1275062998331955E-3</v>
      </c>
      <c r="AP209" s="299">
        <f t="shared" si="101"/>
        <v>1.0424048339609071E-3</v>
      </c>
      <c r="AQ209" s="299">
        <f t="shared" si="101"/>
        <v>9.7700879139993682E-4</v>
      </c>
      <c r="AR209" s="299">
        <f t="shared" si="96"/>
        <v>9.3050352098452739E-4</v>
      </c>
      <c r="AS209" s="299">
        <f t="shared" si="96"/>
        <v>8.9922483906032654E-4</v>
      </c>
      <c r="AT209" s="299">
        <f t="shared" si="96"/>
        <v>8.789681884095558E-4</v>
      </c>
      <c r="AU209" s="299">
        <f t="shared" si="96"/>
        <v>8.6616913873692654E-4</v>
      </c>
      <c r="AV209" s="299">
        <f t="shared" si="96"/>
        <v>8.5820771617952111E-4</v>
      </c>
      <c r="AW209" s="299">
        <f t="shared" si="94"/>
        <v>8.5330357349201183E-4</v>
      </c>
      <c r="AX209" s="299">
        <f t="shared" si="94"/>
        <v>8.5030082808334551E-4</v>
      </c>
      <c r="AY209" s="299">
        <f t="shared" si="94"/>
        <v>8.4846906335233902E-4</v>
      </c>
      <c r="AZ209" s="298">
        <f t="shared" si="104"/>
        <v>9.3627764256110468E-2</v>
      </c>
      <c r="BA209" s="1">
        <f t="shared" si="104"/>
        <v>9.3627764256110468E-2</v>
      </c>
      <c r="BB209" s="1">
        <f t="shared" si="104"/>
        <v>9.3627764256110468E-2</v>
      </c>
      <c r="BC209" s="1">
        <f t="shared" si="104"/>
        <v>9.3627764256110468E-2</v>
      </c>
      <c r="BD209" s="1">
        <f t="shared" si="104"/>
        <v>9.3627764256110468E-2</v>
      </c>
      <c r="BE209" s="1">
        <f t="shared" si="104"/>
        <v>8.9388439462615848E-2</v>
      </c>
      <c r="BF209" s="1">
        <f t="shared" si="104"/>
        <v>8.7026121095497677E-2</v>
      </c>
      <c r="BG209" s="1">
        <f t="shared" si="104"/>
        <v>8.3655753942232999E-2</v>
      </c>
      <c r="BH209" s="1">
        <f t="shared" si="104"/>
        <v>7.9182800414111937E-2</v>
      </c>
      <c r="BI209" s="1">
        <f t="shared" si="102"/>
        <v>7.3784150063465143E-2</v>
      </c>
      <c r="BJ209" s="1">
        <f t="shared" si="102"/>
        <v>6.7967332200650973E-2</v>
      </c>
      <c r="BK209" s="1">
        <f t="shared" si="102"/>
        <v>6.2418509504073641E-2</v>
      </c>
      <c r="BL209" s="1">
        <f t="shared" si="102"/>
        <v>5.7707310411752928E-2</v>
      </c>
      <c r="BM209" s="1">
        <f t="shared" si="102"/>
        <v>5.4086999372493449E-2</v>
      </c>
      <c r="BN209" s="1">
        <f t="shared" si="97"/>
        <v>5.1512477470626303E-2</v>
      </c>
      <c r="BO209" s="1">
        <f t="shared" si="97"/>
        <v>4.9780896276579348E-2</v>
      </c>
      <c r="BP209" s="1">
        <f t="shared" si="97"/>
        <v>4.8659492394975419E-2</v>
      </c>
      <c r="BQ209" s="1">
        <f t="shared" si="97"/>
        <v>4.7950939721032655E-2</v>
      </c>
      <c r="BR209" s="1">
        <f t="shared" si="97"/>
        <v>4.7510197057653414E-2</v>
      </c>
      <c r="BS209" s="1">
        <f t="shared" si="95"/>
        <v>4.7238704759122646E-2</v>
      </c>
      <c r="BT209" s="1">
        <f t="shared" si="95"/>
        <v>4.7072473410475747E-2</v>
      </c>
      <c r="BU209" s="1">
        <f t="shared" si="95"/>
        <v>4.6971067303664217E-2</v>
      </c>
    </row>
    <row r="210" spans="1:73" x14ac:dyDescent="0.25">
      <c r="A210" s="1" t="s">
        <v>45</v>
      </c>
      <c r="B210" s="1" t="s">
        <v>5</v>
      </c>
      <c r="C210" s="1" t="s">
        <v>18</v>
      </c>
      <c r="D210" s="1" t="s">
        <v>18</v>
      </c>
      <c r="E210" s="5">
        <v>7.94475</v>
      </c>
      <c r="F210" s="1">
        <f t="shared" si="108"/>
        <v>1.9464637500000003E-2</v>
      </c>
      <c r="G210" s="1">
        <f>LOOKUP(RIGHT(D210,5),Ref!$C$4:$C$21,Ref!$E$4:$E$21)*$G$3</f>
        <v>3</v>
      </c>
      <c r="H210" s="297">
        <f t="shared" si="107"/>
        <v>7.94475</v>
      </c>
      <c r="I210" s="5">
        <f t="shared" si="107"/>
        <v>7.94475</v>
      </c>
      <c r="J210" s="5">
        <f t="shared" si="107"/>
        <v>7.94475</v>
      </c>
      <c r="K210" s="5">
        <f t="shared" si="107"/>
        <v>7.94475</v>
      </c>
      <c r="L210" s="5">
        <f t="shared" si="107"/>
        <v>7.94475</v>
      </c>
      <c r="M210" s="5">
        <f t="shared" si="106"/>
        <v>8.321536705927473</v>
      </c>
      <c r="N210" s="5">
        <f t="shared" si="106"/>
        <v>8.5474242757237739</v>
      </c>
      <c r="O210" s="5">
        <f t="shared" si="106"/>
        <v>8.8917874147352194</v>
      </c>
      <c r="P210" s="5">
        <f t="shared" si="106"/>
        <v>9.3940751802605504</v>
      </c>
      <c r="Q210" s="5">
        <f t="shared" si="106"/>
        <v>10.08142235742927</v>
      </c>
      <c r="R210" s="5">
        <f t="shared" si="106"/>
        <v>10.944216228434067</v>
      </c>
      <c r="S210" s="5">
        <f t="shared" si="106"/>
        <v>11.917125</v>
      </c>
      <c r="T210" s="5">
        <f t="shared" si="106"/>
        <v>12.890033771565934</v>
      </c>
      <c r="U210" s="5">
        <f t="shared" si="106"/>
        <v>13.752827642570731</v>
      </c>
      <c r="V210" s="5">
        <f t="shared" si="106"/>
        <v>14.44017481973945</v>
      </c>
      <c r="W210" s="5">
        <f t="shared" si="106"/>
        <v>14.94246258526478</v>
      </c>
      <c r="X210" s="5">
        <f t="shared" si="106"/>
        <v>15.286825724276227</v>
      </c>
      <c r="Y210" s="5">
        <f t="shared" si="106"/>
        <v>15.512713294072526</v>
      </c>
      <c r="Z210" s="5">
        <f t="shared" si="106"/>
        <v>15.656621654738162</v>
      </c>
      <c r="AA210" s="5">
        <f t="shared" si="106"/>
        <v>15.746604058403673</v>
      </c>
      <c r="AB210" s="5">
        <f t="shared" si="106"/>
        <v>15.802211487535596</v>
      </c>
      <c r="AC210" s="5">
        <f t="shared" si="105"/>
        <v>15.83632697261929</v>
      </c>
      <c r="AD210" s="300">
        <f t="shared" si="103"/>
        <v>1.7298967372830184E-3</v>
      </c>
      <c r="AE210" s="299">
        <f t="shared" si="103"/>
        <v>1.7298967372830184E-3</v>
      </c>
      <c r="AF210" s="299">
        <f t="shared" si="103"/>
        <v>1.7298967372830184E-3</v>
      </c>
      <c r="AG210" s="299">
        <f t="shared" si="103"/>
        <v>1.7298967372830184E-3</v>
      </c>
      <c r="AH210" s="299">
        <f t="shared" si="103"/>
        <v>1.7298967372830184E-3</v>
      </c>
      <c r="AI210" s="299">
        <f t="shared" si="103"/>
        <v>1.6515696065775478E-3</v>
      </c>
      <c r="AJ210" s="299">
        <f t="shared" si="103"/>
        <v>1.6079226513376144E-3</v>
      </c>
      <c r="AK210" s="299">
        <f t="shared" si="103"/>
        <v>1.5456506619528215E-3</v>
      </c>
      <c r="AL210" s="299">
        <f t="shared" si="103"/>
        <v>1.4630069314761512E-3</v>
      </c>
      <c r="AM210" s="299">
        <f t="shared" si="101"/>
        <v>1.3632597282665412E-3</v>
      </c>
      <c r="AN210" s="299">
        <f t="shared" si="101"/>
        <v>1.2557863273773911E-3</v>
      </c>
      <c r="AO210" s="299">
        <f t="shared" si="101"/>
        <v>1.1532644915220121E-3</v>
      </c>
      <c r="AP210" s="299">
        <f t="shared" si="101"/>
        <v>1.066218859243503E-3</v>
      </c>
      <c r="AQ210" s="299">
        <f t="shared" si="101"/>
        <v>9.9932882609443186E-4</v>
      </c>
      <c r="AR210" s="299">
        <f t="shared" si="96"/>
        <v>9.5176112997898187E-4</v>
      </c>
      <c r="AS210" s="299">
        <f t="shared" si="96"/>
        <v>9.1976787795890094E-4</v>
      </c>
      <c r="AT210" s="299">
        <f t="shared" si="96"/>
        <v>8.9904845854975345E-4</v>
      </c>
      <c r="AU210" s="299">
        <f t="shared" si="96"/>
        <v>8.8595701106528838E-4</v>
      </c>
      <c r="AV210" s="299">
        <f t="shared" si="96"/>
        <v>8.7781370761872096E-4</v>
      </c>
      <c r="AW210" s="299">
        <f t="shared" si="94"/>
        <v>8.7279752844198518E-4</v>
      </c>
      <c r="AX210" s="299">
        <f t="shared" si="94"/>
        <v>8.6972618448815709E-4</v>
      </c>
      <c r="AY210" s="299">
        <f t="shared" si="94"/>
        <v>8.678525725878027E-4</v>
      </c>
      <c r="AZ210" s="298">
        <f t="shared" si="104"/>
        <v>9.5766716295190887E-2</v>
      </c>
      <c r="BA210" s="1">
        <f t="shared" si="104"/>
        <v>9.5766716295190887E-2</v>
      </c>
      <c r="BB210" s="1">
        <f t="shared" si="104"/>
        <v>9.5766716295190887E-2</v>
      </c>
      <c r="BC210" s="1">
        <f t="shared" si="104"/>
        <v>9.5766716295190887E-2</v>
      </c>
      <c r="BD210" s="1">
        <f t="shared" si="104"/>
        <v>9.5766716295190887E-2</v>
      </c>
      <c r="BE210" s="1">
        <f t="shared" si="104"/>
        <v>9.1430542960204184E-2</v>
      </c>
      <c r="BF210" s="1">
        <f t="shared" si="104"/>
        <v>8.9014256779922349E-2</v>
      </c>
      <c r="BG210" s="1">
        <f t="shared" si="104"/>
        <v>8.5566892661577895E-2</v>
      </c>
      <c r="BH210" s="1">
        <f t="shared" si="104"/>
        <v>8.0991753279231832E-2</v>
      </c>
      <c r="BI210" s="1">
        <f t="shared" si="102"/>
        <v>7.5469769275714596E-2</v>
      </c>
      <c r="BJ210" s="1">
        <f t="shared" si="102"/>
        <v>6.9520064608142473E-2</v>
      </c>
      <c r="BK210" s="1">
        <f t="shared" si="102"/>
        <v>6.3844477530127258E-2</v>
      </c>
      <c r="BL210" s="1">
        <f t="shared" si="102"/>
        <v>5.902564979810658E-2</v>
      </c>
      <c r="BM210" s="1">
        <f t="shared" si="102"/>
        <v>5.5322631756911787E-2</v>
      </c>
      <c r="BN210" s="1">
        <f t="shared" si="97"/>
        <v>5.2689294193735109E-2</v>
      </c>
      <c r="BO210" s="1">
        <f t="shared" si="97"/>
        <v>5.0918154550810654E-2</v>
      </c>
      <c r="BP210" s="1">
        <f t="shared" si="97"/>
        <v>4.9771131888941632E-2</v>
      </c>
      <c r="BQ210" s="1">
        <f t="shared" si="97"/>
        <v>4.9046392134181903E-2</v>
      </c>
      <c r="BR210" s="1">
        <f t="shared" si="97"/>
        <v>4.8595580583373425E-2</v>
      </c>
      <c r="BS210" s="1">
        <f t="shared" si="95"/>
        <v>4.8317885968573018E-2</v>
      </c>
      <c r="BT210" s="1">
        <f t="shared" si="95"/>
        <v>4.8147857019022439E-2</v>
      </c>
      <c r="BU210" s="1">
        <f t="shared" si="95"/>
        <v>4.8044134261795698E-2</v>
      </c>
    </row>
    <row r="211" spans="1:73" x14ac:dyDescent="0.25">
      <c r="A211" s="1" t="s">
        <v>45</v>
      </c>
      <c r="B211" s="1" t="s">
        <v>5</v>
      </c>
      <c r="C211" s="1" t="s">
        <v>8</v>
      </c>
      <c r="D211" s="1" t="s">
        <v>8</v>
      </c>
      <c r="E211" s="5">
        <v>8.5387499999999985</v>
      </c>
      <c r="F211" s="1">
        <f t="shared" si="108"/>
        <v>2.0919937499999996E-2</v>
      </c>
      <c r="G211" s="1">
        <f>LOOKUP(RIGHT(D211,5),Ref!$C$4:$C$21,Ref!$E$4:$E$21)*$G$3</f>
        <v>4</v>
      </c>
      <c r="H211" s="297">
        <f t="shared" si="107"/>
        <v>8.5387499999999985</v>
      </c>
      <c r="I211" s="5">
        <f t="shared" si="107"/>
        <v>8.5387499999999985</v>
      </c>
      <c r="J211" s="5">
        <f t="shared" si="107"/>
        <v>8.5387499999999985</v>
      </c>
      <c r="K211" s="5">
        <f t="shared" si="107"/>
        <v>8.5387499999999985</v>
      </c>
      <c r="L211" s="5">
        <f t="shared" si="107"/>
        <v>8.5387499999999985</v>
      </c>
      <c r="M211" s="5">
        <f t="shared" si="106"/>
        <v>8.9437076745949469</v>
      </c>
      <c r="N211" s="5">
        <f t="shared" si="106"/>
        <v>9.1864840346563916</v>
      </c>
      <c r="O211" s="5">
        <f t="shared" si="106"/>
        <v>9.5565939504163548</v>
      </c>
      <c r="P211" s="5">
        <f t="shared" si="106"/>
        <v>10.096435941401523</v>
      </c>
      <c r="Q211" s="5">
        <f t="shared" si="106"/>
        <v>10.835173561723044</v>
      </c>
      <c r="R211" s="5">
        <f t="shared" si="106"/>
        <v>11.762475385700164</v>
      </c>
      <c r="S211" s="5">
        <f t="shared" si="106"/>
        <v>12.808124999999997</v>
      </c>
      <c r="T211" s="5">
        <f t="shared" si="106"/>
        <v>13.853774614299832</v>
      </c>
      <c r="U211" s="5">
        <f t="shared" si="106"/>
        <v>14.781076438276951</v>
      </c>
      <c r="V211" s="5">
        <f t="shared" si="106"/>
        <v>15.519814058598472</v>
      </c>
      <c r="W211" s="5">
        <f t="shared" si="106"/>
        <v>16.059656049583637</v>
      </c>
      <c r="X211" s="5">
        <f t="shared" si="106"/>
        <v>16.429765965343606</v>
      </c>
      <c r="Y211" s="5">
        <f t="shared" si="106"/>
        <v>16.67254232540505</v>
      </c>
      <c r="Z211" s="5">
        <f t="shared" si="106"/>
        <v>16.827210189671852</v>
      </c>
      <c r="AA211" s="5">
        <f t="shared" si="106"/>
        <v>16.923920249686187</v>
      </c>
      <c r="AB211" s="5">
        <f t="shared" si="106"/>
        <v>16.983685243613021</v>
      </c>
      <c r="AC211" s="5">
        <f t="shared" si="105"/>
        <v>17.020351419170261</v>
      </c>
      <c r="AD211" s="300">
        <f t="shared" si="103"/>
        <v>1.6095560946894174E-3</v>
      </c>
      <c r="AE211" s="299">
        <f t="shared" si="103"/>
        <v>1.6095560946894174E-3</v>
      </c>
      <c r="AF211" s="299">
        <f t="shared" si="103"/>
        <v>1.6095560946894174E-3</v>
      </c>
      <c r="AG211" s="299">
        <f t="shared" si="103"/>
        <v>1.6095560946894174E-3</v>
      </c>
      <c r="AH211" s="299">
        <f t="shared" si="103"/>
        <v>1.6095560946894174E-3</v>
      </c>
      <c r="AI211" s="299">
        <f t="shared" si="103"/>
        <v>1.5366778078591099E-3</v>
      </c>
      <c r="AJ211" s="299">
        <f t="shared" si="103"/>
        <v>1.496067162548911E-3</v>
      </c>
      <c r="AK211" s="299">
        <f t="shared" si="103"/>
        <v>1.4381271376430603E-3</v>
      </c>
      <c r="AL211" s="299">
        <f t="shared" si="103"/>
        <v>1.361232536243028E-3</v>
      </c>
      <c r="AM211" s="299">
        <f t="shared" si="101"/>
        <v>1.2684242689088691E-3</v>
      </c>
      <c r="AN211" s="299">
        <f t="shared" si="101"/>
        <v>1.1684272785163555E-3</v>
      </c>
      <c r="AO211" s="299">
        <f t="shared" si="101"/>
        <v>1.0730373964596117E-3</v>
      </c>
      <c r="AP211" s="299">
        <f t="shared" si="101"/>
        <v>9.9204711251352044E-4</v>
      </c>
      <c r="AQ211" s="299">
        <f t="shared" si="101"/>
        <v>9.2981029906177577E-4</v>
      </c>
      <c r="AR211" s="299">
        <f t="shared" si="96"/>
        <v>8.8555166006740063E-4</v>
      </c>
      <c r="AS211" s="299">
        <f t="shared" si="96"/>
        <v>8.5578402557915159E-4</v>
      </c>
      <c r="AT211" s="299">
        <f t="shared" si="96"/>
        <v>8.3650595708542282E-4</v>
      </c>
      <c r="AU211" s="299">
        <f t="shared" si="96"/>
        <v>8.2432521899118141E-4</v>
      </c>
      <c r="AV211" s="299">
        <f t="shared" si="96"/>
        <v>8.1674840621915787E-4</v>
      </c>
      <c r="AW211" s="299">
        <f t="shared" si="94"/>
        <v>8.1208117863732551E-4</v>
      </c>
      <c r="AX211" s="299">
        <f t="shared" si="94"/>
        <v>8.0922349339332899E-4</v>
      </c>
      <c r="AY211" s="299">
        <f t="shared" si="94"/>
        <v>8.0748021971212963E-4</v>
      </c>
      <c r="AZ211" s="298">
        <f t="shared" si="104"/>
        <v>8.9104683857264583E-2</v>
      </c>
      <c r="BA211" s="1">
        <f t="shared" si="104"/>
        <v>8.9104683857264583E-2</v>
      </c>
      <c r="BB211" s="1">
        <f t="shared" si="104"/>
        <v>8.9104683857264583E-2</v>
      </c>
      <c r="BC211" s="1">
        <f t="shared" si="104"/>
        <v>8.9104683857264583E-2</v>
      </c>
      <c r="BD211" s="1">
        <f t="shared" si="104"/>
        <v>8.9104683857264583E-2</v>
      </c>
      <c r="BE211" s="1">
        <f t="shared" si="104"/>
        <v>8.507015736297259E-2</v>
      </c>
      <c r="BF211" s="1">
        <f t="shared" si="104"/>
        <v>8.2821960656101673E-2</v>
      </c>
      <c r="BG211" s="1">
        <f t="shared" si="104"/>
        <v>7.9614413172076848E-2</v>
      </c>
      <c r="BH211" s="1">
        <f t="shared" si="104"/>
        <v>7.5357544355459202E-2</v>
      </c>
      <c r="BI211" s="1">
        <f t="shared" si="102"/>
        <v>7.0219698369577949E-2</v>
      </c>
      <c r="BJ211" s="1">
        <f t="shared" si="102"/>
        <v>6.4683886200619531E-2</v>
      </c>
      <c r="BK211" s="1">
        <f t="shared" si="102"/>
        <v>5.9403122571509724E-2</v>
      </c>
      <c r="BL211" s="1">
        <f t="shared" si="102"/>
        <v>5.491951763823831E-2</v>
      </c>
      <c r="BM211" s="1">
        <f t="shared" si="102"/>
        <v>5.1474100852083149E-2</v>
      </c>
      <c r="BN211" s="1">
        <f t="shared" si="97"/>
        <v>4.9023951988953547E-2</v>
      </c>
      <c r="BO211" s="1">
        <f t="shared" si="97"/>
        <v>4.7376022060319489E-2</v>
      </c>
      <c r="BP211" s="1">
        <f t="shared" si="97"/>
        <v>4.6308792279276131E-2</v>
      </c>
      <c r="BQ211" s="1">
        <f t="shared" si="97"/>
        <v>4.5634469203108381E-2</v>
      </c>
      <c r="BR211" s="1">
        <f t="shared" si="97"/>
        <v>4.5215018455834415E-2</v>
      </c>
      <c r="BS211" s="1">
        <f t="shared" si="95"/>
        <v>4.4956641727280991E-2</v>
      </c>
      <c r="BT211" s="1">
        <f t="shared" si="95"/>
        <v>4.4798440878568713E-2</v>
      </c>
      <c r="BU211" s="1">
        <f t="shared" si="95"/>
        <v>4.4701933617496879E-2</v>
      </c>
    </row>
    <row r="212" spans="1:73" x14ac:dyDescent="0.25">
      <c r="A212" s="1" t="s">
        <v>45</v>
      </c>
      <c r="B212" s="1" t="s">
        <v>5</v>
      </c>
      <c r="C212" s="1" t="s">
        <v>9</v>
      </c>
      <c r="D212" s="1" t="s">
        <v>9</v>
      </c>
      <c r="E212" s="5">
        <v>7.8622499999999995</v>
      </c>
      <c r="F212" s="1">
        <f t="shared" si="108"/>
        <v>1.9262512499999999E-2</v>
      </c>
      <c r="G212" s="1">
        <f>LOOKUP(RIGHT(D212,5),Ref!$C$4:$C$21,Ref!$E$4:$E$21)*$G$3</f>
        <v>4.5</v>
      </c>
      <c r="H212" s="297">
        <f t="shared" si="107"/>
        <v>7.8622499999999995</v>
      </c>
      <c r="I212" s="5">
        <f t="shared" si="107"/>
        <v>7.8622499999999995</v>
      </c>
      <c r="J212" s="5">
        <f t="shared" si="107"/>
        <v>7.8622499999999995</v>
      </c>
      <c r="K212" s="5">
        <f t="shared" si="107"/>
        <v>7.8622499999999995</v>
      </c>
      <c r="L212" s="5">
        <f t="shared" si="107"/>
        <v>7.8622499999999995</v>
      </c>
      <c r="M212" s="5">
        <f t="shared" si="106"/>
        <v>8.2351240713903238</v>
      </c>
      <c r="N212" s="5">
        <f t="shared" si="106"/>
        <v>8.4586659758720213</v>
      </c>
      <c r="O212" s="5">
        <f t="shared" si="106"/>
        <v>8.7994531736683932</v>
      </c>
      <c r="P212" s="5">
        <f t="shared" si="106"/>
        <v>9.2965250745465244</v>
      </c>
      <c r="Q212" s="5">
        <f t="shared" si="106"/>
        <v>9.9767346901662446</v>
      </c>
      <c r="R212" s="5">
        <f t="shared" si="106"/>
        <v>10.830569123258218</v>
      </c>
      <c r="S212" s="5">
        <f t="shared" si="106"/>
        <v>11.793374999999999</v>
      </c>
      <c r="T212" s="5">
        <f t="shared" si="106"/>
        <v>12.75618087674178</v>
      </c>
      <c r="U212" s="5">
        <f t="shared" si="106"/>
        <v>13.610015309833754</v>
      </c>
      <c r="V212" s="5">
        <f t="shared" si="106"/>
        <v>14.290224925453474</v>
      </c>
      <c r="W212" s="5">
        <f t="shared" si="106"/>
        <v>14.787296826331604</v>
      </c>
      <c r="X212" s="5">
        <f t="shared" si="106"/>
        <v>15.128084024127977</v>
      </c>
      <c r="Y212" s="5">
        <f t="shared" si="106"/>
        <v>15.351625928609675</v>
      </c>
      <c r="Z212" s="5">
        <f t="shared" si="106"/>
        <v>15.494039913775149</v>
      </c>
      <c r="AA212" s="5">
        <f t="shared" si="106"/>
        <v>15.583087920725545</v>
      </c>
      <c r="AB212" s="5">
        <f t="shared" ref="AB212:AC227" si="109">AB$3*$E212</f>
        <v>15.638117910302618</v>
      </c>
      <c r="AC212" s="5">
        <f t="shared" si="109"/>
        <v>15.671879132820541</v>
      </c>
      <c r="AD212" s="300">
        <f t="shared" si="103"/>
        <v>1.7480488541485276E-3</v>
      </c>
      <c r="AE212" s="299">
        <f t="shared" si="103"/>
        <v>1.7480488541485276E-3</v>
      </c>
      <c r="AF212" s="299">
        <f t="shared" si="103"/>
        <v>1.7480488541485276E-3</v>
      </c>
      <c r="AG212" s="299">
        <f t="shared" si="103"/>
        <v>1.7480488541485276E-3</v>
      </c>
      <c r="AH212" s="299">
        <f t="shared" si="103"/>
        <v>1.7480488541485276E-3</v>
      </c>
      <c r="AI212" s="299">
        <f t="shared" si="103"/>
        <v>1.6688998228060635E-3</v>
      </c>
      <c r="AJ212" s="299">
        <f t="shared" si="103"/>
        <v>1.6247948722330774E-3</v>
      </c>
      <c r="AK212" s="299">
        <f t="shared" si="103"/>
        <v>1.5618694516899973E-3</v>
      </c>
      <c r="AL212" s="299">
        <f t="shared" si="103"/>
        <v>1.4783585257203923E-3</v>
      </c>
      <c r="AM212" s="299">
        <f t="shared" si="101"/>
        <v>1.377564657209527E-3</v>
      </c>
      <c r="AN212" s="299">
        <f t="shared" si="101"/>
        <v>1.2689635186405328E-3</v>
      </c>
      <c r="AO212" s="299">
        <f t="shared" si="101"/>
        <v>1.1653659027656849E-3</v>
      </c>
      <c r="AP212" s="299">
        <f t="shared" si="101"/>
        <v>1.0774068850487866E-3</v>
      </c>
      <c r="AQ212" s="299">
        <f t="shared" si="101"/>
        <v>1.009814962779578E-3</v>
      </c>
      <c r="AR212" s="299">
        <f t="shared" si="96"/>
        <v>9.6174813029355666E-4</v>
      </c>
      <c r="AS212" s="299">
        <f t="shared" si="96"/>
        <v>9.2941916733937219E-4</v>
      </c>
      <c r="AT212" s="299">
        <f t="shared" si="96"/>
        <v>9.0848233534460935E-4</v>
      </c>
      <c r="AU212" s="299">
        <f t="shared" si="96"/>
        <v>8.9525351695264718E-4</v>
      </c>
      <c r="AV212" s="299">
        <f t="shared" si="96"/>
        <v>8.870247643618345E-4</v>
      </c>
      <c r="AW212" s="299">
        <f t="shared" si="94"/>
        <v>8.8195594951692735E-4</v>
      </c>
      <c r="AX212" s="299">
        <f t="shared" si="94"/>
        <v>8.7885237739989026E-4</v>
      </c>
      <c r="AY212" s="299">
        <f t="shared" si="94"/>
        <v>8.7695910535367692E-4</v>
      </c>
      <c r="AZ212" s="298">
        <f t="shared" si="104"/>
        <v>9.6771613633020809E-2</v>
      </c>
      <c r="BA212" s="1">
        <f t="shared" si="104"/>
        <v>9.6771613633020809E-2</v>
      </c>
      <c r="BB212" s="1">
        <f t="shared" si="104"/>
        <v>9.6771613633020809E-2</v>
      </c>
      <c r="BC212" s="1">
        <f t="shared" si="104"/>
        <v>9.6771613633020809E-2</v>
      </c>
      <c r="BD212" s="1">
        <f t="shared" si="104"/>
        <v>9.6771613633020809E-2</v>
      </c>
      <c r="BE212" s="1">
        <f t="shared" si="104"/>
        <v>9.2389940053175884E-2</v>
      </c>
      <c r="BF212" s="1">
        <f t="shared" si="104"/>
        <v>8.9948299348441993E-2</v>
      </c>
      <c r="BG212" s="1">
        <f t="shared" si="104"/>
        <v>8.6464761419831615E-2</v>
      </c>
      <c r="BH212" s="1">
        <f t="shared" si="104"/>
        <v>8.1841614279013916E-2</v>
      </c>
      <c r="BI212" s="1">
        <f t="shared" si="102"/>
        <v>7.6261687106519579E-2</v>
      </c>
      <c r="BJ212" s="1">
        <f t="shared" si="102"/>
        <v>7.0249551120295087E-2</v>
      </c>
      <c r="BK212" s="1">
        <f t="shared" si="102"/>
        <v>6.451440908868053E-2</v>
      </c>
      <c r="BL212" s="1">
        <f t="shared" si="102"/>
        <v>5.9645016532609278E-2</v>
      </c>
      <c r="BM212" s="1">
        <f t="shared" si="102"/>
        <v>5.590314205866323E-2</v>
      </c>
      <c r="BN212" s="1">
        <f t="shared" si="97"/>
        <v>5.3242172411927503E-2</v>
      </c>
      <c r="BO212" s="1">
        <f t="shared" si="97"/>
        <v>5.1452447882928291E-2</v>
      </c>
      <c r="BP212" s="1">
        <f t="shared" si="97"/>
        <v>5.0293389306454141E-2</v>
      </c>
      <c r="BQ212" s="1">
        <f t="shared" si="97"/>
        <v>4.9561044727405218E-2</v>
      </c>
      <c r="BR212" s="1">
        <f t="shared" si="97"/>
        <v>4.9105502730103473E-2</v>
      </c>
      <c r="BS212" s="1">
        <f t="shared" si="95"/>
        <v>4.8824894215882285E-2</v>
      </c>
      <c r="BT212" s="1">
        <f t="shared" si="95"/>
        <v>4.8653081122055207E-2</v>
      </c>
      <c r="BU212" s="1">
        <f t="shared" si="95"/>
        <v>4.8548269983325565E-2</v>
      </c>
    </row>
    <row r="213" spans="1:73" x14ac:dyDescent="0.25">
      <c r="A213" s="1" t="s">
        <v>45</v>
      </c>
      <c r="B213" s="1" t="s">
        <v>5</v>
      </c>
      <c r="C213" s="1" t="s">
        <v>10</v>
      </c>
      <c r="D213" s="1" t="s">
        <v>10</v>
      </c>
      <c r="E213" s="5">
        <v>7.8787499999999993</v>
      </c>
      <c r="F213" s="1">
        <f t="shared" si="108"/>
        <v>1.9302937499999999E-2</v>
      </c>
      <c r="G213" s="1">
        <f>LOOKUP(RIGHT(D213,5),Ref!$C$4:$C$21,Ref!$E$4:$E$21)*$G$3</f>
        <v>4.5</v>
      </c>
      <c r="H213" s="297">
        <f t="shared" si="107"/>
        <v>7.8787499999999993</v>
      </c>
      <c r="I213" s="5">
        <f t="shared" si="107"/>
        <v>7.8787499999999993</v>
      </c>
      <c r="J213" s="5">
        <f t="shared" si="107"/>
        <v>7.8787499999999993</v>
      </c>
      <c r="K213" s="5">
        <f t="shared" si="107"/>
        <v>7.8787499999999993</v>
      </c>
      <c r="L213" s="5">
        <f t="shared" si="107"/>
        <v>7.8787499999999993</v>
      </c>
      <c r="M213" s="5">
        <f t="shared" ref="M213:AB227" si="110">M$3*$E213</f>
        <v>8.2524065982977532</v>
      </c>
      <c r="N213" s="5">
        <f t="shared" si="110"/>
        <v>8.4764176358423704</v>
      </c>
      <c r="O213" s="5">
        <f t="shared" si="110"/>
        <v>8.8179200218817577</v>
      </c>
      <c r="P213" s="5">
        <f t="shared" si="110"/>
        <v>9.3160350956893296</v>
      </c>
      <c r="Q213" s="5">
        <f t="shared" si="110"/>
        <v>9.9976722236188493</v>
      </c>
      <c r="R213" s="5">
        <f t="shared" si="110"/>
        <v>10.853298544293388</v>
      </c>
      <c r="S213" s="5">
        <f t="shared" si="110"/>
        <v>11.818124999999998</v>
      </c>
      <c r="T213" s="5">
        <f t="shared" si="110"/>
        <v>12.782951455706609</v>
      </c>
      <c r="U213" s="5">
        <f t="shared" si="110"/>
        <v>13.638577776381149</v>
      </c>
      <c r="V213" s="5">
        <f t="shared" si="110"/>
        <v>14.320214904310669</v>
      </c>
      <c r="W213" s="5">
        <f t="shared" si="110"/>
        <v>14.818329978118237</v>
      </c>
      <c r="X213" s="5">
        <f t="shared" si="110"/>
        <v>15.159832364157626</v>
      </c>
      <c r="Y213" s="5">
        <f t="shared" si="110"/>
        <v>15.383843401702245</v>
      </c>
      <c r="Z213" s="5">
        <f t="shared" si="110"/>
        <v>15.52655626196775</v>
      </c>
      <c r="AA213" s="5">
        <f t="shared" si="110"/>
        <v>15.61579114826117</v>
      </c>
      <c r="AB213" s="5">
        <f t="shared" si="110"/>
        <v>15.670936625749214</v>
      </c>
      <c r="AC213" s="5">
        <f t="shared" si="109"/>
        <v>15.70476870078029</v>
      </c>
      <c r="AD213" s="300">
        <f t="shared" si="103"/>
        <v>1.7443880188518814E-3</v>
      </c>
      <c r="AE213" s="299">
        <f t="shared" si="103"/>
        <v>1.7443880188518814E-3</v>
      </c>
      <c r="AF213" s="299">
        <f t="shared" si="103"/>
        <v>1.7443880188518814E-3</v>
      </c>
      <c r="AG213" s="299">
        <f t="shared" si="103"/>
        <v>1.7443880188518814E-3</v>
      </c>
      <c r="AH213" s="299">
        <f t="shared" si="103"/>
        <v>1.7443880188518814E-3</v>
      </c>
      <c r="AI213" s="299">
        <f t="shared" si="103"/>
        <v>1.665404744643119E-3</v>
      </c>
      <c r="AJ213" s="299">
        <f t="shared" si="103"/>
        <v>1.6213921604587675E-3</v>
      </c>
      <c r="AK213" s="299">
        <f t="shared" si="103"/>
        <v>1.5585985209011178E-3</v>
      </c>
      <c r="AL213" s="299">
        <f t="shared" si="103"/>
        <v>1.4752624869230719E-3</v>
      </c>
      <c r="AM213" s="299">
        <f t="shared" si="101"/>
        <v>1.3746797050478317E-3</v>
      </c>
      <c r="AN213" s="299">
        <f t="shared" si="101"/>
        <v>1.266306003418249E-3</v>
      </c>
      <c r="AO213" s="299">
        <f t="shared" si="101"/>
        <v>1.1629253459012542E-3</v>
      </c>
      <c r="AP213" s="299">
        <f t="shared" si="101"/>
        <v>1.0751505355513023E-3</v>
      </c>
      <c r="AQ213" s="299">
        <f t="shared" si="101"/>
        <v>1.0077001670460081E-3</v>
      </c>
      <c r="AR213" s="299">
        <f t="shared" si="96"/>
        <v>9.597339980835179E-4</v>
      </c>
      <c r="AS213" s="299">
        <f t="shared" si="96"/>
        <v>9.2747273976379236E-4</v>
      </c>
      <c r="AT213" s="299">
        <f t="shared" si="96"/>
        <v>9.0657975453760494E-4</v>
      </c>
      <c r="AU213" s="299">
        <f t="shared" si="96"/>
        <v>8.9337864047735367E-4</v>
      </c>
      <c r="AV213" s="299">
        <f t="shared" si="96"/>
        <v>8.8516712087626003E-4</v>
      </c>
      <c r="AW213" s="299">
        <f t="shared" si="94"/>
        <v>8.8010892135039983E-4</v>
      </c>
      <c r="AX213" s="299">
        <f t="shared" si="94"/>
        <v>8.7701184886083289E-4</v>
      </c>
      <c r="AY213" s="299">
        <f t="shared" si="94"/>
        <v>8.7512254178225555E-4</v>
      </c>
      <c r="AZ213" s="298">
        <f t="shared" si="104"/>
        <v>9.6568950567820763E-2</v>
      </c>
      <c r="BA213" s="1">
        <f t="shared" si="104"/>
        <v>9.6568950567820763E-2</v>
      </c>
      <c r="BB213" s="1">
        <f t="shared" si="104"/>
        <v>9.6568950567820763E-2</v>
      </c>
      <c r="BC213" s="1">
        <f t="shared" si="104"/>
        <v>9.6568950567820763E-2</v>
      </c>
      <c r="BD213" s="1">
        <f t="shared" si="104"/>
        <v>9.6568950567820763E-2</v>
      </c>
      <c r="BE213" s="1">
        <f t="shared" si="104"/>
        <v>9.2196453267724215E-2</v>
      </c>
      <c r="BF213" s="1">
        <f t="shared" si="104"/>
        <v>8.9759925946665167E-2</v>
      </c>
      <c r="BG213" s="1">
        <f t="shared" si="104"/>
        <v>8.6283683385444537E-2</v>
      </c>
      <c r="BH213" s="1">
        <f t="shared" si="104"/>
        <v>8.1670218228167807E-2</v>
      </c>
      <c r="BI213" s="1">
        <f t="shared" si="102"/>
        <v>7.6101976767029497E-2</v>
      </c>
      <c r="BJ213" s="1">
        <f t="shared" si="102"/>
        <v>7.010243164150913E-2</v>
      </c>
      <c r="BK213" s="1">
        <f t="shared" si="102"/>
        <v>6.437930037854718E-2</v>
      </c>
      <c r="BL213" s="1">
        <f t="shared" si="102"/>
        <v>5.9520105503221621E-2</v>
      </c>
      <c r="BM213" s="1">
        <f t="shared" si="102"/>
        <v>5.5786067415608431E-2</v>
      </c>
      <c r="BN213" s="1">
        <f t="shared" si="97"/>
        <v>5.313067048017478E-2</v>
      </c>
      <c r="BO213" s="1">
        <f t="shared" si="97"/>
        <v>5.1344694065372426E-2</v>
      </c>
      <c r="BP213" s="1">
        <f t="shared" si="97"/>
        <v>5.0188062836702407E-2</v>
      </c>
      <c r="BQ213" s="1">
        <f t="shared" si="97"/>
        <v>4.945725196357819E-2</v>
      </c>
      <c r="BR213" s="1">
        <f t="shared" si="97"/>
        <v>4.9002663980930485E-2</v>
      </c>
      <c r="BS213" s="1">
        <f t="shared" si="95"/>
        <v>4.8722643128519184E-2</v>
      </c>
      <c r="BT213" s="1">
        <f t="shared" si="95"/>
        <v>4.855118985268965E-2</v>
      </c>
      <c r="BU213" s="1">
        <f t="shared" si="95"/>
        <v>4.8446598213726981E-2</v>
      </c>
    </row>
    <row r="214" spans="1:73" x14ac:dyDescent="0.25">
      <c r="A214" s="1" t="s">
        <v>45</v>
      </c>
      <c r="B214" s="1" t="s">
        <v>5</v>
      </c>
      <c r="C214" s="1" t="s">
        <v>11</v>
      </c>
      <c r="D214" s="1" t="s">
        <v>11</v>
      </c>
      <c r="E214" s="5">
        <v>8.58</v>
      </c>
      <c r="F214" s="1">
        <f t="shared" si="108"/>
        <v>2.1021000000000001E-2</v>
      </c>
      <c r="G214" s="1">
        <f>LOOKUP(RIGHT(D214,5),Ref!$C$4:$C$21,Ref!$E$4:$E$21)*$G$3</f>
        <v>4.5</v>
      </c>
      <c r="H214" s="297">
        <f t="shared" ref="H214:L227" si="111">$E214</f>
        <v>8.58</v>
      </c>
      <c r="I214" s="5">
        <f t="shared" si="111"/>
        <v>8.58</v>
      </c>
      <c r="J214" s="5">
        <f t="shared" si="111"/>
        <v>8.58</v>
      </c>
      <c r="K214" s="5">
        <f t="shared" si="111"/>
        <v>8.58</v>
      </c>
      <c r="L214" s="5">
        <f t="shared" si="111"/>
        <v>8.58</v>
      </c>
      <c r="M214" s="5">
        <f t="shared" si="110"/>
        <v>8.9869139918635224</v>
      </c>
      <c r="N214" s="5">
        <f t="shared" si="110"/>
        <v>9.2308631845822688</v>
      </c>
      <c r="O214" s="5">
        <f t="shared" si="110"/>
        <v>9.6027610709497697</v>
      </c>
      <c r="P214" s="5">
        <f t="shared" si="110"/>
        <v>10.145210994258537</v>
      </c>
      <c r="Q214" s="5">
        <f t="shared" si="110"/>
        <v>10.887517395354559</v>
      </c>
      <c r="R214" s="5">
        <f t="shared" si="110"/>
        <v>11.819298938288089</v>
      </c>
      <c r="S214" s="5">
        <f t="shared" si="110"/>
        <v>12.870000000000001</v>
      </c>
      <c r="T214" s="5">
        <f t="shared" si="110"/>
        <v>13.920701061711911</v>
      </c>
      <c r="U214" s="5">
        <f t="shared" si="110"/>
        <v>14.852482604645441</v>
      </c>
      <c r="V214" s="5">
        <f t="shared" si="110"/>
        <v>15.594789005741463</v>
      </c>
      <c r="W214" s="5">
        <f t="shared" si="110"/>
        <v>16.13723892905023</v>
      </c>
      <c r="X214" s="5">
        <f t="shared" si="110"/>
        <v>16.50913681541773</v>
      </c>
      <c r="Y214" s="5">
        <f t="shared" si="110"/>
        <v>16.753086008136478</v>
      </c>
      <c r="Z214" s="5">
        <f t="shared" si="110"/>
        <v>16.908501060153363</v>
      </c>
      <c r="AA214" s="5">
        <f t="shared" si="110"/>
        <v>17.005678318525256</v>
      </c>
      <c r="AB214" s="5">
        <f t="shared" si="110"/>
        <v>17.065732032229512</v>
      </c>
      <c r="AC214" s="5">
        <f t="shared" si="109"/>
        <v>17.102575339069638</v>
      </c>
      <c r="AD214" s="300">
        <f t="shared" si="103"/>
        <v>1.6018178442341795E-3</v>
      </c>
      <c r="AE214" s="299">
        <f t="shared" si="103"/>
        <v>1.6018178442341795E-3</v>
      </c>
      <c r="AF214" s="299">
        <f t="shared" si="103"/>
        <v>1.6018178442341795E-3</v>
      </c>
      <c r="AG214" s="299">
        <f t="shared" si="103"/>
        <v>1.6018178442341795E-3</v>
      </c>
      <c r="AH214" s="299">
        <f t="shared" si="103"/>
        <v>1.6018178442341795E-3</v>
      </c>
      <c r="AI214" s="299">
        <f t="shared" si="103"/>
        <v>1.529289933782864E-3</v>
      </c>
      <c r="AJ214" s="299">
        <f t="shared" si="103"/>
        <v>1.4888745319597335E-3</v>
      </c>
      <c r="AK214" s="299">
        <f t="shared" si="103"/>
        <v>1.4312130648659299E-3</v>
      </c>
      <c r="AL214" s="299">
        <f t="shared" si="103"/>
        <v>1.3546881490495517E-3</v>
      </c>
      <c r="AM214" s="299">
        <f t="shared" si="101"/>
        <v>1.2623260753083455E-3</v>
      </c>
      <c r="AN214" s="299">
        <f t="shared" si="101"/>
        <v>1.1628098396773343E-3</v>
      </c>
      <c r="AO214" s="299">
        <f t="shared" si="101"/>
        <v>1.0678785628227862E-3</v>
      </c>
      <c r="AP214" s="299">
        <f t="shared" si="101"/>
        <v>9.872776552418206E-4</v>
      </c>
      <c r="AQ214" s="299">
        <f t="shared" si="101"/>
        <v>9.2534005723936329E-4</v>
      </c>
      <c r="AR214" s="299">
        <f t="shared" si="96"/>
        <v>8.8129420016323031E-4</v>
      </c>
      <c r="AS214" s="299">
        <f t="shared" si="96"/>
        <v>8.5166967930232847E-4</v>
      </c>
      <c r="AT214" s="299">
        <f t="shared" si="96"/>
        <v>8.3248429383020451E-4</v>
      </c>
      <c r="AU214" s="299">
        <f t="shared" si="96"/>
        <v>8.2036211697680069E-4</v>
      </c>
      <c r="AV214" s="299">
        <f t="shared" si="96"/>
        <v>8.1282173118925793E-4</v>
      </c>
      <c r="AW214" s="299">
        <f t="shared" si="94"/>
        <v>8.081769422015689E-4</v>
      </c>
      <c r="AX214" s="299">
        <f t="shared" si="94"/>
        <v>8.0533299582893783E-4</v>
      </c>
      <c r="AY214" s="299">
        <f t="shared" si="94"/>
        <v>8.035981032712057E-4</v>
      </c>
      <c r="AZ214" s="298">
        <f t="shared" si="104"/>
        <v>8.8676295954104631E-2</v>
      </c>
      <c r="BA214" s="1">
        <f t="shared" si="104"/>
        <v>8.8676295954104631E-2</v>
      </c>
      <c r="BB214" s="1">
        <f t="shared" si="104"/>
        <v>8.8676295954104631E-2</v>
      </c>
      <c r="BC214" s="1">
        <f t="shared" si="104"/>
        <v>8.8676295954104631E-2</v>
      </c>
      <c r="BD214" s="1">
        <f t="shared" si="104"/>
        <v>8.8676295954104631E-2</v>
      </c>
      <c r="BE214" s="1">
        <f t="shared" si="104"/>
        <v>8.4661166221804446E-2</v>
      </c>
      <c r="BF214" s="1">
        <f t="shared" si="104"/>
        <v>8.2423778152947325E-2</v>
      </c>
      <c r="BG214" s="1">
        <f t="shared" si="104"/>
        <v>7.9231651570287998E-2</v>
      </c>
      <c r="BH214" s="1">
        <f t="shared" si="104"/>
        <v>7.499524846913487E-2</v>
      </c>
      <c r="BI214" s="1">
        <f t="shared" si="102"/>
        <v>6.9882103665878048E-2</v>
      </c>
      <c r="BJ214" s="1">
        <f t="shared" si="102"/>
        <v>6.4372905978501163E-2</v>
      </c>
      <c r="BK214" s="1">
        <f t="shared" si="102"/>
        <v>5.9117530636069754E-2</v>
      </c>
      <c r="BL214" s="1">
        <f t="shared" si="102"/>
        <v>5.4655481495746769E-2</v>
      </c>
      <c r="BM214" s="1">
        <f t="shared" si="102"/>
        <v>5.1226629213371198E-2</v>
      </c>
      <c r="BN214" s="1">
        <f t="shared" si="97"/>
        <v>4.8788259912083569E-2</v>
      </c>
      <c r="BO214" s="1">
        <f t="shared" si="97"/>
        <v>4.7148252723491019E-2</v>
      </c>
      <c r="BP214" s="1">
        <f t="shared" si="97"/>
        <v>4.6086153854856537E-2</v>
      </c>
      <c r="BQ214" s="1">
        <f t="shared" si="97"/>
        <v>4.5415072716554969E-2</v>
      </c>
      <c r="BR214" s="1">
        <f t="shared" si="97"/>
        <v>4.4997638559412127E-2</v>
      </c>
      <c r="BS214" s="1">
        <f t="shared" si="95"/>
        <v>4.4740504026669049E-2</v>
      </c>
      <c r="BT214" s="1">
        <f t="shared" si="95"/>
        <v>4.4583063758960199E-2</v>
      </c>
      <c r="BU214" s="1">
        <f t="shared" si="95"/>
        <v>4.4487020475105055E-2</v>
      </c>
    </row>
    <row r="215" spans="1:73" x14ac:dyDescent="0.25">
      <c r="A215" s="1" t="s">
        <v>46</v>
      </c>
      <c r="B215" s="1" t="s">
        <v>5</v>
      </c>
      <c r="C215" s="1" t="s">
        <v>6</v>
      </c>
      <c r="D215" s="1" t="s">
        <v>6</v>
      </c>
      <c r="E215" s="5">
        <v>7.5652500000000007</v>
      </c>
      <c r="F215" s="1">
        <f t="shared" si="108"/>
        <v>1.8534862500000002E-2</v>
      </c>
      <c r="G215" s="1">
        <f>LOOKUP(RIGHT(D215,5),Ref!$C$4:$C$21,Ref!$E$4:$E$21)*$G$3</f>
        <v>3</v>
      </c>
      <c r="H215" s="297">
        <f t="shared" si="111"/>
        <v>7.5652500000000007</v>
      </c>
      <c r="I215" s="5">
        <f t="shared" si="111"/>
        <v>7.5652500000000007</v>
      </c>
      <c r="J215" s="5">
        <f t="shared" si="111"/>
        <v>7.5652500000000007</v>
      </c>
      <c r="K215" s="5">
        <f t="shared" si="111"/>
        <v>7.5652500000000007</v>
      </c>
      <c r="L215" s="5">
        <f t="shared" si="111"/>
        <v>7.5652500000000007</v>
      </c>
      <c r="M215" s="5">
        <f t="shared" si="110"/>
        <v>7.9240385870565877</v>
      </c>
      <c r="N215" s="5">
        <f t="shared" si="110"/>
        <v>8.1391360964057125</v>
      </c>
      <c r="O215" s="5">
        <f t="shared" si="110"/>
        <v>8.4670499058278264</v>
      </c>
      <c r="P215" s="5">
        <f t="shared" si="110"/>
        <v>8.9453446939760379</v>
      </c>
      <c r="Q215" s="5">
        <f t="shared" si="110"/>
        <v>9.5998590880193575</v>
      </c>
      <c r="R215" s="5">
        <f t="shared" si="110"/>
        <v>10.421439544625171</v>
      </c>
      <c r="S215" s="5">
        <f t="shared" si="110"/>
        <v>11.347875000000002</v>
      </c>
      <c r="T215" s="5">
        <f t="shared" si="110"/>
        <v>12.274310455374831</v>
      </c>
      <c r="U215" s="5">
        <f t="shared" si="110"/>
        <v>13.095890911980645</v>
      </c>
      <c r="V215" s="5">
        <f t="shared" si="110"/>
        <v>13.750405306023964</v>
      </c>
      <c r="W215" s="5">
        <f t="shared" si="110"/>
        <v>14.228700094172174</v>
      </c>
      <c r="X215" s="5">
        <f t="shared" si="110"/>
        <v>14.55661390359429</v>
      </c>
      <c r="Y215" s="5">
        <f t="shared" si="110"/>
        <v>14.771711412943414</v>
      </c>
      <c r="Z215" s="5">
        <f t="shared" si="110"/>
        <v>14.908745646308304</v>
      </c>
      <c r="AA215" s="5">
        <f t="shared" si="110"/>
        <v>14.994429825084289</v>
      </c>
      <c r="AB215" s="5">
        <f t="shared" si="110"/>
        <v>15.047381032263907</v>
      </c>
      <c r="AC215" s="5">
        <f t="shared" si="109"/>
        <v>15.079866909545057</v>
      </c>
      <c r="AD215" s="300">
        <f t="shared" si="103"/>
        <v>1.8166745452601379E-3</v>
      </c>
      <c r="AE215" s="299">
        <f t="shared" si="103"/>
        <v>1.8166745452601379E-3</v>
      </c>
      <c r="AF215" s="299">
        <f t="shared" si="103"/>
        <v>1.8166745452601379E-3</v>
      </c>
      <c r="AG215" s="299">
        <f t="shared" si="103"/>
        <v>1.8166745452601379E-3</v>
      </c>
      <c r="AH215" s="299">
        <f t="shared" si="103"/>
        <v>1.8166745452601379E-3</v>
      </c>
      <c r="AI215" s="299">
        <f t="shared" si="103"/>
        <v>1.7344182455116448E-3</v>
      </c>
      <c r="AJ215" s="299">
        <f t="shared" si="103"/>
        <v>1.6885818028769058E-3</v>
      </c>
      <c r="AK215" s="299">
        <f t="shared" si="103"/>
        <v>1.6231860277650676E-3</v>
      </c>
      <c r="AL215" s="299">
        <f t="shared" si="103"/>
        <v>1.5363965921608872E-3</v>
      </c>
      <c r="AM215" s="299">
        <f t="shared" si="101"/>
        <v>1.4316457124543937E-3</v>
      </c>
      <c r="AN215" s="299">
        <f t="shared" si="101"/>
        <v>1.318781061357064E-3</v>
      </c>
      <c r="AO215" s="299">
        <f t="shared" si="101"/>
        <v>1.2111163635067585E-3</v>
      </c>
      <c r="AP215" s="299">
        <f t="shared" si="101"/>
        <v>1.1197042109612795E-3</v>
      </c>
      <c r="AQ215" s="299">
        <f t="shared" si="101"/>
        <v>1.0494587344917533E-3</v>
      </c>
      <c r="AR215" s="299">
        <f t="shared" si="96"/>
        <v>9.9950487259515739E-4</v>
      </c>
      <c r="AS215" s="299">
        <f t="shared" si="96"/>
        <v>9.6590672461768984E-4</v>
      </c>
      <c r="AT215" s="299">
        <f t="shared" si="96"/>
        <v>9.4414794502007901E-4</v>
      </c>
      <c r="AU215" s="299">
        <f t="shared" si="96"/>
        <v>9.3039978370324167E-4</v>
      </c>
      <c r="AV215" s="299">
        <f t="shared" si="96"/>
        <v>9.2184798302816587E-4</v>
      </c>
      <c r="AW215" s="299">
        <f t="shared" si="94"/>
        <v>9.1658017436164845E-4</v>
      </c>
      <c r="AX215" s="299">
        <f t="shared" si="94"/>
        <v>9.1335476080926423E-4</v>
      </c>
      <c r="AY215" s="299">
        <f t="shared" si="94"/>
        <v>9.1138716183430089E-4</v>
      </c>
      <c r="AZ215" s="298">
        <f t="shared" si="104"/>
        <v>0.10057071733071844</v>
      </c>
      <c r="BA215" s="1">
        <f t="shared" si="104"/>
        <v>0.10057071733071844</v>
      </c>
      <c r="BB215" s="1">
        <f t="shared" si="104"/>
        <v>0.10057071733071844</v>
      </c>
      <c r="BC215" s="1">
        <f t="shared" si="104"/>
        <v>0.10057071733071844</v>
      </c>
      <c r="BD215" s="1">
        <f t="shared" si="104"/>
        <v>0.10057071733071844</v>
      </c>
      <c r="BE215" s="1">
        <f t="shared" si="104"/>
        <v>9.6017026031272198E-2</v>
      </c>
      <c r="BF215" s="1">
        <f t="shared" si="104"/>
        <v>9.3479530293418989E-2</v>
      </c>
      <c r="BG215" s="1">
        <f t="shared" si="104"/>
        <v>8.985923406008671E-2</v>
      </c>
      <c r="BH215" s="1">
        <f t="shared" si="104"/>
        <v>8.5054589321592419E-2</v>
      </c>
      <c r="BI215" s="1">
        <f t="shared" si="102"/>
        <v>7.9255602848978354E-2</v>
      </c>
      <c r="BJ215" s="1">
        <f t="shared" si="102"/>
        <v>7.3007439713894451E-2</v>
      </c>
      <c r="BK215" s="1">
        <f t="shared" si="102"/>
        <v>6.7047144887145624E-2</v>
      </c>
      <c r="BL215" s="1">
        <f t="shared" si="102"/>
        <v>6.1986587519712796E-2</v>
      </c>
      <c r="BM215" s="1">
        <f t="shared" si="102"/>
        <v>5.8097812848316298E-2</v>
      </c>
      <c r="BN215" s="1">
        <f t="shared" si="97"/>
        <v>5.5332377653835231E-2</v>
      </c>
      <c r="BO215" s="1">
        <f t="shared" si="97"/>
        <v>5.3472391311265709E-2</v>
      </c>
      <c r="BP215" s="1">
        <f t="shared" si="97"/>
        <v>5.2267829889913617E-2</v>
      </c>
      <c r="BQ215" s="1">
        <f t="shared" si="97"/>
        <v>5.1506734596747185E-2</v>
      </c>
      <c r="BR215" s="1">
        <f t="shared" si="97"/>
        <v>5.1033308726050823E-2</v>
      </c>
      <c r="BS215" s="1">
        <f t="shared" si="95"/>
        <v>5.0741683956091396E-2</v>
      </c>
      <c r="BT215" s="1">
        <f t="shared" si="95"/>
        <v>5.0563125746258021E-2</v>
      </c>
      <c r="BU215" s="1">
        <f t="shared" si="95"/>
        <v>5.0454199884524813E-2</v>
      </c>
    </row>
    <row r="216" spans="1:73" x14ac:dyDescent="0.25">
      <c r="A216" s="1" t="s">
        <v>46</v>
      </c>
      <c r="B216" s="1" t="s">
        <v>5</v>
      </c>
      <c r="C216" s="1" t="s">
        <v>7</v>
      </c>
      <c r="D216" s="1" t="s">
        <v>7</v>
      </c>
      <c r="E216" s="5">
        <v>8.0602499999999999</v>
      </c>
      <c r="F216" s="1">
        <f t="shared" si="108"/>
        <v>1.9747612499999997E-2</v>
      </c>
      <c r="G216" s="1">
        <f>LOOKUP(RIGHT(D216,5),Ref!$C$4:$C$21,Ref!$E$4:$E$21)*$G$3</f>
        <v>3.5</v>
      </c>
      <c r="H216" s="297">
        <f t="shared" si="111"/>
        <v>8.0602499999999999</v>
      </c>
      <c r="I216" s="5">
        <f t="shared" si="111"/>
        <v>8.0602499999999999</v>
      </c>
      <c r="J216" s="5">
        <f t="shared" si="111"/>
        <v>8.0602499999999999</v>
      </c>
      <c r="K216" s="5">
        <f t="shared" si="111"/>
        <v>8.0602499999999999</v>
      </c>
      <c r="L216" s="5">
        <f t="shared" si="111"/>
        <v>8.0602499999999999</v>
      </c>
      <c r="M216" s="5">
        <f t="shared" si="110"/>
        <v>8.4425143942794829</v>
      </c>
      <c r="N216" s="5">
        <f t="shared" si="110"/>
        <v>8.6716858955162266</v>
      </c>
      <c r="O216" s="5">
        <f t="shared" si="110"/>
        <v>9.0210553522287729</v>
      </c>
      <c r="P216" s="5">
        <f t="shared" si="110"/>
        <v>9.5306453282601833</v>
      </c>
      <c r="Q216" s="5">
        <f t="shared" si="110"/>
        <v>10.227985091597503</v>
      </c>
      <c r="R216" s="5">
        <f t="shared" si="110"/>
        <v>11.103322175680253</v>
      </c>
      <c r="S216" s="5">
        <f t="shared" si="110"/>
        <v>12.090375</v>
      </c>
      <c r="T216" s="5">
        <f t="shared" si="110"/>
        <v>13.077427824319747</v>
      </c>
      <c r="U216" s="5">
        <f t="shared" si="110"/>
        <v>13.952764908402497</v>
      </c>
      <c r="V216" s="5">
        <f t="shared" si="110"/>
        <v>14.650104671739816</v>
      </c>
      <c r="W216" s="5">
        <f t="shared" si="110"/>
        <v>15.159694647771225</v>
      </c>
      <c r="X216" s="5">
        <f t="shared" si="110"/>
        <v>15.509064104483773</v>
      </c>
      <c r="Y216" s="5">
        <f t="shared" si="110"/>
        <v>15.738235605720517</v>
      </c>
      <c r="Z216" s="5">
        <f t="shared" si="110"/>
        <v>15.884236092086381</v>
      </c>
      <c r="AA216" s="5">
        <f t="shared" si="110"/>
        <v>15.975526651153052</v>
      </c>
      <c r="AB216" s="5">
        <f t="shared" si="110"/>
        <v>16.031942495661763</v>
      </c>
      <c r="AC216" s="5">
        <f t="shared" si="109"/>
        <v>16.066553948337535</v>
      </c>
      <c r="AD216" s="300">
        <f t="shared" si="103"/>
        <v>1.7051080429923713E-3</v>
      </c>
      <c r="AE216" s="299">
        <f t="shared" si="103"/>
        <v>1.7051080429923713E-3</v>
      </c>
      <c r="AF216" s="299">
        <f t="shared" si="103"/>
        <v>1.7051080429923713E-3</v>
      </c>
      <c r="AG216" s="299">
        <f t="shared" si="103"/>
        <v>1.7051080429923713E-3</v>
      </c>
      <c r="AH216" s="299">
        <f t="shared" si="103"/>
        <v>1.7051080429923713E-3</v>
      </c>
      <c r="AI216" s="299">
        <f t="shared" si="103"/>
        <v>1.6279033071997732E-3</v>
      </c>
      <c r="AJ216" s="299">
        <f t="shared" si="103"/>
        <v>1.5848817945118966E-3</v>
      </c>
      <c r="AK216" s="299">
        <f t="shared" si="103"/>
        <v>1.5235021366024231E-3</v>
      </c>
      <c r="AL216" s="299">
        <f t="shared" si="103"/>
        <v>1.442042656101877E-3</v>
      </c>
      <c r="AM216" s="299">
        <f t="shared" si="101"/>
        <v>1.3437247884551477E-3</v>
      </c>
      <c r="AN216" s="299">
        <f t="shared" si="101"/>
        <v>1.2377914362993118E-3</v>
      </c>
      <c r="AO216" s="299">
        <f t="shared" si="101"/>
        <v>1.1367386953282474E-3</v>
      </c>
      <c r="AP216" s="299">
        <f t="shared" si="101"/>
        <v>1.0509403904314161E-3</v>
      </c>
      <c r="AQ216" s="299">
        <f t="shared" si="101"/>
        <v>9.8500886338683501E-4</v>
      </c>
      <c r="AR216" s="299">
        <f t="shared" si="96"/>
        <v>9.3812279239484082E-4</v>
      </c>
      <c r="AS216" s="299">
        <f t="shared" si="96"/>
        <v>9.0658799025017563E-4</v>
      </c>
      <c r="AT216" s="299">
        <f t="shared" si="96"/>
        <v>8.8616547142621551E-4</v>
      </c>
      <c r="AU216" s="299">
        <f t="shared" si="96"/>
        <v>8.7326161889035082E-4</v>
      </c>
      <c r="AV216" s="299">
        <f t="shared" si="96"/>
        <v>8.6523500556481912E-4</v>
      </c>
      <c r="AW216" s="299">
        <f t="shared" si="94"/>
        <v>8.6029070613063638E-4</v>
      </c>
      <c r="AX216" s="299">
        <f t="shared" si="94"/>
        <v>8.5726337324677098E-4</v>
      </c>
      <c r="AY216" s="299">
        <f t="shared" si="94"/>
        <v>8.5541660941868371E-4</v>
      </c>
      <c r="AZ216" s="298">
        <f t="shared" si="104"/>
        <v>9.4394419439374433E-2</v>
      </c>
      <c r="BA216" s="1">
        <f t="shared" si="104"/>
        <v>9.4394419439374433E-2</v>
      </c>
      <c r="BB216" s="1">
        <f t="shared" si="104"/>
        <v>9.4394419439374433E-2</v>
      </c>
      <c r="BC216" s="1">
        <f t="shared" si="104"/>
        <v>9.4394419439374433E-2</v>
      </c>
      <c r="BD216" s="1">
        <f t="shared" si="104"/>
        <v>9.4394419439374433E-2</v>
      </c>
      <c r="BE216" s="1">
        <f t="shared" si="104"/>
        <v>9.0120381648594275E-2</v>
      </c>
      <c r="BF216" s="1">
        <f t="shared" si="104"/>
        <v>8.7738719835276591E-2</v>
      </c>
      <c r="BG216" s="1">
        <f t="shared" si="104"/>
        <v>8.4340754998054782E-2</v>
      </c>
      <c r="BH216" s="1">
        <f t="shared" si="104"/>
        <v>7.9831175443091359E-2</v>
      </c>
      <c r="BI216" s="1">
        <f t="shared" si="102"/>
        <v>7.4388319153032928E-2</v>
      </c>
      <c r="BJ216" s="1">
        <f t="shared" si="102"/>
        <v>6.8523871256541663E-2</v>
      </c>
      <c r="BK216" s="1">
        <f t="shared" si="102"/>
        <v>6.2929612959582951E-2</v>
      </c>
      <c r="BL216" s="1">
        <f t="shared" si="102"/>
        <v>5.8179837006731468E-2</v>
      </c>
      <c r="BM216" s="1">
        <f t="shared" si="102"/>
        <v>5.4529881660088077E-2</v>
      </c>
      <c r="BN216" s="1">
        <f t="shared" si="97"/>
        <v>5.1934278719106358E-2</v>
      </c>
      <c r="BO216" s="1">
        <f t="shared" si="97"/>
        <v>5.0188518764002724E-2</v>
      </c>
      <c r="BP216" s="1">
        <f t="shared" si="97"/>
        <v>4.9057932455527933E-2</v>
      </c>
      <c r="BQ216" s="1">
        <f t="shared" si="97"/>
        <v>4.8343577917315431E-2</v>
      </c>
      <c r="BR216" s="1">
        <f t="shared" si="97"/>
        <v>4.7899226306846072E-2</v>
      </c>
      <c r="BS216" s="1">
        <f t="shared" si="95"/>
        <v>4.762551093934065E-2</v>
      </c>
      <c r="BT216" s="1">
        <f t="shared" si="95"/>
        <v>4.7457918433284139E-2</v>
      </c>
      <c r="BU216" s="1">
        <f t="shared" si="95"/>
        <v>4.7355681979640997E-2</v>
      </c>
    </row>
    <row r="217" spans="1:73" x14ac:dyDescent="0.25">
      <c r="A217" s="1" t="s">
        <v>46</v>
      </c>
      <c r="B217" s="1" t="s">
        <v>5</v>
      </c>
      <c r="C217" s="1" t="s">
        <v>8</v>
      </c>
      <c r="D217" s="1" t="s">
        <v>8</v>
      </c>
      <c r="E217" s="5">
        <v>8.7614999999999998</v>
      </c>
      <c r="F217" s="1">
        <f t="shared" si="108"/>
        <v>2.1465675E-2</v>
      </c>
      <c r="G217" s="1">
        <f>LOOKUP(RIGHT(D217,5),Ref!$C$4:$C$21,Ref!$E$4:$E$21)*$G$3</f>
        <v>4</v>
      </c>
      <c r="H217" s="297">
        <f t="shared" si="111"/>
        <v>8.7614999999999998</v>
      </c>
      <c r="I217" s="5">
        <f t="shared" si="111"/>
        <v>8.7614999999999998</v>
      </c>
      <c r="J217" s="5">
        <f t="shared" si="111"/>
        <v>8.7614999999999998</v>
      </c>
      <c r="K217" s="5">
        <f t="shared" si="111"/>
        <v>8.7614999999999998</v>
      </c>
      <c r="L217" s="5">
        <f t="shared" si="111"/>
        <v>8.7614999999999998</v>
      </c>
      <c r="M217" s="5">
        <f t="shared" si="110"/>
        <v>9.1770217878452502</v>
      </c>
      <c r="N217" s="5">
        <f t="shared" si="110"/>
        <v>9.426131444256125</v>
      </c>
      <c r="O217" s="5">
        <f t="shared" si="110"/>
        <v>9.8058964012967831</v>
      </c>
      <c r="P217" s="5">
        <f t="shared" si="110"/>
        <v>10.359821226829391</v>
      </c>
      <c r="Q217" s="5">
        <f t="shared" si="110"/>
        <v>11.117830263333213</v>
      </c>
      <c r="R217" s="5">
        <f t="shared" si="110"/>
        <v>12.069322569674952</v>
      </c>
      <c r="S217" s="5">
        <f t="shared" si="110"/>
        <v>13.142250000000001</v>
      </c>
      <c r="T217" s="5">
        <f t="shared" si="110"/>
        <v>14.215177430325047</v>
      </c>
      <c r="U217" s="5">
        <f t="shared" si="110"/>
        <v>15.166669736666787</v>
      </c>
      <c r="V217" s="5">
        <f t="shared" si="110"/>
        <v>15.924678773170609</v>
      </c>
      <c r="W217" s="5">
        <f t="shared" si="110"/>
        <v>16.478603598703213</v>
      </c>
      <c r="X217" s="5">
        <f t="shared" si="110"/>
        <v>16.858368555743876</v>
      </c>
      <c r="Y217" s="5">
        <f t="shared" si="110"/>
        <v>17.107478212154749</v>
      </c>
      <c r="Z217" s="5">
        <f t="shared" si="110"/>
        <v>17.266180890271993</v>
      </c>
      <c r="AA217" s="5">
        <f t="shared" si="110"/>
        <v>17.365413821417135</v>
      </c>
      <c r="AB217" s="5">
        <f t="shared" si="110"/>
        <v>17.426737902142058</v>
      </c>
      <c r="AC217" s="5">
        <f t="shared" si="109"/>
        <v>17.464360586626878</v>
      </c>
      <c r="AD217" s="300">
        <f t="shared" si="103"/>
        <v>1.5686351770278217E-3</v>
      </c>
      <c r="AE217" s="299">
        <f t="shared" si="103"/>
        <v>1.5686351770278217E-3</v>
      </c>
      <c r="AF217" s="299">
        <f t="shared" si="103"/>
        <v>1.5686351770278217E-3</v>
      </c>
      <c r="AG217" s="299">
        <f t="shared" si="103"/>
        <v>1.5686351770278217E-3</v>
      </c>
      <c r="AH217" s="299">
        <f t="shared" si="103"/>
        <v>1.5686351770278217E-3</v>
      </c>
      <c r="AI217" s="299">
        <f t="shared" si="103"/>
        <v>1.4976097279982849E-3</v>
      </c>
      <c r="AJ217" s="299">
        <f t="shared" si="103"/>
        <v>1.458031556721396E-3</v>
      </c>
      <c r="AK217" s="299">
        <f t="shared" si="103"/>
        <v>1.4015645832962027E-3</v>
      </c>
      <c r="AL217" s="299">
        <f t="shared" si="103"/>
        <v>1.3266249293893914E-3</v>
      </c>
      <c r="AM217" s="299">
        <f t="shared" si="101"/>
        <v>1.2361761942755924E-3</v>
      </c>
      <c r="AN217" s="299">
        <f t="shared" si="101"/>
        <v>1.1387215002489903E-3</v>
      </c>
      <c r="AO217" s="299">
        <f t="shared" si="101"/>
        <v>1.0457567846852145E-3</v>
      </c>
      <c r="AP217" s="299">
        <f t="shared" si="101"/>
        <v>9.6682557575470199E-4</v>
      </c>
      <c r="AQ217" s="299">
        <f t="shared" si="101"/>
        <v>9.0617105417037456E-4</v>
      </c>
      <c r="AR217" s="299">
        <f t="shared" si="96"/>
        <v>8.6303763481144959E-4</v>
      </c>
      <c r="AS217" s="299">
        <f t="shared" si="96"/>
        <v>8.3402680458985099E-4</v>
      </c>
      <c r="AT217" s="299">
        <f t="shared" si="96"/>
        <v>8.1523885648155606E-4</v>
      </c>
      <c r="AU217" s="299">
        <f t="shared" si="96"/>
        <v>8.0336779816937167E-4</v>
      </c>
      <c r="AV217" s="299">
        <f t="shared" si="96"/>
        <v>7.9598361623053502E-4</v>
      </c>
      <c r="AW217" s="299">
        <f t="shared" si="94"/>
        <v>7.9143504697705435E-4</v>
      </c>
      <c r="AX217" s="299">
        <f t="shared" si="94"/>
        <v>7.886500147477357E-4</v>
      </c>
      <c r="AY217" s="299">
        <f t="shared" si="94"/>
        <v>7.8695106158385513E-4</v>
      </c>
      <c r="AZ217" s="298">
        <f t="shared" si="104"/>
        <v>8.6839310538859529E-2</v>
      </c>
      <c r="BA217" s="1">
        <f t="shared" si="104"/>
        <v>8.6839310538859529E-2</v>
      </c>
      <c r="BB217" s="1">
        <f t="shared" si="104"/>
        <v>8.6839310538859529E-2</v>
      </c>
      <c r="BC217" s="1">
        <f t="shared" si="104"/>
        <v>8.6839310538859529E-2</v>
      </c>
      <c r="BD217" s="1">
        <f t="shared" si="104"/>
        <v>8.6839310538859529E-2</v>
      </c>
      <c r="BE217" s="1">
        <f t="shared" si="104"/>
        <v>8.2907356752049549E-2</v>
      </c>
      <c r="BF217" s="1">
        <f t="shared" si="104"/>
        <v>8.0716317588573644E-2</v>
      </c>
      <c r="BG217" s="1">
        <f t="shared" si="104"/>
        <v>7.7590317921939295E-2</v>
      </c>
      <c r="BH217" s="1">
        <f t="shared" si="104"/>
        <v>7.3441674583710231E-2</v>
      </c>
      <c r="BI217" s="1">
        <f t="shared" si="102"/>
        <v>6.8434451800859858E-2</v>
      </c>
      <c r="BJ217" s="1">
        <f t="shared" si="102"/>
        <v>6.303938061924784E-2</v>
      </c>
      <c r="BK217" s="1">
        <f t="shared" si="102"/>
        <v>5.7892873692573017E-2</v>
      </c>
      <c r="BL217" s="1">
        <f t="shared" si="102"/>
        <v>5.3523258715232246E-2</v>
      </c>
      <c r="BM217" s="1">
        <f t="shared" si="102"/>
        <v>5.0165437271097978E-2</v>
      </c>
      <c r="BN217" s="1">
        <f t="shared" si="97"/>
        <v>4.7777580328217432E-2</v>
      </c>
      <c r="BO217" s="1">
        <f t="shared" si="97"/>
        <v>4.6171546923192718E-2</v>
      </c>
      <c r="BP217" s="1">
        <f t="shared" si="97"/>
        <v>4.5131450102684365E-2</v>
      </c>
      <c r="BQ217" s="1">
        <f t="shared" si="97"/>
        <v>4.4474270833537825E-2</v>
      </c>
      <c r="BR217" s="1">
        <f t="shared" si="97"/>
        <v>4.4065484088313192E-2</v>
      </c>
      <c r="BS217" s="1">
        <f t="shared" si="95"/>
        <v>4.3813676259638244E-2</v>
      </c>
      <c r="BT217" s="1">
        <f t="shared" si="95"/>
        <v>4.3659497466401707E-2</v>
      </c>
      <c r="BU217" s="1">
        <f t="shared" si="95"/>
        <v>4.3565443779763902E-2</v>
      </c>
    </row>
    <row r="218" spans="1:73" x14ac:dyDescent="0.25">
      <c r="A218" s="1" t="s">
        <v>46</v>
      </c>
      <c r="B218" s="1" t="s">
        <v>5</v>
      </c>
      <c r="C218" s="1" t="s">
        <v>9</v>
      </c>
      <c r="D218" s="1" t="s">
        <v>9</v>
      </c>
      <c r="E218" s="5">
        <v>8.4975000000000005</v>
      </c>
      <c r="F218" s="1">
        <f t="shared" si="108"/>
        <v>2.0818874999999997E-2</v>
      </c>
      <c r="G218" s="1">
        <f>LOOKUP(RIGHT(D218,5),Ref!$C$4:$C$21,Ref!$E$4:$E$21)*$G$3</f>
        <v>4.5</v>
      </c>
      <c r="H218" s="297">
        <f t="shared" si="111"/>
        <v>8.4975000000000005</v>
      </c>
      <c r="I218" s="5">
        <f t="shared" si="111"/>
        <v>8.4975000000000005</v>
      </c>
      <c r="J218" s="5">
        <f t="shared" si="111"/>
        <v>8.4975000000000005</v>
      </c>
      <c r="K218" s="5">
        <f t="shared" si="111"/>
        <v>8.4975000000000005</v>
      </c>
      <c r="L218" s="5">
        <f t="shared" si="111"/>
        <v>8.4975000000000005</v>
      </c>
      <c r="M218" s="5">
        <f t="shared" si="110"/>
        <v>8.9005013573263732</v>
      </c>
      <c r="N218" s="5">
        <f t="shared" si="110"/>
        <v>9.1421048847305162</v>
      </c>
      <c r="O218" s="5">
        <f t="shared" si="110"/>
        <v>9.5104268298829453</v>
      </c>
      <c r="P218" s="5">
        <f t="shared" si="110"/>
        <v>10.047660888544513</v>
      </c>
      <c r="Q218" s="5">
        <f t="shared" si="110"/>
        <v>10.782829728091535</v>
      </c>
      <c r="R218" s="5">
        <f t="shared" si="110"/>
        <v>11.705651833112242</v>
      </c>
      <c r="S218" s="5">
        <f t="shared" si="110"/>
        <v>12.74625</v>
      </c>
      <c r="T218" s="5">
        <f t="shared" si="110"/>
        <v>13.78684816688776</v>
      </c>
      <c r="U218" s="5">
        <f t="shared" si="110"/>
        <v>14.709670271908466</v>
      </c>
      <c r="V218" s="5">
        <f t="shared" si="110"/>
        <v>15.444839111455488</v>
      </c>
      <c r="W218" s="5">
        <f t="shared" si="110"/>
        <v>15.982073170117054</v>
      </c>
      <c r="X218" s="5">
        <f t="shared" si="110"/>
        <v>16.350395115269485</v>
      </c>
      <c r="Y218" s="5">
        <f t="shared" si="110"/>
        <v>16.591998642673627</v>
      </c>
      <c r="Z218" s="5">
        <f t="shared" si="110"/>
        <v>16.745919319190349</v>
      </c>
      <c r="AA218" s="5">
        <f t="shared" si="110"/>
        <v>16.842162180847129</v>
      </c>
      <c r="AB218" s="5">
        <f t="shared" si="110"/>
        <v>16.901638454996537</v>
      </c>
      <c r="AC218" s="5">
        <f t="shared" si="109"/>
        <v>16.938127499270891</v>
      </c>
      <c r="AD218" s="300">
        <f t="shared" si="103"/>
        <v>1.6173694737898509E-3</v>
      </c>
      <c r="AE218" s="299">
        <f t="shared" si="103"/>
        <v>1.6173694737898509E-3</v>
      </c>
      <c r="AF218" s="299">
        <f t="shared" si="103"/>
        <v>1.6173694737898509E-3</v>
      </c>
      <c r="AG218" s="299">
        <f t="shared" ref="AG218:AL227" si="112">Algae_electricity_factor/K218</f>
        <v>1.6173694737898509E-3</v>
      </c>
      <c r="AH218" s="299">
        <f t="shared" si="112"/>
        <v>1.6173694737898509E-3</v>
      </c>
      <c r="AI218" s="299">
        <f t="shared" si="112"/>
        <v>1.5441374088681346E-3</v>
      </c>
      <c r="AJ218" s="299">
        <f t="shared" si="112"/>
        <v>1.5033296245030318E-3</v>
      </c>
      <c r="AK218" s="299">
        <f t="shared" si="112"/>
        <v>1.4451083373403565E-3</v>
      </c>
      <c r="AL218" s="299">
        <f t="shared" si="112"/>
        <v>1.3678404611762462E-3</v>
      </c>
      <c r="AM218" s="299">
        <f t="shared" si="101"/>
        <v>1.2745816682725041E-3</v>
      </c>
      <c r="AN218" s="299">
        <f t="shared" si="101"/>
        <v>1.1740992555965316E-3</v>
      </c>
      <c r="AO218" s="299">
        <f t="shared" si="101"/>
        <v>1.0782463158599007E-3</v>
      </c>
      <c r="AP218" s="299">
        <f t="shared" si="101"/>
        <v>9.9686287519562457E-4</v>
      </c>
      <c r="AQ218" s="299">
        <f t="shared" si="101"/>
        <v>9.343239412902308E-4</v>
      </c>
      <c r="AR218" s="299">
        <f t="shared" si="96"/>
        <v>8.8985045453374698E-4</v>
      </c>
      <c r="AS218" s="299">
        <f t="shared" si="96"/>
        <v>8.5993831696545787E-4</v>
      </c>
      <c r="AT218" s="299">
        <f t="shared" si="96"/>
        <v>8.4056666561496359E-4</v>
      </c>
      <c r="AU218" s="299">
        <f t="shared" si="96"/>
        <v>8.2832679772414824E-4</v>
      </c>
      <c r="AV218" s="299">
        <f t="shared" si="96"/>
        <v>8.2071320430760028E-4</v>
      </c>
      <c r="AW218" s="299">
        <f t="shared" si="94"/>
        <v>8.160233202811958E-4</v>
      </c>
      <c r="AX218" s="299">
        <f t="shared" si="94"/>
        <v>8.1315176277873332E-4</v>
      </c>
      <c r="AY218" s="299">
        <f t="shared" si="94"/>
        <v>8.1140002660393595E-4</v>
      </c>
      <c r="AZ218" s="298">
        <f t="shared" si="104"/>
        <v>8.9537230866280404E-2</v>
      </c>
      <c r="BA218" s="1">
        <f t="shared" si="104"/>
        <v>8.9537230866280404E-2</v>
      </c>
      <c r="BB218" s="1">
        <f t="shared" si="104"/>
        <v>8.9537230866280404E-2</v>
      </c>
      <c r="BC218" s="1">
        <f t="shared" ref="BC218:BH227" si="113">Algae_yield_cost_factor/K218</f>
        <v>8.9537230866280404E-2</v>
      </c>
      <c r="BD218" s="1">
        <f t="shared" si="113"/>
        <v>8.9537230866280404E-2</v>
      </c>
      <c r="BE218" s="1">
        <f t="shared" si="113"/>
        <v>8.5483119291919055E-2</v>
      </c>
      <c r="BF218" s="1">
        <f t="shared" si="113"/>
        <v>8.3224009008801184E-2</v>
      </c>
      <c r="BG218" s="1">
        <f t="shared" si="113"/>
        <v>8.0000890905921856E-2</v>
      </c>
      <c r="BH218" s="1">
        <f t="shared" si="113"/>
        <v>7.5723357677573072E-2</v>
      </c>
      <c r="BI218" s="1">
        <f t="shared" si="102"/>
        <v>7.0560570691760346E-2</v>
      </c>
      <c r="BJ218" s="1">
        <f t="shared" si="102"/>
        <v>6.499788564819535E-2</v>
      </c>
      <c r="BK218" s="1">
        <f t="shared" si="102"/>
        <v>5.9691487244186943E-2</v>
      </c>
      <c r="BL218" s="1">
        <f t="shared" si="102"/>
        <v>5.5186117238423919E-2</v>
      </c>
      <c r="BM218" s="1">
        <f t="shared" si="102"/>
        <v>5.1723975128064127E-2</v>
      </c>
      <c r="BN218" s="1">
        <f t="shared" si="97"/>
        <v>4.9261932338414471E-2</v>
      </c>
      <c r="BO218" s="1">
        <f t="shared" si="97"/>
        <v>4.760600274993268E-2</v>
      </c>
      <c r="BP218" s="1">
        <f t="shared" si="97"/>
        <v>4.653359224179688E-2</v>
      </c>
      <c r="BQ218" s="1">
        <f t="shared" si="97"/>
        <v>4.5855995752638032E-2</v>
      </c>
      <c r="BR218" s="1">
        <f t="shared" si="97"/>
        <v>4.5434508836687974E-2</v>
      </c>
      <c r="BS218" s="1">
        <f t="shared" si="95"/>
        <v>4.517487785217069E-2</v>
      </c>
      <c r="BT218" s="1">
        <f t="shared" si="95"/>
        <v>4.5015909038173402E-2</v>
      </c>
      <c r="BU218" s="1">
        <f t="shared" si="95"/>
        <v>4.4918933295251706E-2</v>
      </c>
    </row>
    <row r="219" spans="1:73" x14ac:dyDescent="0.25">
      <c r="A219" s="1" t="s">
        <v>46</v>
      </c>
      <c r="B219" s="1" t="s">
        <v>5</v>
      </c>
      <c r="C219" s="1" t="s">
        <v>10</v>
      </c>
      <c r="D219" s="1" t="s">
        <v>10</v>
      </c>
      <c r="E219" s="5">
        <v>8.0602499999999999</v>
      </c>
      <c r="F219" s="1">
        <f t="shared" si="108"/>
        <v>1.9747612499999997E-2</v>
      </c>
      <c r="G219" s="1">
        <f>LOOKUP(RIGHT(D219,5),Ref!$C$4:$C$21,Ref!$E$4:$E$21)*$G$3</f>
        <v>4.5</v>
      </c>
      <c r="H219" s="297">
        <f t="shared" si="111"/>
        <v>8.0602499999999999</v>
      </c>
      <c r="I219" s="5">
        <f t="shared" si="111"/>
        <v>8.0602499999999999</v>
      </c>
      <c r="J219" s="5">
        <f t="shared" si="111"/>
        <v>8.0602499999999999</v>
      </c>
      <c r="K219" s="5">
        <f t="shared" si="111"/>
        <v>8.0602499999999999</v>
      </c>
      <c r="L219" s="5">
        <f t="shared" si="111"/>
        <v>8.0602499999999999</v>
      </c>
      <c r="M219" s="5">
        <f t="shared" si="110"/>
        <v>8.4425143942794829</v>
      </c>
      <c r="N219" s="5">
        <f t="shared" si="110"/>
        <v>8.6716858955162266</v>
      </c>
      <c r="O219" s="5">
        <f t="shared" si="110"/>
        <v>9.0210553522287729</v>
      </c>
      <c r="P219" s="5">
        <f t="shared" si="110"/>
        <v>9.5306453282601833</v>
      </c>
      <c r="Q219" s="5">
        <f t="shared" si="110"/>
        <v>10.227985091597503</v>
      </c>
      <c r="R219" s="5">
        <f t="shared" si="110"/>
        <v>11.103322175680253</v>
      </c>
      <c r="S219" s="5">
        <f t="shared" si="110"/>
        <v>12.090375</v>
      </c>
      <c r="T219" s="5">
        <f t="shared" si="110"/>
        <v>13.077427824319747</v>
      </c>
      <c r="U219" s="5">
        <f t="shared" si="110"/>
        <v>13.952764908402497</v>
      </c>
      <c r="V219" s="5">
        <f t="shared" si="110"/>
        <v>14.650104671739816</v>
      </c>
      <c r="W219" s="5">
        <f t="shared" si="110"/>
        <v>15.159694647771225</v>
      </c>
      <c r="X219" s="5">
        <f t="shared" si="110"/>
        <v>15.509064104483773</v>
      </c>
      <c r="Y219" s="5">
        <f t="shared" si="110"/>
        <v>15.738235605720517</v>
      </c>
      <c r="Z219" s="5">
        <f t="shared" si="110"/>
        <v>15.884236092086381</v>
      </c>
      <c r="AA219" s="5">
        <f t="shared" si="110"/>
        <v>15.975526651153052</v>
      </c>
      <c r="AB219" s="5">
        <f t="shared" si="110"/>
        <v>16.031942495661763</v>
      </c>
      <c r="AC219" s="5">
        <f t="shared" si="109"/>
        <v>16.066553948337535</v>
      </c>
      <c r="AD219" s="300">
        <f t="shared" ref="AD219:AF227" si="114">Algae_electricity_factor/H219</f>
        <v>1.7051080429923713E-3</v>
      </c>
      <c r="AE219" s="299">
        <f t="shared" si="114"/>
        <v>1.7051080429923713E-3</v>
      </c>
      <c r="AF219" s="299">
        <f t="shared" si="114"/>
        <v>1.7051080429923713E-3</v>
      </c>
      <c r="AG219" s="299">
        <f t="shared" si="112"/>
        <v>1.7051080429923713E-3</v>
      </c>
      <c r="AH219" s="299">
        <f t="shared" si="112"/>
        <v>1.7051080429923713E-3</v>
      </c>
      <c r="AI219" s="299">
        <f t="shared" si="112"/>
        <v>1.6279033071997732E-3</v>
      </c>
      <c r="AJ219" s="299">
        <f t="shared" si="112"/>
        <v>1.5848817945118966E-3</v>
      </c>
      <c r="AK219" s="299">
        <f t="shared" si="112"/>
        <v>1.5235021366024231E-3</v>
      </c>
      <c r="AL219" s="299">
        <f t="shared" si="112"/>
        <v>1.442042656101877E-3</v>
      </c>
      <c r="AM219" s="299">
        <f t="shared" si="101"/>
        <v>1.3437247884551477E-3</v>
      </c>
      <c r="AN219" s="299">
        <f t="shared" si="101"/>
        <v>1.2377914362993118E-3</v>
      </c>
      <c r="AO219" s="299">
        <f t="shared" si="101"/>
        <v>1.1367386953282474E-3</v>
      </c>
      <c r="AP219" s="299">
        <f t="shared" si="101"/>
        <v>1.0509403904314161E-3</v>
      </c>
      <c r="AQ219" s="299">
        <f t="shared" si="101"/>
        <v>9.8500886338683501E-4</v>
      </c>
      <c r="AR219" s="299">
        <f t="shared" si="96"/>
        <v>9.3812279239484082E-4</v>
      </c>
      <c r="AS219" s="299">
        <f t="shared" si="96"/>
        <v>9.0658799025017563E-4</v>
      </c>
      <c r="AT219" s="299">
        <f t="shared" si="96"/>
        <v>8.8616547142621551E-4</v>
      </c>
      <c r="AU219" s="299">
        <f t="shared" si="96"/>
        <v>8.7326161889035082E-4</v>
      </c>
      <c r="AV219" s="299">
        <f t="shared" si="96"/>
        <v>8.6523500556481912E-4</v>
      </c>
      <c r="AW219" s="299">
        <f t="shared" si="94"/>
        <v>8.6029070613063638E-4</v>
      </c>
      <c r="AX219" s="299">
        <f t="shared" si="94"/>
        <v>8.5726337324677098E-4</v>
      </c>
      <c r="AY219" s="299">
        <f t="shared" si="94"/>
        <v>8.5541660941868371E-4</v>
      </c>
      <c r="AZ219" s="298">
        <f t="shared" ref="AZ219:BB227" si="115">Algae_yield_cost_factor/H219</f>
        <v>9.4394419439374433E-2</v>
      </c>
      <c r="BA219" s="1">
        <f t="shared" si="115"/>
        <v>9.4394419439374433E-2</v>
      </c>
      <c r="BB219" s="1">
        <f t="shared" si="115"/>
        <v>9.4394419439374433E-2</v>
      </c>
      <c r="BC219" s="1">
        <f t="shared" si="113"/>
        <v>9.4394419439374433E-2</v>
      </c>
      <c r="BD219" s="1">
        <f t="shared" si="113"/>
        <v>9.4394419439374433E-2</v>
      </c>
      <c r="BE219" s="1">
        <f t="shared" si="113"/>
        <v>9.0120381648594275E-2</v>
      </c>
      <c r="BF219" s="1">
        <f t="shared" si="113"/>
        <v>8.7738719835276591E-2</v>
      </c>
      <c r="BG219" s="1">
        <f t="shared" si="113"/>
        <v>8.4340754998054782E-2</v>
      </c>
      <c r="BH219" s="1">
        <f t="shared" si="113"/>
        <v>7.9831175443091359E-2</v>
      </c>
      <c r="BI219" s="1">
        <f t="shared" si="102"/>
        <v>7.4388319153032928E-2</v>
      </c>
      <c r="BJ219" s="1">
        <f t="shared" si="102"/>
        <v>6.8523871256541663E-2</v>
      </c>
      <c r="BK219" s="1">
        <f t="shared" si="102"/>
        <v>6.2929612959582951E-2</v>
      </c>
      <c r="BL219" s="1">
        <f t="shared" si="102"/>
        <v>5.8179837006731468E-2</v>
      </c>
      <c r="BM219" s="1">
        <f t="shared" si="102"/>
        <v>5.4529881660088077E-2</v>
      </c>
      <c r="BN219" s="1">
        <f t="shared" si="97"/>
        <v>5.1934278719106358E-2</v>
      </c>
      <c r="BO219" s="1">
        <f t="shared" si="97"/>
        <v>5.0188518764002724E-2</v>
      </c>
      <c r="BP219" s="1">
        <f t="shared" si="97"/>
        <v>4.9057932455527933E-2</v>
      </c>
      <c r="BQ219" s="1">
        <f t="shared" si="97"/>
        <v>4.8343577917315431E-2</v>
      </c>
      <c r="BR219" s="1">
        <f t="shared" si="97"/>
        <v>4.7899226306846072E-2</v>
      </c>
      <c r="BS219" s="1">
        <f t="shared" si="95"/>
        <v>4.762551093934065E-2</v>
      </c>
      <c r="BT219" s="1">
        <f t="shared" si="95"/>
        <v>4.7457918433284139E-2</v>
      </c>
      <c r="BU219" s="1">
        <f t="shared" si="95"/>
        <v>4.7355681979640997E-2</v>
      </c>
    </row>
    <row r="220" spans="1:73" x14ac:dyDescent="0.25">
      <c r="A220" s="1" t="s">
        <v>46</v>
      </c>
      <c r="B220" s="1" t="s">
        <v>5</v>
      </c>
      <c r="C220" s="1" t="s">
        <v>11</v>
      </c>
      <c r="D220" s="1" t="s">
        <v>11</v>
      </c>
      <c r="E220" s="5">
        <v>8.5305</v>
      </c>
      <c r="F220" s="1">
        <f t="shared" si="108"/>
        <v>2.0899725000000001E-2</v>
      </c>
      <c r="G220" s="1">
        <f>LOOKUP(RIGHT(D220,5),Ref!$C$4:$C$21,Ref!$E$4:$E$21)*$G$3</f>
        <v>4.5</v>
      </c>
      <c r="H220" s="297">
        <f t="shared" si="111"/>
        <v>8.5305</v>
      </c>
      <c r="I220" s="5">
        <f t="shared" si="111"/>
        <v>8.5305</v>
      </c>
      <c r="J220" s="5">
        <f t="shared" si="111"/>
        <v>8.5305</v>
      </c>
      <c r="K220" s="5">
        <f t="shared" si="111"/>
        <v>8.5305</v>
      </c>
      <c r="L220" s="5">
        <f t="shared" si="111"/>
        <v>8.5305</v>
      </c>
      <c r="M220" s="5">
        <f t="shared" si="110"/>
        <v>8.9350664111412339</v>
      </c>
      <c r="N220" s="5">
        <f t="shared" si="110"/>
        <v>9.177608204671218</v>
      </c>
      <c r="O220" s="5">
        <f t="shared" si="110"/>
        <v>9.5473605263096744</v>
      </c>
      <c r="P220" s="5">
        <f t="shared" si="110"/>
        <v>10.086680930830124</v>
      </c>
      <c r="Q220" s="5">
        <f t="shared" si="110"/>
        <v>10.824704794996745</v>
      </c>
      <c r="R220" s="5">
        <f t="shared" si="110"/>
        <v>11.751110675182581</v>
      </c>
      <c r="S220" s="5">
        <f t="shared" si="110"/>
        <v>12.79575</v>
      </c>
      <c r="T220" s="5">
        <f t="shared" si="110"/>
        <v>13.840389324817419</v>
      </c>
      <c r="U220" s="5">
        <f t="shared" si="110"/>
        <v>14.766795205003255</v>
      </c>
      <c r="V220" s="5">
        <f t="shared" si="110"/>
        <v>15.504819069169876</v>
      </c>
      <c r="W220" s="5">
        <f t="shared" si="110"/>
        <v>16.044139473690326</v>
      </c>
      <c r="X220" s="5">
        <f t="shared" si="110"/>
        <v>16.413891795328784</v>
      </c>
      <c r="Y220" s="5">
        <f t="shared" si="110"/>
        <v>16.656433588858768</v>
      </c>
      <c r="Z220" s="5">
        <f t="shared" si="110"/>
        <v>16.810952015575555</v>
      </c>
      <c r="AA220" s="5">
        <f t="shared" si="110"/>
        <v>16.907568635918377</v>
      </c>
      <c r="AB220" s="5">
        <f t="shared" si="110"/>
        <v>16.967275885889727</v>
      </c>
      <c r="AC220" s="5">
        <f t="shared" si="109"/>
        <v>17.00390663519039</v>
      </c>
      <c r="AD220" s="300">
        <f t="shared" si="114"/>
        <v>1.6111127253419213E-3</v>
      </c>
      <c r="AE220" s="299">
        <f t="shared" si="114"/>
        <v>1.6111127253419213E-3</v>
      </c>
      <c r="AF220" s="299">
        <f t="shared" si="114"/>
        <v>1.6111127253419213E-3</v>
      </c>
      <c r="AG220" s="299">
        <f t="shared" si="112"/>
        <v>1.6111127253419213E-3</v>
      </c>
      <c r="AH220" s="299">
        <f t="shared" si="112"/>
        <v>1.6111127253419213E-3</v>
      </c>
      <c r="AI220" s="299">
        <f t="shared" si="112"/>
        <v>1.5381639566094567E-3</v>
      </c>
      <c r="AJ220" s="299">
        <f t="shared" si="112"/>
        <v>1.4975140360136583E-3</v>
      </c>
      <c r="AK220" s="299">
        <f t="shared" si="112"/>
        <v>1.4395179762674731E-3</v>
      </c>
      <c r="AL220" s="299">
        <f t="shared" si="112"/>
        <v>1.3625490087152163E-3</v>
      </c>
      <c r="AM220" s="299">
        <f t="shared" si="101"/>
        <v>1.2696509848362468E-3</v>
      </c>
      <c r="AN220" s="299">
        <f t="shared" si="101"/>
        <v>1.1695572855555394E-3</v>
      </c>
      <c r="AO220" s="299">
        <f t="shared" si="101"/>
        <v>1.0740751502279476E-3</v>
      </c>
      <c r="AP220" s="299">
        <f t="shared" si="101"/>
        <v>9.9300653912136696E-4</v>
      </c>
      <c r="AQ220" s="299">
        <f t="shared" si="101"/>
        <v>9.3070953532779289E-4</v>
      </c>
      <c r="AR220" s="299">
        <f t="shared" si="96"/>
        <v>8.8640809300750436E-4</v>
      </c>
      <c r="AS220" s="299">
        <f t="shared" si="96"/>
        <v>8.5661166970446958E-4</v>
      </c>
      <c r="AT220" s="299">
        <f t="shared" si="96"/>
        <v>8.3731495704391929E-4</v>
      </c>
      <c r="AU220" s="299">
        <f t="shared" si="96"/>
        <v>8.2512243873875504E-4</v>
      </c>
      <c r="AV220" s="299">
        <f t="shared" si="96"/>
        <v>8.175382982948049E-4</v>
      </c>
      <c r="AW220" s="299">
        <f t="shared" si="94"/>
        <v>8.1286655695322224E-4</v>
      </c>
      <c r="AX220" s="299">
        <f t="shared" si="94"/>
        <v>8.1000610799042102E-4</v>
      </c>
      <c r="AY220" s="299">
        <f t="shared" si="94"/>
        <v>8.0826114835788588E-4</v>
      </c>
      <c r="AZ220" s="298">
        <f t="shared" si="115"/>
        <v>8.9190858599873135E-2</v>
      </c>
      <c r="BA220" s="1">
        <f t="shared" si="115"/>
        <v>8.9190858599873135E-2</v>
      </c>
      <c r="BB220" s="1">
        <f t="shared" si="115"/>
        <v>8.9190858599873135E-2</v>
      </c>
      <c r="BC220" s="1">
        <f t="shared" si="113"/>
        <v>8.9190858599873135E-2</v>
      </c>
      <c r="BD220" s="1">
        <f t="shared" si="113"/>
        <v>8.9190858599873135E-2</v>
      </c>
      <c r="BE220" s="1">
        <f t="shared" si="113"/>
        <v>8.5152430242433866E-2</v>
      </c>
      <c r="BF220" s="1">
        <f t="shared" si="113"/>
        <v>8.2902059264086281E-2</v>
      </c>
      <c r="BG220" s="1">
        <f t="shared" si="113"/>
        <v>7.9691409703191024E-2</v>
      </c>
      <c r="BH220" s="1">
        <f t="shared" si="113"/>
        <v>7.5430423992166595E-2</v>
      </c>
      <c r="BI220" s="1">
        <f t="shared" si="102"/>
        <v>7.0287609103010795E-2</v>
      </c>
      <c r="BJ220" s="1">
        <f t="shared" si="102"/>
        <v>6.4746443150523414E-2</v>
      </c>
      <c r="BK220" s="1">
        <f t="shared" si="102"/>
        <v>5.9460572399915423E-2</v>
      </c>
      <c r="BL220" s="1">
        <f t="shared" si="102"/>
        <v>5.4972631291660197E-2</v>
      </c>
      <c r="BM220" s="1">
        <f t="shared" si="102"/>
        <v>5.152388238095363E-2</v>
      </c>
      <c r="BN220" s="1">
        <f t="shared" si="97"/>
        <v>4.907136393478425E-2</v>
      </c>
      <c r="BO220" s="1">
        <f t="shared" si="97"/>
        <v>4.7421840263472591E-2</v>
      </c>
      <c r="BP220" s="1">
        <f t="shared" si="97"/>
        <v>4.6353578345310245E-2</v>
      </c>
      <c r="BQ220" s="1">
        <f t="shared" si="97"/>
        <v>4.5678603119165537E-2</v>
      </c>
      <c r="BR220" s="1">
        <f t="shared" si="97"/>
        <v>4.5258746713528634E-2</v>
      </c>
      <c r="BS220" s="1">
        <f t="shared" si="95"/>
        <v>4.5000120104193249E-2</v>
      </c>
      <c r="BT220" s="1">
        <f t="shared" si="95"/>
        <v>4.4841766256594397E-2</v>
      </c>
      <c r="BU220" s="1">
        <f t="shared" si="95"/>
        <v>4.4745165661614371E-2</v>
      </c>
    </row>
    <row r="221" spans="1:73" x14ac:dyDescent="0.25">
      <c r="A221" s="1" t="s">
        <v>47</v>
      </c>
      <c r="B221" s="1" t="s">
        <v>5</v>
      </c>
      <c r="C221" s="1" t="s">
        <v>14</v>
      </c>
      <c r="D221" s="1" t="s">
        <v>14</v>
      </c>
      <c r="E221" s="5">
        <v>8.3737499999999994</v>
      </c>
      <c r="F221" s="1">
        <f t="shared" si="108"/>
        <v>2.0515687499999997E-2</v>
      </c>
      <c r="G221" s="1">
        <f>LOOKUP(RIGHT(D221,5),Ref!$C$4:$C$21,Ref!$E$4:$E$21)*$G$3</f>
        <v>2</v>
      </c>
      <c r="H221" s="297">
        <f t="shared" si="111"/>
        <v>8.3737499999999994</v>
      </c>
      <c r="I221" s="5">
        <f t="shared" si="111"/>
        <v>8.3737499999999994</v>
      </c>
      <c r="J221" s="5">
        <f t="shared" si="111"/>
        <v>8.3737499999999994</v>
      </c>
      <c r="K221" s="5">
        <f t="shared" si="111"/>
        <v>8.3737499999999994</v>
      </c>
      <c r="L221" s="5">
        <f t="shared" si="111"/>
        <v>8.3737499999999994</v>
      </c>
      <c r="M221" s="5">
        <f t="shared" si="110"/>
        <v>8.7708824055206485</v>
      </c>
      <c r="N221" s="5">
        <f t="shared" si="110"/>
        <v>9.0089674349528863</v>
      </c>
      <c r="O221" s="5">
        <f t="shared" si="110"/>
        <v>9.371925468282706</v>
      </c>
      <c r="P221" s="5">
        <f t="shared" si="110"/>
        <v>9.901335729973475</v>
      </c>
      <c r="Q221" s="5">
        <f t="shared" si="110"/>
        <v>10.625798227196997</v>
      </c>
      <c r="R221" s="5">
        <f t="shared" si="110"/>
        <v>11.53518117534847</v>
      </c>
      <c r="S221" s="5">
        <f t="shared" si="110"/>
        <v>12.560624999999998</v>
      </c>
      <c r="T221" s="5">
        <f t="shared" si="110"/>
        <v>13.586068824651528</v>
      </c>
      <c r="U221" s="5">
        <f t="shared" si="110"/>
        <v>14.495451772803001</v>
      </c>
      <c r="V221" s="5">
        <f t="shared" si="110"/>
        <v>15.219914270026523</v>
      </c>
      <c r="W221" s="5">
        <f t="shared" si="110"/>
        <v>15.74932453171729</v>
      </c>
      <c r="X221" s="5">
        <f t="shared" si="110"/>
        <v>16.11228256504711</v>
      </c>
      <c r="Y221" s="5">
        <f t="shared" si="110"/>
        <v>16.350367594479348</v>
      </c>
      <c r="Z221" s="5">
        <f t="shared" si="110"/>
        <v>16.50204670774583</v>
      </c>
      <c r="AA221" s="5">
        <f t="shared" si="110"/>
        <v>16.596887974329935</v>
      </c>
      <c r="AB221" s="5">
        <f t="shared" si="110"/>
        <v>16.65549808914707</v>
      </c>
      <c r="AC221" s="5">
        <f t="shared" si="109"/>
        <v>16.691455739572771</v>
      </c>
      <c r="AD221" s="300">
        <f t="shared" si="114"/>
        <v>1.6412714857177799E-3</v>
      </c>
      <c r="AE221" s="299">
        <f t="shared" si="114"/>
        <v>1.6412714857177799E-3</v>
      </c>
      <c r="AF221" s="299">
        <f t="shared" si="114"/>
        <v>1.6412714857177799E-3</v>
      </c>
      <c r="AG221" s="299">
        <f t="shared" si="112"/>
        <v>1.6412714857177799E-3</v>
      </c>
      <c r="AH221" s="299">
        <f t="shared" si="112"/>
        <v>1.6412714857177799E-3</v>
      </c>
      <c r="AI221" s="299">
        <f t="shared" si="112"/>
        <v>1.5669571735312106E-3</v>
      </c>
      <c r="AJ221" s="299">
        <f t="shared" si="112"/>
        <v>1.5255463184612049E-3</v>
      </c>
      <c r="AK221" s="299">
        <f t="shared" si="112"/>
        <v>1.4664646181877512E-3</v>
      </c>
      <c r="AL221" s="299">
        <f t="shared" si="112"/>
        <v>1.3880548522281122E-3</v>
      </c>
      <c r="AM221" s="299">
        <f t="shared" si="101"/>
        <v>1.2934178505622457E-3</v>
      </c>
      <c r="AN221" s="299">
        <f t="shared" si="101"/>
        <v>1.191450476122589E-3</v>
      </c>
      <c r="AO221" s="299">
        <f t="shared" si="101"/>
        <v>1.0941809904785201E-3</v>
      </c>
      <c r="AP221" s="299">
        <f t="shared" si="101"/>
        <v>1.0115948388684667E-3</v>
      </c>
      <c r="AQ221" s="299">
        <f t="shared" si="101"/>
        <v>9.4813168426496344E-4</v>
      </c>
      <c r="AR221" s="299">
        <f t="shared" si="96"/>
        <v>9.0300095386183202E-4</v>
      </c>
      <c r="AS221" s="299">
        <f t="shared" si="96"/>
        <v>8.7264676499943026E-4</v>
      </c>
      <c r="AT221" s="299">
        <f t="shared" si="96"/>
        <v>8.5298883308710608E-4</v>
      </c>
      <c r="AU221" s="299">
        <f t="shared" si="96"/>
        <v>8.4056808044913583E-4</v>
      </c>
      <c r="AV221" s="299">
        <f t="shared" si="96"/>
        <v>8.3284197087372242E-4</v>
      </c>
      <c r="AW221" s="299">
        <f t="shared" si="94"/>
        <v>8.2808277821638603E-4</v>
      </c>
      <c r="AX221" s="299">
        <f t="shared" si="94"/>
        <v>8.2516878390354227E-4</v>
      </c>
      <c r="AY221" s="299">
        <f t="shared" si="94"/>
        <v>8.2339116000202371E-4</v>
      </c>
      <c r="AZ221" s="298">
        <f t="shared" si="115"/>
        <v>9.0860441174649087E-2</v>
      </c>
      <c r="BA221" s="1">
        <f t="shared" si="115"/>
        <v>9.0860441174649087E-2</v>
      </c>
      <c r="BB221" s="1">
        <f t="shared" si="115"/>
        <v>9.0860441174649087E-2</v>
      </c>
      <c r="BC221" s="1">
        <f t="shared" si="113"/>
        <v>9.0860441174649087E-2</v>
      </c>
      <c r="BD221" s="1">
        <f t="shared" si="113"/>
        <v>9.0860441174649087E-2</v>
      </c>
      <c r="BE221" s="1">
        <f t="shared" si="113"/>
        <v>8.6746416621356279E-2</v>
      </c>
      <c r="BF221" s="1">
        <f t="shared" si="113"/>
        <v>8.4453920471985439E-2</v>
      </c>
      <c r="BG221" s="1">
        <f t="shared" si="113"/>
        <v>8.1183170081871467E-2</v>
      </c>
      <c r="BH221" s="1">
        <f t="shared" si="113"/>
        <v>7.6842422076749031E-2</v>
      </c>
      <c r="BI221" s="1">
        <f t="shared" si="102"/>
        <v>7.1603337746318385E-2</v>
      </c>
      <c r="BJ221" s="1">
        <f t="shared" si="102"/>
        <v>6.5958445534621893E-2</v>
      </c>
      <c r="BK221" s="1">
        <f t="shared" si="102"/>
        <v>6.0573627449766063E-2</v>
      </c>
      <c r="BL221" s="1">
        <f t="shared" si="102"/>
        <v>5.6001675621257775E-2</v>
      </c>
      <c r="BM221" s="1">
        <f t="shared" si="102"/>
        <v>5.2488368849168528E-2</v>
      </c>
      <c r="BN221" s="1">
        <f t="shared" si="97"/>
        <v>4.9989941190706315E-2</v>
      </c>
      <c r="BO221" s="1">
        <f t="shared" si="97"/>
        <v>4.8309539736384889E-2</v>
      </c>
      <c r="BP221" s="1">
        <f t="shared" si="97"/>
        <v>4.7221280797094388E-2</v>
      </c>
      <c r="BQ221" s="1">
        <f t="shared" si="97"/>
        <v>4.653367056671643E-2</v>
      </c>
      <c r="BR221" s="1">
        <f t="shared" si="97"/>
        <v>4.6105954780087305E-2</v>
      </c>
      <c r="BS221" s="1">
        <f t="shared" si="95"/>
        <v>4.5842486884468785E-2</v>
      </c>
      <c r="BT221" s="1">
        <f t="shared" si="95"/>
        <v>4.5681168777653804E-2</v>
      </c>
      <c r="BU221" s="1">
        <f t="shared" si="95"/>
        <v>4.5582759895674146E-2</v>
      </c>
    </row>
    <row r="222" spans="1:73" x14ac:dyDescent="0.25">
      <c r="A222" s="1" t="s">
        <v>47</v>
      </c>
      <c r="B222" s="1" t="s">
        <v>5</v>
      </c>
      <c r="C222" s="1" t="s">
        <v>15</v>
      </c>
      <c r="D222" s="1" t="s">
        <v>15</v>
      </c>
      <c r="E222" s="5">
        <v>8.7614999999999998</v>
      </c>
      <c r="F222" s="1">
        <f t="shared" si="108"/>
        <v>2.1465675E-2</v>
      </c>
      <c r="G222" s="1">
        <f>LOOKUP(RIGHT(D222,5),Ref!$C$4:$C$21,Ref!$E$4:$E$21)*$G$3</f>
        <v>2.5</v>
      </c>
      <c r="H222" s="297">
        <f t="shared" si="111"/>
        <v>8.7614999999999998</v>
      </c>
      <c r="I222" s="5">
        <f t="shared" si="111"/>
        <v>8.7614999999999998</v>
      </c>
      <c r="J222" s="5">
        <f t="shared" si="111"/>
        <v>8.7614999999999998</v>
      </c>
      <c r="K222" s="5">
        <f t="shared" si="111"/>
        <v>8.7614999999999998</v>
      </c>
      <c r="L222" s="5">
        <f t="shared" si="111"/>
        <v>8.7614999999999998</v>
      </c>
      <c r="M222" s="5">
        <f t="shared" si="110"/>
        <v>9.1770217878452502</v>
      </c>
      <c r="N222" s="5">
        <f t="shared" si="110"/>
        <v>9.426131444256125</v>
      </c>
      <c r="O222" s="5">
        <f t="shared" si="110"/>
        <v>9.8058964012967831</v>
      </c>
      <c r="P222" s="5">
        <f t="shared" si="110"/>
        <v>10.359821226829391</v>
      </c>
      <c r="Q222" s="5">
        <f t="shared" si="110"/>
        <v>11.117830263333213</v>
      </c>
      <c r="R222" s="5">
        <f t="shared" si="110"/>
        <v>12.069322569674952</v>
      </c>
      <c r="S222" s="5">
        <f t="shared" si="110"/>
        <v>13.142250000000001</v>
      </c>
      <c r="T222" s="5">
        <f t="shared" si="110"/>
        <v>14.215177430325047</v>
      </c>
      <c r="U222" s="5">
        <f t="shared" si="110"/>
        <v>15.166669736666787</v>
      </c>
      <c r="V222" s="5">
        <f t="shared" si="110"/>
        <v>15.924678773170609</v>
      </c>
      <c r="W222" s="5">
        <f t="shared" si="110"/>
        <v>16.478603598703213</v>
      </c>
      <c r="X222" s="5">
        <f t="shared" si="110"/>
        <v>16.858368555743876</v>
      </c>
      <c r="Y222" s="5">
        <f t="shared" si="110"/>
        <v>17.107478212154749</v>
      </c>
      <c r="Z222" s="5">
        <f t="shared" si="110"/>
        <v>17.266180890271993</v>
      </c>
      <c r="AA222" s="5">
        <f t="shared" si="110"/>
        <v>17.365413821417135</v>
      </c>
      <c r="AB222" s="5">
        <f t="shared" si="110"/>
        <v>17.426737902142058</v>
      </c>
      <c r="AC222" s="5">
        <f t="shared" si="109"/>
        <v>17.464360586626878</v>
      </c>
      <c r="AD222" s="300">
        <f t="shared" si="114"/>
        <v>1.5686351770278217E-3</v>
      </c>
      <c r="AE222" s="299">
        <f t="shared" si="114"/>
        <v>1.5686351770278217E-3</v>
      </c>
      <c r="AF222" s="299">
        <f t="shared" si="114"/>
        <v>1.5686351770278217E-3</v>
      </c>
      <c r="AG222" s="299">
        <f t="shared" si="112"/>
        <v>1.5686351770278217E-3</v>
      </c>
      <c r="AH222" s="299">
        <f t="shared" si="112"/>
        <v>1.5686351770278217E-3</v>
      </c>
      <c r="AI222" s="299">
        <f t="shared" si="112"/>
        <v>1.4976097279982849E-3</v>
      </c>
      <c r="AJ222" s="299">
        <f t="shared" si="112"/>
        <v>1.458031556721396E-3</v>
      </c>
      <c r="AK222" s="299">
        <f t="shared" si="112"/>
        <v>1.4015645832962027E-3</v>
      </c>
      <c r="AL222" s="299">
        <f t="shared" si="112"/>
        <v>1.3266249293893914E-3</v>
      </c>
      <c r="AM222" s="299">
        <f t="shared" si="101"/>
        <v>1.2361761942755924E-3</v>
      </c>
      <c r="AN222" s="299">
        <f t="shared" si="101"/>
        <v>1.1387215002489903E-3</v>
      </c>
      <c r="AO222" s="299">
        <f t="shared" si="101"/>
        <v>1.0457567846852145E-3</v>
      </c>
      <c r="AP222" s="299">
        <f t="shared" si="101"/>
        <v>9.6682557575470199E-4</v>
      </c>
      <c r="AQ222" s="299">
        <f t="shared" si="101"/>
        <v>9.0617105417037456E-4</v>
      </c>
      <c r="AR222" s="299">
        <f t="shared" si="96"/>
        <v>8.6303763481144959E-4</v>
      </c>
      <c r="AS222" s="299">
        <f t="shared" si="96"/>
        <v>8.3402680458985099E-4</v>
      </c>
      <c r="AT222" s="299">
        <f t="shared" si="96"/>
        <v>8.1523885648155606E-4</v>
      </c>
      <c r="AU222" s="299">
        <f t="shared" si="96"/>
        <v>8.0336779816937167E-4</v>
      </c>
      <c r="AV222" s="299">
        <f t="shared" si="96"/>
        <v>7.9598361623053502E-4</v>
      </c>
      <c r="AW222" s="299">
        <f t="shared" si="94"/>
        <v>7.9143504697705435E-4</v>
      </c>
      <c r="AX222" s="299">
        <f t="shared" si="94"/>
        <v>7.886500147477357E-4</v>
      </c>
      <c r="AY222" s="299">
        <f t="shared" si="94"/>
        <v>7.8695106158385513E-4</v>
      </c>
      <c r="AZ222" s="298">
        <f t="shared" si="115"/>
        <v>8.6839310538859529E-2</v>
      </c>
      <c r="BA222" s="1">
        <f t="shared" si="115"/>
        <v>8.6839310538859529E-2</v>
      </c>
      <c r="BB222" s="1">
        <f t="shared" si="115"/>
        <v>8.6839310538859529E-2</v>
      </c>
      <c r="BC222" s="1">
        <f t="shared" si="113"/>
        <v>8.6839310538859529E-2</v>
      </c>
      <c r="BD222" s="1">
        <f t="shared" si="113"/>
        <v>8.6839310538859529E-2</v>
      </c>
      <c r="BE222" s="1">
        <f t="shared" si="113"/>
        <v>8.2907356752049549E-2</v>
      </c>
      <c r="BF222" s="1">
        <f t="shared" si="113"/>
        <v>8.0716317588573644E-2</v>
      </c>
      <c r="BG222" s="1">
        <f t="shared" si="113"/>
        <v>7.7590317921939295E-2</v>
      </c>
      <c r="BH222" s="1">
        <f t="shared" si="113"/>
        <v>7.3441674583710231E-2</v>
      </c>
      <c r="BI222" s="1">
        <f t="shared" si="102"/>
        <v>6.8434451800859858E-2</v>
      </c>
      <c r="BJ222" s="1">
        <f t="shared" si="102"/>
        <v>6.303938061924784E-2</v>
      </c>
      <c r="BK222" s="1">
        <f t="shared" si="102"/>
        <v>5.7892873692573017E-2</v>
      </c>
      <c r="BL222" s="1">
        <f t="shared" si="102"/>
        <v>5.3523258715232246E-2</v>
      </c>
      <c r="BM222" s="1">
        <f t="shared" si="102"/>
        <v>5.0165437271097978E-2</v>
      </c>
      <c r="BN222" s="1">
        <f t="shared" si="97"/>
        <v>4.7777580328217432E-2</v>
      </c>
      <c r="BO222" s="1">
        <f t="shared" si="97"/>
        <v>4.6171546923192718E-2</v>
      </c>
      <c r="BP222" s="1">
        <f t="shared" si="97"/>
        <v>4.5131450102684365E-2</v>
      </c>
      <c r="BQ222" s="1">
        <f t="shared" si="97"/>
        <v>4.4474270833537825E-2</v>
      </c>
      <c r="BR222" s="1">
        <f t="shared" si="97"/>
        <v>4.4065484088313192E-2</v>
      </c>
      <c r="BS222" s="1">
        <f t="shared" si="95"/>
        <v>4.3813676259638244E-2</v>
      </c>
      <c r="BT222" s="1">
        <f t="shared" si="95"/>
        <v>4.3659497466401707E-2</v>
      </c>
      <c r="BU222" s="1">
        <f t="shared" si="95"/>
        <v>4.3565443779763902E-2</v>
      </c>
    </row>
    <row r="223" spans="1:73" x14ac:dyDescent="0.25">
      <c r="A223" s="1" t="s">
        <v>47</v>
      </c>
      <c r="B223" s="1" t="s">
        <v>5</v>
      </c>
      <c r="C223" s="1" t="s">
        <v>16</v>
      </c>
      <c r="D223" s="1" t="s">
        <v>16</v>
      </c>
      <c r="E223" s="5">
        <v>7.9612499999999997</v>
      </c>
      <c r="F223" s="1">
        <f t="shared" si="108"/>
        <v>1.95050625E-2</v>
      </c>
      <c r="G223" s="1">
        <f>LOOKUP(RIGHT(D223,5),Ref!$C$4:$C$21,Ref!$E$4:$E$21)*$G$3</f>
        <v>3</v>
      </c>
      <c r="H223" s="297">
        <f t="shared" si="111"/>
        <v>7.9612499999999997</v>
      </c>
      <c r="I223" s="5">
        <f t="shared" si="111"/>
        <v>7.9612499999999997</v>
      </c>
      <c r="J223" s="5">
        <f t="shared" si="111"/>
        <v>7.9612499999999997</v>
      </c>
      <c r="K223" s="5">
        <f t="shared" si="111"/>
        <v>7.9612499999999997</v>
      </c>
      <c r="L223" s="5">
        <f t="shared" si="111"/>
        <v>7.9612499999999997</v>
      </c>
      <c r="M223" s="5">
        <f t="shared" si="110"/>
        <v>8.3388192328349025</v>
      </c>
      <c r="N223" s="5">
        <f t="shared" si="110"/>
        <v>8.5651759356941248</v>
      </c>
      <c r="O223" s="5">
        <f t="shared" si="110"/>
        <v>8.9102542629485839</v>
      </c>
      <c r="P223" s="5">
        <f t="shared" si="110"/>
        <v>9.4135852014033539</v>
      </c>
      <c r="Q223" s="5">
        <f t="shared" si="110"/>
        <v>10.102359890881875</v>
      </c>
      <c r="R223" s="5">
        <f t="shared" si="110"/>
        <v>10.966945649469235</v>
      </c>
      <c r="S223" s="5">
        <f t="shared" si="110"/>
        <v>11.941875</v>
      </c>
      <c r="T223" s="5">
        <f t="shared" si="110"/>
        <v>12.916804350530764</v>
      </c>
      <c r="U223" s="5">
        <f t="shared" si="110"/>
        <v>13.781390109118124</v>
      </c>
      <c r="V223" s="5">
        <f t="shared" si="110"/>
        <v>14.470164798596645</v>
      </c>
      <c r="W223" s="5">
        <f t="shared" si="110"/>
        <v>14.973495737051413</v>
      </c>
      <c r="X223" s="5">
        <f t="shared" si="110"/>
        <v>15.318574064305874</v>
      </c>
      <c r="Y223" s="5">
        <f t="shared" si="110"/>
        <v>15.544930767165097</v>
      </c>
      <c r="Z223" s="5">
        <f t="shared" si="110"/>
        <v>15.689138002930765</v>
      </c>
      <c r="AA223" s="5">
        <f t="shared" si="110"/>
        <v>15.779307285939298</v>
      </c>
      <c r="AB223" s="5">
        <f t="shared" si="110"/>
        <v>15.835030202982191</v>
      </c>
      <c r="AC223" s="5">
        <f t="shared" si="109"/>
        <v>15.869216540579037</v>
      </c>
      <c r="AD223" s="300">
        <f t="shared" si="114"/>
        <v>1.7263114590710328E-3</v>
      </c>
      <c r="AE223" s="299">
        <f t="shared" si="114"/>
        <v>1.7263114590710328E-3</v>
      </c>
      <c r="AF223" s="299">
        <f t="shared" si="114"/>
        <v>1.7263114590710328E-3</v>
      </c>
      <c r="AG223" s="299">
        <f t="shared" si="112"/>
        <v>1.7263114590710328E-3</v>
      </c>
      <c r="AH223" s="299">
        <f t="shared" si="112"/>
        <v>1.7263114590710328E-3</v>
      </c>
      <c r="AI223" s="299">
        <f t="shared" si="112"/>
        <v>1.6481466643877497E-3</v>
      </c>
      <c r="AJ223" s="299">
        <f t="shared" si="112"/>
        <v>1.6045901691586764E-3</v>
      </c>
      <c r="AK223" s="299">
        <f t="shared" si="112"/>
        <v>1.5424472408917796E-3</v>
      </c>
      <c r="AL223" s="299">
        <f t="shared" si="112"/>
        <v>1.4599747927580662E-3</v>
      </c>
      <c r="AM223" s="299">
        <f t="shared" si="101"/>
        <v>1.3604343195032945E-3</v>
      </c>
      <c r="AN223" s="299">
        <f t="shared" si="101"/>
        <v>1.2531836614139149E-3</v>
      </c>
      <c r="AO223" s="299">
        <f t="shared" si="101"/>
        <v>1.1508743060473553E-3</v>
      </c>
      <c r="AP223" s="299">
        <f t="shared" si="101"/>
        <v>1.0640090792243455E-3</v>
      </c>
      <c r="AQ223" s="299">
        <f t="shared" si="101"/>
        <v>9.972576782683294E-4</v>
      </c>
      <c r="AR223" s="299">
        <f t="shared" si="96"/>
        <v>9.4978856805156425E-4</v>
      </c>
      <c r="AS223" s="299">
        <f t="shared" si="96"/>
        <v>9.1786162328955621E-4</v>
      </c>
      <c r="AT223" s="299">
        <f t="shared" si="96"/>
        <v>8.9718514568229294E-4</v>
      </c>
      <c r="AU223" s="299">
        <f t="shared" si="96"/>
        <v>8.8412083073147435E-4</v>
      </c>
      <c r="AV223" s="299">
        <f t="shared" si="96"/>
        <v>8.7599440459774946E-4</v>
      </c>
      <c r="AW223" s="299">
        <f t="shared" si="94"/>
        <v>8.7098862164728676E-4</v>
      </c>
      <c r="AX223" s="299">
        <f t="shared" si="94"/>
        <v>8.6792364317315584E-4</v>
      </c>
      <c r="AY223" s="299">
        <f t="shared" si="94"/>
        <v>8.6605391440627367E-4</v>
      </c>
      <c r="AZ223" s="298">
        <f t="shared" si="115"/>
        <v>9.556823605416459E-2</v>
      </c>
      <c r="BA223" s="1">
        <f t="shared" si="115"/>
        <v>9.556823605416459E-2</v>
      </c>
      <c r="BB223" s="1">
        <f t="shared" si="115"/>
        <v>9.556823605416459E-2</v>
      </c>
      <c r="BC223" s="1">
        <f t="shared" si="113"/>
        <v>9.556823605416459E-2</v>
      </c>
      <c r="BD223" s="1">
        <f t="shared" si="113"/>
        <v>9.556823605416459E-2</v>
      </c>
      <c r="BE223" s="1">
        <f t="shared" si="113"/>
        <v>9.1241049606918784E-2</v>
      </c>
      <c r="BF223" s="1">
        <f t="shared" si="113"/>
        <v>8.8829771273642708E-2</v>
      </c>
      <c r="BG223" s="1">
        <f t="shared" si="113"/>
        <v>8.5389551951398468E-2</v>
      </c>
      <c r="BH223" s="1">
        <f t="shared" si="113"/>
        <v>8.0823894723212705E-2</v>
      </c>
      <c r="BI223" s="1">
        <f t="shared" si="102"/>
        <v>7.5313355246127631E-2</v>
      </c>
      <c r="BJ223" s="1">
        <f t="shared" si="102"/>
        <v>6.9375981572685208E-2</v>
      </c>
      <c r="BK223" s="1">
        <f t="shared" si="102"/>
        <v>6.3712157369443051E-2</v>
      </c>
      <c r="BL223" s="1">
        <f t="shared" si="102"/>
        <v>5.8903316845157136E-2</v>
      </c>
      <c r="BM223" s="1">
        <f t="shared" si="102"/>
        <v>5.5207973452752392E-2</v>
      </c>
      <c r="BN223" s="1">
        <f t="shared" si="97"/>
        <v>5.2580093584007163E-2</v>
      </c>
      <c r="BO223" s="1">
        <f t="shared" si="97"/>
        <v>5.0812624696819339E-2</v>
      </c>
      <c r="BP223" s="1">
        <f t="shared" si="97"/>
        <v>4.9667979283990464E-2</v>
      </c>
      <c r="BQ223" s="1">
        <f t="shared" si="97"/>
        <v>4.8944741580535925E-2</v>
      </c>
      <c r="BR223" s="1">
        <f t="shared" si="97"/>
        <v>4.849486435418509E-2</v>
      </c>
      <c r="BS223" s="1">
        <f t="shared" si="95"/>
        <v>4.8217745272265099E-2</v>
      </c>
      <c r="BT223" s="1">
        <f t="shared" si="95"/>
        <v>4.8048068714319804E-2</v>
      </c>
      <c r="BU223" s="1">
        <f t="shared" si="95"/>
        <v>4.7944560926538093E-2</v>
      </c>
    </row>
    <row r="224" spans="1:73" x14ac:dyDescent="0.25">
      <c r="A224" s="1" t="s">
        <v>47</v>
      </c>
      <c r="B224" s="1" t="s">
        <v>5</v>
      </c>
      <c r="C224" s="1" t="s">
        <v>17</v>
      </c>
      <c r="D224" s="1" t="s">
        <v>17</v>
      </c>
      <c r="E224" s="5">
        <v>8.39025</v>
      </c>
      <c r="F224" s="1">
        <f t="shared" si="108"/>
        <v>2.0556112500000001E-2</v>
      </c>
      <c r="G224" s="1">
        <f>LOOKUP(RIGHT(D224,5),Ref!$C$4:$C$21,Ref!$E$4:$E$21)*$G$3</f>
        <v>3</v>
      </c>
      <c r="H224" s="297">
        <f t="shared" si="111"/>
        <v>8.39025</v>
      </c>
      <c r="I224" s="5">
        <f t="shared" si="111"/>
        <v>8.39025</v>
      </c>
      <c r="J224" s="5">
        <f t="shared" si="111"/>
        <v>8.39025</v>
      </c>
      <c r="K224" s="5">
        <f t="shared" si="111"/>
        <v>8.39025</v>
      </c>
      <c r="L224" s="5">
        <f t="shared" si="111"/>
        <v>8.39025</v>
      </c>
      <c r="M224" s="5">
        <f t="shared" si="110"/>
        <v>8.7881649324280797</v>
      </c>
      <c r="N224" s="5">
        <f t="shared" si="110"/>
        <v>9.0267190949232372</v>
      </c>
      <c r="O224" s="5">
        <f t="shared" si="110"/>
        <v>9.3903923164960723</v>
      </c>
      <c r="P224" s="5">
        <f t="shared" si="110"/>
        <v>9.920845751116282</v>
      </c>
      <c r="Q224" s="5">
        <f t="shared" si="110"/>
        <v>10.646735760649602</v>
      </c>
      <c r="R224" s="5">
        <f t="shared" si="110"/>
        <v>11.557910596383641</v>
      </c>
      <c r="S224" s="5">
        <f t="shared" si="110"/>
        <v>12.585374999999999</v>
      </c>
      <c r="T224" s="5">
        <f t="shared" si="110"/>
        <v>13.612839403616359</v>
      </c>
      <c r="U224" s="5">
        <f t="shared" si="110"/>
        <v>14.524014239350398</v>
      </c>
      <c r="V224" s="5">
        <f t="shared" si="110"/>
        <v>15.249904248883718</v>
      </c>
      <c r="W224" s="5">
        <f t="shared" si="110"/>
        <v>15.780357683503926</v>
      </c>
      <c r="X224" s="5">
        <f t="shared" si="110"/>
        <v>16.144030905076761</v>
      </c>
      <c r="Y224" s="5">
        <f t="shared" si="110"/>
        <v>16.38258506757192</v>
      </c>
      <c r="Z224" s="5">
        <f t="shared" si="110"/>
        <v>16.534563055938435</v>
      </c>
      <c r="AA224" s="5">
        <f t="shared" si="110"/>
        <v>16.629591201865562</v>
      </c>
      <c r="AB224" s="5">
        <f t="shared" si="110"/>
        <v>16.688316804593665</v>
      </c>
      <c r="AC224" s="5">
        <f t="shared" si="109"/>
        <v>16.72434530753252</v>
      </c>
      <c r="AD224" s="300">
        <f t="shared" si="114"/>
        <v>1.6380438131794951E-3</v>
      </c>
      <c r="AE224" s="299">
        <f t="shared" si="114"/>
        <v>1.6380438131794951E-3</v>
      </c>
      <c r="AF224" s="299">
        <f t="shared" si="114"/>
        <v>1.6380438131794951E-3</v>
      </c>
      <c r="AG224" s="299">
        <f t="shared" si="112"/>
        <v>1.6380438131794951E-3</v>
      </c>
      <c r="AH224" s="299">
        <f t="shared" si="112"/>
        <v>1.6380438131794951E-3</v>
      </c>
      <c r="AI224" s="299">
        <f t="shared" si="112"/>
        <v>1.5638756451663504E-3</v>
      </c>
      <c r="AJ224" s="299">
        <f t="shared" si="112"/>
        <v>1.5225462273727856E-3</v>
      </c>
      <c r="AK224" s="299">
        <f t="shared" si="112"/>
        <v>1.4635807153004594E-3</v>
      </c>
      <c r="AL224" s="299">
        <f t="shared" si="112"/>
        <v>1.3853251475039663E-3</v>
      </c>
      <c r="AM224" s="299">
        <f t="shared" si="101"/>
        <v>1.2908742559692029E-3</v>
      </c>
      <c r="AN224" s="299">
        <f t="shared" si="101"/>
        <v>1.1891074073396536E-3</v>
      </c>
      <c r="AO224" s="299">
        <f t="shared" si="101"/>
        <v>1.0920292087863302E-3</v>
      </c>
      <c r="AP224" s="299">
        <f t="shared" si="101"/>
        <v>1.0096054684872111E-3</v>
      </c>
      <c r="AQ224" s="299">
        <f t="shared" si="101"/>
        <v>9.4626711851419638E-4</v>
      </c>
      <c r="AR224" s="299">
        <f t="shared" si="96"/>
        <v>9.0122514077655802E-4</v>
      </c>
      <c r="AS224" s="299">
        <f t="shared" si="96"/>
        <v>8.7093064550090621E-4</v>
      </c>
      <c r="AT224" s="299">
        <f t="shared" si="96"/>
        <v>8.5131137225507637E-4</v>
      </c>
      <c r="AU224" s="299">
        <f t="shared" si="96"/>
        <v>8.3891504587598105E-4</v>
      </c>
      <c r="AV224" s="299">
        <f t="shared" si="96"/>
        <v>8.3120413022303656E-4</v>
      </c>
      <c r="AW224" s="299">
        <f t="shared" si="94"/>
        <v>8.2645429684329572E-4</v>
      </c>
      <c r="AX224" s="299">
        <f t="shared" si="94"/>
        <v>8.2354603309940547E-4</v>
      </c>
      <c r="AY224" s="299">
        <f t="shared" si="94"/>
        <v>8.2177190501676899E-4</v>
      </c>
      <c r="AZ224" s="298">
        <f t="shared" si="115"/>
        <v>9.0681757907835614E-2</v>
      </c>
      <c r="BA224" s="1">
        <f t="shared" si="115"/>
        <v>9.0681757907835614E-2</v>
      </c>
      <c r="BB224" s="1">
        <f t="shared" si="115"/>
        <v>9.0681757907835614E-2</v>
      </c>
      <c r="BC224" s="1">
        <f t="shared" si="113"/>
        <v>9.0681757907835614E-2</v>
      </c>
      <c r="BD224" s="1">
        <f t="shared" si="113"/>
        <v>9.0681757907835614E-2</v>
      </c>
      <c r="BE224" s="1">
        <f t="shared" si="113"/>
        <v>8.657582386497209E-2</v>
      </c>
      <c r="BF224" s="1">
        <f t="shared" si="113"/>
        <v>8.4287836065944172E-2</v>
      </c>
      <c r="BG224" s="1">
        <f t="shared" si="113"/>
        <v>8.1023517829989691E-2</v>
      </c>
      <c r="BH224" s="1">
        <f t="shared" si="113"/>
        <v>7.6691306202458454E-2</v>
      </c>
      <c r="BI224" s="1">
        <f t="shared" si="102"/>
        <v>7.1462524889393475E-2</v>
      </c>
      <c r="BJ224" s="1">
        <f t="shared" si="102"/>
        <v>6.5828733743993326E-2</v>
      </c>
      <c r="BK224" s="1">
        <f t="shared" si="102"/>
        <v>6.0454505271890412E-2</v>
      </c>
      <c r="BL224" s="1">
        <f t="shared" si="102"/>
        <v>5.5891544499092075E-2</v>
      </c>
      <c r="BM224" s="1">
        <f t="shared" si="102"/>
        <v>5.2385146884863371E-2</v>
      </c>
      <c r="BN224" s="1">
        <f t="shared" si="97"/>
        <v>4.9891632555129711E-2</v>
      </c>
      <c r="BO224" s="1">
        <f t="shared" si="97"/>
        <v>4.8214535725103896E-2</v>
      </c>
      <c r="BP224" s="1">
        <f t="shared" si="97"/>
        <v>4.7128416921387216E-2</v>
      </c>
      <c r="BQ224" s="1">
        <f t="shared" si="97"/>
        <v>4.6442158923517378E-2</v>
      </c>
      <c r="BR224" s="1">
        <f t="shared" si="97"/>
        <v>4.6015284269212003E-2</v>
      </c>
      <c r="BS224" s="1">
        <f t="shared" si="95"/>
        <v>4.5752334501215158E-2</v>
      </c>
      <c r="BT224" s="1">
        <f t="shared" si="95"/>
        <v>4.5591333637481427E-2</v>
      </c>
      <c r="BU224" s="1">
        <f t="shared" si="95"/>
        <v>4.5493118283293277E-2</v>
      </c>
    </row>
    <row r="225" spans="1:73" x14ac:dyDescent="0.25">
      <c r="A225" s="1" t="s">
        <v>47</v>
      </c>
      <c r="B225" s="1" t="s">
        <v>5</v>
      </c>
      <c r="C225" s="1" t="s">
        <v>18</v>
      </c>
      <c r="D225" s="1" t="s">
        <v>18</v>
      </c>
      <c r="E225" s="5">
        <v>7.4580000000000002</v>
      </c>
      <c r="F225" s="1">
        <f t="shared" si="108"/>
        <v>1.8272100000000003E-2</v>
      </c>
      <c r="G225" s="1">
        <f>LOOKUP(RIGHT(D225,5),Ref!$C$4:$C$21,Ref!$E$4:$E$21)*$G$3</f>
        <v>3</v>
      </c>
      <c r="H225" s="297">
        <f t="shared" si="111"/>
        <v>7.4580000000000002</v>
      </c>
      <c r="I225" s="5">
        <f t="shared" si="111"/>
        <v>7.4580000000000002</v>
      </c>
      <c r="J225" s="5">
        <f t="shared" si="111"/>
        <v>7.4580000000000002</v>
      </c>
      <c r="K225" s="5">
        <f t="shared" si="111"/>
        <v>7.4580000000000002</v>
      </c>
      <c r="L225" s="5">
        <f t="shared" si="111"/>
        <v>7.4580000000000002</v>
      </c>
      <c r="M225" s="5">
        <f t="shared" si="110"/>
        <v>7.8117021621582934</v>
      </c>
      <c r="N225" s="5">
        <f t="shared" si="110"/>
        <v>8.0237503065984335</v>
      </c>
      <c r="O225" s="5">
        <f t="shared" si="110"/>
        <v>8.3470153924409534</v>
      </c>
      <c r="P225" s="5">
        <f t="shared" si="110"/>
        <v>8.818529556547805</v>
      </c>
      <c r="Q225" s="5">
        <f t="shared" si="110"/>
        <v>9.463765120577424</v>
      </c>
      <c r="R225" s="5">
        <f t="shared" si="110"/>
        <v>10.27369830789657</v>
      </c>
      <c r="S225" s="5">
        <f t="shared" si="110"/>
        <v>11.187000000000001</v>
      </c>
      <c r="T225" s="5">
        <f t="shared" si="110"/>
        <v>12.100301692103431</v>
      </c>
      <c r="U225" s="5">
        <f t="shared" si="110"/>
        <v>12.910234879422577</v>
      </c>
      <c r="V225" s="5">
        <f t="shared" si="110"/>
        <v>13.555470443452196</v>
      </c>
      <c r="W225" s="5">
        <f t="shared" si="110"/>
        <v>14.026984607559045</v>
      </c>
      <c r="X225" s="5">
        <f t="shared" si="110"/>
        <v>14.350249693401567</v>
      </c>
      <c r="Y225" s="5">
        <f t="shared" si="110"/>
        <v>14.562297837841708</v>
      </c>
      <c r="Z225" s="5">
        <f t="shared" si="110"/>
        <v>14.697389383056386</v>
      </c>
      <c r="AA225" s="5">
        <f t="shared" si="110"/>
        <v>14.781858846102722</v>
      </c>
      <c r="AB225" s="5">
        <f t="shared" si="110"/>
        <v>14.834059381861037</v>
      </c>
      <c r="AC225" s="5">
        <f t="shared" si="109"/>
        <v>14.866084717806684</v>
      </c>
      <c r="AD225" s="300">
        <f t="shared" si="114"/>
        <v>1.842799289826932E-3</v>
      </c>
      <c r="AE225" s="299">
        <f t="shared" si="114"/>
        <v>1.842799289826932E-3</v>
      </c>
      <c r="AF225" s="299">
        <f t="shared" si="114"/>
        <v>1.842799289826932E-3</v>
      </c>
      <c r="AG225" s="299">
        <f t="shared" si="112"/>
        <v>1.842799289826932E-3</v>
      </c>
      <c r="AH225" s="299">
        <f t="shared" si="112"/>
        <v>1.842799289826932E-3</v>
      </c>
      <c r="AI225" s="299">
        <f t="shared" si="112"/>
        <v>1.7593601008121442E-3</v>
      </c>
      <c r="AJ225" s="299">
        <f t="shared" si="112"/>
        <v>1.7128645057943835E-3</v>
      </c>
      <c r="AK225" s="299">
        <f t="shared" si="112"/>
        <v>1.6465283047130167E-3</v>
      </c>
      <c r="AL225" s="299">
        <f t="shared" si="112"/>
        <v>1.5584907909419621E-3</v>
      </c>
      <c r="AM225" s="299">
        <f t="shared" si="101"/>
        <v>1.4522335379653531E-3</v>
      </c>
      <c r="AN225" s="299">
        <f t="shared" si="101"/>
        <v>1.3377458332571102E-3</v>
      </c>
      <c r="AO225" s="299">
        <f t="shared" si="101"/>
        <v>1.2285328598846213E-3</v>
      </c>
      <c r="AP225" s="299">
        <f t="shared" si="101"/>
        <v>1.1358061520481122E-3</v>
      </c>
      <c r="AQ225" s="299">
        <f t="shared" si="101"/>
        <v>1.0645505083284709E-3</v>
      </c>
      <c r="AR225" s="299">
        <f t="shared" si="96"/>
        <v>1.0138782833736277E-3</v>
      </c>
      <c r="AS225" s="299">
        <f t="shared" si="96"/>
        <v>9.7979697618851957E-4</v>
      </c>
      <c r="AT225" s="299">
        <f t="shared" si="96"/>
        <v>9.5772529378696078E-4</v>
      </c>
      <c r="AU225" s="299">
        <f t="shared" si="96"/>
        <v>9.4377942661047856E-4</v>
      </c>
      <c r="AV225" s="299">
        <f t="shared" si="96"/>
        <v>9.3510464650091614E-4</v>
      </c>
      <c r="AW225" s="299">
        <f t="shared" si="94"/>
        <v>9.2976108394870766E-4</v>
      </c>
      <c r="AX225" s="299">
        <f t="shared" si="94"/>
        <v>9.2648928723683107E-4</v>
      </c>
      <c r="AY225" s="299">
        <f t="shared" si="94"/>
        <v>9.2449339314386509E-4</v>
      </c>
      <c r="AZ225" s="298">
        <f t="shared" si="115"/>
        <v>0.10201697764631507</v>
      </c>
      <c r="BA225" s="1">
        <f t="shared" si="115"/>
        <v>0.10201697764631507</v>
      </c>
      <c r="BB225" s="1">
        <f t="shared" si="115"/>
        <v>0.10201697764631507</v>
      </c>
      <c r="BC225" s="1">
        <f t="shared" si="113"/>
        <v>0.10201697764631507</v>
      </c>
      <c r="BD225" s="1">
        <f t="shared" si="113"/>
        <v>0.10201697764631507</v>
      </c>
      <c r="BE225" s="1">
        <f t="shared" si="113"/>
        <v>9.7397801848093601E-2</v>
      </c>
      <c r="BF225" s="1">
        <f t="shared" si="113"/>
        <v>9.482381557418719E-2</v>
      </c>
      <c r="BG225" s="1">
        <f t="shared" si="113"/>
        <v>9.1151457558738408E-2</v>
      </c>
      <c r="BH225" s="1">
        <f t="shared" si="113"/>
        <v>8.6277719477765774E-2</v>
      </c>
      <c r="BI225" s="1">
        <f t="shared" si="102"/>
        <v>8.0395340500567666E-2</v>
      </c>
      <c r="BJ225" s="1">
        <f t="shared" si="102"/>
        <v>7.4057325461992479E-2</v>
      </c>
      <c r="BK225" s="1">
        <f t="shared" si="102"/>
        <v>6.801131843087671E-2</v>
      </c>
      <c r="BL225" s="1">
        <f t="shared" si="102"/>
        <v>6.2877987561478582E-2</v>
      </c>
      <c r="BM225" s="1">
        <f t="shared" si="102"/>
        <v>5.8933290245471295E-2</v>
      </c>
      <c r="BN225" s="1">
        <f t="shared" si="97"/>
        <v>5.6128086624520915E-2</v>
      </c>
      <c r="BO225" s="1">
        <f t="shared" si="97"/>
        <v>5.424135269074188E-2</v>
      </c>
      <c r="BP225" s="1">
        <f t="shared" si="97"/>
        <v>5.3019469036560608E-2</v>
      </c>
      <c r="BQ225" s="1">
        <f t="shared" si="97"/>
        <v>5.2247428788957044E-2</v>
      </c>
      <c r="BR225" s="1">
        <f t="shared" si="97"/>
        <v>5.17671948028635E-2</v>
      </c>
      <c r="BS225" s="1">
        <f t="shared" si="95"/>
        <v>5.147137631386705E-2</v>
      </c>
      <c r="BT225" s="1">
        <f t="shared" si="95"/>
        <v>5.1290250342166603E-2</v>
      </c>
      <c r="BU225" s="1">
        <f t="shared" si="95"/>
        <v>5.1179758068704936E-2</v>
      </c>
    </row>
    <row r="226" spans="1:73" x14ac:dyDescent="0.25">
      <c r="A226" s="1" t="s">
        <v>47</v>
      </c>
      <c r="B226" s="1" t="s">
        <v>5</v>
      </c>
      <c r="C226" s="1" t="s">
        <v>10</v>
      </c>
      <c r="D226" s="1" t="s">
        <v>10</v>
      </c>
      <c r="E226" s="5">
        <v>8.9512499999999999</v>
      </c>
      <c r="F226" s="1">
        <f t="shared" si="108"/>
        <v>2.1930562499999997E-2</v>
      </c>
      <c r="G226" s="1">
        <f>LOOKUP(RIGHT(D226,5),Ref!$C$4:$C$21,Ref!$E$4:$E$21)*$G$3</f>
        <v>4.5</v>
      </c>
      <c r="H226" s="297">
        <f t="shared" si="111"/>
        <v>8.9512499999999999</v>
      </c>
      <c r="I226" s="5">
        <f t="shared" si="111"/>
        <v>8.9512499999999999</v>
      </c>
      <c r="J226" s="5">
        <f t="shared" si="111"/>
        <v>8.9512499999999999</v>
      </c>
      <c r="K226" s="5">
        <f t="shared" si="111"/>
        <v>8.9512499999999999</v>
      </c>
      <c r="L226" s="5">
        <f t="shared" si="111"/>
        <v>8.9512499999999999</v>
      </c>
      <c r="M226" s="5">
        <f t="shared" si="110"/>
        <v>9.3757708472806947</v>
      </c>
      <c r="N226" s="5">
        <f t="shared" si="110"/>
        <v>9.6302755339151549</v>
      </c>
      <c r="O226" s="5">
        <f t="shared" si="110"/>
        <v>10.01826515575048</v>
      </c>
      <c r="P226" s="5">
        <f t="shared" si="110"/>
        <v>10.584186469971646</v>
      </c>
      <c r="Q226" s="5">
        <f t="shared" si="110"/>
        <v>11.35861189803817</v>
      </c>
      <c r="R226" s="5">
        <f t="shared" si="110"/>
        <v>12.3307109115794</v>
      </c>
      <c r="S226" s="5">
        <f t="shared" si="110"/>
        <v>13.426874999999999</v>
      </c>
      <c r="T226" s="5">
        <f t="shared" si="110"/>
        <v>14.5230390884206</v>
      </c>
      <c r="U226" s="5">
        <f t="shared" si="110"/>
        <v>15.49513810196183</v>
      </c>
      <c r="V226" s="5">
        <f t="shared" si="110"/>
        <v>16.269563530028353</v>
      </c>
      <c r="W226" s="5">
        <f t="shared" si="110"/>
        <v>16.835484844249518</v>
      </c>
      <c r="X226" s="5">
        <f t="shared" si="110"/>
        <v>17.223474466084845</v>
      </c>
      <c r="Y226" s="5">
        <f t="shared" si="110"/>
        <v>17.477979152719307</v>
      </c>
      <c r="Z226" s="5">
        <f t="shared" si="110"/>
        <v>17.640118894486921</v>
      </c>
      <c r="AA226" s="5">
        <f t="shared" si="110"/>
        <v>17.741500938076829</v>
      </c>
      <c r="AB226" s="5">
        <f t="shared" si="110"/>
        <v>17.804153129777905</v>
      </c>
      <c r="AC226" s="5">
        <f t="shared" si="109"/>
        <v>17.842590618163996</v>
      </c>
      <c r="AD226" s="300">
        <f t="shared" si="114"/>
        <v>1.5353830027682457E-3</v>
      </c>
      <c r="AE226" s="299">
        <f t="shared" si="114"/>
        <v>1.5353830027682457E-3</v>
      </c>
      <c r="AF226" s="299">
        <f t="shared" si="114"/>
        <v>1.5353830027682457E-3</v>
      </c>
      <c r="AG226" s="299">
        <f t="shared" si="112"/>
        <v>1.5353830027682457E-3</v>
      </c>
      <c r="AH226" s="299">
        <f t="shared" si="112"/>
        <v>1.5353830027682457E-3</v>
      </c>
      <c r="AI226" s="299">
        <f t="shared" si="112"/>
        <v>1.4658631623356484E-3</v>
      </c>
      <c r="AJ226" s="299">
        <f t="shared" si="112"/>
        <v>1.4271239753346754E-3</v>
      </c>
      <c r="AK226" s="299">
        <f t="shared" si="112"/>
        <v>1.371853997659509E-3</v>
      </c>
      <c r="AL226" s="299">
        <f t="shared" si="112"/>
        <v>1.2985029262779114E-3</v>
      </c>
      <c r="AM226" s="299">
        <f t="shared" si="101"/>
        <v>1.2099715376227458E-3</v>
      </c>
      <c r="AN226" s="299">
        <f t="shared" si="101"/>
        <v>1.1145827034695186E-3</v>
      </c>
      <c r="AO226" s="299">
        <f t="shared" si="101"/>
        <v>1.023588668512164E-3</v>
      </c>
      <c r="AP226" s="299">
        <f t="shared" si="101"/>
        <v>9.4633065571566222E-4</v>
      </c>
      <c r="AQ226" s="299">
        <f t="shared" si="101"/>
        <v>8.869618981833528E-4</v>
      </c>
      <c r="AR226" s="299">
        <f t="shared" si="96"/>
        <v>8.4474282780622992E-4</v>
      </c>
      <c r="AS226" s="299">
        <f t="shared" si="96"/>
        <v>8.1634697370914437E-4</v>
      </c>
      <c r="AT226" s="299">
        <f t="shared" si="96"/>
        <v>7.9795729546858305E-4</v>
      </c>
      <c r="AU226" s="299">
        <f t="shared" si="96"/>
        <v>7.8633788171048166E-4</v>
      </c>
      <c r="AV226" s="299">
        <f t="shared" si="96"/>
        <v>7.7911023081735325E-4</v>
      </c>
      <c r="AW226" s="299">
        <f t="shared" si="94"/>
        <v>7.7465808284758687E-4</v>
      </c>
      <c r="AX226" s="299">
        <f t="shared" si="94"/>
        <v>7.7193208816782972E-4</v>
      </c>
      <c r="AY226" s="299">
        <f t="shared" si="94"/>
        <v>7.7026914967931253E-4</v>
      </c>
      <c r="AZ226" s="298">
        <f t="shared" si="115"/>
        <v>8.4998477227897537E-2</v>
      </c>
      <c r="BA226" s="1">
        <f t="shared" si="115"/>
        <v>8.4998477227897537E-2</v>
      </c>
      <c r="BB226" s="1">
        <f t="shared" si="115"/>
        <v>8.4998477227897537E-2</v>
      </c>
      <c r="BC226" s="1">
        <f t="shared" si="113"/>
        <v>8.4998477227897537E-2</v>
      </c>
      <c r="BD226" s="1">
        <f t="shared" si="113"/>
        <v>8.4998477227897537E-2</v>
      </c>
      <c r="BE226" s="1">
        <f t="shared" si="113"/>
        <v>8.1149873613526838E-2</v>
      </c>
      <c r="BF226" s="1">
        <f t="shared" si="113"/>
        <v>7.9005280441534764E-2</v>
      </c>
      <c r="BG226" s="1">
        <f t="shared" si="113"/>
        <v>7.5945546205621675E-2</v>
      </c>
      <c r="BH226" s="1">
        <f t="shared" si="113"/>
        <v>7.1884846458894258E-2</v>
      </c>
      <c r="BI226" s="1">
        <f t="shared" si="102"/>
        <v>6.6983767569136557E-2</v>
      </c>
      <c r="BJ226" s="1">
        <f t="shared" si="102"/>
        <v>6.1703061951743049E-2</v>
      </c>
      <c r="BK226" s="1">
        <f t="shared" si="102"/>
        <v>5.6665651485265027E-2</v>
      </c>
      <c r="BL226" s="1">
        <f t="shared" si="102"/>
        <v>5.2388664290854044E-2</v>
      </c>
      <c r="BM226" s="1">
        <f t="shared" si="102"/>
        <v>4.9102022471802814E-2</v>
      </c>
      <c r="BN226" s="1">
        <f t="shared" si="97"/>
        <v>4.6764783694531714E-2</v>
      </c>
      <c r="BO226" s="1">
        <f t="shared" si="97"/>
        <v>4.5192795237263279E-2</v>
      </c>
      <c r="BP226" s="1">
        <f t="shared" si="97"/>
        <v>4.4174746552120545E-2</v>
      </c>
      <c r="BQ226" s="1">
        <f t="shared" si="97"/>
        <v>4.3531498272089554E-2</v>
      </c>
      <c r="BR226" s="1">
        <f t="shared" si="97"/>
        <v>4.3131377052339735E-2</v>
      </c>
      <c r="BS226" s="1">
        <f t="shared" si="95"/>
        <v>4.2884907085470797E-2</v>
      </c>
      <c r="BT226" s="1">
        <f t="shared" si="95"/>
        <v>4.2733996598450327E-2</v>
      </c>
      <c r="BU226" s="1">
        <f t="shared" si="95"/>
        <v>4.2641936676598401E-2</v>
      </c>
    </row>
    <row r="227" spans="1:73" x14ac:dyDescent="0.25">
      <c r="A227" s="1" t="s">
        <v>47</v>
      </c>
      <c r="B227" s="1" t="s">
        <v>5</v>
      </c>
      <c r="C227" s="1" t="s">
        <v>11</v>
      </c>
      <c r="D227" s="1" t="s">
        <v>11</v>
      </c>
      <c r="E227" s="5">
        <v>7.7632499999999993</v>
      </c>
      <c r="F227" s="1">
        <f t="shared" si="108"/>
        <v>1.9019962499999998E-2</v>
      </c>
      <c r="G227" s="1">
        <f>LOOKUP(RIGHT(D227,5),Ref!$C$4:$C$21,Ref!$E$4:$E$21)*$G$3</f>
        <v>4.5</v>
      </c>
      <c r="H227" s="297">
        <f t="shared" si="111"/>
        <v>7.7632499999999993</v>
      </c>
      <c r="I227" s="5">
        <f t="shared" si="111"/>
        <v>7.7632499999999993</v>
      </c>
      <c r="J227" s="5">
        <f t="shared" si="111"/>
        <v>7.7632499999999993</v>
      </c>
      <c r="K227" s="5">
        <f t="shared" si="111"/>
        <v>7.7632499999999993</v>
      </c>
      <c r="L227" s="5">
        <f t="shared" si="111"/>
        <v>7.7632499999999993</v>
      </c>
      <c r="M227" s="5">
        <f t="shared" si="110"/>
        <v>8.1314289099457451</v>
      </c>
      <c r="N227" s="5">
        <f t="shared" si="110"/>
        <v>8.3521560160499178</v>
      </c>
      <c r="O227" s="5">
        <f t="shared" si="110"/>
        <v>8.6886520843882042</v>
      </c>
      <c r="P227" s="5">
        <f t="shared" si="110"/>
        <v>9.179464947689695</v>
      </c>
      <c r="Q227" s="5">
        <f t="shared" si="110"/>
        <v>9.8511094894506144</v>
      </c>
      <c r="R227" s="5">
        <f t="shared" si="110"/>
        <v>10.694192597047202</v>
      </c>
      <c r="S227" s="5">
        <f t="shared" si="110"/>
        <v>11.644874999999999</v>
      </c>
      <c r="T227" s="5">
        <f t="shared" si="110"/>
        <v>12.595557402952796</v>
      </c>
      <c r="U227" s="5">
        <f t="shared" si="110"/>
        <v>13.438640510549384</v>
      </c>
      <c r="V227" s="5">
        <f t="shared" si="110"/>
        <v>14.110285052310303</v>
      </c>
      <c r="W227" s="5">
        <f t="shared" si="110"/>
        <v>14.601097915611792</v>
      </c>
      <c r="X227" s="5">
        <f t="shared" si="110"/>
        <v>14.93759398395008</v>
      </c>
      <c r="Y227" s="5">
        <f t="shared" si="110"/>
        <v>15.158321090054253</v>
      </c>
      <c r="Z227" s="5">
        <f t="shared" si="110"/>
        <v>15.298941824619533</v>
      </c>
      <c r="AA227" s="5">
        <f t="shared" si="110"/>
        <v>15.386868555511791</v>
      </c>
      <c r="AB227" s="5">
        <f t="shared" si="110"/>
        <v>15.441205617623046</v>
      </c>
      <c r="AC227" s="5">
        <f t="shared" si="109"/>
        <v>15.474541725062045</v>
      </c>
      <c r="AD227" s="300">
        <f t="shared" si="114"/>
        <v>1.7703406567519094E-3</v>
      </c>
      <c r="AE227" s="299">
        <f t="shared" si="114"/>
        <v>1.7703406567519094E-3</v>
      </c>
      <c r="AF227" s="299">
        <f t="shared" si="114"/>
        <v>1.7703406567519094E-3</v>
      </c>
      <c r="AG227" s="299">
        <f t="shared" si="112"/>
        <v>1.7703406567519094E-3</v>
      </c>
      <c r="AH227" s="299">
        <f t="shared" si="112"/>
        <v>1.7703406567519094E-3</v>
      </c>
      <c r="AI227" s="299">
        <f t="shared" si="112"/>
        <v>1.6901822860086913E-3</v>
      </c>
      <c r="AJ227" s="299">
        <f t="shared" si="112"/>
        <v>1.6455148918577288E-3</v>
      </c>
      <c r="AK227" s="299">
        <f t="shared" si="112"/>
        <v>1.5817870217434296E-3</v>
      </c>
      <c r="AL227" s="299">
        <f t="shared" si="112"/>
        <v>1.4972111317869648E-3</v>
      </c>
      <c r="AM227" s="299">
        <f t="shared" si="101"/>
        <v>1.3951319004470557E-3</v>
      </c>
      <c r="AN227" s="299">
        <f t="shared" si="101"/>
        <v>1.2851458376880211E-3</v>
      </c>
      <c r="AO227" s="299">
        <f t="shared" si="101"/>
        <v>1.1802271045012729E-3</v>
      </c>
      <c r="AP227" s="299">
        <f t="shared" si="101"/>
        <v>1.0911463989920229E-3</v>
      </c>
      <c r="AQ227" s="299">
        <f t="shared" si="101"/>
        <v>1.0226925180966396E-3</v>
      </c>
      <c r="AR227" s="299">
        <f t="shared" si="96"/>
        <v>9.7401271856510055E-4</v>
      </c>
      <c r="AS227" s="299">
        <f t="shared" si="96"/>
        <v>9.4127148403232923E-4</v>
      </c>
      <c r="AT227" s="299">
        <f t="shared" si="96"/>
        <v>9.2006765736813247E-4</v>
      </c>
      <c r="AU227" s="299">
        <f t="shared" si="96"/>
        <v>9.0667013991059813E-4</v>
      </c>
      <c r="AV227" s="299">
        <f t="shared" si="96"/>
        <v>8.9833645104870166E-4</v>
      </c>
      <c r="AW227" s="299">
        <f t="shared" si="94"/>
        <v>8.9320299669461405E-4</v>
      </c>
      <c r="AX227" s="299">
        <f t="shared" si="94"/>
        <v>8.9005984661221622E-4</v>
      </c>
      <c r="AY227" s="299">
        <f t="shared" si="94"/>
        <v>8.881424308204613E-4</v>
      </c>
      <c r="AZ227" s="298">
        <f t="shared" si="115"/>
        <v>9.8005683094865917E-2</v>
      </c>
      <c r="BA227" s="1">
        <f t="shared" si="115"/>
        <v>9.8005683094865917E-2</v>
      </c>
      <c r="BB227" s="1">
        <f t="shared" si="115"/>
        <v>9.8005683094865917E-2</v>
      </c>
      <c r="BC227" s="1">
        <f t="shared" si="113"/>
        <v>9.8005683094865917E-2</v>
      </c>
      <c r="BD227" s="1">
        <f t="shared" si="113"/>
        <v>9.8005683094865917E-2</v>
      </c>
      <c r="BE227" s="1">
        <f t="shared" si="113"/>
        <v>9.3568132699975146E-2</v>
      </c>
      <c r="BF227" s="1">
        <f t="shared" si="113"/>
        <v>9.1095355238113948E-2</v>
      </c>
      <c r="BG227" s="1">
        <f t="shared" si="113"/>
        <v>8.7567393871519156E-2</v>
      </c>
      <c r="BH227" s="1">
        <f t="shared" si="113"/>
        <v>8.288529055037222E-2</v>
      </c>
      <c r="BI227" s="1">
        <f t="shared" si="102"/>
        <v>7.7234205964413577E-2</v>
      </c>
      <c r="BJ227" s="1">
        <f t="shared" si="102"/>
        <v>7.1145400868906722E-2</v>
      </c>
      <c r="BK227" s="1">
        <f t="shared" si="102"/>
        <v>6.5337122063243949E-2</v>
      </c>
      <c r="BL227" s="1">
        <f t="shared" si="102"/>
        <v>6.0405633109008122E-2</v>
      </c>
      <c r="BM227" s="1">
        <f t="shared" si="102"/>
        <v>5.6616040788423014E-2</v>
      </c>
      <c r="BN227" s="1">
        <f t="shared" si="97"/>
        <v>5.392113741611787E-2</v>
      </c>
      <c r="BO227" s="1">
        <f t="shared" si="97"/>
        <v>5.2108589620011338E-2</v>
      </c>
      <c r="BP227" s="1">
        <f t="shared" si="97"/>
        <v>5.0934750275293088E-2</v>
      </c>
      <c r="BQ227" s="1">
        <f t="shared" si="97"/>
        <v>5.0193066551771706E-2</v>
      </c>
      <c r="BR227" s="1">
        <f t="shared" si="97"/>
        <v>4.9731715304770045E-2</v>
      </c>
      <c r="BS227" s="1">
        <f t="shared" si="95"/>
        <v>4.9447528361037003E-2</v>
      </c>
      <c r="BT227" s="1">
        <f t="shared" si="95"/>
        <v>4.9273524239445927E-2</v>
      </c>
      <c r="BU227" s="1">
        <f t="shared" si="95"/>
        <v>4.9167376508086363E-2</v>
      </c>
    </row>
  </sheetData>
  <pageMargins left="0.7" right="0.7" top="0.75" bottom="0.75" header="0.51180555555555496" footer="0.51180555555555496"/>
  <pageSetup firstPageNumber="0" orientation="portrait" horizontalDpi="4294967293" vertic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MK115"/>
  <sheetViews>
    <sheetView workbookViewId="0"/>
  </sheetViews>
  <sheetFormatPr defaultColWidth="8.85546875" defaultRowHeight="15" x14ac:dyDescent="0.25"/>
  <cols>
    <col min="1" max="1025" width="8.85546875" style="1"/>
  </cols>
  <sheetData>
    <row r="1" spans="2:26" x14ac:dyDescent="0.25">
      <c r="B1" s="14" t="s">
        <v>247</v>
      </c>
      <c r="C1" s="1" t="s">
        <v>248</v>
      </c>
      <c r="D1"/>
      <c r="E1"/>
      <c r="F1"/>
      <c r="G1"/>
      <c r="H1"/>
      <c r="I1"/>
      <c r="J1"/>
      <c r="K1"/>
      <c r="L1"/>
      <c r="M1"/>
      <c r="N1"/>
      <c r="O1"/>
      <c r="P1"/>
      <c r="R1"/>
      <c r="S1"/>
      <c r="T1"/>
      <c r="U1"/>
      <c r="V1"/>
      <c r="W1"/>
      <c r="X1"/>
      <c r="Y1"/>
      <c r="Z1"/>
    </row>
    <row r="2" spans="2:26" x14ac:dyDescent="0.25">
      <c r="B2" s="14" t="s">
        <v>250</v>
      </c>
      <c r="C2" s="1" t="s">
        <v>255</v>
      </c>
      <c r="D2"/>
      <c r="E2"/>
      <c r="F2"/>
      <c r="G2"/>
      <c r="H2"/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</row>
    <row r="3" spans="2:26" x14ac:dyDescent="0.25">
      <c r="B3" s="14" t="s">
        <v>242</v>
      </c>
      <c r="C3" s="1" t="s">
        <v>257</v>
      </c>
      <c r="D3"/>
      <c r="E3"/>
      <c r="F3"/>
      <c r="G3"/>
      <c r="H3"/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</row>
    <row r="4" spans="2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</row>
    <row r="5" spans="2:26" x14ac:dyDescent="0.25">
      <c r="B5" s="22"/>
      <c r="C5" s="65" t="s">
        <v>279</v>
      </c>
      <c r="D5" s="65" t="s">
        <v>228</v>
      </c>
      <c r="E5" s="65" t="s">
        <v>280</v>
      </c>
      <c r="F5"/>
      <c r="G5"/>
      <c r="H5"/>
      <c r="I5"/>
      <c r="J5"/>
      <c r="K5"/>
      <c r="L5"/>
      <c r="M5"/>
      <c r="N5"/>
      <c r="O5"/>
      <c r="P5"/>
      <c r="R5"/>
      <c r="S5"/>
      <c r="T5"/>
      <c r="U5"/>
      <c r="V5"/>
      <c r="W5"/>
      <c r="X5"/>
      <c r="Y5"/>
      <c r="Z5"/>
    </row>
    <row r="6" spans="2:26" x14ac:dyDescent="0.25">
      <c r="B6" s="19" t="s">
        <v>281</v>
      </c>
      <c r="C6" s="13" t="e">
        <f>#REF!*1000000</f>
        <v>#REF!</v>
      </c>
      <c r="D6" s="13" t="e">
        <f>#REF!*1000000</f>
        <v>#REF!</v>
      </c>
      <c r="E6"/>
      <c r="F6"/>
      <c r="G6"/>
      <c r="H6"/>
      <c r="I6"/>
      <c r="J6"/>
      <c r="K6"/>
      <c r="L6"/>
      <c r="M6"/>
      <c r="N6"/>
      <c r="O6"/>
      <c r="P6"/>
      <c r="R6"/>
      <c r="S6"/>
      <c r="T6"/>
      <c r="U6"/>
      <c r="V6"/>
      <c r="W6"/>
      <c r="X6"/>
      <c r="Y6"/>
      <c r="Z6"/>
    </row>
    <row r="7" spans="2:26" x14ac:dyDescent="0.25">
      <c r="B7" s="1" t="s">
        <v>282</v>
      </c>
      <c r="C7" s="12" t="e">
        <f>C6/330</f>
        <v>#REF!</v>
      </c>
      <c r="D7" s="12" t="e">
        <f>D6/330</f>
        <v>#REF!</v>
      </c>
      <c r="E7"/>
      <c r="F7"/>
      <c r="G7"/>
      <c r="H7"/>
      <c r="I7"/>
      <c r="J7"/>
      <c r="K7"/>
      <c r="L7"/>
      <c r="M7"/>
      <c r="N7"/>
      <c r="O7"/>
      <c r="P7"/>
      <c r="R7"/>
      <c r="S7"/>
      <c r="T7"/>
      <c r="U7"/>
      <c r="V7"/>
      <c r="W7"/>
      <c r="X7"/>
      <c r="Y7"/>
      <c r="Z7"/>
    </row>
    <row r="8" spans="2:26" x14ac:dyDescent="0.25">
      <c r="B8" s="19" t="s">
        <v>260</v>
      </c>
      <c r="C8" s="19"/>
      <c r="D8" s="19"/>
      <c r="E8"/>
      <c r="F8"/>
      <c r="G8"/>
      <c r="H8"/>
      <c r="I8"/>
      <c r="J8"/>
      <c r="K8"/>
      <c r="L8"/>
      <c r="M8"/>
      <c r="N8"/>
      <c r="O8"/>
      <c r="P8"/>
      <c r="R8"/>
      <c r="S8"/>
      <c r="T8"/>
      <c r="U8"/>
      <c r="V8"/>
      <c r="W8"/>
      <c r="X8"/>
      <c r="Y8"/>
      <c r="Z8"/>
    </row>
    <row r="9" spans="2:26" x14ac:dyDescent="0.25">
      <c r="B9" s="23" t="s">
        <v>232</v>
      </c>
      <c r="C9" s="63">
        <v>50919279.703251101</v>
      </c>
      <c r="D9" s="63">
        <v>390100000</v>
      </c>
      <c r="E9" s="1" t="s">
        <v>263</v>
      </c>
      <c r="F9"/>
      <c r="G9"/>
      <c r="H9"/>
      <c r="I9"/>
      <c r="J9"/>
      <c r="K9"/>
      <c r="L9"/>
      <c r="M9"/>
      <c r="N9"/>
      <c r="O9"/>
      <c r="P9"/>
      <c r="R9"/>
      <c r="S9"/>
      <c r="T9"/>
      <c r="U9"/>
      <c r="V9"/>
      <c r="W9"/>
      <c r="X9"/>
      <c r="Y9"/>
      <c r="Z9"/>
    </row>
    <row r="10" spans="2:26" x14ac:dyDescent="0.25">
      <c r="B10" s="23" t="s">
        <v>234</v>
      </c>
      <c r="C10" s="63">
        <v>10876309.192</v>
      </c>
      <c r="D10" s="63">
        <f>13*10000*0.9*2023</f>
        <v>236691000</v>
      </c>
      <c r="E10" s="1" t="s">
        <v>265</v>
      </c>
      <c r="F10"/>
      <c r="G10"/>
      <c r="H10"/>
      <c r="I10"/>
      <c r="J10"/>
      <c r="K10"/>
      <c r="L10"/>
      <c r="M10"/>
      <c r="N10"/>
      <c r="O10"/>
      <c r="P10"/>
      <c r="R10"/>
      <c r="S10"/>
      <c r="T10"/>
      <c r="U10"/>
      <c r="V10"/>
      <c r="W10"/>
      <c r="X10"/>
      <c r="Y10"/>
      <c r="Z10"/>
    </row>
    <row r="11" spans="2:26" x14ac:dyDescent="0.25">
      <c r="B11" s="23" t="s">
        <v>248</v>
      </c>
      <c r="C11" s="63">
        <v>1360950</v>
      </c>
      <c r="D11" s="63">
        <f>1197636 * 25.8</f>
        <v>30899008.800000001</v>
      </c>
      <c r="E11" s="1" t="s">
        <v>266</v>
      </c>
      <c r="F11"/>
      <c r="G11"/>
      <c r="H11"/>
      <c r="I11"/>
      <c r="J11"/>
      <c r="K11"/>
      <c r="L11"/>
      <c r="M11"/>
      <c r="N11"/>
      <c r="O11"/>
      <c r="P11"/>
      <c r="R11"/>
      <c r="S11"/>
      <c r="T11"/>
      <c r="U11"/>
      <c r="V11"/>
      <c r="W11"/>
      <c r="X11"/>
      <c r="Y11"/>
      <c r="Z11"/>
    </row>
    <row r="12" spans="2:26" x14ac:dyDescent="0.25">
      <c r="B12" s="23" t="s">
        <v>267</v>
      </c>
      <c r="C12" s="63">
        <v>10672428.2614925</v>
      </c>
      <c r="D12" s="63">
        <v>93525453</v>
      </c>
      <c r="E12" s="1" t="s">
        <v>268</v>
      </c>
      <c r="F12"/>
      <c r="G12"/>
      <c r="H12"/>
      <c r="I12"/>
      <c r="J12"/>
      <c r="K12"/>
      <c r="L12"/>
      <c r="M12"/>
      <c r="N12"/>
      <c r="O12"/>
      <c r="P12"/>
      <c r="R12"/>
      <c r="S12"/>
      <c r="T12"/>
      <c r="U12"/>
      <c r="V12"/>
      <c r="W12"/>
      <c r="X12"/>
      <c r="Y12"/>
      <c r="Z12"/>
    </row>
    <row r="13" spans="2:26" x14ac:dyDescent="0.25">
      <c r="B13" s="23" t="s">
        <v>283</v>
      </c>
      <c r="C13" s="63" t="e">
        <f>506.286190566643*C6</f>
        <v>#REF!</v>
      </c>
      <c r="D13" s="63" t="e">
        <f>506.286190566643*D6</f>
        <v>#REF!</v>
      </c>
      <c r="E13" s="1" t="s">
        <v>270</v>
      </c>
      <c r="F13"/>
      <c r="G13"/>
      <c r="H13"/>
      <c r="I13"/>
      <c r="J13"/>
      <c r="K13"/>
      <c r="L13"/>
      <c r="M13"/>
      <c r="N13"/>
      <c r="O13"/>
      <c r="P13"/>
      <c r="R13"/>
      <c r="S13"/>
      <c r="T13"/>
      <c r="U13"/>
      <c r="V13"/>
      <c r="W13"/>
      <c r="X13"/>
      <c r="Y13"/>
      <c r="Z13"/>
    </row>
    <row r="14" spans="2:26" x14ac:dyDescent="0.25">
      <c r="B14" s="23" t="s">
        <v>284</v>
      </c>
      <c r="C14" s="63" t="e">
        <f>506.286190566643*C6*0.723</f>
        <v>#REF!</v>
      </c>
      <c r="D14" s="63" t="e">
        <f>506.286190566643*D6*0.723</f>
        <v>#REF!</v>
      </c>
      <c r="E14" s="1" t="s">
        <v>272</v>
      </c>
      <c r="F14"/>
      <c r="G14"/>
      <c r="H14"/>
      <c r="I14"/>
      <c r="J14"/>
      <c r="K14"/>
      <c r="L14"/>
      <c r="M14"/>
      <c r="N14"/>
      <c r="O14"/>
      <c r="P14"/>
      <c r="R14"/>
      <c r="S14"/>
      <c r="T14"/>
      <c r="U14"/>
      <c r="V14"/>
      <c r="W14"/>
      <c r="X14"/>
      <c r="Y14"/>
      <c r="Z14"/>
    </row>
    <row r="15" spans="2:26" x14ac:dyDescent="0.25">
      <c r="B15" s="23"/>
      <c r="C15" s="63"/>
      <c r="D15" s="63"/>
      <c r="E15" s="1" t="s">
        <v>274</v>
      </c>
      <c r="F15"/>
      <c r="G15"/>
      <c r="H15"/>
      <c r="I15"/>
      <c r="J15"/>
      <c r="K15"/>
      <c r="L15"/>
      <c r="M15"/>
      <c r="N15"/>
      <c r="O15"/>
      <c r="P15"/>
      <c r="R15"/>
      <c r="S15"/>
      <c r="T15"/>
      <c r="U15"/>
      <c r="V15"/>
      <c r="W15"/>
      <c r="X15"/>
      <c r="Y15"/>
      <c r="Z15"/>
    </row>
    <row r="16" spans="2:26" x14ac:dyDescent="0.25">
      <c r="B16" s="23"/>
      <c r="C16" s="25"/>
      <c r="D16" s="25"/>
      <c r="E16" s="1" t="s">
        <v>276</v>
      </c>
      <c r="F16"/>
      <c r="G16"/>
      <c r="H16"/>
      <c r="I16"/>
      <c r="J16"/>
      <c r="K16"/>
      <c r="L16"/>
      <c r="M16"/>
      <c r="N16"/>
      <c r="O16"/>
      <c r="P16"/>
      <c r="R16"/>
      <c r="S16"/>
      <c r="T16"/>
      <c r="U16"/>
      <c r="V16"/>
      <c r="W16"/>
      <c r="X16"/>
      <c r="Y16"/>
      <c r="Z16"/>
    </row>
    <row r="17" spans="2:26" x14ac:dyDescent="0.25">
      <c r="B17" s="66" t="s">
        <v>188</v>
      </c>
      <c r="C17" s="8" t="e">
        <f>D17*#REF!/#REF!</f>
        <v>#REF!</v>
      </c>
      <c r="D17" s="25">
        <v>22800000</v>
      </c>
      <c r="E17"/>
      <c r="F17"/>
      <c r="G17"/>
      <c r="H17"/>
      <c r="I17"/>
      <c r="J17"/>
      <c r="K17"/>
      <c r="L17"/>
      <c r="M17"/>
      <c r="N17"/>
      <c r="O17"/>
      <c r="P17"/>
      <c r="R17"/>
      <c r="S17"/>
      <c r="T17"/>
      <c r="U17"/>
      <c r="V17"/>
      <c r="W17"/>
      <c r="X17"/>
      <c r="Y17"/>
      <c r="Z17"/>
    </row>
    <row r="18" spans="2:26" x14ac:dyDescent="0.25">
      <c r="B18" s="66" t="s">
        <v>235</v>
      </c>
      <c r="C18" s="59">
        <v>0.05</v>
      </c>
      <c r="D18" s="59">
        <v>0.05</v>
      </c>
      <c r="E18"/>
      <c r="F18"/>
      <c r="G18"/>
      <c r="H18"/>
      <c r="I18"/>
      <c r="J18"/>
      <c r="K18"/>
      <c r="L18"/>
      <c r="M18"/>
      <c r="N18"/>
      <c r="O18"/>
      <c r="P18"/>
      <c r="R18"/>
      <c r="S18"/>
      <c r="T18"/>
      <c r="U18"/>
      <c r="V18"/>
      <c r="W18"/>
      <c r="X18"/>
      <c r="Y18"/>
      <c r="Z18"/>
    </row>
    <row r="19" spans="2:26" x14ac:dyDescent="0.25">
      <c r="B19" s="23" t="s">
        <v>285</v>
      </c>
      <c r="C19" s="2">
        <v>94</v>
      </c>
      <c r="D19" s="2">
        <v>2000</v>
      </c>
      <c r="E19"/>
      <c r="F19"/>
      <c r="G19"/>
      <c r="H19"/>
      <c r="I19"/>
      <c r="J19"/>
      <c r="K19"/>
      <c r="L19"/>
      <c r="M19"/>
      <c r="N19"/>
      <c r="O19"/>
      <c r="P19"/>
      <c r="R19"/>
      <c r="S19"/>
      <c r="T19"/>
      <c r="U19"/>
      <c r="V19"/>
      <c r="W19"/>
      <c r="X19"/>
      <c r="Y19"/>
      <c r="Z19"/>
    </row>
    <row r="20" spans="2:26" x14ac:dyDescent="0.25">
      <c r="B20" s="23" t="s">
        <v>286</v>
      </c>
      <c r="C20" s="2">
        <v>110</v>
      </c>
      <c r="D20" s="2">
        <v>3000</v>
      </c>
      <c r="E20"/>
      <c r="F20"/>
      <c r="G20"/>
      <c r="H20"/>
      <c r="I20"/>
      <c r="J20"/>
      <c r="K20"/>
      <c r="L20"/>
      <c r="M20"/>
      <c r="N20"/>
      <c r="O20"/>
      <c r="P20"/>
      <c r="R20"/>
      <c r="S20"/>
      <c r="T20"/>
      <c r="U20"/>
      <c r="V20"/>
      <c r="W20"/>
      <c r="X20"/>
      <c r="Y20"/>
      <c r="Z20"/>
    </row>
    <row r="21" spans="2:26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R21"/>
      <c r="S21"/>
      <c r="T21"/>
      <c r="U21"/>
      <c r="V21"/>
      <c r="W21"/>
      <c r="X21"/>
      <c r="Y21"/>
      <c r="Z21"/>
    </row>
    <row r="22" spans="2:26" x14ac:dyDescent="0.25">
      <c r="B22"/>
      <c r="C22"/>
      <c r="D22"/>
      <c r="E22"/>
      <c r="F22"/>
      <c r="G22"/>
      <c r="H22"/>
      <c r="I22"/>
      <c r="J22"/>
      <c r="K22" s="64"/>
      <c r="L22"/>
      <c r="M22"/>
      <c r="N22"/>
      <c r="O22"/>
      <c r="P22"/>
      <c r="R22"/>
      <c r="S22"/>
      <c r="T22"/>
      <c r="U22"/>
      <c r="V22"/>
      <c r="W22"/>
      <c r="X22"/>
      <c r="Y22"/>
      <c r="Z22"/>
    </row>
    <row r="23" spans="2:26" x14ac:dyDescent="0.25">
      <c r="B23"/>
      <c r="C23"/>
      <c r="D23"/>
      <c r="E23"/>
      <c r="F23"/>
      <c r="G23"/>
      <c r="H23"/>
      <c r="I23" s="19"/>
      <c r="J23" s="63"/>
      <c r="K23" s="63"/>
      <c r="L23" s="63"/>
      <c r="M23" s="63"/>
      <c r="N23" s="63"/>
      <c r="O23" s="63"/>
      <c r="P23" s="63"/>
      <c r="R23"/>
      <c r="S23"/>
      <c r="T23"/>
      <c r="U23"/>
      <c r="V23"/>
      <c r="W23"/>
      <c r="X23"/>
      <c r="Y23"/>
      <c r="Z23"/>
    </row>
    <row r="24" spans="2:26" x14ac:dyDescent="0.25">
      <c r="B24"/>
      <c r="C24"/>
      <c r="D24"/>
      <c r="E24"/>
      <c r="F24"/>
      <c r="G24"/>
      <c r="H24"/>
      <c r="I24" s="19"/>
      <c r="J24" s="25"/>
      <c r="K24" s="25"/>
      <c r="L24" s="25"/>
      <c r="M24" s="25"/>
      <c r="N24" s="25"/>
      <c r="O24" s="25"/>
      <c r="P24" s="25"/>
      <c r="R24"/>
      <c r="S24"/>
      <c r="T24"/>
      <c r="U24"/>
      <c r="V24"/>
      <c r="W24"/>
      <c r="X24"/>
      <c r="Y24"/>
      <c r="Z24"/>
    </row>
    <row r="25" spans="2:26" x14ac:dyDescent="0.25">
      <c r="B25" s="67" t="s">
        <v>287</v>
      </c>
      <c r="C25" s="65" t="s">
        <v>279</v>
      </c>
      <c r="D25" s="65" t="s">
        <v>228</v>
      </c>
      <c r="E25"/>
      <c r="F25"/>
      <c r="G25"/>
      <c r="H25"/>
      <c r="I25" s="19"/>
      <c r="J25" s="63"/>
      <c r="K25" s="63"/>
      <c r="L25" s="63"/>
      <c r="M25" s="63"/>
      <c r="N25" s="63"/>
      <c r="O25" s="63"/>
      <c r="P25" s="63"/>
      <c r="R25"/>
      <c r="S25"/>
      <c r="T25"/>
      <c r="U25"/>
      <c r="V25"/>
      <c r="W25"/>
      <c r="X25"/>
      <c r="Y25"/>
      <c r="Z25"/>
    </row>
    <row r="26" spans="2:26" x14ac:dyDescent="0.25">
      <c r="B26" s="26" t="s">
        <v>232</v>
      </c>
      <c r="C26" s="25" t="e">
        <f t="shared" ref="C26:D31" si="0">C9/C$6</f>
        <v>#REF!</v>
      </c>
      <c r="D26" s="25" t="e">
        <f t="shared" si="0"/>
        <v>#REF!</v>
      </c>
      <c r="E26"/>
      <c r="F26"/>
      <c r="G26"/>
      <c r="H26"/>
      <c r="I26"/>
      <c r="J26"/>
      <c r="K26"/>
      <c r="L26"/>
      <c r="M26"/>
      <c r="N26"/>
      <c r="O26"/>
      <c r="P26"/>
      <c r="R26"/>
      <c r="S26"/>
      <c r="T26"/>
      <c r="U26"/>
      <c r="V26"/>
      <c r="W26"/>
      <c r="X26"/>
      <c r="Y26"/>
      <c r="Z26"/>
    </row>
    <row r="27" spans="2:26" x14ac:dyDescent="0.25">
      <c r="B27" s="26" t="s">
        <v>234</v>
      </c>
      <c r="C27" s="25" t="e">
        <f t="shared" si="0"/>
        <v>#REF!</v>
      </c>
      <c r="D27" s="25" t="e">
        <f t="shared" si="0"/>
        <v>#REF!</v>
      </c>
      <c r="E27"/>
      <c r="F27"/>
      <c r="G27"/>
      <c r="H27"/>
      <c r="I27"/>
      <c r="J27"/>
      <c r="K27"/>
      <c r="L27"/>
      <c r="M27"/>
      <c r="N27"/>
      <c r="O27"/>
      <c r="P27"/>
      <c r="R27"/>
      <c r="S27"/>
      <c r="T27"/>
      <c r="U27"/>
      <c r="V27"/>
      <c r="W27"/>
      <c r="X27"/>
      <c r="Y27"/>
      <c r="Z27"/>
    </row>
    <row r="28" spans="2:26" x14ac:dyDescent="0.25">
      <c r="B28" s="26" t="s">
        <v>248</v>
      </c>
      <c r="C28" s="25" t="e">
        <f t="shared" si="0"/>
        <v>#REF!</v>
      </c>
      <c r="D28" s="25" t="e">
        <f t="shared" si="0"/>
        <v>#REF!</v>
      </c>
      <c r="E28"/>
      <c r="F28"/>
      <c r="G28"/>
      <c r="H28"/>
      <c r="I28"/>
      <c r="J28"/>
      <c r="K28"/>
      <c r="L28"/>
      <c r="M28"/>
      <c r="N28"/>
      <c r="O28"/>
      <c r="P28"/>
      <c r="R28"/>
      <c r="S28"/>
      <c r="T28"/>
      <c r="U28"/>
      <c r="V28"/>
      <c r="W28"/>
      <c r="X28"/>
      <c r="Y28"/>
      <c r="Z28"/>
    </row>
    <row r="29" spans="2:26" x14ac:dyDescent="0.25">
      <c r="B29" s="26" t="s">
        <v>267</v>
      </c>
      <c r="C29" s="25" t="e">
        <f t="shared" si="0"/>
        <v>#REF!</v>
      </c>
      <c r="D29" s="25" t="e">
        <f t="shared" si="0"/>
        <v>#REF!</v>
      </c>
      <c r="E29"/>
      <c r="F29"/>
      <c r="G29"/>
      <c r="H29"/>
      <c r="I29"/>
      <c r="J29"/>
      <c r="K29"/>
      <c r="L29"/>
      <c r="M29"/>
      <c r="N29"/>
      <c r="O29"/>
      <c r="P29"/>
      <c r="R29"/>
      <c r="S29"/>
      <c r="T29"/>
      <c r="U29"/>
      <c r="V29"/>
      <c r="W29"/>
      <c r="X29"/>
      <c r="Y29"/>
      <c r="Z29"/>
    </row>
    <row r="30" spans="2:26" x14ac:dyDescent="0.25">
      <c r="B30" s="26" t="s">
        <v>283</v>
      </c>
      <c r="C30" s="25" t="e">
        <f t="shared" si="0"/>
        <v>#REF!</v>
      </c>
      <c r="D30" s="25" t="e">
        <f t="shared" si="0"/>
        <v>#REF!</v>
      </c>
      <c r="E30"/>
      <c r="F30"/>
      <c r="G30"/>
      <c r="H30"/>
      <c r="I30"/>
      <c r="J30"/>
      <c r="K30"/>
      <c r="L30"/>
      <c r="M30"/>
      <c r="N30"/>
      <c r="O30"/>
      <c r="P30"/>
      <c r="R30"/>
      <c r="S30"/>
      <c r="T30"/>
      <c r="U30"/>
      <c r="V30"/>
      <c r="W30"/>
      <c r="X30"/>
      <c r="Y30"/>
      <c r="Z30"/>
    </row>
    <row r="31" spans="2:26" x14ac:dyDescent="0.25">
      <c r="B31" s="26" t="s">
        <v>284</v>
      </c>
      <c r="C31" s="25" t="e">
        <f t="shared" si="0"/>
        <v>#REF!</v>
      </c>
      <c r="D31" s="25" t="e">
        <f t="shared" si="0"/>
        <v>#REF!</v>
      </c>
      <c r="E31"/>
      <c r="F31"/>
      <c r="G31"/>
      <c r="H31"/>
      <c r="I31"/>
      <c r="J31"/>
      <c r="K31"/>
      <c r="L31"/>
      <c r="M31"/>
      <c r="N31"/>
      <c r="O31"/>
      <c r="P31"/>
      <c r="R31"/>
      <c r="S31"/>
      <c r="T31"/>
      <c r="U31"/>
      <c r="V31"/>
      <c r="W31"/>
      <c r="X31"/>
      <c r="Y31"/>
      <c r="Z31"/>
    </row>
    <row r="32" spans="2:26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R32"/>
      <c r="S32"/>
      <c r="T32"/>
      <c r="U32"/>
      <c r="V32"/>
      <c r="W32"/>
      <c r="X32"/>
      <c r="Y32"/>
      <c r="Z32"/>
    </row>
    <row r="33" spans="2:26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R33"/>
      <c r="S33"/>
      <c r="T33"/>
      <c r="U33"/>
      <c r="V33"/>
      <c r="W33"/>
      <c r="X33"/>
      <c r="Y33"/>
      <c r="Z33"/>
    </row>
    <row r="34" spans="2:26" x14ac:dyDescent="0.25">
      <c r="B34" s="26" t="s">
        <v>288</v>
      </c>
      <c r="C34"/>
      <c r="D34"/>
      <c r="E34"/>
      <c r="F34"/>
      <c r="G34" s="27" t="s">
        <v>289</v>
      </c>
      <c r="H34" s="28">
        <v>1.3986013986014001</v>
      </c>
      <c r="I34"/>
      <c r="J34"/>
      <c r="K34"/>
      <c r="L34"/>
      <c r="M34"/>
      <c r="N34"/>
      <c r="O34"/>
      <c r="P34"/>
      <c r="R34"/>
      <c r="S34"/>
      <c r="T34"/>
      <c r="U34"/>
      <c r="V34"/>
      <c r="W34"/>
      <c r="X34"/>
      <c r="Y34"/>
      <c r="Z34"/>
    </row>
    <row r="35" spans="2:26" x14ac:dyDescent="0.25">
      <c r="B35"/>
      <c r="C35"/>
      <c r="D35"/>
      <c r="E35"/>
      <c r="F35"/>
      <c r="G35" s="14" t="s">
        <v>290</v>
      </c>
      <c r="H35"/>
      <c r="I35"/>
      <c r="J35"/>
      <c r="K35" s="34" t="s">
        <v>291</v>
      </c>
      <c r="L35" s="1">
        <v>0.72343872950819699</v>
      </c>
      <c r="M35"/>
      <c r="N35"/>
      <c r="O35"/>
      <c r="P35"/>
      <c r="R35"/>
      <c r="S35"/>
      <c r="T35"/>
      <c r="U35"/>
      <c r="V35"/>
      <c r="W35"/>
      <c r="X35"/>
      <c r="Y35"/>
      <c r="Z35"/>
    </row>
    <row r="36" spans="2:26" x14ac:dyDescent="0.25">
      <c r="B36"/>
      <c r="C36"/>
      <c r="D36"/>
      <c r="E36"/>
      <c r="F36"/>
      <c r="G36" s="14" t="s">
        <v>238</v>
      </c>
      <c r="H36" s="14" t="s">
        <v>239</v>
      </c>
      <c r="I36" s="14" t="s">
        <v>236</v>
      </c>
      <c r="J36" s="14" t="s">
        <v>237</v>
      </c>
      <c r="K36" s="68" t="s">
        <v>238</v>
      </c>
      <c r="L36" s="14" t="s">
        <v>239</v>
      </c>
      <c r="M36" s="14" t="s">
        <v>236</v>
      </c>
      <c r="N36" s="14" t="s">
        <v>237</v>
      </c>
      <c r="O36"/>
      <c r="P36"/>
      <c r="R36"/>
      <c r="S36"/>
      <c r="T36"/>
      <c r="U36"/>
      <c r="V36"/>
      <c r="W36"/>
      <c r="X36"/>
      <c r="Y36"/>
      <c r="Z36"/>
    </row>
    <row r="37" spans="2:26" x14ac:dyDescent="0.25">
      <c r="B37" s="65" t="s">
        <v>292</v>
      </c>
      <c r="C37" s="65" t="s">
        <v>227</v>
      </c>
      <c r="D37" s="65" t="s">
        <v>240</v>
      </c>
      <c r="E37" s="65" t="s">
        <v>293</v>
      </c>
      <c r="F37" s="65" t="s">
        <v>294</v>
      </c>
      <c r="G37" s="31" t="e">
        <f>D7*1000</f>
        <v>#REF!</v>
      </c>
      <c r="H37" s="31" t="e">
        <f>H34*$G$37</f>
        <v>#REF!</v>
      </c>
      <c r="I37" s="31" t="e">
        <f>G37*(1.02)^30</f>
        <v>#REF!</v>
      </c>
      <c r="J37" s="31" t="e">
        <f>H37*(1.02)^30</f>
        <v>#REF!</v>
      </c>
      <c r="K37" s="32" t="e">
        <f>G37*$L$35</f>
        <v>#REF!</v>
      </c>
      <c r="L37" s="31" t="e">
        <f>H37*$L$35</f>
        <v>#REF!</v>
      </c>
      <c r="M37" s="31" t="e">
        <f>I37*$L$35</f>
        <v>#REF!</v>
      </c>
      <c r="N37" s="31" t="e">
        <f>J37*$L$35</f>
        <v>#REF!</v>
      </c>
      <c r="O37" s="33" t="e">
        <f>(N37-G37)/G37</f>
        <v>#REF!</v>
      </c>
      <c r="P37"/>
      <c r="R37"/>
      <c r="S37"/>
      <c r="T37"/>
      <c r="U37"/>
      <c r="V37"/>
      <c r="W37"/>
      <c r="X37"/>
      <c r="Y37"/>
      <c r="Z37"/>
    </row>
    <row r="38" spans="2:26" x14ac:dyDescent="0.25">
      <c r="B38" s="1" t="s">
        <v>241</v>
      </c>
      <c r="C38" s="1" t="s">
        <v>233</v>
      </c>
      <c r="D38" s="1">
        <v>0.66</v>
      </c>
      <c r="E38" s="1">
        <v>2.75</v>
      </c>
      <c r="F38" s="10">
        <v>16459.728684297199</v>
      </c>
      <c r="G38" s="12" t="e">
        <f t="shared" ref="G38:N38" si="1">$E38*(G$37/$F38)^$D38</f>
        <v>#REF!</v>
      </c>
      <c r="H38" s="12" t="e">
        <f t="shared" si="1"/>
        <v>#REF!</v>
      </c>
      <c r="I38" s="12" t="e">
        <f t="shared" si="1"/>
        <v>#REF!</v>
      </c>
      <c r="J38" s="12" t="e">
        <f t="shared" si="1"/>
        <v>#REF!</v>
      </c>
      <c r="K38" s="36" t="e">
        <f t="shared" si="1"/>
        <v>#REF!</v>
      </c>
      <c r="L38" s="12" t="e">
        <f t="shared" si="1"/>
        <v>#REF!</v>
      </c>
      <c r="M38" s="12" t="e">
        <f t="shared" si="1"/>
        <v>#REF!</v>
      </c>
      <c r="N38" s="12" t="e">
        <f t="shared" si="1"/>
        <v>#REF!</v>
      </c>
      <c r="O38"/>
      <c r="P38"/>
      <c r="R38"/>
      <c r="S38"/>
      <c r="T38"/>
      <c r="U38"/>
      <c r="V38"/>
      <c r="W38"/>
      <c r="X38"/>
      <c r="Y38"/>
      <c r="Z38"/>
    </row>
    <row r="39" spans="2:26" x14ac:dyDescent="0.25">
      <c r="B39" s="1" t="s">
        <v>242</v>
      </c>
      <c r="C39" s="1" t="s">
        <v>233</v>
      </c>
      <c r="D39" s="1">
        <v>0.65590000000000004</v>
      </c>
      <c r="E39" s="5">
        <v>5.4024000000000001</v>
      </c>
      <c r="F39" s="10" t="e">
        <f>$C$7*1000</f>
        <v>#REF!</v>
      </c>
      <c r="G39" s="12" t="e">
        <f t="shared" ref="G39:J47" si="2">$E39*(G$37/$F39)^$D39</f>
        <v>#REF!</v>
      </c>
      <c r="H39" s="12" t="e">
        <f t="shared" si="2"/>
        <v>#REF!</v>
      </c>
      <c r="I39" s="12" t="e">
        <f t="shared" si="2"/>
        <v>#REF!</v>
      </c>
      <c r="J39" s="12" t="e">
        <f t="shared" si="2"/>
        <v>#REF!</v>
      </c>
      <c r="K39" s="34"/>
      <c r="L39"/>
      <c r="M39"/>
      <c r="N39"/>
      <c r="O39"/>
      <c r="P39"/>
      <c r="R39"/>
      <c r="S39"/>
      <c r="T39"/>
      <c r="U39"/>
      <c r="V39"/>
      <c r="W39"/>
      <c r="X39"/>
      <c r="Y39"/>
      <c r="Z39"/>
    </row>
    <row r="40" spans="2:26" x14ac:dyDescent="0.25">
      <c r="B40" s="1" t="s">
        <v>243</v>
      </c>
      <c r="C40" s="1" t="s">
        <v>233</v>
      </c>
      <c r="D40" s="1">
        <v>0.66239999999999999</v>
      </c>
      <c r="E40" s="5">
        <v>4.7282173029219701</v>
      </c>
      <c r="F40" s="10" t="e">
        <f>$C$7*1000</f>
        <v>#REF!</v>
      </c>
      <c r="G40" s="12" t="e">
        <f t="shared" si="2"/>
        <v>#REF!</v>
      </c>
      <c r="H40" s="12" t="e">
        <f t="shared" si="2"/>
        <v>#REF!</v>
      </c>
      <c r="I40" s="12" t="e">
        <f t="shared" si="2"/>
        <v>#REF!</v>
      </c>
      <c r="J40" s="12" t="e">
        <f t="shared" si="2"/>
        <v>#REF!</v>
      </c>
      <c r="K40" s="34"/>
      <c r="L40"/>
      <c r="M40"/>
      <c r="N40"/>
      <c r="O40"/>
      <c r="P40"/>
      <c r="R40"/>
      <c r="S40"/>
      <c r="T40"/>
      <c r="U40"/>
      <c r="V40"/>
      <c r="W40"/>
      <c r="X40"/>
      <c r="Y40"/>
      <c r="Z40"/>
    </row>
    <row r="41" spans="2:26" x14ac:dyDescent="0.25">
      <c r="B41" s="1" t="s">
        <v>244</v>
      </c>
      <c r="C41" s="1" t="s">
        <v>233</v>
      </c>
      <c r="D41" s="1">
        <v>0.81</v>
      </c>
      <c r="E41" s="5">
        <v>0.42006678643080197</v>
      </c>
      <c r="F41" s="10" t="e">
        <f>$C$7*1000</f>
        <v>#REF!</v>
      </c>
      <c r="G41" s="12" t="e">
        <f t="shared" si="2"/>
        <v>#REF!</v>
      </c>
      <c r="H41" s="12" t="e">
        <f t="shared" si="2"/>
        <v>#REF!</v>
      </c>
      <c r="I41" s="12" t="e">
        <f t="shared" si="2"/>
        <v>#REF!</v>
      </c>
      <c r="J41" s="12" t="e">
        <f t="shared" si="2"/>
        <v>#REF!</v>
      </c>
      <c r="K41" s="34"/>
      <c r="L41"/>
      <c r="M41"/>
      <c r="N41"/>
      <c r="O41"/>
      <c r="P41"/>
      <c r="R41"/>
      <c r="S41"/>
      <c r="T41"/>
      <c r="U41"/>
      <c r="V41"/>
      <c r="W41"/>
      <c r="X41"/>
      <c r="Y41"/>
      <c r="Z41"/>
    </row>
    <row r="42" spans="2:26" x14ac:dyDescent="0.25">
      <c r="B42" s="1" t="s">
        <v>245</v>
      </c>
      <c r="C42" s="1" t="s">
        <v>233</v>
      </c>
      <c r="D42" s="1">
        <v>0.66</v>
      </c>
      <c r="E42" s="5">
        <v>1.3605</v>
      </c>
      <c r="F42" s="10" t="e">
        <f>$C$7*1000</f>
        <v>#REF!</v>
      </c>
      <c r="G42" s="12" t="e">
        <f t="shared" si="2"/>
        <v>#REF!</v>
      </c>
      <c r="H42" s="12" t="e">
        <f t="shared" si="2"/>
        <v>#REF!</v>
      </c>
      <c r="I42" s="12" t="e">
        <f t="shared" si="2"/>
        <v>#REF!</v>
      </c>
      <c r="J42" s="12" t="e">
        <f t="shared" si="2"/>
        <v>#REF!</v>
      </c>
      <c r="K42" s="34"/>
      <c r="L42"/>
      <c r="M42"/>
      <c r="N42"/>
      <c r="O42"/>
      <c r="P42"/>
      <c r="R42"/>
      <c r="S42"/>
      <c r="T42"/>
      <c r="U42"/>
      <c r="V42"/>
      <c r="W42"/>
      <c r="X42"/>
      <c r="Y42"/>
      <c r="Z42"/>
    </row>
    <row r="43" spans="2:26" x14ac:dyDescent="0.25">
      <c r="B43" s="1" t="s">
        <v>295</v>
      </c>
      <c r="C43"/>
      <c r="D43"/>
      <c r="E43"/>
      <c r="F43" s="10" t="e">
        <f>$C$7*1000</f>
        <v>#REF!</v>
      </c>
      <c r="G43" s="12" t="e">
        <f t="shared" si="2"/>
        <v>#REF!</v>
      </c>
      <c r="H43" s="12" t="e">
        <f t="shared" si="2"/>
        <v>#REF!</v>
      </c>
      <c r="I43" s="12" t="e">
        <f t="shared" si="2"/>
        <v>#REF!</v>
      </c>
      <c r="J43" s="12" t="e">
        <f t="shared" si="2"/>
        <v>#REF!</v>
      </c>
      <c r="K43" s="34"/>
      <c r="L43"/>
      <c r="M43"/>
      <c r="N43"/>
      <c r="O43"/>
      <c r="P43"/>
      <c r="R43"/>
      <c r="S43"/>
      <c r="T43"/>
      <c r="U43"/>
      <c r="V43"/>
      <c r="W43"/>
      <c r="X43"/>
      <c r="Y43"/>
      <c r="Z43"/>
    </row>
    <row r="44" spans="2:26" x14ac:dyDescent="0.25">
      <c r="B44" s="1" t="s">
        <v>242</v>
      </c>
      <c r="C44" s="1" t="s">
        <v>229</v>
      </c>
      <c r="D44" s="1">
        <v>0.66</v>
      </c>
      <c r="E44" s="1">
        <f>100.8+24.7</f>
        <v>125.5</v>
      </c>
      <c r="F44" s="10">
        <v>1339000</v>
      </c>
      <c r="G44" s="12" t="e">
        <f t="shared" si="2"/>
        <v>#REF!</v>
      </c>
      <c r="H44" s="12" t="e">
        <f t="shared" si="2"/>
        <v>#REF!</v>
      </c>
      <c r="I44" s="12" t="e">
        <f t="shared" si="2"/>
        <v>#REF!</v>
      </c>
      <c r="J44" s="12" t="e">
        <f t="shared" si="2"/>
        <v>#REF!</v>
      </c>
      <c r="K44" s="34"/>
      <c r="L44"/>
      <c r="M44"/>
      <c r="N44"/>
      <c r="O44"/>
      <c r="P44"/>
      <c r="R44"/>
      <c r="S44"/>
      <c r="T44"/>
      <c r="U44"/>
      <c r="V44"/>
      <c r="W44"/>
      <c r="X44"/>
      <c r="Y44"/>
      <c r="Z44"/>
    </row>
    <row r="45" spans="2:26" x14ac:dyDescent="0.25">
      <c r="B45" s="1" t="s">
        <v>243</v>
      </c>
      <c r="C45" s="1" t="s">
        <v>229</v>
      </c>
      <c r="D45" s="1">
        <v>0.66</v>
      </c>
      <c r="E45" s="1">
        <f>81.4</f>
        <v>81.400000000000006</v>
      </c>
      <c r="F45" s="10">
        <v>1339000</v>
      </c>
      <c r="G45" s="12" t="e">
        <f t="shared" si="2"/>
        <v>#REF!</v>
      </c>
      <c r="H45" s="12" t="e">
        <f t="shared" si="2"/>
        <v>#REF!</v>
      </c>
      <c r="I45" s="12" t="e">
        <f t="shared" si="2"/>
        <v>#REF!</v>
      </c>
      <c r="J45" s="12" t="e">
        <f t="shared" si="2"/>
        <v>#REF!</v>
      </c>
      <c r="K45" s="34"/>
      <c r="L45"/>
      <c r="M45"/>
      <c r="N45"/>
      <c r="O45"/>
      <c r="P45"/>
      <c r="R45"/>
      <c r="S45"/>
      <c r="T45"/>
      <c r="U45"/>
      <c r="V45"/>
      <c r="W45"/>
      <c r="X45"/>
      <c r="Y45"/>
      <c r="Z45"/>
    </row>
    <row r="46" spans="2:26" x14ac:dyDescent="0.25">
      <c r="B46" s="1" t="s">
        <v>244</v>
      </c>
      <c r="C46" s="1" t="s">
        <v>229</v>
      </c>
      <c r="D46" s="1">
        <v>0.66</v>
      </c>
      <c r="E46" s="69">
        <f>3.6</f>
        <v>3.6</v>
      </c>
      <c r="F46" s="10">
        <v>1339000</v>
      </c>
      <c r="G46" s="12" t="e">
        <f t="shared" si="2"/>
        <v>#REF!</v>
      </c>
      <c r="H46" s="12" t="e">
        <f t="shared" si="2"/>
        <v>#REF!</v>
      </c>
      <c r="I46" s="12" t="e">
        <f t="shared" si="2"/>
        <v>#REF!</v>
      </c>
      <c r="J46" s="12" t="e">
        <f t="shared" si="2"/>
        <v>#REF!</v>
      </c>
      <c r="K46" s="34"/>
      <c r="L46" s="12"/>
      <c r="M46" s="12"/>
      <c r="N46" s="12"/>
      <c r="O46"/>
      <c r="P46"/>
      <c r="R46"/>
      <c r="S46"/>
      <c r="T46"/>
      <c r="U46"/>
      <c r="V46"/>
      <c r="W46"/>
      <c r="X46"/>
      <c r="Y46"/>
      <c r="Z46"/>
    </row>
    <row r="47" spans="2:26" x14ac:dyDescent="0.25">
      <c r="B47" s="1" t="s">
        <v>246</v>
      </c>
      <c r="C47" s="1" t="s">
        <v>229</v>
      </c>
      <c r="D47" s="1">
        <v>0.66</v>
      </c>
      <c r="E47" s="1">
        <f>5.7+28.6</f>
        <v>34.300000000000004</v>
      </c>
      <c r="F47" s="10">
        <v>1339001</v>
      </c>
      <c r="G47" s="12" t="e">
        <f t="shared" si="2"/>
        <v>#REF!</v>
      </c>
      <c r="H47" s="12" t="e">
        <f t="shared" si="2"/>
        <v>#REF!</v>
      </c>
      <c r="I47" s="12" t="e">
        <f t="shared" si="2"/>
        <v>#REF!</v>
      </c>
      <c r="J47" s="12" t="e">
        <f t="shared" si="2"/>
        <v>#REF!</v>
      </c>
      <c r="K47" s="36" t="e">
        <f>$E47*((G$37-K$37)/$F47)^$D47</f>
        <v>#REF!</v>
      </c>
      <c r="L47" s="12" t="e">
        <f>$E47*((H$37-L$37)/$F47)^$D47</f>
        <v>#REF!</v>
      </c>
      <c r="M47" s="12" t="e">
        <f>$E47*((I$37-M$37)/$F47)^$D47</f>
        <v>#REF!</v>
      </c>
      <c r="N47" s="12" t="e">
        <f>$E47*((J$37-N$37)/$F47)^$D47</f>
        <v>#REF!</v>
      </c>
      <c r="O47"/>
      <c r="P47"/>
      <c r="R47"/>
      <c r="S47"/>
      <c r="T47"/>
      <c r="U47"/>
      <c r="V47"/>
      <c r="W47"/>
      <c r="X47"/>
      <c r="Y47"/>
      <c r="Z47"/>
    </row>
    <row r="48" spans="2:26" x14ac:dyDescent="0.25">
      <c r="B48"/>
      <c r="C48"/>
      <c r="H48"/>
      <c r="I48"/>
      <c r="J48"/>
      <c r="K48"/>
      <c r="L48"/>
      <c r="M48"/>
      <c r="N48"/>
      <c r="O48"/>
      <c r="P48"/>
      <c r="R48"/>
      <c r="S48"/>
      <c r="T48"/>
      <c r="U48"/>
      <c r="V48"/>
      <c r="W48"/>
      <c r="X48"/>
      <c r="Y48"/>
      <c r="Z48"/>
    </row>
    <row r="49" spans="2:26" x14ac:dyDescent="0.25">
      <c r="B49" s="1" t="s">
        <v>296</v>
      </c>
      <c r="C49" s="37" t="e">
        <f>F44/(D6/330*1000)</f>
        <v>#REF!</v>
      </c>
      <c r="H49"/>
      <c r="I49"/>
      <c r="J49"/>
      <c r="K49"/>
      <c r="L49"/>
      <c r="M49"/>
      <c r="N49"/>
      <c r="O49"/>
      <c r="P49"/>
      <c r="R49"/>
      <c r="S49"/>
      <c r="T49"/>
      <c r="U49"/>
      <c r="V49"/>
      <c r="W49"/>
      <c r="X49"/>
      <c r="Y49"/>
      <c r="Z49"/>
    </row>
    <row r="50" spans="2:26" x14ac:dyDescent="0.25">
      <c r="H50"/>
      <c r="I50"/>
      <c r="J50"/>
      <c r="K50"/>
      <c r="L50"/>
      <c r="M50"/>
      <c r="N50"/>
      <c r="O50"/>
      <c r="P50"/>
      <c r="R50"/>
      <c r="S50"/>
      <c r="T50"/>
      <c r="U50"/>
      <c r="V50"/>
      <c r="W50"/>
      <c r="X50"/>
      <c r="Y50"/>
      <c r="Z50"/>
    </row>
    <row r="51" spans="2:26" x14ac:dyDescent="0.25">
      <c r="H51"/>
      <c r="I51"/>
      <c r="J51"/>
      <c r="K51"/>
      <c r="L51"/>
      <c r="M51"/>
      <c r="N51"/>
      <c r="O51"/>
      <c r="P51"/>
      <c r="R51"/>
      <c r="S51"/>
      <c r="T51"/>
      <c r="U51"/>
      <c r="V51"/>
      <c r="W51"/>
      <c r="X51"/>
      <c r="Y51"/>
      <c r="Z51"/>
    </row>
    <row r="52" spans="2:26" x14ac:dyDescent="0.25">
      <c r="H52"/>
      <c r="I52"/>
      <c r="J52"/>
      <c r="K52"/>
      <c r="L52"/>
      <c r="M52"/>
      <c r="N52"/>
      <c r="O52"/>
      <c r="P52"/>
      <c r="R52"/>
      <c r="S52"/>
      <c r="T52"/>
      <c r="U52"/>
      <c r="V52"/>
      <c r="W52"/>
      <c r="X52"/>
      <c r="Y52"/>
      <c r="Z52"/>
    </row>
    <row r="53" spans="2:26" x14ac:dyDescent="0.25">
      <c r="H53"/>
      <c r="I53"/>
      <c r="J53"/>
      <c r="K53"/>
      <c r="L53"/>
      <c r="M53"/>
      <c r="N53"/>
      <c r="O53"/>
      <c r="P53"/>
      <c r="R53"/>
      <c r="S53"/>
      <c r="T53"/>
      <c r="U53"/>
      <c r="V53"/>
      <c r="W53"/>
      <c r="X53"/>
      <c r="Y53"/>
      <c r="Z53"/>
    </row>
    <row r="54" spans="2:26" x14ac:dyDescent="0.25">
      <c r="H54"/>
      <c r="I54"/>
      <c r="J54"/>
      <c r="K54"/>
      <c r="L54"/>
      <c r="M54"/>
      <c r="N54"/>
      <c r="O54"/>
      <c r="P54"/>
      <c r="R54"/>
      <c r="S54"/>
      <c r="T54"/>
      <c r="U54"/>
      <c r="V54"/>
      <c r="W54"/>
      <c r="X54"/>
      <c r="Y54"/>
      <c r="Z54"/>
    </row>
    <row r="55" spans="2:26" x14ac:dyDescent="0.25">
      <c r="H55"/>
      <c r="I55"/>
      <c r="J55"/>
      <c r="K55"/>
      <c r="L55"/>
      <c r="M55"/>
      <c r="N55"/>
      <c r="O55"/>
      <c r="P55"/>
      <c r="R55"/>
      <c r="S55"/>
      <c r="T55"/>
      <c r="U55"/>
      <c r="V55"/>
      <c r="W55"/>
      <c r="X55"/>
      <c r="Y55"/>
      <c r="Z55"/>
    </row>
    <row r="56" spans="2:26" x14ac:dyDescent="0.25">
      <c r="H56"/>
      <c r="I56"/>
      <c r="J56"/>
      <c r="K56"/>
      <c r="L56"/>
      <c r="M56"/>
      <c r="N56"/>
      <c r="O56"/>
      <c r="P56"/>
      <c r="R56"/>
      <c r="S56"/>
      <c r="T56"/>
      <c r="U56"/>
      <c r="V56"/>
      <c r="W56"/>
      <c r="X56"/>
      <c r="Y56"/>
      <c r="Z56"/>
    </row>
    <row r="57" spans="2:26" x14ac:dyDescent="0.25">
      <c r="H57"/>
      <c r="I57"/>
      <c r="J57"/>
      <c r="K57"/>
      <c r="L57"/>
      <c r="M57"/>
      <c r="N57"/>
      <c r="O57"/>
      <c r="P57"/>
      <c r="R57"/>
      <c r="S57"/>
      <c r="T57"/>
      <c r="U57"/>
      <c r="V57"/>
      <c r="W57"/>
      <c r="X57"/>
      <c r="Y57"/>
      <c r="Z57"/>
    </row>
    <row r="58" spans="2:26" x14ac:dyDescent="0.25">
      <c r="H58" s="38" t="s">
        <v>249</v>
      </c>
      <c r="I58" s="39"/>
      <c r="J58" s="17" t="s">
        <v>250</v>
      </c>
      <c r="K58" s="17" t="s">
        <v>242</v>
      </c>
      <c r="L58" s="17" t="s">
        <v>247</v>
      </c>
      <c r="M58" s="17" t="s">
        <v>251</v>
      </c>
      <c r="N58" s="17" t="s">
        <v>252</v>
      </c>
      <c r="O58" s="17" t="s">
        <v>253</v>
      </c>
      <c r="P58" s="18" t="s">
        <v>254</v>
      </c>
      <c r="R58" s="38" t="s">
        <v>249</v>
      </c>
      <c r="S58" s="39"/>
      <c r="T58" s="17" t="s">
        <v>250</v>
      </c>
      <c r="U58" s="17" t="s">
        <v>242</v>
      </c>
      <c r="V58" s="17" t="s">
        <v>247</v>
      </c>
      <c r="W58" s="17" t="s">
        <v>251</v>
      </c>
      <c r="X58" s="17" t="s">
        <v>252</v>
      </c>
      <c r="Y58" s="17" t="s">
        <v>253</v>
      </c>
      <c r="Z58" s="18" t="s">
        <v>254</v>
      </c>
    </row>
    <row r="59" spans="2:26" x14ac:dyDescent="0.25">
      <c r="H59" s="20" t="s">
        <v>256</v>
      </c>
      <c r="I59" s="40"/>
      <c r="J59" s="41">
        <v>1</v>
      </c>
      <c r="K59" s="42">
        <v>0</v>
      </c>
      <c r="L59" s="42">
        <v>0</v>
      </c>
      <c r="M59" s="42">
        <v>1</v>
      </c>
      <c r="N59" s="42">
        <v>1</v>
      </c>
      <c r="O59" s="42">
        <v>0</v>
      </c>
      <c r="P59" s="43">
        <v>1</v>
      </c>
      <c r="R59" s="20" t="s">
        <v>256</v>
      </c>
      <c r="S59" s="40"/>
      <c r="T59" s="70">
        <f t="shared" ref="T59:Z61" si="3">J59</f>
        <v>1</v>
      </c>
      <c r="U59" s="71">
        <f t="shared" si="3"/>
        <v>0</v>
      </c>
      <c r="V59" s="71">
        <f t="shared" si="3"/>
        <v>0</v>
      </c>
      <c r="W59" s="71">
        <f t="shared" si="3"/>
        <v>1</v>
      </c>
      <c r="X59" s="71">
        <f t="shared" si="3"/>
        <v>1</v>
      </c>
      <c r="Y59" s="71">
        <f t="shared" si="3"/>
        <v>0</v>
      </c>
      <c r="Z59" s="72">
        <f t="shared" si="3"/>
        <v>1</v>
      </c>
    </row>
    <row r="60" spans="2:26" x14ac:dyDescent="0.25">
      <c r="H60" s="20" t="s">
        <v>258</v>
      </c>
      <c r="I60" s="40"/>
      <c r="J60" s="41">
        <v>0</v>
      </c>
      <c r="K60" s="42">
        <v>1</v>
      </c>
      <c r="L60" s="42">
        <v>0</v>
      </c>
      <c r="M60" s="42">
        <v>1</v>
      </c>
      <c r="N60" s="42">
        <v>0</v>
      </c>
      <c r="O60" s="42">
        <v>1</v>
      </c>
      <c r="P60" s="43">
        <v>1</v>
      </c>
      <c r="R60" s="20" t="s">
        <v>258</v>
      </c>
      <c r="S60" s="40"/>
      <c r="T60" s="41">
        <f t="shared" si="3"/>
        <v>0</v>
      </c>
      <c r="U60" s="42">
        <f t="shared" si="3"/>
        <v>1</v>
      </c>
      <c r="V60" s="42">
        <f t="shared" si="3"/>
        <v>0</v>
      </c>
      <c r="W60" s="42">
        <f t="shared" si="3"/>
        <v>1</v>
      </c>
      <c r="X60" s="42">
        <f t="shared" si="3"/>
        <v>0</v>
      </c>
      <c r="Y60" s="42">
        <f t="shared" si="3"/>
        <v>1</v>
      </c>
      <c r="Z60" s="43">
        <f t="shared" si="3"/>
        <v>1</v>
      </c>
    </row>
    <row r="61" spans="2:26" x14ac:dyDescent="0.25">
      <c r="H61" s="21" t="s">
        <v>259</v>
      </c>
      <c r="I61" s="44"/>
      <c r="J61" s="41">
        <v>0</v>
      </c>
      <c r="K61" s="42">
        <v>0</v>
      </c>
      <c r="L61" s="42">
        <v>1</v>
      </c>
      <c r="M61" s="42">
        <v>0</v>
      </c>
      <c r="N61" s="42">
        <v>1</v>
      </c>
      <c r="O61" s="42">
        <v>1</v>
      </c>
      <c r="P61" s="43">
        <v>1</v>
      </c>
      <c r="R61" s="21" t="s">
        <v>259</v>
      </c>
      <c r="S61" s="44"/>
      <c r="T61" s="41">
        <f t="shared" si="3"/>
        <v>0</v>
      </c>
      <c r="U61" s="42">
        <f t="shared" si="3"/>
        <v>0</v>
      </c>
      <c r="V61" s="42">
        <f t="shared" si="3"/>
        <v>1</v>
      </c>
      <c r="W61" s="42">
        <f t="shared" si="3"/>
        <v>0</v>
      </c>
      <c r="X61" s="42">
        <f t="shared" si="3"/>
        <v>1</v>
      </c>
      <c r="Y61" s="42">
        <f t="shared" si="3"/>
        <v>1</v>
      </c>
      <c r="Z61" s="43">
        <f t="shared" si="3"/>
        <v>1</v>
      </c>
    </row>
    <row r="62" spans="2:26" x14ac:dyDescent="0.25">
      <c r="H62" s="45" t="s">
        <v>260</v>
      </c>
      <c r="I62" s="46" t="s">
        <v>261</v>
      </c>
      <c r="J62" s="47"/>
      <c r="K62" s="47"/>
      <c r="L62" s="47"/>
      <c r="M62" s="47"/>
      <c r="N62" s="47"/>
      <c r="O62" s="47"/>
      <c r="P62" s="47"/>
      <c r="R62" s="45" t="s">
        <v>260</v>
      </c>
      <c r="S62" s="46" t="s">
        <v>261</v>
      </c>
      <c r="T62" s="47"/>
      <c r="U62" s="47"/>
      <c r="V62" s="47"/>
      <c r="W62" s="47"/>
      <c r="X62" s="47"/>
      <c r="Y62" s="47"/>
      <c r="Z62" s="47"/>
    </row>
    <row r="63" spans="2:26" x14ac:dyDescent="0.25">
      <c r="H63" s="48" t="e">
        <f>"Baseline Facility ("&amp;ROUND(D6/1000,0)&amp;" kt/y)"</f>
        <v>#REF!</v>
      </c>
      <c r="I63" s="49">
        <v>390100000</v>
      </c>
      <c r="J63" s="50">
        <v>1</v>
      </c>
      <c r="K63" s="50">
        <v>1</v>
      </c>
      <c r="L63" s="50">
        <v>1</v>
      </c>
      <c r="M63" s="50">
        <v>1</v>
      </c>
      <c r="N63" s="50">
        <v>1</v>
      </c>
      <c r="O63" s="50">
        <v>1</v>
      </c>
      <c r="P63" s="51">
        <v>1</v>
      </c>
      <c r="R63" s="48" t="e">
        <f>"Baseline Facility ("&amp;ROUND(D6/1000,0)&amp;" kt/y)"</f>
        <v>#REF!</v>
      </c>
      <c r="S63" s="49">
        <f t="shared" ref="S63:Z70" si="4">I63</f>
        <v>390100000</v>
      </c>
      <c r="T63" s="50">
        <f t="shared" si="4"/>
        <v>1</v>
      </c>
      <c r="U63" s="50">
        <f t="shared" si="4"/>
        <v>1</v>
      </c>
      <c r="V63" s="50">
        <f t="shared" si="4"/>
        <v>1</v>
      </c>
      <c r="W63" s="50">
        <f t="shared" si="4"/>
        <v>1</v>
      </c>
      <c r="X63" s="50">
        <f t="shared" si="4"/>
        <v>1</v>
      </c>
      <c r="Y63" s="50">
        <f t="shared" si="4"/>
        <v>1</v>
      </c>
      <c r="Z63" s="50">
        <f t="shared" si="4"/>
        <v>1</v>
      </c>
    </row>
    <row r="64" spans="2:26" x14ac:dyDescent="0.25">
      <c r="H64" s="48" t="s">
        <v>264</v>
      </c>
      <c r="I64" s="49">
        <v>236691000</v>
      </c>
      <c r="J64" s="52">
        <f t="shared" ref="J64:P64" si="5">IF(OR(J59=1,J61=1),1,0)</f>
        <v>1</v>
      </c>
      <c r="K64" s="52">
        <f t="shared" si="5"/>
        <v>0</v>
      </c>
      <c r="L64" s="52">
        <f t="shared" si="5"/>
        <v>1</v>
      </c>
      <c r="M64" s="52">
        <f t="shared" si="5"/>
        <v>1</v>
      </c>
      <c r="N64" s="52">
        <f t="shared" si="5"/>
        <v>1</v>
      </c>
      <c r="O64" s="52">
        <f t="shared" si="5"/>
        <v>1</v>
      </c>
      <c r="P64" s="53">
        <f t="shared" si="5"/>
        <v>1</v>
      </c>
      <c r="R64" s="48" t="s">
        <v>297</v>
      </c>
      <c r="S64" s="49">
        <f t="shared" si="4"/>
        <v>236691000</v>
      </c>
      <c r="T64" s="50">
        <f t="shared" si="4"/>
        <v>1</v>
      </c>
      <c r="U64" s="50">
        <f t="shared" si="4"/>
        <v>0</v>
      </c>
      <c r="V64" s="50">
        <f t="shared" si="4"/>
        <v>1</v>
      </c>
      <c r="W64" s="50">
        <f t="shared" si="4"/>
        <v>1</v>
      </c>
      <c r="X64" s="50">
        <f t="shared" si="4"/>
        <v>1</v>
      </c>
      <c r="Y64" s="50">
        <f t="shared" si="4"/>
        <v>1</v>
      </c>
      <c r="Z64" s="50">
        <f t="shared" si="4"/>
        <v>1</v>
      </c>
    </row>
    <row r="65" spans="8:26" x14ac:dyDescent="0.25">
      <c r="H65" s="48" t="s">
        <v>248</v>
      </c>
      <c r="I65" s="49" t="e">
        <f>SUM(H42)*1000000</f>
        <v>#REF!</v>
      </c>
      <c r="J65" s="52">
        <f t="shared" ref="J65:P65" si="6">IF(J61=1,1,0)</f>
        <v>0</v>
      </c>
      <c r="K65" s="52">
        <f t="shared" si="6"/>
        <v>0</v>
      </c>
      <c r="L65" s="52">
        <f t="shared" si="6"/>
        <v>1</v>
      </c>
      <c r="M65" s="52">
        <f t="shared" si="6"/>
        <v>0</v>
      </c>
      <c r="N65" s="52">
        <f t="shared" si="6"/>
        <v>1</v>
      </c>
      <c r="O65" s="52">
        <f t="shared" si="6"/>
        <v>1</v>
      </c>
      <c r="P65" s="53">
        <f t="shared" si="6"/>
        <v>1</v>
      </c>
      <c r="R65" s="48" t="s">
        <v>248</v>
      </c>
      <c r="S65" s="49" t="e">
        <f t="shared" si="4"/>
        <v>#REF!</v>
      </c>
      <c r="T65" s="50">
        <f t="shared" si="4"/>
        <v>0</v>
      </c>
      <c r="U65" s="50">
        <f t="shared" si="4"/>
        <v>0</v>
      </c>
      <c r="V65" s="50">
        <f t="shared" si="4"/>
        <v>1</v>
      </c>
      <c r="W65" s="50">
        <f t="shared" si="4"/>
        <v>0</v>
      </c>
      <c r="X65" s="50">
        <f t="shared" si="4"/>
        <v>1</v>
      </c>
      <c r="Y65" s="50">
        <f t="shared" si="4"/>
        <v>1</v>
      </c>
      <c r="Z65" s="50">
        <f t="shared" si="4"/>
        <v>1</v>
      </c>
    </row>
    <row r="66" spans="8:26" x14ac:dyDescent="0.25">
      <c r="H66" s="48" t="s">
        <v>267</v>
      </c>
      <c r="I66" s="49" t="e">
        <f>SUM(H39:H41)*1000000</f>
        <v>#REF!</v>
      </c>
      <c r="J66" s="52">
        <f t="shared" ref="J66:P66" si="7">IF(J60=1,1,0)</f>
        <v>0</v>
      </c>
      <c r="K66" s="52">
        <f t="shared" si="7"/>
        <v>1</v>
      </c>
      <c r="L66" s="52">
        <f t="shared" si="7"/>
        <v>0</v>
      </c>
      <c r="M66" s="52">
        <f t="shared" si="7"/>
        <v>1</v>
      </c>
      <c r="N66" s="52">
        <f t="shared" si="7"/>
        <v>0</v>
      </c>
      <c r="O66" s="52">
        <f t="shared" si="7"/>
        <v>1</v>
      </c>
      <c r="P66" s="53">
        <f t="shared" si="7"/>
        <v>1</v>
      </c>
      <c r="R66" s="48" t="s">
        <v>267</v>
      </c>
      <c r="S66" s="49" t="e">
        <f t="shared" si="4"/>
        <v>#REF!</v>
      </c>
      <c r="T66" s="50">
        <f t="shared" si="4"/>
        <v>0</v>
      </c>
      <c r="U66" s="50">
        <f t="shared" si="4"/>
        <v>1</v>
      </c>
      <c r="V66" s="50">
        <f t="shared" si="4"/>
        <v>0</v>
      </c>
      <c r="W66" s="50">
        <f t="shared" si="4"/>
        <v>1</v>
      </c>
      <c r="X66" s="50">
        <f t="shared" si="4"/>
        <v>0</v>
      </c>
      <c r="Y66" s="50">
        <f t="shared" si="4"/>
        <v>1</v>
      </c>
      <c r="Z66" s="50">
        <f t="shared" si="4"/>
        <v>1</v>
      </c>
    </row>
    <row r="67" spans="8:26" x14ac:dyDescent="0.25">
      <c r="H67" s="48" t="s">
        <v>269</v>
      </c>
      <c r="I67" s="49" t="e">
        <f>H38*1000000</f>
        <v>#REF!</v>
      </c>
      <c r="J67" s="52">
        <f t="shared" ref="J67:P67" si="8">IF(J59=1,1,0)</f>
        <v>1</v>
      </c>
      <c r="K67" s="52">
        <f t="shared" si="8"/>
        <v>0</v>
      </c>
      <c r="L67" s="52">
        <f t="shared" si="8"/>
        <v>0</v>
      </c>
      <c r="M67" s="52">
        <f t="shared" si="8"/>
        <v>1</v>
      </c>
      <c r="N67" s="52">
        <f t="shared" si="8"/>
        <v>1</v>
      </c>
      <c r="O67" s="52">
        <f t="shared" si="8"/>
        <v>0</v>
      </c>
      <c r="P67" s="53">
        <f t="shared" si="8"/>
        <v>1</v>
      </c>
      <c r="R67" s="48" t="s">
        <v>298</v>
      </c>
      <c r="S67" s="49" t="e">
        <f t="shared" si="4"/>
        <v>#REF!</v>
      </c>
      <c r="T67" s="50">
        <f t="shared" si="4"/>
        <v>1</v>
      </c>
      <c r="U67" s="50">
        <f t="shared" si="4"/>
        <v>0</v>
      </c>
      <c r="V67" s="50">
        <f t="shared" si="4"/>
        <v>0</v>
      </c>
      <c r="W67" s="50">
        <f t="shared" si="4"/>
        <v>1</v>
      </c>
      <c r="X67" s="50">
        <f t="shared" si="4"/>
        <v>1</v>
      </c>
      <c r="Y67" s="50">
        <f t="shared" si="4"/>
        <v>0</v>
      </c>
      <c r="Z67" s="50">
        <f t="shared" si="4"/>
        <v>1</v>
      </c>
    </row>
    <row r="68" spans="8:26" x14ac:dyDescent="0.25">
      <c r="H68" s="48" t="s">
        <v>271</v>
      </c>
      <c r="I68" s="49" t="e">
        <f>L38*1000000</f>
        <v>#REF!</v>
      </c>
      <c r="J68" s="52">
        <f t="shared" ref="J68:P68" si="9">IF(AND(J61=1,J59=0),1,0)</f>
        <v>0</v>
      </c>
      <c r="K68" s="52">
        <f t="shared" si="9"/>
        <v>0</v>
      </c>
      <c r="L68" s="52">
        <f t="shared" si="9"/>
        <v>1</v>
      </c>
      <c r="M68" s="52">
        <f t="shared" si="9"/>
        <v>0</v>
      </c>
      <c r="N68" s="52">
        <f t="shared" si="9"/>
        <v>0</v>
      </c>
      <c r="O68" s="52">
        <f t="shared" si="9"/>
        <v>1</v>
      </c>
      <c r="P68" s="53">
        <f t="shared" si="9"/>
        <v>0</v>
      </c>
      <c r="R68" s="48" t="s">
        <v>284</v>
      </c>
      <c r="S68" s="49" t="e">
        <f t="shared" si="4"/>
        <v>#REF!</v>
      </c>
      <c r="T68" s="50">
        <f t="shared" si="4"/>
        <v>0</v>
      </c>
      <c r="U68" s="50">
        <f t="shared" si="4"/>
        <v>0</v>
      </c>
      <c r="V68" s="50">
        <f t="shared" si="4"/>
        <v>1</v>
      </c>
      <c r="W68" s="50">
        <f t="shared" si="4"/>
        <v>0</v>
      </c>
      <c r="X68" s="50">
        <f t="shared" si="4"/>
        <v>0</v>
      </c>
      <c r="Y68" s="50">
        <f t="shared" si="4"/>
        <v>1</v>
      </c>
      <c r="Z68" s="50">
        <f t="shared" si="4"/>
        <v>0</v>
      </c>
    </row>
    <row r="69" spans="8:26" x14ac:dyDescent="0.25">
      <c r="H69" s="48" t="s">
        <v>273</v>
      </c>
      <c r="I69" s="49" t="e">
        <f>H47*1000000</f>
        <v>#REF!</v>
      </c>
      <c r="J69" s="52">
        <f t="shared" ref="J69:P69" si="10">IF(J60=1,1,0)</f>
        <v>0</v>
      </c>
      <c r="K69" s="52">
        <f t="shared" si="10"/>
        <v>1</v>
      </c>
      <c r="L69" s="52">
        <f t="shared" si="10"/>
        <v>0</v>
      </c>
      <c r="M69" s="52">
        <f t="shared" si="10"/>
        <v>1</v>
      </c>
      <c r="N69" s="52">
        <f t="shared" si="10"/>
        <v>0</v>
      </c>
      <c r="O69" s="52">
        <f t="shared" si="10"/>
        <v>1</v>
      </c>
      <c r="P69" s="53">
        <f t="shared" si="10"/>
        <v>1</v>
      </c>
      <c r="R69" s="48" t="s">
        <v>273</v>
      </c>
      <c r="S69" s="49" t="e">
        <f t="shared" si="4"/>
        <v>#REF!</v>
      </c>
      <c r="T69" s="50">
        <f t="shared" si="4"/>
        <v>0</v>
      </c>
      <c r="U69" s="50">
        <f t="shared" si="4"/>
        <v>1</v>
      </c>
      <c r="V69" s="50">
        <f t="shared" si="4"/>
        <v>0</v>
      </c>
      <c r="W69" s="50">
        <f t="shared" si="4"/>
        <v>1</v>
      </c>
      <c r="X69" s="50">
        <f t="shared" si="4"/>
        <v>0</v>
      </c>
      <c r="Y69" s="50">
        <f t="shared" si="4"/>
        <v>1</v>
      </c>
      <c r="Z69" s="50">
        <f t="shared" si="4"/>
        <v>1</v>
      </c>
    </row>
    <row r="70" spans="8:26" x14ac:dyDescent="0.25">
      <c r="H70" s="48" t="s">
        <v>275</v>
      </c>
      <c r="I70" s="49" t="e">
        <f>L47*1000000</f>
        <v>#REF!</v>
      </c>
      <c r="J70" s="54">
        <f t="shared" ref="J70:P70" si="11">IF(AND(J61=1,J60=0),1,0)</f>
        <v>0</v>
      </c>
      <c r="K70" s="54">
        <f t="shared" si="11"/>
        <v>0</v>
      </c>
      <c r="L70" s="54">
        <f t="shared" si="11"/>
        <v>1</v>
      </c>
      <c r="M70" s="54">
        <f t="shared" si="11"/>
        <v>0</v>
      </c>
      <c r="N70" s="54">
        <f t="shared" si="11"/>
        <v>1</v>
      </c>
      <c r="O70" s="54">
        <f t="shared" si="11"/>
        <v>0</v>
      </c>
      <c r="P70" s="54">
        <f t="shared" si="11"/>
        <v>0</v>
      </c>
      <c r="R70" s="48" t="s">
        <v>275</v>
      </c>
      <c r="S70" s="49" t="e">
        <f t="shared" si="4"/>
        <v>#REF!</v>
      </c>
      <c r="T70" s="73">
        <f t="shared" si="4"/>
        <v>0</v>
      </c>
      <c r="U70" s="73">
        <f t="shared" si="4"/>
        <v>0</v>
      </c>
      <c r="V70" s="73">
        <f t="shared" si="4"/>
        <v>1</v>
      </c>
      <c r="W70" s="73">
        <f t="shared" si="4"/>
        <v>0</v>
      </c>
      <c r="X70" s="73">
        <f t="shared" si="4"/>
        <v>1</v>
      </c>
      <c r="Y70" s="73">
        <f t="shared" si="4"/>
        <v>0</v>
      </c>
      <c r="Z70" s="73">
        <f t="shared" si="4"/>
        <v>0</v>
      </c>
    </row>
    <row r="71" spans="8:26" x14ac:dyDescent="0.25">
      <c r="H71" s="55" t="s">
        <v>188</v>
      </c>
      <c r="I71" s="56">
        <v>22800000</v>
      </c>
      <c r="J71" s="57">
        <v>1</v>
      </c>
      <c r="K71" s="57">
        <v>1</v>
      </c>
      <c r="L71" s="57">
        <v>1</v>
      </c>
      <c r="M71" s="57">
        <v>1</v>
      </c>
      <c r="N71" s="57">
        <v>1</v>
      </c>
      <c r="O71" s="57">
        <v>1</v>
      </c>
      <c r="P71" s="58">
        <v>1</v>
      </c>
      <c r="R71" s="55" t="s">
        <v>188</v>
      </c>
      <c r="S71" s="56">
        <v>22800000</v>
      </c>
      <c r="T71" s="57">
        <f t="shared" ref="T71:Z72" si="12">J71</f>
        <v>1</v>
      </c>
      <c r="U71" s="57">
        <f t="shared" si="12"/>
        <v>1</v>
      </c>
      <c r="V71" s="57">
        <f t="shared" si="12"/>
        <v>1</v>
      </c>
      <c r="W71" s="57">
        <f t="shared" si="12"/>
        <v>1</v>
      </c>
      <c r="X71" s="57">
        <f t="shared" si="12"/>
        <v>1</v>
      </c>
      <c r="Y71" s="57">
        <f t="shared" si="12"/>
        <v>1</v>
      </c>
      <c r="Z71" s="57">
        <f t="shared" si="12"/>
        <v>1</v>
      </c>
    </row>
    <row r="72" spans="8:26" x14ac:dyDescent="0.25">
      <c r="H72" s="60" t="s">
        <v>277</v>
      </c>
      <c r="I72" s="61">
        <v>0.05</v>
      </c>
      <c r="J72" s="52">
        <v>1</v>
      </c>
      <c r="K72" s="52">
        <v>1</v>
      </c>
      <c r="L72" s="52">
        <v>1</v>
      </c>
      <c r="M72" s="52">
        <v>1</v>
      </c>
      <c r="N72" s="52">
        <v>1</v>
      </c>
      <c r="O72" s="52">
        <v>1</v>
      </c>
      <c r="P72" s="53">
        <v>1</v>
      </c>
      <c r="R72" s="60" t="s">
        <v>277</v>
      </c>
      <c r="S72" s="61">
        <f>I72</f>
        <v>0.05</v>
      </c>
      <c r="T72" s="50">
        <f t="shared" si="12"/>
        <v>1</v>
      </c>
      <c r="U72" s="50">
        <f t="shared" si="12"/>
        <v>1</v>
      </c>
      <c r="V72" s="50">
        <f t="shared" si="12"/>
        <v>1</v>
      </c>
      <c r="W72" s="50">
        <f t="shared" si="12"/>
        <v>1</v>
      </c>
      <c r="X72" s="50">
        <f t="shared" si="12"/>
        <v>1</v>
      </c>
      <c r="Y72" s="50">
        <f t="shared" si="12"/>
        <v>1</v>
      </c>
      <c r="Z72" s="50">
        <f t="shared" si="12"/>
        <v>1</v>
      </c>
    </row>
    <row r="73" spans="8:26" x14ac:dyDescent="0.25">
      <c r="H73"/>
      <c r="I73" s="62" t="s">
        <v>299</v>
      </c>
      <c r="J73" s="63" t="e">
        <f t="shared" ref="J73:P73" si="13">SUMPRODUCT(J63:J70,$I$63:$I$70)</f>
        <v>#REF!</v>
      </c>
      <c r="K73" s="63" t="e">
        <f t="shared" si="13"/>
        <v>#REF!</v>
      </c>
      <c r="L73" s="63" t="e">
        <f t="shared" si="13"/>
        <v>#REF!</v>
      </c>
      <c r="M73" s="63" t="e">
        <f t="shared" si="13"/>
        <v>#REF!</v>
      </c>
      <c r="N73" s="63" t="e">
        <f t="shared" si="13"/>
        <v>#REF!</v>
      </c>
      <c r="O73" s="63" t="e">
        <f t="shared" si="13"/>
        <v>#REF!</v>
      </c>
      <c r="P73" s="63" t="e">
        <f t="shared" si="13"/>
        <v>#REF!</v>
      </c>
      <c r="R73"/>
      <c r="S73" s="62" t="s">
        <v>300</v>
      </c>
      <c r="T73" s="63" t="e">
        <f t="shared" ref="T73:Z74" si="14">J73/1000000</f>
        <v>#REF!</v>
      </c>
      <c r="U73" s="63" t="e">
        <f t="shared" si="14"/>
        <v>#REF!</v>
      </c>
      <c r="V73" s="63" t="e">
        <f t="shared" si="14"/>
        <v>#REF!</v>
      </c>
      <c r="W73" s="63" t="e">
        <f t="shared" si="14"/>
        <v>#REF!</v>
      </c>
      <c r="X73" s="63" t="e">
        <f t="shared" si="14"/>
        <v>#REF!</v>
      </c>
      <c r="Y73" s="63" t="e">
        <f t="shared" si="14"/>
        <v>#REF!</v>
      </c>
      <c r="Z73" s="63" t="e">
        <f t="shared" si="14"/>
        <v>#REF!</v>
      </c>
    </row>
    <row r="74" spans="8:26" x14ac:dyDescent="0.25">
      <c r="H74"/>
      <c r="I74" s="62" t="s">
        <v>301</v>
      </c>
      <c r="J74" s="25" t="e">
        <f t="shared" ref="J74:P74" si="15">J73+$I$71+$I$72*J73</f>
        <v>#REF!</v>
      </c>
      <c r="K74" s="25" t="e">
        <f t="shared" si="15"/>
        <v>#REF!</v>
      </c>
      <c r="L74" s="25" t="e">
        <f t="shared" si="15"/>
        <v>#REF!</v>
      </c>
      <c r="M74" s="25" t="e">
        <f t="shared" si="15"/>
        <v>#REF!</v>
      </c>
      <c r="N74" s="25" t="e">
        <f t="shared" si="15"/>
        <v>#REF!</v>
      </c>
      <c r="O74" s="25" t="e">
        <f t="shared" si="15"/>
        <v>#REF!</v>
      </c>
      <c r="P74" s="25" t="e">
        <f t="shared" si="15"/>
        <v>#REF!</v>
      </c>
      <c r="R74"/>
      <c r="S74" s="62" t="s">
        <v>302</v>
      </c>
      <c r="T74" s="63" t="e">
        <f t="shared" si="14"/>
        <v>#REF!</v>
      </c>
      <c r="U74" s="63" t="e">
        <f t="shared" si="14"/>
        <v>#REF!</v>
      </c>
      <c r="V74" s="63" t="e">
        <f t="shared" si="14"/>
        <v>#REF!</v>
      </c>
      <c r="W74" s="63" t="e">
        <f t="shared" si="14"/>
        <v>#REF!</v>
      </c>
      <c r="X74" s="63" t="e">
        <f t="shared" si="14"/>
        <v>#REF!</v>
      </c>
      <c r="Y74" s="63" t="e">
        <f t="shared" si="14"/>
        <v>#REF!</v>
      </c>
      <c r="Z74" s="63" t="e">
        <f t="shared" si="14"/>
        <v>#REF!</v>
      </c>
    </row>
    <row r="75" spans="8:26" x14ac:dyDescent="0.25">
      <c r="H75"/>
      <c r="I75" s="62" t="s">
        <v>278</v>
      </c>
      <c r="J75" s="63" t="e">
        <f t="shared" ref="J75:P75" si="16">J73/$D$6</f>
        <v>#REF!</v>
      </c>
      <c r="K75" s="63" t="e">
        <f t="shared" si="16"/>
        <v>#REF!</v>
      </c>
      <c r="L75" s="63" t="e">
        <f t="shared" si="16"/>
        <v>#REF!</v>
      </c>
      <c r="M75" s="63" t="e">
        <f t="shared" si="16"/>
        <v>#REF!</v>
      </c>
      <c r="N75" s="63" t="e">
        <f t="shared" si="16"/>
        <v>#REF!</v>
      </c>
      <c r="O75" s="63" t="e">
        <f t="shared" si="16"/>
        <v>#REF!</v>
      </c>
      <c r="P75" s="63" t="e">
        <f t="shared" si="16"/>
        <v>#REF!</v>
      </c>
      <c r="R75"/>
      <c r="S75" s="62" t="s">
        <v>278</v>
      </c>
      <c r="T75" s="63" t="e">
        <f t="shared" ref="T75:Z75" si="17">J75</f>
        <v>#REF!</v>
      </c>
      <c r="U75" s="63" t="e">
        <f t="shared" si="17"/>
        <v>#REF!</v>
      </c>
      <c r="V75" s="63" t="e">
        <f t="shared" si="17"/>
        <v>#REF!</v>
      </c>
      <c r="W75" s="63" t="e">
        <f t="shared" si="17"/>
        <v>#REF!</v>
      </c>
      <c r="X75" s="63" t="e">
        <f t="shared" si="17"/>
        <v>#REF!</v>
      </c>
      <c r="Y75" s="63" t="e">
        <f t="shared" si="17"/>
        <v>#REF!</v>
      </c>
      <c r="Z75" s="63" t="e">
        <f t="shared" si="17"/>
        <v>#REF!</v>
      </c>
    </row>
    <row r="76" spans="8:26" x14ac:dyDescent="0.25">
      <c r="H76"/>
      <c r="I76"/>
      <c r="J76"/>
      <c r="K76"/>
      <c r="L76"/>
      <c r="M76"/>
      <c r="N76"/>
      <c r="O76"/>
      <c r="P76"/>
      <c r="R76"/>
      <c r="S76"/>
      <c r="T76"/>
      <c r="U76"/>
      <c r="V76"/>
      <c r="W76"/>
      <c r="X76"/>
      <c r="Y76"/>
      <c r="Z76"/>
    </row>
    <row r="77" spans="8:26" x14ac:dyDescent="0.25">
      <c r="H77" s="1" t="s">
        <v>303</v>
      </c>
      <c r="I77"/>
      <c r="J77"/>
      <c r="K77"/>
      <c r="L77"/>
      <c r="M77"/>
      <c r="N77"/>
      <c r="O77"/>
      <c r="P77"/>
      <c r="R77"/>
      <c r="S77"/>
      <c r="T77"/>
      <c r="U77"/>
      <c r="V77"/>
      <c r="W77"/>
      <c r="X77"/>
      <c r="Y77"/>
      <c r="Z77"/>
    </row>
    <row r="78" spans="8:26" x14ac:dyDescent="0.25">
      <c r="H78" s="38" t="s">
        <v>249</v>
      </c>
      <c r="I78" s="39"/>
      <c r="J78" s="17" t="s">
        <v>250</v>
      </c>
      <c r="K78" s="17" t="s">
        <v>242</v>
      </c>
      <c r="L78" s="17" t="s">
        <v>247</v>
      </c>
      <c r="M78" s="17" t="s">
        <v>251</v>
      </c>
      <c r="N78" s="17" t="s">
        <v>252</v>
      </c>
      <c r="O78" s="17" t="s">
        <v>253</v>
      </c>
      <c r="P78" s="18" t="s">
        <v>254</v>
      </c>
      <c r="R78" s="38" t="s">
        <v>249</v>
      </c>
      <c r="S78" s="39"/>
      <c r="T78" s="17" t="s">
        <v>250</v>
      </c>
      <c r="U78" s="17" t="s">
        <v>242</v>
      </c>
      <c r="V78" s="17" t="s">
        <v>247</v>
      </c>
      <c r="W78" s="17" t="s">
        <v>251</v>
      </c>
      <c r="X78" s="17" t="s">
        <v>252</v>
      </c>
      <c r="Y78" s="17" t="s">
        <v>253</v>
      </c>
      <c r="Z78" s="18" t="s">
        <v>254</v>
      </c>
    </row>
    <row r="79" spans="8:26" x14ac:dyDescent="0.25">
      <c r="H79" s="20" t="s">
        <v>256</v>
      </c>
      <c r="I79" s="40"/>
      <c r="J79" s="41">
        <v>1</v>
      </c>
      <c r="K79" s="42">
        <v>0</v>
      </c>
      <c r="L79" s="42">
        <v>0</v>
      </c>
      <c r="M79" s="42">
        <v>1</v>
      </c>
      <c r="N79" s="42">
        <v>1</v>
      </c>
      <c r="O79" s="42">
        <v>0</v>
      </c>
      <c r="P79" s="43">
        <v>1</v>
      </c>
      <c r="R79" s="20" t="s">
        <v>256</v>
      </c>
      <c r="S79" s="40"/>
      <c r="T79" s="70">
        <f t="shared" ref="T79:Z81" si="18">J79</f>
        <v>1</v>
      </c>
      <c r="U79" s="71">
        <f t="shared" si="18"/>
        <v>0</v>
      </c>
      <c r="V79" s="71">
        <f t="shared" si="18"/>
        <v>0</v>
      </c>
      <c r="W79" s="71">
        <f t="shared" si="18"/>
        <v>1</v>
      </c>
      <c r="X79" s="71">
        <f t="shared" si="18"/>
        <v>1</v>
      </c>
      <c r="Y79" s="71">
        <f t="shared" si="18"/>
        <v>0</v>
      </c>
      <c r="Z79" s="72">
        <f t="shared" si="18"/>
        <v>1</v>
      </c>
    </row>
    <row r="80" spans="8:26" x14ac:dyDescent="0.25">
      <c r="H80" s="20" t="s">
        <v>258</v>
      </c>
      <c r="I80" s="40"/>
      <c r="J80" s="41">
        <v>0</v>
      </c>
      <c r="K80" s="42">
        <v>1</v>
      </c>
      <c r="L80" s="42">
        <v>0</v>
      </c>
      <c r="M80" s="42">
        <v>1</v>
      </c>
      <c r="N80" s="42">
        <v>0</v>
      </c>
      <c r="O80" s="42">
        <v>1</v>
      </c>
      <c r="P80" s="43">
        <v>1</v>
      </c>
      <c r="R80" s="20" t="s">
        <v>258</v>
      </c>
      <c r="S80" s="40"/>
      <c r="T80" s="41">
        <f t="shared" si="18"/>
        <v>0</v>
      </c>
      <c r="U80" s="42">
        <f t="shared" si="18"/>
        <v>1</v>
      </c>
      <c r="V80" s="42">
        <f t="shared" si="18"/>
        <v>0</v>
      </c>
      <c r="W80" s="42">
        <f t="shared" si="18"/>
        <v>1</v>
      </c>
      <c r="X80" s="42">
        <f t="shared" si="18"/>
        <v>0</v>
      </c>
      <c r="Y80" s="42">
        <f t="shared" si="18"/>
        <v>1</v>
      </c>
      <c r="Z80" s="43">
        <f t="shared" si="18"/>
        <v>1</v>
      </c>
    </row>
    <row r="81" spans="8:26" x14ac:dyDescent="0.25">
      <c r="H81" s="21" t="s">
        <v>259</v>
      </c>
      <c r="I81" s="44"/>
      <c r="J81" s="41">
        <v>0</v>
      </c>
      <c r="K81" s="42">
        <v>0</v>
      </c>
      <c r="L81" s="42">
        <v>1</v>
      </c>
      <c r="M81" s="42">
        <v>0</v>
      </c>
      <c r="N81" s="42">
        <v>1</v>
      </c>
      <c r="O81" s="42">
        <v>1</v>
      </c>
      <c r="P81" s="43">
        <v>1</v>
      </c>
      <c r="R81" s="21" t="s">
        <v>259</v>
      </c>
      <c r="S81" s="44"/>
      <c r="T81" s="41">
        <f t="shared" si="18"/>
        <v>0</v>
      </c>
      <c r="U81" s="42">
        <f t="shared" si="18"/>
        <v>0</v>
      </c>
      <c r="V81" s="42">
        <f t="shared" si="18"/>
        <v>1</v>
      </c>
      <c r="W81" s="42">
        <f t="shared" si="18"/>
        <v>0</v>
      </c>
      <c r="X81" s="42">
        <f t="shared" si="18"/>
        <v>1</v>
      </c>
      <c r="Y81" s="42">
        <f t="shared" si="18"/>
        <v>1</v>
      </c>
      <c r="Z81" s="43">
        <f t="shared" si="18"/>
        <v>1</v>
      </c>
    </row>
    <row r="82" spans="8:26" x14ac:dyDescent="0.25">
      <c r="H82" s="45" t="s">
        <v>260</v>
      </c>
      <c r="I82" s="46" t="s">
        <v>261</v>
      </c>
      <c r="J82" s="47"/>
      <c r="K82" s="47"/>
      <c r="L82" s="47"/>
      <c r="M82" s="47"/>
      <c r="N82" s="47"/>
      <c r="O82" s="47"/>
      <c r="P82" s="47"/>
      <c r="R82" s="45" t="s">
        <v>260</v>
      </c>
      <c r="S82" s="46" t="s">
        <v>261</v>
      </c>
      <c r="T82" s="47"/>
      <c r="U82" s="47"/>
      <c r="V82" s="47"/>
      <c r="W82" s="47"/>
      <c r="X82" s="47"/>
      <c r="Y82" s="47"/>
      <c r="Z82" s="47"/>
    </row>
    <row r="83" spans="8:26" x14ac:dyDescent="0.25">
      <c r="H83" s="48" t="str">
        <f>"Baseline Facility ("&amp;ROUND(D55/1000,0)&amp;" kt/y)"</f>
        <v>Baseline Facility (0 kt/y)</v>
      </c>
      <c r="I83" s="49">
        <v>390100000</v>
      </c>
      <c r="J83" s="50">
        <v>1</v>
      </c>
      <c r="K83" s="50">
        <v>1</v>
      </c>
      <c r="L83" s="50">
        <v>1</v>
      </c>
      <c r="M83" s="50">
        <v>1</v>
      </c>
      <c r="N83" s="50">
        <v>1</v>
      </c>
      <c r="O83" s="50">
        <v>1</v>
      </c>
      <c r="P83" s="51">
        <v>1</v>
      </c>
      <c r="R83" s="48" t="str">
        <f>"Baseline Facility ("&amp;ROUND(D55/1000,0)&amp;" kt/y)"</f>
        <v>Baseline Facility (0 kt/y)</v>
      </c>
      <c r="S83" s="49">
        <f t="shared" ref="S83:Z90" si="19">I83</f>
        <v>390100000</v>
      </c>
      <c r="T83" s="50">
        <f t="shared" si="19"/>
        <v>1</v>
      </c>
      <c r="U83" s="50">
        <f t="shared" si="19"/>
        <v>1</v>
      </c>
      <c r="V83" s="50">
        <f t="shared" si="19"/>
        <v>1</v>
      </c>
      <c r="W83" s="50">
        <f t="shared" si="19"/>
        <v>1</v>
      </c>
      <c r="X83" s="50">
        <f t="shared" si="19"/>
        <v>1</v>
      </c>
      <c r="Y83" s="50">
        <f t="shared" si="19"/>
        <v>1</v>
      </c>
      <c r="Z83" s="50">
        <f t="shared" si="19"/>
        <v>1</v>
      </c>
    </row>
    <row r="84" spans="8:26" x14ac:dyDescent="0.25">
      <c r="H84" s="48" t="s">
        <v>264</v>
      </c>
      <c r="I84" s="49">
        <v>236691000</v>
      </c>
      <c r="J84" s="52">
        <f t="shared" ref="J84:P84" si="20">IF(OR(J79=1,J81=1),1,0)</f>
        <v>1</v>
      </c>
      <c r="K84" s="52">
        <f t="shared" si="20"/>
        <v>0</v>
      </c>
      <c r="L84" s="52">
        <f t="shared" si="20"/>
        <v>1</v>
      </c>
      <c r="M84" s="52">
        <f t="shared" si="20"/>
        <v>1</v>
      </c>
      <c r="N84" s="52">
        <f t="shared" si="20"/>
        <v>1</v>
      </c>
      <c r="O84" s="52">
        <f t="shared" si="20"/>
        <v>1</v>
      </c>
      <c r="P84" s="53">
        <f t="shared" si="20"/>
        <v>1</v>
      </c>
      <c r="R84" s="48" t="s">
        <v>297</v>
      </c>
      <c r="S84" s="49">
        <f t="shared" si="19"/>
        <v>236691000</v>
      </c>
      <c r="T84" s="50">
        <f t="shared" si="19"/>
        <v>1</v>
      </c>
      <c r="U84" s="50">
        <f t="shared" si="19"/>
        <v>0</v>
      </c>
      <c r="V84" s="50">
        <f t="shared" si="19"/>
        <v>1</v>
      </c>
      <c r="W84" s="50">
        <f t="shared" si="19"/>
        <v>1</v>
      </c>
      <c r="X84" s="50">
        <f t="shared" si="19"/>
        <v>1</v>
      </c>
      <c r="Y84" s="50">
        <f t="shared" si="19"/>
        <v>1</v>
      </c>
      <c r="Z84" s="50">
        <f t="shared" si="19"/>
        <v>1</v>
      </c>
    </row>
    <row r="85" spans="8:26" x14ac:dyDescent="0.25">
      <c r="H85" s="48" t="s">
        <v>248</v>
      </c>
      <c r="I85" s="49" t="e">
        <f>SUM(J42)*1000000</f>
        <v>#REF!</v>
      </c>
      <c r="J85" s="52">
        <f t="shared" ref="J85:P85" si="21">IF(J81=1,1,0)</f>
        <v>0</v>
      </c>
      <c r="K85" s="52">
        <f t="shared" si="21"/>
        <v>0</v>
      </c>
      <c r="L85" s="52">
        <f t="shared" si="21"/>
        <v>1</v>
      </c>
      <c r="M85" s="52">
        <f t="shared" si="21"/>
        <v>0</v>
      </c>
      <c r="N85" s="52">
        <f t="shared" si="21"/>
        <v>1</v>
      </c>
      <c r="O85" s="52">
        <f t="shared" si="21"/>
        <v>1</v>
      </c>
      <c r="P85" s="53">
        <f t="shared" si="21"/>
        <v>1</v>
      </c>
      <c r="R85" s="48" t="s">
        <v>248</v>
      </c>
      <c r="S85" s="49" t="e">
        <f t="shared" si="19"/>
        <v>#REF!</v>
      </c>
      <c r="T85" s="50">
        <f t="shared" si="19"/>
        <v>0</v>
      </c>
      <c r="U85" s="50">
        <f t="shared" si="19"/>
        <v>0</v>
      </c>
      <c r="V85" s="50">
        <f t="shared" si="19"/>
        <v>1</v>
      </c>
      <c r="W85" s="50">
        <f t="shared" si="19"/>
        <v>0</v>
      </c>
      <c r="X85" s="50">
        <f t="shared" si="19"/>
        <v>1</v>
      </c>
      <c r="Y85" s="50">
        <f t="shared" si="19"/>
        <v>1</v>
      </c>
      <c r="Z85" s="50">
        <f t="shared" si="19"/>
        <v>1</v>
      </c>
    </row>
    <row r="86" spans="8:26" x14ac:dyDescent="0.25">
      <c r="H86" s="48" t="s">
        <v>267</v>
      </c>
      <c r="I86" s="49" t="e">
        <f>SUM(J39:J41)*1000000</f>
        <v>#REF!</v>
      </c>
      <c r="J86" s="52">
        <f t="shared" ref="J86:P86" si="22">IF(J80=1,1,0)</f>
        <v>0</v>
      </c>
      <c r="K86" s="52">
        <f t="shared" si="22"/>
        <v>1</v>
      </c>
      <c r="L86" s="52">
        <f t="shared" si="22"/>
        <v>0</v>
      </c>
      <c r="M86" s="52">
        <f t="shared" si="22"/>
        <v>1</v>
      </c>
      <c r="N86" s="52">
        <f t="shared" si="22"/>
        <v>0</v>
      </c>
      <c r="O86" s="52">
        <f t="shared" si="22"/>
        <v>1</v>
      </c>
      <c r="P86" s="53">
        <f t="shared" si="22"/>
        <v>1</v>
      </c>
      <c r="R86" s="48" t="s">
        <v>267</v>
      </c>
      <c r="S86" s="49" t="e">
        <f t="shared" si="19"/>
        <v>#REF!</v>
      </c>
      <c r="T86" s="50">
        <f t="shared" si="19"/>
        <v>0</v>
      </c>
      <c r="U86" s="50">
        <f t="shared" si="19"/>
        <v>1</v>
      </c>
      <c r="V86" s="50">
        <f t="shared" si="19"/>
        <v>0</v>
      </c>
      <c r="W86" s="50">
        <f t="shared" si="19"/>
        <v>1</v>
      </c>
      <c r="X86" s="50">
        <f t="shared" si="19"/>
        <v>0</v>
      </c>
      <c r="Y86" s="50">
        <f t="shared" si="19"/>
        <v>1</v>
      </c>
      <c r="Z86" s="50">
        <f t="shared" si="19"/>
        <v>1</v>
      </c>
    </row>
    <row r="87" spans="8:26" x14ac:dyDescent="0.25">
      <c r="H87" s="48" t="s">
        <v>269</v>
      </c>
      <c r="I87" s="49" t="e">
        <f>J38*1000000</f>
        <v>#REF!</v>
      </c>
      <c r="J87" s="52">
        <f t="shared" ref="J87:P87" si="23">IF(J79=1,1,0)</f>
        <v>1</v>
      </c>
      <c r="K87" s="52">
        <f t="shared" si="23"/>
        <v>0</v>
      </c>
      <c r="L87" s="52">
        <f t="shared" si="23"/>
        <v>0</v>
      </c>
      <c r="M87" s="52">
        <f t="shared" si="23"/>
        <v>1</v>
      </c>
      <c r="N87" s="52">
        <f t="shared" si="23"/>
        <v>1</v>
      </c>
      <c r="O87" s="52">
        <f t="shared" si="23"/>
        <v>0</v>
      </c>
      <c r="P87" s="53">
        <f t="shared" si="23"/>
        <v>1</v>
      </c>
      <c r="R87" s="48" t="s">
        <v>298</v>
      </c>
      <c r="S87" s="49" t="e">
        <f t="shared" si="19"/>
        <v>#REF!</v>
      </c>
      <c r="T87" s="50">
        <f t="shared" si="19"/>
        <v>1</v>
      </c>
      <c r="U87" s="50">
        <f t="shared" si="19"/>
        <v>0</v>
      </c>
      <c r="V87" s="50">
        <f t="shared" si="19"/>
        <v>0</v>
      </c>
      <c r="W87" s="50">
        <f t="shared" si="19"/>
        <v>1</v>
      </c>
      <c r="X87" s="50">
        <f t="shared" si="19"/>
        <v>1</v>
      </c>
      <c r="Y87" s="50">
        <f t="shared" si="19"/>
        <v>0</v>
      </c>
      <c r="Z87" s="50">
        <f t="shared" si="19"/>
        <v>1</v>
      </c>
    </row>
    <row r="88" spans="8:26" x14ac:dyDescent="0.25">
      <c r="H88" s="48" t="s">
        <v>271</v>
      </c>
      <c r="I88" s="49" t="e">
        <f>N38*1000000</f>
        <v>#REF!</v>
      </c>
      <c r="J88" s="52">
        <f t="shared" ref="J88:P88" si="24">IF(AND(J81=1,J79=0),1,0)</f>
        <v>0</v>
      </c>
      <c r="K88" s="52">
        <f t="shared" si="24"/>
        <v>0</v>
      </c>
      <c r="L88" s="52">
        <f t="shared" si="24"/>
        <v>1</v>
      </c>
      <c r="M88" s="52">
        <f t="shared" si="24"/>
        <v>0</v>
      </c>
      <c r="N88" s="52">
        <f t="shared" si="24"/>
        <v>0</v>
      </c>
      <c r="O88" s="52">
        <f t="shared" si="24"/>
        <v>1</v>
      </c>
      <c r="P88" s="53">
        <f t="shared" si="24"/>
        <v>0</v>
      </c>
      <c r="R88" s="48" t="s">
        <v>284</v>
      </c>
      <c r="S88" s="49" t="e">
        <f t="shared" si="19"/>
        <v>#REF!</v>
      </c>
      <c r="T88" s="50">
        <f t="shared" si="19"/>
        <v>0</v>
      </c>
      <c r="U88" s="50">
        <f t="shared" si="19"/>
        <v>0</v>
      </c>
      <c r="V88" s="50">
        <f t="shared" si="19"/>
        <v>1</v>
      </c>
      <c r="W88" s="50">
        <f t="shared" si="19"/>
        <v>0</v>
      </c>
      <c r="X88" s="50">
        <f t="shared" si="19"/>
        <v>0</v>
      </c>
      <c r="Y88" s="50">
        <f t="shared" si="19"/>
        <v>1</v>
      </c>
      <c r="Z88" s="50">
        <f t="shared" si="19"/>
        <v>0</v>
      </c>
    </row>
    <row r="89" spans="8:26" x14ac:dyDescent="0.25">
      <c r="H89" s="48" t="s">
        <v>273</v>
      </c>
      <c r="I89" s="49" t="e">
        <f>J47*1000000</f>
        <v>#REF!</v>
      </c>
      <c r="J89" s="52">
        <f t="shared" ref="J89:P89" si="25">IF(J80=1,1,0)</f>
        <v>0</v>
      </c>
      <c r="K89" s="52">
        <f t="shared" si="25"/>
        <v>1</v>
      </c>
      <c r="L89" s="52">
        <f t="shared" si="25"/>
        <v>0</v>
      </c>
      <c r="M89" s="52">
        <f t="shared" si="25"/>
        <v>1</v>
      </c>
      <c r="N89" s="52">
        <f t="shared" si="25"/>
        <v>0</v>
      </c>
      <c r="O89" s="52">
        <f t="shared" si="25"/>
        <v>1</v>
      </c>
      <c r="P89" s="53">
        <f t="shared" si="25"/>
        <v>1</v>
      </c>
      <c r="R89" s="48" t="s">
        <v>273</v>
      </c>
      <c r="S89" s="49" t="e">
        <f t="shared" si="19"/>
        <v>#REF!</v>
      </c>
      <c r="T89" s="50">
        <f t="shared" si="19"/>
        <v>0</v>
      </c>
      <c r="U89" s="50">
        <f t="shared" si="19"/>
        <v>1</v>
      </c>
      <c r="V89" s="50">
        <f t="shared" si="19"/>
        <v>0</v>
      </c>
      <c r="W89" s="50">
        <f t="shared" si="19"/>
        <v>1</v>
      </c>
      <c r="X89" s="50">
        <f t="shared" si="19"/>
        <v>0</v>
      </c>
      <c r="Y89" s="50">
        <f t="shared" si="19"/>
        <v>1</v>
      </c>
      <c r="Z89" s="50">
        <f t="shared" si="19"/>
        <v>1</v>
      </c>
    </row>
    <row r="90" spans="8:26" x14ac:dyDescent="0.25">
      <c r="H90" s="48" t="s">
        <v>275</v>
      </c>
      <c r="I90" s="49" t="e">
        <f>N47*1000000</f>
        <v>#REF!</v>
      </c>
      <c r="J90" s="54">
        <f t="shared" ref="J90:P90" si="26">IF(AND(J81=1,J80=0),1,0)</f>
        <v>0</v>
      </c>
      <c r="K90" s="54">
        <f t="shared" si="26"/>
        <v>0</v>
      </c>
      <c r="L90" s="54">
        <f t="shared" si="26"/>
        <v>1</v>
      </c>
      <c r="M90" s="54">
        <f t="shared" si="26"/>
        <v>0</v>
      </c>
      <c r="N90" s="54">
        <f t="shared" si="26"/>
        <v>1</v>
      </c>
      <c r="O90" s="54">
        <f t="shared" si="26"/>
        <v>0</v>
      </c>
      <c r="P90" s="54">
        <f t="shared" si="26"/>
        <v>0</v>
      </c>
      <c r="R90" s="48" t="s">
        <v>275</v>
      </c>
      <c r="S90" s="49" t="e">
        <f t="shared" si="19"/>
        <v>#REF!</v>
      </c>
      <c r="T90" s="73">
        <f t="shared" si="19"/>
        <v>0</v>
      </c>
      <c r="U90" s="73">
        <f t="shared" si="19"/>
        <v>0</v>
      </c>
      <c r="V90" s="73">
        <f t="shared" si="19"/>
        <v>1</v>
      </c>
      <c r="W90" s="73">
        <f t="shared" si="19"/>
        <v>0</v>
      </c>
      <c r="X90" s="73">
        <f t="shared" si="19"/>
        <v>1</v>
      </c>
      <c r="Y90" s="73">
        <f t="shared" si="19"/>
        <v>0</v>
      </c>
      <c r="Z90" s="73">
        <f t="shared" si="19"/>
        <v>0</v>
      </c>
    </row>
    <row r="91" spans="8:26" x14ac:dyDescent="0.25">
      <c r="H91" s="55" t="s">
        <v>188</v>
      </c>
      <c r="I91" s="56">
        <v>22800000</v>
      </c>
      <c r="J91" s="57">
        <v>1</v>
      </c>
      <c r="K91" s="57">
        <v>1</v>
      </c>
      <c r="L91" s="57">
        <v>1</v>
      </c>
      <c r="M91" s="57">
        <v>1</v>
      </c>
      <c r="N91" s="57">
        <v>1</v>
      </c>
      <c r="O91" s="57">
        <v>1</v>
      </c>
      <c r="P91" s="58">
        <v>1</v>
      </c>
      <c r="R91" s="55" t="s">
        <v>188</v>
      </c>
      <c r="S91" s="56">
        <v>22800000</v>
      </c>
      <c r="T91" s="57">
        <f t="shared" ref="T91:Z92" si="27">J91</f>
        <v>1</v>
      </c>
      <c r="U91" s="57">
        <f t="shared" si="27"/>
        <v>1</v>
      </c>
      <c r="V91" s="57">
        <f t="shared" si="27"/>
        <v>1</v>
      </c>
      <c r="W91" s="57">
        <f t="shared" si="27"/>
        <v>1</v>
      </c>
      <c r="X91" s="57">
        <f t="shared" si="27"/>
        <v>1</v>
      </c>
      <c r="Y91" s="57">
        <f t="shared" si="27"/>
        <v>1</v>
      </c>
      <c r="Z91" s="57">
        <f t="shared" si="27"/>
        <v>1</v>
      </c>
    </row>
    <row r="92" spans="8:26" x14ac:dyDescent="0.25">
      <c r="H92" s="60" t="s">
        <v>277</v>
      </c>
      <c r="I92" s="61">
        <v>0.05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3">
        <v>1</v>
      </c>
      <c r="R92" s="60" t="s">
        <v>277</v>
      </c>
      <c r="S92" s="61">
        <f>I92</f>
        <v>0.05</v>
      </c>
      <c r="T92" s="50">
        <f t="shared" si="27"/>
        <v>1</v>
      </c>
      <c r="U92" s="50">
        <f t="shared" si="27"/>
        <v>1</v>
      </c>
      <c r="V92" s="50">
        <f t="shared" si="27"/>
        <v>1</v>
      </c>
      <c r="W92" s="50">
        <f t="shared" si="27"/>
        <v>1</v>
      </c>
      <c r="X92" s="50">
        <f t="shared" si="27"/>
        <v>1</v>
      </c>
      <c r="Y92" s="50">
        <f t="shared" si="27"/>
        <v>1</v>
      </c>
      <c r="Z92" s="50">
        <f t="shared" si="27"/>
        <v>1</v>
      </c>
    </row>
    <row r="93" spans="8:26" x14ac:dyDescent="0.25">
      <c r="H93"/>
      <c r="I93" s="62" t="s">
        <v>299</v>
      </c>
      <c r="J93" s="63" t="e">
        <f t="shared" ref="J93:P93" si="28">SUMPRODUCT(J83:J90,$I$83:$I$90)</f>
        <v>#REF!</v>
      </c>
      <c r="K93" s="63" t="e">
        <f t="shared" si="28"/>
        <v>#REF!</v>
      </c>
      <c r="L93" s="63" t="e">
        <f t="shared" si="28"/>
        <v>#REF!</v>
      </c>
      <c r="M93" s="63" t="e">
        <f t="shared" si="28"/>
        <v>#REF!</v>
      </c>
      <c r="N93" s="63" t="e">
        <f t="shared" si="28"/>
        <v>#REF!</v>
      </c>
      <c r="O93" s="63" t="e">
        <f t="shared" si="28"/>
        <v>#REF!</v>
      </c>
      <c r="P93" s="63" t="e">
        <f t="shared" si="28"/>
        <v>#REF!</v>
      </c>
      <c r="R93"/>
      <c r="S93" s="62" t="s">
        <v>300</v>
      </c>
      <c r="T93" s="63" t="e">
        <f t="shared" ref="T93:Z94" si="29">J93/1000000</f>
        <v>#REF!</v>
      </c>
      <c r="U93" s="63" t="e">
        <f t="shared" si="29"/>
        <v>#REF!</v>
      </c>
      <c r="V93" s="63" t="e">
        <f t="shared" si="29"/>
        <v>#REF!</v>
      </c>
      <c r="W93" s="63" t="e">
        <f t="shared" si="29"/>
        <v>#REF!</v>
      </c>
      <c r="X93" s="63" t="e">
        <f t="shared" si="29"/>
        <v>#REF!</v>
      </c>
      <c r="Y93" s="63" t="e">
        <f t="shared" si="29"/>
        <v>#REF!</v>
      </c>
      <c r="Z93" s="63" t="e">
        <f t="shared" si="29"/>
        <v>#REF!</v>
      </c>
    </row>
    <row r="94" spans="8:26" x14ac:dyDescent="0.25">
      <c r="H94"/>
      <c r="I94" s="62" t="s">
        <v>301</v>
      </c>
      <c r="J94" s="64" t="e">
        <f t="shared" ref="J94:P94" si="30">J93+$I$91+$I$92*J93</f>
        <v>#REF!</v>
      </c>
      <c r="K94" s="64" t="e">
        <f t="shared" si="30"/>
        <v>#REF!</v>
      </c>
      <c r="L94" s="64" t="e">
        <f t="shared" si="30"/>
        <v>#REF!</v>
      </c>
      <c r="M94" s="64" t="e">
        <f t="shared" si="30"/>
        <v>#REF!</v>
      </c>
      <c r="N94" s="64" t="e">
        <f t="shared" si="30"/>
        <v>#REF!</v>
      </c>
      <c r="O94" s="64" t="e">
        <f t="shared" si="30"/>
        <v>#REF!</v>
      </c>
      <c r="P94" s="64" t="e">
        <f t="shared" si="30"/>
        <v>#REF!</v>
      </c>
      <c r="R94"/>
      <c r="S94" s="62" t="s">
        <v>302</v>
      </c>
      <c r="T94" s="63" t="e">
        <f t="shared" si="29"/>
        <v>#REF!</v>
      </c>
      <c r="U94" s="63" t="e">
        <f t="shared" si="29"/>
        <v>#REF!</v>
      </c>
      <c r="V94" s="63" t="e">
        <f t="shared" si="29"/>
        <v>#REF!</v>
      </c>
      <c r="W94" s="63" t="e">
        <f t="shared" si="29"/>
        <v>#REF!</v>
      </c>
      <c r="X94" s="63" t="e">
        <f t="shared" si="29"/>
        <v>#REF!</v>
      </c>
      <c r="Y94" s="63" t="e">
        <f t="shared" si="29"/>
        <v>#REF!</v>
      </c>
      <c r="Z94" s="63" t="e">
        <f t="shared" si="29"/>
        <v>#REF!</v>
      </c>
    </row>
    <row r="95" spans="8:26" x14ac:dyDescent="0.25">
      <c r="H95"/>
      <c r="I95" s="62" t="s">
        <v>278</v>
      </c>
      <c r="J95" s="63" t="e">
        <f t="shared" ref="J95:P95" si="31">J93/$D$6</f>
        <v>#REF!</v>
      </c>
      <c r="K95" s="63" t="e">
        <f t="shared" si="31"/>
        <v>#REF!</v>
      </c>
      <c r="L95" s="63" t="e">
        <f t="shared" si="31"/>
        <v>#REF!</v>
      </c>
      <c r="M95" s="63" t="e">
        <f t="shared" si="31"/>
        <v>#REF!</v>
      </c>
      <c r="N95" s="63" t="e">
        <f t="shared" si="31"/>
        <v>#REF!</v>
      </c>
      <c r="O95" s="63" t="e">
        <f t="shared" si="31"/>
        <v>#REF!</v>
      </c>
      <c r="P95" s="63" t="e">
        <f t="shared" si="31"/>
        <v>#REF!</v>
      </c>
      <c r="R95"/>
      <c r="S95" s="62" t="s">
        <v>278</v>
      </c>
      <c r="T95" s="63" t="e">
        <f t="shared" ref="T95:Z95" si="32">J95</f>
        <v>#REF!</v>
      </c>
      <c r="U95" s="63" t="e">
        <f t="shared" si="32"/>
        <v>#REF!</v>
      </c>
      <c r="V95" s="63" t="e">
        <f t="shared" si="32"/>
        <v>#REF!</v>
      </c>
      <c r="W95" s="63" t="e">
        <f t="shared" si="32"/>
        <v>#REF!</v>
      </c>
      <c r="X95" s="63" t="e">
        <f t="shared" si="32"/>
        <v>#REF!</v>
      </c>
      <c r="Y95" s="63" t="e">
        <f t="shared" si="32"/>
        <v>#REF!</v>
      </c>
      <c r="Z95" s="63" t="e">
        <f t="shared" si="32"/>
        <v>#REF!</v>
      </c>
    </row>
    <row r="96" spans="8:26" x14ac:dyDescent="0.25">
      <c r="H96"/>
      <c r="I96"/>
      <c r="J96"/>
      <c r="K96"/>
      <c r="L96"/>
      <c r="M96"/>
      <c r="N96"/>
      <c r="O96"/>
      <c r="P96"/>
      <c r="R96"/>
      <c r="S96"/>
      <c r="T96"/>
      <c r="U96"/>
      <c r="V96"/>
      <c r="W96"/>
      <c r="X96"/>
      <c r="Y96"/>
      <c r="Z96"/>
    </row>
    <row r="97" spans="8:26" x14ac:dyDescent="0.25">
      <c r="H97" s="1" t="s">
        <v>304</v>
      </c>
      <c r="I97"/>
      <c r="J97"/>
      <c r="K97"/>
      <c r="L97"/>
      <c r="M97"/>
      <c r="N97"/>
      <c r="O97"/>
      <c r="P97"/>
      <c r="R97"/>
      <c r="S97"/>
      <c r="T97"/>
      <c r="U97"/>
      <c r="V97"/>
      <c r="W97"/>
      <c r="X97"/>
      <c r="Y97"/>
      <c r="Z97"/>
    </row>
    <row r="98" spans="8:26" x14ac:dyDescent="0.25">
      <c r="H98" s="38" t="s">
        <v>249</v>
      </c>
      <c r="I98" s="39"/>
      <c r="J98" s="17" t="s">
        <v>250</v>
      </c>
      <c r="K98" s="17" t="s">
        <v>242</v>
      </c>
      <c r="L98" s="17" t="s">
        <v>247</v>
      </c>
      <c r="M98" s="17" t="s">
        <v>251</v>
      </c>
      <c r="N98" s="17" t="s">
        <v>252</v>
      </c>
      <c r="O98" s="17" t="s">
        <v>253</v>
      </c>
      <c r="P98" s="18" t="s">
        <v>254</v>
      </c>
      <c r="R98" s="38" t="s">
        <v>249</v>
      </c>
      <c r="S98" s="39"/>
      <c r="T98" s="17" t="s">
        <v>250</v>
      </c>
      <c r="U98" s="17" t="s">
        <v>242</v>
      </c>
      <c r="V98" s="17" t="s">
        <v>247</v>
      </c>
      <c r="W98" s="17" t="s">
        <v>251</v>
      </c>
      <c r="X98" s="17" t="s">
        <v>252</v>
      </c>
      <c r="Y98" s="17" t="s">
        <v>253</v>
      </c>
      <c r="Z98" s="18" t="s">
        <v>254</v>
      </c>
    </row>
    <row r="99" spans="8:26" x14ac:dyDescent="0.25">
      <c r="H99" s="20" t="s">
        <v>256</v>
      </c>
      <c r="I99" s="40"/>
      <c r="J99" s="41">
        <v>1</v>
      </c>
      <c r="K99" s="42">
        <v>0</v>
      </c>
      <c r="L99" s="42">
        <v>0</v>
      </c>
      <c r="M99" s="42">
        <v>1</v>
      </c>
      <c r="N99" s="42">
        <v>1</v>
      </c>
      <c r="O99" s="42">
        <v>0</v>
      </c>
      <c r="P99" s="43">
        <v>1</v>
      </c>
      <c r="R99" s="20" t="s">
        <v>256</v>
      </c>
      <c r="S99" s="40"/>
      <c r="T99" s="70">
        <f t="shared" ref="T99:Z101" si="33">J99</f>
        <v>1</v>
      </c>
      <c r="U99" s="71">
        <f t="shared" si="33"/>
        <v>0</v>
      </c>
      <c r="V99" s="71">
        <f t="shared" si="33"/>
        <v>0</v>
      </c>
      <c r="W99" s="71">
        <f t="shared" si="33"/>
        <v>1</v>
      </c>
      <c r="X99" s="71">
        <f t="shared" si="33"/>
        <v>1</v>
      </c>
      <c r="Y99" s="71">
        <f t="shared" si="33"/>
        <v>0</v>
      </c>
      <c r="Z99" s="72">
        <f t="shared" si="33"/>
        <v>1</v>
      </c>
    </row>
    <row r="100" spans="8:26" x14ac:dyDescent="0.25">
      <c r="H100" s="20" t="s">
        <v>258</v>
      </c>
      <c r="I100" s="40"/>
      <c r="J100" s="41">
        <v>0</v>
      </c>
      <c r="K100" s="42">
        <v>1</v>
      </c>
      <c r="L100" s="42">
        <v>0</v>
      </c>
      <c r="M100" s="42">
        <v>1</v>
      </c>
      <c r="N100" s="42">
        <v>0</v>
      </c>
      <c r="O100" s="42">
        <v>1</v>
      </c>
      <c r="P100" s="43">
        <v>1</v>
      </c>
      <c r="R100" s="20" t="s">
        <v>258</v>
      </c>
      <c r="S100" s="40"/>
      <c r="T100" s="41">
        <f t="shared" si="33"/>
        <v>0</v>
      </c>
      <c r="U100" s="42">
        <f t="shared" si="33"/>
        <v>1</v>
      </c>
      <c r="V100" s="42">
        <f t="shared" si="33"/>
        <v>0</v>
      </c>
      <c r="W100" s="42">
        <f t="shared" si="33"/>
        <v>1</v>
      </c>
      <c r="X100" s="42">
        <f t="shared" si="33"/>
        <v>0</v>
      </c>
      <c r="Y100" s="42">
        <f t="shared" si="33"/>
        <v>1</v>
      </c>
      <c r="Z100" s="43">
        <f t="shared" si="33"/>
        <v>1</v>
      </c>
    </row>
    <row r="101" spans="8:26" x14ac:dyDescent="0.25">
      <c r="H101" s="21" t="s">
        <v>259</v>
      </c>
      <c r="I101" s="44"/>
      <c r="J101" s="41">
        <v>0</v>
      </c>
      <c r="K101" s="42">
        <v>0</v>
      </c>
      <c r="L101" s="42">
        <v>1</v>
      </c>
      <c r="M101" s="42">
        <v>0</v>
      </c>
      <c r="N101" s="42">
        <v>1</v>
      </c>
      <c r="O101" s="42">
        <v>1</v>
      </c>
      <c r="P101" s="43">
        <v>1</v>
      </c>
      <c r="R101" s="21" t="s">
        <v>259</v>
      </c>
      <c r="S101" s="44"/>
      <c r="T101" s="41">
        <f t="shared" si="33"/>
        <v>0</v>
      </c>
      <c r="U101" s="42">
        <f t="shared" si="33"/>
        <v>0</v>
      </c>
      <c r="V101" s="42">
        <f t="shared" si="33"/>
        <v>1</v>
      </c>
      <c r="W101" s="42">
        <f t="shared" si="33"/>
        <v>0</v>
      </c>
      <c r="X101" s="42">
        <f t="shared" si="33"/>
        <v>1</v>
      </c>
      <c r="Y101" s="42">
        <f t="shared" si="33"/>
        <v>1</v>
      </c>
      <c r="Z101" s="43">
        <f t="shared" si="33"/>
        <v>1</v>
      </c>
    </row>
    <row r="102" spans="8:26" x14ac:dyDescent="0.25">
      <c r="H102" s="45" t="s">
        <v>260</v>
      </c>
      <c r="I102" s="46" t="s">
        <v>261</v>
      </c>
      <c r="J102" s="47"/>
      <c r="K102" s="47"/>
      <c r="L102" s="47"/>
      <c r="M102" s="47"/>
      <c r="N102" s="47"/>
      <c r="O102" s="47"/>
      <c r="P102" s="47"/>
      <c r="R102" s="45" t="s">
        <v>260</v>
      </c>
      <c r="S102" s="46" t="s">
        <v>261</v>
      </c>
      <c r="T102" s="47"/>
      <c r="U102" s="47"/>
      <c r="V102" s="47"/>
      <c r="W102" s="47"/>
      <c r="X102" s="47"/>
      <c r="Y102" s="47"/>
      <c r="Z102" s="47"/>
    </row>
    <row r="103" spans="8:26" x14ac:dyDescent="0.25">
      <c r="H103" s="48" t="str">
        <f>"Baseline Facility ("&amp;ROUND(D100/1000,0)&amp;" kt/y)"</f>
        <v>Baseline Facility (0 kt/y)</v>
      </c>
      <c r="I103" s="49">
        <v>390100000</v>
      </c>
      <c r="J103" s="50">
        <v>1</v>
      </c>
      <c r="K103" s="50">
        <v>1</v>
      </c>
      <c r="L103" s="50">
        <v>1</v>
      </c>
      <c r="M103" s="50">
        <v>1</v>
      </c>
      <c r="N103" s="50">
        <v>1</v>
      </c>
      <c r="O103" s="50">
        <v>1</v>
      </c>
      <c r="P103" s="51">
        <v>1</v>
      </c>
      <c r="R103" s="48" t="str">
        <f>"Baseline Facility ("&amp;ROUND(D100/1000,0)&amp;" kt/y)"</f>
        <v>Baseline Facility (0 kt/y)</v>
      </c>
      <c r="S103" s="49">
        <f t="shared" ref="S103:Z110" si="34">I103</f>
        <v>390100000</v>
      </c>
      <c r="T103" s="50">
        <f t="shared" si="34"/>
        <v>1</v>
      </c>
      <c r="U103" s="50">
        <f t="shared" si="34"/>
        <v>1</v>
      </c>
      <c r="V103" s="50">
        <f t="shared" si="34"/>
        <v>1</v>
      </c>
      <c r="W103" s="50">
        <f t="shared" si="34"/>
        <v>1</v>
      </c>
      <c r="X103" s="50">
        <f t="shared" si="34"/>
        <v>1</v>
      </c>
      <c r="Y103" s="50">
        <f t="shared" si="34"/>
        <v>1</v>
      </c>
      <c r="Z103" s="50">
        <f t="shared" si="34"/>
        <v>1</v>
      </c>
    </row>
    <row r="104" spans="8:26" x14ac:dyDescent="0.25">
      <c r="H104" s="48" t="s">
        <v>264</v>
      </c>
      <c r="I104" s="49">
        <v>236691000</v>
      </c>
      <c r="J104" s="52">
        <f t="shared" ref="J104:P104" si="35">IF(OR(J99=1,J101=1),1,0)</f>
        <v>1</v>
      </c>
      <c r="K104" s="52">
        <f t="shared" si="35"/>
        <v>0</v>
      </c>
      <c r="L104" s="52">
        <f t="shared" si="35"/>
        <v>1</v>
      </c>
      <c r="M104" s="52">
        <f t="shared" si="35"/>
        <v>1</v>
      </c>
      <c r="N104" s="52">
        <f t="shared" si="35"/>
        <v>1</v>
      </c>
      <c r="O104" s="52">
        <f t="shared" si="35"/>
        <v>1</v>
      </c>
      <c r="P104" s="53">
        <f t="shared" si="35"/>
        <v>1</v>
      </c>
      <c r="R104" s="48" t="s">
        <v>297</v>
      </c>
      <c r="S104" s="49">
        <f t="shared" si="34"/>
        <v>236691000</v>
      </c>
      <c r="T104" s="50">
        <f t="shared" si="34"/>
        <v>1</v>
      </c>
      <c r="U104" s="50">
        <f t="shared" si="34"/>
        <v>0</v>
      </c>
      <c r="V104" s="50">
        <f t="shared" si="34"/>
        <v>1</v>
      </c>
      <c r="W104" s="50">
        <f t="shared" si="34"/>
        <v>1</v>
      </c>
      <c r="X104" s="50">
        <f t="shared" si="34"/>
        <v>1</v>
      </c>
      <c r="Y104" s="50">
        <f t="shared" si="34"/>
        <v>1</v>
      </c>
      <c r="Z104" s="50">
        <f t="shared" si="34"/>
        <v>1</v>
      </c>
    </row>
    <row r="105" spans="8:26" x14ac:dyDescent="0.25">
      <c r="H105" s="48" t="s">
        <v>248</v>
      </c>
      <c r="I105" s="49" t="e">
        <f>SUM(G42)*1000000</f>
        <v>#REF!</v>
      </c>
      <c r="J105" s="52">
        <f t="shared" ref="J105:P105" si="36">IF(J101=1,1,0)</f>
        <v>0</v>
      </c>
      <c r="K105" s="52">
        <f t="shared" si="36"/>
        <v>0</v>
      </c>
      <c r="L105" s="52">
        <f t="shared" si="36"/>
        <v>1</v>
      </c>
      <c r="M105" s="52">
        <f t="shared" si="36"/>
        <v>0</v>
      </c>
      <c r="N105" s="52">
        <f t="shared" si="36"/>
        <v>1</v>
      </c>
      <c r="O105" s="52">
        <f t="shared" si="36"/>
        <v>1</v>
      </c>
      <c r="P105" s="53">
        <f t="shared" si="36"/>
        <v>1</v>
      </c>
      <c r="R105" s="48" t="s">
        <v>248</v>
      </c>
      <c r="S105" s="49" t="e">
        <f t="shared" si="34"/>
        <v>#REF!</v>
      </c>
      <c r="T105" s="50">
        <f t="shared" si="34"/>
        <v>0</v>
      </c>
      <c r="U105" s="50">
        <f t="shared" si="34"/>
        <v>0</v>
      </c>
      <c r="V105" s="50">
        <f t="shared" si="34"/>
        <v>1</v>
      </c>
      <c r="W105" s="50">
        <f t="shared" si="34"/>
        <v>0</v>
      </c>
      <c r="X105" s="50">
        <f t="shared" si="34"/>
        <v>1</v>
      </c>
      <c r="Y105" s="50">
        <f t="shared" si="34"/>
        <v>1</v>
      </c>
      <c r="Z105" s="50">
        <f t="shared" si="34"/>
        <v>1</v>
      </c>
    </row>
    <row r="106" spans="8:26" x14ac:dyDescent="0.25">
      <c r="H106" s="48" t="s">
        <v>267</v>
      </c>
      <c r="I106" s="49" t="e">
        <f>SUM(G44:G46)*1000000</f>
        <v>#REF!</v>
      </c>
      <c r="J106" s="52">
        <f t="shared" ref="J106:P106" si="37">IF(J100=1,1,0)</f>
        <v>0</v>
      </c>
      <c r="K106" s="52">
        <f t="shared" si="37"/>
        <v>1</v>
      </c>
      <c r="L106" s="52">
        <f t="shared" si="37"/>
        <v>0</v>
      </c>
      <c r="M106" s="52">
        <f t="shared" si="37"/>
        <v>1</v>
      </c>
      <c r="N106" s="52">
        <f t="shared" si="37"/>
        <v>0</v>
      </c>
      <c r="O106" s="52">
        <f t="shared" si="37"/>
        <v>1</v>
      </c>
      <c r="P106" s="53">
        <f t="shared" si="37"/>
        <v>1</v>
      </c>
      <c r="R106" s="48" t="s">
        <v>267</v>
      </c>
      <c r="S106" s="49" t="e">
        <f t="shared" si="34"/>
        <v>#REF!</v>
      </c>
      <c r="T106" s="50">
        <f t="shared" si="34"/>
        <v>0</v>
      </c>
      <c r="U106" s="50">
        <f t="shared" si="34"/>
        <v>1</v>
      </c>
      <c r="V106" s="50">
        <f t="shared" si="34"/>
        <v>0</v>
      </c>
      <c r="W106" s="50">
        <f t="shared" si="34"/>
        <v>1</v>
      </c>
      <c r="X106" s="50">
        <f t="shared" si="34"/>
        <v>0</v>
      </c>
      <c r="Y106" s="50">
        <f t="shared" si="34"/>
        <v>1</v>
      </c>
      <c r="Z106" s="50">
        <f t="shared" si="34"/>
        <v>1</v>
      </c>
    </row>
    <row r="107" spans="8:26" x14ac:dyDescent="0.25">
      <c r="H107" s="48" t="s">
        <v>269</v>
      </c>
      <c r="I107" s="49" t="e">
        <f>G38*1000000</f>
        <v>#REF!</v>
      </c>
      <c r="J107" s="52">
        <f t="shared" ref="J107:P107" si="38">IF(J99=1,1,0)</f>
        <v>1</v>
      </c>
      <c r="K107" s="52">
        <f t="shared" si="38"/>
        <v>0</v>
      </c>
      <c r="L107" s="52">
        <f t="shared" si="38"/>
        <v>0</v>
      </c>
      <c r="M107" s="52">
        <f t="shared" si="38"/>
        <v>1</v>
      </c>
      <c r="N107" s="52">
        <f t="shared" si="38"/>
        <v>1</v>
      </c>
      <c r="O107" s="52">
        <f t="shared" si="38"/>
        <v>0</v>
      </c>
      <c r="P107" s="53">
        <f t="shared" si="38"/>
        <v>1</v>
      </c>
      <c r="R107" s="48" t="s">
        <v>298</v>
      </c>
      <c r="S107" s="49" t="e">
        <f t="shared" si="34"/>
        <v>#REF!</v>
      </c>
      <c r="T107" s="50">
        <f t="shared" si="34"/>
        <v>1</v>
      </c>
      <c r="U107" s="50">
        <f t="shared" si="34"/>
        <v>0</v>
      </c>
      <c r="V107" s="50">
        <f t="shared" si="34"/>
        <v>0</v>
      </c>
      <c r="W107" s="50">
        <f t="shared" si="34"/>
        <v>1</v>
      </c>
      <c r="X107" s="50">
        <f t="shared" si="34"/>
        <v>1</v>
      </c>
      <c r="Y107" s="50">
        <f t="shared" si="34"/>
        <v>0</v>
      </c>
      <c r="Z107" s="50">
        <f t="shared" si="34"/>
        <v>1</v>
      </c>
    </row>
    <row r="108" spans="8:26" x14ac:dyDescent="0.25">
      <c r="H108" s="48" t="s">
        <v>271</v>
      </c>
      <c r="I108" s="49" t="e">
        <f>K38*1000000</f>
        <v>#REF!</v>
      </c>
      <c r="J108" s="52">
        <f t="shared" ref="J108:P108" si="39">IF(AND(J101=1,J99=0),1,0)</f>
        <v>0</v>
      </c>
      <c r="K108" s="52">
        <f t="shared" si="39"/>
        <v>0</v>
      </c>
      <c r="L108" s="52">
        <f t="shared" si="39"/>
        <v>1</v>
      </c>
      <c r="M108" s="52">
        <f t="shared" si="39"/>
        <v>0</v>
      </c>
      <c r="N108" s="52">
        <f t="shared" si="39"/>
        <v>0</v>
      </c>
      <c r="O108" s="52">
        <f t="shared" si="39"/>
        <v>1</v>
      </c>
      <c r="P108" s="53">
        <f t="shared" si="39"/>
        <v>0</v>
      </c>
      <c r="R108" s="48" t="s">
        <v>284</v>
      </c>
      <c r="S108" s="49" t="e">
        <f t="shared" si="34"/>
        <v>#REF!</v>
      </c>
      <c r="T108" s="50">
        <f t="shared" si="34"/>
        <v>0</v>
      </c>
      <c r="U108" s="50">
        <f t="shared" si="34"/>
        <v>0</v>
      </c>
      <c r="V108" s="50">
        <f t="shared" si="34"/>
        <v>1</v>
      </c>
      <c r="W108" s="50">
        <f t="shared" si="34"/>
        <v>0</v>
      </c>
      <c r="X108" s="50">
        <f t="shared" si="34"/>
        <v>0</v>
      </c>
      <c r="Y108" s="50">
        <f t="shared" si="34"/>
        <v>1</v>
      </c>
      <c r="Z108" s="50">
        <f t="shared" si="34"/>
        <v>0</v>
      </c>
    </row>
    <row r="109" spans="8:26" x14ac:dyDescent="0.25">
      <c r="H109" s="48" t="s">
        <v>273</v>
      </c>
      <c r="I109" s="49" t="e">
        <f>G47*1000000</f>
        <v>#REF!</v>
      </c>
      <c r="J109" s="52">
        <f t="shared" ref="J109:P109" si="40">IF(J100=1,1,0)</f>
        <v>0</v>
      </c>
      <c r="K109" s="52">
        <f t="shared" si="40"/>
        <v>1</v>
      </c>
      <c r="L109" s="52">
        <f t="shared" si="40"/>
        <v>0</v>
      </c>
      <c r="M109" s="52">
        <f t="shared" si="40"/>
        <v>1</v>
      </c>
      <c r="N109" s="52">
        <f t="shared" si="40"/>
        <v>0</v>
      </c>
      <c r="O109" s="52">
        <f t="shared" si="40"/>
        <v>1</v>
      </c>
      <c r="P109" s="53">
        <f t="shared" si="40"/>
        <v>1</v>
      </c>
      <c r="R109" s="48" t="s">
        <v>273</v>
      </c>
      <c r="S109" s="49" t="e">
        <f t="shared" si="34"/>
        <v>#REF!</v>
      </c>
      <c r="T109" s="50">
        <f t="shared" si="34"/>
        <v>0</v>
      </c>
      <c r="U109" s="50">
        <f t="shared" si="34"/>
        <v>1</v>
      </c>
      <c r="V109" s="50">
        <f t="shared" si="34"/>
        <v>0</v>
      </c>
      <c r="W109" s="50">
        <f t="shared" si="34"/>
        <v>1</v>
      </c>
      <c r="X109" s="50">
        <f t="shared" si="34"/>
        <v>0</v>
      </c>
      <c r="Y109" s="50">
        <f t="shared" si="34"/>
        <v>1</v>
      </c>
      <c r="Z109" s="50">
        <f t="shared" si="34"/>
        <v>1</v>
      </c>
    </row>
    <row r="110" spans="8:26" x14ac:dyDescent="0.25">
      <c r="H110" s="48" t="s">
        <v>275</v>
      </c>
      <c r="I110" s="49" t="e">
        <f>K47*1000000</f>
        <v>#REF!</v>
      </c>
      <c r="J110" s="54">
        <f t="shared" ref="J110:P110" si="41">IF(AND(J101=1,J100=0),1,0)</f>
        <v>0</v>
      </c>
      <c r="K110" s="54">
        <f t="shared" si="41"/>
        <v>0</v>
      </c>
      <c r="L110" s="54">
        <f t="shared" si="41"/>
        <v>1</v>
      </c>
      <c r="M110" s="54">
        <f t="shared" si="41"/>
        <v>0</v>
      </c>
      <c r="N110" s="54">
        <f t="shared" si="41"/>
        <v>1</v>
      </c>
      <c r="O110" s="54">
        <f t="shared" si="41"/>
        <v>0</v>
      </c>
      <c r="P110" s="54">
        <f t="shared" si="41"/>
        <v>0</v>
      </c>
      <c r="R110" s="48" t="s">
        <v>275</v>
      </c>
      <c r="S110" s="49" t="e">
        <f t="shared" si="34"/>
        <v>#REF!</v>
      </c>
      <c r="T110" s="73">
        <f t="shared" si="34"/>
        <v>0</v>
      </c>
      <c r="U110" s="73">
        <f t="shared" si="34"/>
        <v>0</v>
      </c>
      <c r="V110" s="73">
        <f t="shared" si="34"/>
        <v>1</v>
      </c>
      <c r="W110" s="73">
        <f t="shared" si="34"/>
        <v>0</v>
      </c>
      <c r="X110" s="73">
        <f t="shared" si="34"/>
        <v>1</v>
      </c>
      <c r="Y110" s="73">
        <f t="shared" si="34"/>
        <v>0</v>
      </c>
      <c r="Z110" s="73">
        <f t="shared" si="34"/>
        <v>0</v>
      </c>
    </row>
    <row r="111" spans="8:26" x14ac:dyDescent="0.25">
      <c r="H111" s="55" t="s">
        <v>188</v>
      </c>
      <c r="I111" s="56">
        <v>22800000</v>
      </c>
      <c r="J111" s="57">
        <v>1</v>
      </c>
      <c r="K111" s="57">
        <v>1</v>
      </c>
      <c r="L111" s="57">
        <v>1</v>
      </c>
      <c r="M111" s="57">
        <v>1</v>
      </c>
      <c r="N111" s="57">
        <v>1</v>
      </c>
      <c r="O111" s="57">
        <v>1</v>
      </c>
      <c r="P111" s="58">
        <v>1</v>
      </c>
      <c r="R111" s="55" t="s">
        <v>188</v>
      </c>
      <c r="S111" s="56">
        <v>22800000</v>
      </c>
      <c r="T111" s="57">
        <f t="shared" ref="T111:Z112" si="42">J111</f>
        <v>1</v>
      </c>
      <c r="U111" s="57">
        <f t="shared" si="42"/>
        <v>1</v>
      </c>
      <c r="V111" s="57">
        <f t="shared" si="42"/>
        <v>1</v>
      </c>
      <c r="W111" s="57">
        <f t="shared" si="42"/>
        <v>1</v>
      </c>
      <c r="X111" s="57">
        <f t="shared" si="42"/>
        <v>1</v>
      </c>
      <c r="Y111" s="57">
        <f t="shared" si="42"/>
        <v>1</v>
      </c>
      <c r="Z111" s="57">
        <f t="shared" si="42"/>
        <v>1</v>
      </c>
    </row>
    <row r="112" spans="8:26" x14ac:dyDescent="0.25">
      <c r="H112" s="60" t="s">
        <v>277</v>
      </c>
      <c r="I112" s="61">
        <v>0.05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3">
        <v>1</v>
      </c>
      <c r="R112" s="60" t="s">
        <v>277</v>
      </c>
      <c r="S112" s="61">
        <f>I112</f>
        <v>0.05</v>
      </c>
      <c r="T112" s="50">
        <f t="shared" si="42"/>
        <v>1</v>
      </c>
      <c r="U112" s="50">
        <f t="shared" si="42"/>
        <v>1</v>
      </c>
      <c r="V112" s="50">
        <f t="shared" si="42"/>
        <v>1</v>
      </c>
      <c r="W112" s="50">
        <f t="shared" si="42"/>
        <v>1</v>
      </c>
      <c r="X112" s="50">
        <f t="shared" si="42"/>
        <v>1</v>
      </c>
      <c r="Y112" s="50">
        <f t="shared" si="42"/>
        <v>1</v>
      </c>
      <c r="Z112" s="50">
        <f t="shared" si="42"/>
        <v>1</v>
      </c>
    </row>
    <row r="113" spans="9:26" x14ac:dyDescent="0.25">
      <c r="I113" s="62" t="s">
        <v>299</v>
      </c>
      <c r="J113" s="63" t="e">
        <f t="shared" ref="J113:P113" si="43">SUMPRODUCT(J103:J110,$I$103:$I$110)</f>
        <v>#REF!</v>
      </c>
      <c r="K113" s="63" t="e">
        <f t="shared" si="43"/>
        <v>#REF!</v>
      </c>
      <c r="L113" s="63" t="e">
        <f t="shared" si="43"/>
        <v>#REF!</v>
      </c>
      <c r="M113" s="63" t="e">
        <f t="shared" si="43"/>
        <v>#REF!</v>
      </c>
      <c r="N113" s="63" t="e">
        <f t="shared" si="43"/>
        <v>#REF!</v>
      </c>
      <c r="O113" s="63" t="e">
        <f t="shared" si="43"/>
        <v>#REF!</v>
      </c>
      <c r="P113" s="63" t="e">
        <f t="shared" si="43"/>
        <v>#REF!</v>
      </c>
      <c r="S113" s="62" t="s">
        <v>300</v>
      </c>
      <c r="T113" s="63" t="e">
        <f t="shared" ref="T113:Z114" si="44">J113/1000000</f>
        <v>#REF!</v>
      </c>
      <c r="U113" s="63" t="e">
        <f t="shared" si="44"/>
        <v>#REF!</v>
      </c>
      <c r="V113" s="63" t="e">
        <f t="shared" si="44"/>
        <v>#REF!</v>
      </c>
      <c r="W113" s="63" t="e">
        <f t="shared" si="44"/>
        <v>#REF!</v>
      </c>
      <c r="X113" s="63" t="e">
        <f t="shared" si="44"/>
        <v>#REF!</v>
      </c>
      <c r="Y113" s="63" t="e">
        <f t="shared" si="44"/>
        <v>#REF!</v>
      </c>
      <c r="Z113" s="63" t="e">
        <f t="shared" si="44"/>
        <v>#REF!</v>
      </c>
    </row>
    <row r="114" spans="9:26" x14ac:dyDescent="0.25">
      <c r="I114" s="62" t="s">
        <v>301</v>
      </c>
      <c r="J114" s="64" t="e">
        <f t="shared" ref="J114:P114" si="45">J113+$I$111+$I$112*J113</f>
        <v>#REF!</v>
      </c>
      <c r="K114" s="64" t="e">
        <f t="shared" si="45"/>
        <v>#REF!</v>
      </c>
      <c r="L114" s="64" t="e">
        <f t="shared" si="45"/>
        <v>#REF!</v>
      </c>
      <c r="M114" s="64" t="e">
        <f t="shared" si="45"/>
        <v>#REF!</v>
      </c>
      <c r="N114" s="64" t="e">
        <f t="shared" si="45"/>
        <v>#REF!</v>
      </c>
      <c r="O114" s="64" t="e">
        <f t="shared" si="45"/>
        <v>#REF!</v>
      </c>
      <c r="P114" s="64" t="e">
        <f t="shared" si="45"/>
        <v>#REF!</v>
      </c>
      <c r="S114" s="62" t="s">
        <v>302</v>
      </c>
      <c r="T114" s="63" t="e">
        <f t="shared" si="44"/>
        <v>#REF!</v>
      </c>
      <c r="U114" s="63" t="e">
        <f t="shared" si="44"/>
        <v>#REF!</v>
      </c>
      <c r="V114" s="63" t="e">
        <f t="shared" si="44"/>
        <v>#REF!</v>
      </c>
      <c r="W114" s="63" t="e">
        <f t="shared" si="44"/>
        <v>#REF!</v>
      </c>
      <c r="X114" s="63" t="e">
        <f t="shared" si="44"/>
        <v>#REF!</v>
      </c>
      <c r="Y114" s="63" t="e">
        <f t="shared" si="44"/>
        <v>#REF!</v>
      </c>
      <c r="Z114" s="63" t="e">
        <f t="shared" si="44"/>
        <v>#REF!</v>
      </c>
    </row>
    <row r="115" spans="9:26" x14ac:dyDescent="0.25">
      <c r="I115" s="62" t="s">
        <v>278</v>
      </c>
      <c r="J115" s="63" t="e">
        <f t="shared" ref="J115:P115" si="46">J113/$D$6</f>
        <v>#REF!</v>
      </c>
      <c r="K115" s="63" t="e">
        <f t="shared" si="46"/>
        <v>#REF!</v>
      </c>
      <c r="L115" s="63" t="e">
        <f t="shared" si="46"/>
        <v>#REF!</v>
      </c>
      <c r="M115" s="63" t="e">
        <f t="shared" si="46"/>
        <v>#REF!</v>
      </c>
      <c r="N115" s="63" t="e">
        <f t="shared" si="46"/>
        <v>#REF!</v>
      </c>
      <c r="O115" s="63" t="e">
        <f t="shared" si="46"/>
        <v>#REF!</v>
      </c>
      <c r="P115" s="63" t="e">
        <f t="shared" si="46"/>
        <v>#REF!</v>
      </c>
      <c r="S115" s="62" t="s">
        <v>278</v>
      </c>
      <c r="T115" s="63" t="e">
        <f t="shared" ref="T115:Z115" si="47">J115</f>
        <v>#REF!</v>
      </c>
      <c r="U115" s="63" t="e">
        <f t="shared" si="47"/>
        <v>#REF!</v>
      </c>
      <c r="V115" s="63" t="e">
        <f t="shared" si="47"/>
        <v>#REF!</v>
      </c>
      <c r="W115" s="63" t="e">
        <f t="shared" si="47"/>
        <v>#REF!</v>
      </c>
      <c r="X115" s="63" t="e">
        <f t="shared" si="47"/>
        <v>#REF!</v>
      </c>
      <c r="Y115" s="63" t="e">
        <f t="shared" si="47"/>
        <v>#REF!</v>
      </c>
      <c r="Z115" s="63" t="e">
        <f t="shared" si="47"/>
        <v>#REF!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MK61"/>
  <sheetViews>
    <sheetView workbookViewId="0"/>
  </sheetViews>
  <sheetFormatPr defaultColWidth="8.85546875" defaultRowHeight="15" x14ac:dyDescent="0.25"/>
  <cols>
    <col min="1" max="1025" width="8.85546875" style="1"/>
  </cols>
  <sheetData>
    <row r="1" spans="1:21" x14ac:dyDescent="0.25">
      <c r="A1" s="24" t="s">
        <v>318</v>
      </c>
      <c r="B1"/>
      <c r="C1"/>
      <c r="D1"/>
      <c r="E1" s="1" t="s">
        <v>319</v>
      </c>
      <c r="F1" s="34" t="s">
        <v>320</v>
      </c>
      <c r="G1"/>
      <c r="H1"/>
      <c r="I1"/>
      <c r="J1" s="75" t="s">
        <v>250</v>
      </c>
      <c r="K1"/>
      <c r="L1"/>
      <c r="M1"/>
      <c r="N1" s="75" t="s">
        <v>242</v>
      </c>
      <c r="O1"/>
      <c r="P1"/>
      <c r="Q1"/>
      <c r="R1" s="75" t="s">
        <v>247</v>
      </c>
      <c r="S1"/>
      <c r="T1"/>
      <c r="U1"/>
    </row>
    <row r="2" spans="1:21" x14ac:dyDescent="0.25">
      <c r="A2" s="16" t="s">
        <v>321</v>
      </c>
      <c r="B2" s="29">
        <v>0.9</v>
      </c>
      <c r="C2" s="22"/>
      <c r="D2" s="22"/>
      <c r="E2" s="76">
        <v>0.03</v>
      </c>
      <c r="F2" s="74"/>
      <c r="G2" s="65"/>
      <c r="H2" s="22"/>
      <c r="I2" s="22" t="s">
        <v>322</v>
      </c>
      <c r="J2" s="22">
        <v>0.46753246753246802</v>
      </c>
      <c r="K2" s="22">
        <v>1.13886113886114</v>
      </c>
      <c r="L2" s="22">
        <v>1.3986013986014001</v>
      </c>
      <c r="M2" s="22">
        <v>0.99500499500499495</v>
      </c>
      <c r="N2" s="22">
        <v>0.46753246753246802</v>
      </c>
      <c r="O2" s="22">
        <v>1.13886113886114</v>
      </c>
      <c r="P2" s="22">
        <v>1.3986013986014001</v>
      </c>
      <c r="Q2" s="22">
        <v>0.99500499500499495</v>
      </c>
      <c r="R2" s="22">
        <v>0.46753246753246802</v>
      </c>
      <c r="S2" s="22">
        <v>1.13886113886114</v>
      </c>
      <c r="T2" s="22">
        <v>1.3986013986014001</v>
      </c>
      <c r="U2" s="22">
        <v>0.99500499500499495</v>
      </c>
    </row>
    <row r="3" spans="1:21" x14ac:dyDescent="0.25">
      <c r="A3" s="77" t="s">
        <v>58</v>
      </c>
      <c r="B3" s="65" t="s">
        <v>323</v>
      </c>
      <c r="C3" s="65" t="s">
        <v>324</v>
      </c>
      <c r="D3" s="30" t="s">
        <v>325</v>
      </c>
      <c r="E3" s="30" t="s">
        <v>326</v>
      </c>
      <c r="F3" s="65" t="s">
        <v>250</v>
      </c>
      <c r="G3" s="65" t="s">
        <v>242</v>
      </c>
      <c r="H3" s="65" t="s">
        <v>247</v>
      </c>
      <c r="I3" s="65" t="s">
        <v>327</v>
      </c>
      <c r="J3" s="77" t="s">
        <v>313</v>
      </c>
      <c r="K3" s="65" t="s">
        <v>314</v>
      </c>
      <c r="L3" s="65" t="s">
        <v>239</v>
      </c>
      <c r="M3" s="65" t="s">
        <v>316</v>
      </c>
      <c r="N3" s="77" t="s">
        <v>313</v>
      </c>
      <c r="O3" s="65" t="s">
        <v>314</v>
      </c>
      <c r="P3" s="65" t="s">
        <v>239</v>
      </c>
      <c r="Q3" s="65" t="s">
        <v>316</v>
      </c>
      <c r="R3" s="77" t="s">
        <v>313</v>
      </c>
      <c r="S3" s="65" t="s">
        <v>314</v>
      </c>
      <c r="T3" s="65" t="s">
        <v>239</v>
      </c>
      <c r="U3" s="65" t="s">
        <v>316</v>
      </c>
    </row>
    <row r="4" spans="1:21" x14ac:dyDescent="0.25">
      <c r="A4" s="1" t="s">
        <v>328</v>
      </c>
      <c r="B4" s="1" t="s">
        <v>329</v>
      </c>
      <c r="C4" s="1" t="s">
        <v>308</v>
      </c>
      <c r="D4" s="78">
        <v>155400</v>
      </c>
      <c r="E4" s="78">
        <f t="shared" ref="E4:E24" si="0">D4*(1.03)^5</f>
        <v>180151.19114621996</v>
      </c>
      <c r="F4" s="1">
        <v>1</v>
      </c>
      <c r="G4" s="1">
        <v>1</v>
      </c>
      <c r="H4" s="1">
        <v>1</v>
      </c>
      <c r="I4" s="1">
        <v>1</v>
      </c>
      <c r="J4" s="34">
        <f t="shared" ref="J4:U13" si="1">$F4</f>
        <v>1</v>
      </c>
      <c r="K4" s="1">
        <f t="shared" si="1"/>
        <v>1</v>
      </c>
      <c r="L4" s="1">
        <f t="shared" si="1"/>
        <v>1</v>
      </c>
      <c r="M4" s="1">
        <f t="shared" si="1"/>
        <v>1</v>
      </c>
      <c r="N4" s="34">
        <f t="shared" si="1"/>
        <v>1</v>
      </c>
      <c r="O4" s="1">
        <f t="shared" si="1"/>
        <v>1</v>
      </c>
      <c r="P4" s="1">
        <f t="shared" si="1"/>
        <v>1</v>
      </c>
      <c r="Q4" s="1">
        <f t="shared" si="1"/>
        <v>1</v>
      </c>
      <c r="R4" s="34">
        <f t="shared" si="1"/>
        <v>1</v>
      </c>
      <c r="S4" s="1">
        <f t="shared" si="1"/>
        <v>1</v>
      </c>
      <c r="T4" s="1">
        <f t="shared" si="1"/>
        <v>1</v>
      </c>
      <c r="U4" s="79">
        <f t="shared" si="1"/>
        <v>1</v>
      </c>
    </row>
    <row r="5" spans="1:21" x14ac:dyDescent="0.25">
      <c r="A5" s="1" t="s">
        <v>330</v>
      </c>
      <c r="B5" s="1" t="s">
        <v>329</v>
      </c>
      <c r="C5" s="1" t="s">
        <v>308</v>
      </c>
      <c r="D5" s="78">
        <v>81935</v>
      </c>
      <c r="E5" s="78">
        <f t="shared" si="0"/>
        <v>94985.121277770493</v>
      </c>
      <c r="F5" s="1">
        <v>2</v>
      </c>
      <c r="G5" s="1">
        <v>2</v>
      </c>
      <c r="H5" s="1">
        <v>2</v>
      </c>
      <c r="I5" s="1">
        <v>2</v>
      </c>
      <c r="J5" s="34">
        <f t="shared" si="1"/>
        <v>2</v>
      </c>
      <c r="K5" s="1">
        <f t="shared" si="1"/>
        <v>2</v>
      </c>
      <c r="L5" s="1">
        <f t="shared" si="1"/>
        <v>2</v>
      </c>
      <c r="M5" s="1">
        <f t="shared" si="1"/>
        <v>2</v>
      </c>
      <c r="N5" s="34">
        <f t="shared" si="1"/>
        <v>2</v>
      </c>
      <c r="O5" s="1">
        <f t="shared" si="1"/>
        <v>2</v>
      </c>
      <c r="P5" s="1">
        <f t="shared" si="1"/>
        <v>2</v>
      </c>
      <c r="Q5" s="1">
        <f t="shared" si="1"/>
        <v>2</v>
      </c>
      <c r="R5" s="34">
        <f t="shared" si="1"/>
        <v>2</v>
      </c>
      <c r="S5" s="1">
        <f t="shared" si="1"/>
        <v>2</v>
      </c>
      <c r="T5" s="1">
        <f t="shared" si="1"/>
        <v>2</v>
      </c>
      <c r="U5" s="35">
        <f t="shared" si="1"/>
        <v>2</v>
      </c>
    </row>
    <row r="6" spans="1:21" x14ac:dyDescent="0.25">
      <c r="A6" s="1" t="s">
        <v>331</v>
      </c>
      <c r="B6" s="1" t="s">
        <v>329</v>
      </c>
      <c r="C6" s="1" t="s">
        <v>308</v>
      </c>
      <c r="D6" s="78">
        <v>83244</v>
      </c>
      <c r="E6" s="78">
        <f t="shared" si="0"/>
        <v>96502.611041029188</v>
      </c>
      <c r="F6" s="1">
        <v>2</v>
      </c>
      <c r="G6" s="1">
        <v>2</v>
      </c>
      <c r="H6" s="1">
        <v>2</v>
      </c>
      <c r="I6" s="1">
        <v>2</v>
      </c>
      <c r="J6" s="34">
        <f t="shared" si="1"/>
        <v>2</v>
      </c>
      <c r="K6" s="1">
        <f t="shared" si="1"/>
        <v>2</v>
      </c>
      <c r="L6" s="1">
        <f t="shared" si="1"/>
        <v>2</v>
      </c>
      <c r="M6" s="1">
        <f t="shared" si="1"/>
        <v>2</v>
      </c>
      <c r="N6" s="34">
        <f t="shared" si="1"/>
        <v>2</v>
      </c>
      <c r="O6" s="1">
        <f t="shared" si="1"/>
        <v>2</v>
      </c>
      <c r="P6" s="1">
        <f t="shared" si="1"/>
        <v>2</v>
      </c>
      <c r="Q6" s="1">
        <f t="shared" si="1"/>
        <v>2</v>
      </c>
      <c r="R6" s="34">
        <f t="shared" si="1"/>
        <v>2</v>
      </c>
      <c r="S6" s="1">
        <f t="shared" si="1"/>
        <v>2</v>
      </c>
      <c r="T6" s="1">
        <f t="shared" si="1"/>
        <v>2</v>
      </c>
      <c r="U6" s="35">
        <f t="shared" si="1"/>
        <v>2</v>
      </c>
    </row>
    <row r="7" spans="1:21" x14ac:dyDescent="0.25">
      <c r="A7" s="1" t="s">
        <v>332</v>
      </c>
      <c r="B7" s="1" t="s">
        <v>329</v>
      </c>
      <c r="C7" s="1" t="s">
        <v>308</v>
      </c>
      <c r="D7" s="78">
        <v>60257</v>
      </c>
      <c r="E7" s="78">
        <f t="shared" si="0"/>
        <v>69854.377895095095</v>
      </c>
      <c r="F7" s="1">
        <v>1</v>
      </c>
      <c r="G7" s="1">
        <v>1</v>
      </c>
      <c r="H7" s="1">
        <v>1</v>
      </c>
      <c r="I7" s="1">
        <v>1</v>
      </c>
      <c r="J7" s="34">
        <f t="shared" si="1"/>
        <v>1</v>
      </c>
      <c r="K7" s="1">
        <f t="shared" si="1"/>
        <v>1</v>
      </c>
      <c r="L7" s="1">
        <f t="shared" si="1"/>
        <v>1</v>
      </c>
      <c r="M7" s="1">
        <f t="shared" si="1"/>
        <v>1</v>
      </c>
      <c r="N7" s="34">
        <f t="shared" si="1"/>
        <v>1</v>
      </c>
      <c r="O7" s="1">
        <f t="shared" si="1"/>
        <v>1</v>
      </c>
      <c r="P7" s="1">
        <f t="shared" si="1"/>
        <v>1</v>
      </c>
      <c r="Q7" s="1">
        <f t="shared" si="1"/>
        <v>1</v>
      </c>
      <c r="R7" s="34">
        <f t="shared" si="1"/>
        <v>1</v>
      </c>
      <c r="S7" s="1">
        <f t="shared" si="1"/>
        <v>1</v>
      </c>
      <c r="T7" s="1">
        <f t="shared" si="1"/>
        <v>1</v>
      </c>
      <c r="U7" s="35">
        <f t="shared" si="1"/>
        <v>1</v>
      </c>
    </row>
    <row r="8" spans="1:21" x14ac:dyDescent="0.25">
      <c r="A8" s="1" t="s">
        <v>333</v>
      </c>
      <c r="B8" s="1" t="s">
        <v>329</v>
      </c>
      <c r="C8" s="1" t="s">
        <v>308</v>
      </c>
      <c r="D8" s="78">
        <v>42286</v>
      </c>
      <c r="E8" s="78">
        <f t="shared" si="0"/>
        <v>49021.063505849794</v>
      </c>
      <c r="F8" s="1">
        <v>12</v>
      </c>
      <c r="G8" s="1">
        <v>12</v>
      </c>
      <c r="H8" s="1">
        <v>12</v>
      </c>
      <c r="I8" s="1">
        <v>12</v>
      </c>
      <c r="J8" s="34">
        <f t="shared" si="1"/>
        <v>12</v>
      </c>
      <c r="K8" s="1">
        <f t="shared" si="1"/>
        <v>12</v>
      </c>
      <c r="L8" s="1">
        <f t="shared" si="1"/>
        <v>12</v>
      </c>
      <c r="M8" s="1">
        <f t="shared" si="1"/>
        <v>12</v>
      </c>
      <c r="N8" s="34">
        <f t="shared" si="1"/>
        <v>12</v>
      </c>
      <c r="O8" s="1">
        <f t="shared" si="1"/>
        <v>12</v>
      </c>
      <c r="P8" s="1">
        <f t="shared" si="1"/>
        <v>12</v>
      </c>
      <c r="Q8" s="1">
        <f t="shared" si="1"/>
        <v>12</v>
      </c>
      <c r="R8" s="34">
        <f t="shared" si="1"/>
        <v>12</v>
      </c>
      <c r="S8" s="1">
        <f t="shared" si="1"/>
        <v>12</v>
      </c>
      <c r="T8" s="1">
        <f t="shared" si="1"/>
        <v>12</v>
      </c>
      <c r="U8" s="35">
        <f t="shared" si="1"/>
        <v>12</v>
      </c>
    </row>
    <row r="9" spans="1:21" x14ac:dyDescent="0.25">
      <c r="A9" s="1" t="s">
        <v>334</v>
      </c>
      <c r="B9" s="1" t="s">
        <v>329</v>
      </c>
      <c r="C9" s="1" t="s">
        <v>308</v>
      </c>
      <c r="D9" s="78">
        <v>59200</v>
      </c>
      <c r="E9" s="78">
        <f t="shared" si="0"/>
        <v>68629.02519855999</v>
      </c>
      <c r="F9" s="1">
        <v>1</v>
      </c>
      <c r="G9" s="1">
        <v>1</v>
      </c>
      <c r="H9" s="1">
        <v>1</v>
      </c>
      <c r="I9" s="1">
        <v>1</v>
      </c>
      <c r="J9" s="34">
        <f t="shared" si="1"/>
        <v>1</v>
      </c>
      <c r="K9" s="1">
        <f t="shared" si="1"/>
        <v>1</v>
      </c>
      <c r="L9" s="1">
        <f t="shared" si="1"/>
        <v>1</v>
      </c>
      <c r="M9" s="1">
        <f t="shared" si="1"/>
        <v>1</v>
      </c>
      <c r="N9" s="34">
        <f t="shared" si="1"/>
        <v>1</v>
      </c>
      <c r="O9" s="1">
        <f t="shared" si="1"/>
        <v>1</v>
      </c>
      <c r="P9" s="1">
        <f t="shared" si="1"/>
        <v>1</v>
      </c>
      <c r="Q9" s="1">
        <f t="shared" si="1"/>
        <v>1</v>
      </c>
      <c r="R9" s="34">
        <f t="shared" si="1"/>
        <v>1</v>
      </c>
      <c r="S9" s="1">
        <f t="shared" si="1"/>
        <v>1</v>
      </c>
      <c r="T9" s="1">
        <f t="shared" si="1"/>
        <v>1</v>
      </c>
      <c r="U9" s="35">
        <f t="shared" si="1"/>
        <v>1</v>
      </c>
    </row>
    <row r="10" spans="1:21" x14ac:dyDescent="0.25">
      <c r="A10" s="1" t="s">
        <v>335</v>
      </c>
      <c r="B10" s="1" t="s">
        <v>329</v>
      </c>
      <c r="C10" s="1" t="s">
        <v>308</v>
      </c>
      <c r="D10" s="78">
        <v>42286</v>
      </c>
      <c r="E10" s="78">
        <f t="shared" si="0"/>
        <v>49021.063505849794</v>
      </c>
      <c r="F10" s="1">
        <v>1</v>
      </c>
      <c r="G10" s="1">
        <v>1</v>
      </c>
      <c r="H10" s="1">
        <v>1</v>
      </c>
      <c r="I10" s="1">
        <v>1</v>
      </c>
      <c r="J10" s="34">
        <f t="shared" si="1"/>
        <v>1</v>
      </c>
      <c r="K10" s="1">
        <f t="shared" si="1"/>
        <v>1</v>
      </c>
      <c r="L10" s="1">
        <f t="shared" si="1"/>
        <v>1</v>
      </c>
      <c r="M10" s="1">
        <f t="shared" si="1"/>
        <v>1</v>
      </c>
      <c r="N10" s="34">
        <f t="shared" si="1"/>
        <v>1</v>
      </c>
      <c r="O10" s="1">
        <f t="shared" si="1"/>
        <v>1</v>
      </c>
      <c r="P10" s="1">
        <f t="shared" si="1"/>
        <v>1</v>
      </c>
      <c r="Q10" s="35">
        <f t="shared" si="1"/>
        <v>1</v>
      </c>
      <c r="R10" s="24">
        <f t="shared" si="1"/>
        <v>1</v>
      </c>
      <c r="S10" s="1">
        <f t="shared" si="1"/>
        <v>1</v>
      </c>
      <c r="T10" s="1">
        <f t="shared" si="1"/>
        <v>1</v>
      </c>
      <c r="U10" s="35">
        <f t="shared" si="1"/>
        <v>1</v>
      </c>
    </row>
    <row r="11" spans="1:21" x14ac:dyDescent="0.25">
      <c r="A11" s="1" t="s">
        <v>336</v>
      </c>
      <c r="B11" s="1" t="s">
        <v>337</v>
      </c>
      <c r="C11" s="1" t="s">
        <v>308</v>
      </c>
      <c r="D11" s="78">
        <v>50743</v>
      </c>
      <c r="E11" s="78">
        <f t="shared" si="0"/>
        <v>58825.044352204895</v>
      </c>
      <c r="F11" s="1">
        <v>0</v>
      </c>
      <c r="G11" s="1">
        <v>0</v>
      </c>
      <c r="H11" s="1">
        <v>0</v>
      </c>
      <c r="I11" s="1">
        <v>0</v>
      </c>
      <c r="J11" s="34">
        <f t="shared" si="1"/>
        <v>0</v>
      </c>
      <c r="K11" s="1">
        <f t="shared" si="1"/>
        <v>0</v>
      </c>
      <c r="L11" s="1">
        <f t="shared" si="1"/>
        <v>0</v>
      </c>
      <c r="M11" s="35">
        <f t="shared" si="1"/>
        <v>0</v>
      </c>
      <c r="N11" s="24">
        <f t="shared" si="1"/>
        <v>0</v>
      </c>
      <c r="O11" s="1">
        <f t="shared" si="1"/>
        <v>0</v>
      </c>
      <c r="P11" s="1">
        <f t="shared" si="1"/>
        <v>0</v>
      </c>
      <c r="Q11" s="35">
        <f t="shared" si="1"/>
        <v>0</v>
      </c>
      <c r="R11" s="24">
        <f t="shared" si="1"/>
        <v>0</v>
      </c>
      <c r="S11" s="1">
        <f t="shared" si="1"/>
        <v>0</v>
      </c>
      <c r="T11" s="1">
        <f t="shared" si="1"/>
        <v>0</v>
      </c>
      <c r="U11" s="35">
        <f t="shared" si="1"/>
        <v>0</v>
      </c>
    </row>
    <row r="12" spans="1:21" x14ac:dyDescent="0.25">
      <c r="A12" s="1" t="s">
        <v>338</v>
      </c>
      <c r="B12" s="1" t="s">
        <v>337</v>
      </c>
      <c r="C12" s="1" t="s">
        <v>308</v>
      </c>
      <c r="D12" s="78">
        <v>26872</v>
      </c>
      <c r="E12" s="78">
        <f t="shared" si="0"/>
        <v>31152.012924589595</v>
      </c>
      <c r="F12" s="1">
        <v>0</v>
      </c>
      <c r="G12" s="1">
        <v>0</v>
      </c>
      <c r="H12" s="1">
        <v>0</v>
      </c>
      <c r="I12" s="1">
        <v>0</v>
      </c>
      <c r="J12" s="34">
        <f t="shared" si="1"/>
        <v>0</v>
      </c>
      <c r="K12" s="1">
        <f t="shared" si="1"/>
        <v>0</v>
      </c>
      <c r="L12" s="1">
        <f t="shared" si="1"/>
        <v>0</v>
      </c>
      <c r="M12" s="35">
        <f t="shared" si="1"/>
        <v>0</v>
      </c>
      <c r="N12" s="24">
        <f t="shared" si="1"/>
        <v>0</v>
      </c>
      <c r="O12" s="1">
        <f t="shared" si="1"/>
        <v>0</v>
      </c>
      <c r="P12" s="1">
        <f t="shared" si="1"/>
        <v>0</v>
      </c>
      <c r="Q12" s="35">
        <f t="shared" si="1"/>
        <v>0</v>
      </c>
      <c r="R12" s="24">
        <f t="shared" si="1"/>
        <v>0</v>
      </c>
      <c r="S12" s="1">
        <f t="shared" si="1"/>
        <v>0</v>
      </c>
      <c r="T12" s="1">
        <f t="shared" si="1"/>
        <v>0</v>
      </c>
      <c r="U12" s="35">
        <f t="shared" si="1"/>
        <v>0</v>
      </c>
    </row>
    <row r="13" spans="1:21" x14ac:dyDescent="0.25">
      <c r="A13" s="1" t="s">
        <v>339</v>
      </c>
      <c r="B13" s="1" t="s">
        <v>337</v>
      </c>
      <c r="C13" s="1" t="s">
        <v>308</v>
      </c>
      <c r="D13" s="78">
        <v>44038</v>
      </c>
      <c r="E13" s="78">
        <f t="shared" si="0"/>
        <v>51052.111684023395</v>
      </c>
      <c r="F13" s="1">
        <v>0</v>
      </c>
      <c r="G13" s="1">
        <v>0</v>
      </c>
      <c r="H13" s="1">
        <v>0</v>
      </c>
      <c r="I13" s="35">
        <v>0</v>
      </c>
      <c r="J13" s="24">
        <f t="shared" si="1"/>
        <v>0</v>
      </c>
      <c r="K13" s="1">
        <f t="shared" si="1"/>
        <v>0</v>
      </c>
      <c r="L13" s="1">
        <f t="shared" si="1"/>
        <v>0</v>
      </c>
      <c r="M13" s="35">
        <f t="shared" si="1"/>
        <v>0</v>
      </c>
      <c r="N13" s="24">
        <f t="shared" si="1"/>
        <v>0</v>
      </c>
      <c r="O13" s="1">
        <f t="shared" si="1"/>
        <v>0</v>
      </c>
      <c r="P13" s="1">
        <f t="shared" si="1"/>
        <v>0</v>
      </c>
      <c r="Q13" s="35">
        <f t="shared" si="1"/>
        <v>0</v>
      </c>
      <c r="R13" s="24">
        <f t="shared" si="1"/>
        <v>0</v>
      </c>
      <c r="S13" s="1">
        <f t="shared" si="1"/>
        <v>0</v>
      </c>
      <c r="T13" s="1">
        <f t="shared" si="1"/>
        <v>0</v>
      </c>
      <c r="U13" s="35">
        <f t="shared" si="1"/>
        <v>0</v>
      </c>
    </row>
    <row r="14" spans="1:21" x14ac:dyDescent="0.25">
      <c r="A14" s="1" t="s">
        <v>340</v>
      </c>
      <c r="B14" s="1" t="s">
        <v>337</v>
      </c>
      <c r="C14" s="1" t="s">
        <v>308</v>
      </c>
      <c r="D14" s="78">
        <v>38536</v>
      </c>
      <c r="E14" s="78">
        <f t="shared" si="0"/>
        <v>44673.785727224793</v>
      </c>
      <c r="F14" s="1">
        <v>0</v>
      </c>
      <c r="G14" s="1">
        <v>0</v>
      </c>
      <c r="H14" s="1">
        <v>0</v>
      </c>
      <c r="I14" s="35">
        <v>0</v>
      </c>
      <c r="J14" s="24">
        <f t="shared" ref="J14:U21" si="2">$F14</f>
        <v>0</v>
      </c>
      <c r="K14" s="1">
        <f t="shared" si="2"/>
        <v>0</v>
      </c>
      <c r="L14" s="1">
        <f t="shared" si="2"/>
        <v>0</v>
      </c>
      <c r="M14" s="35">
        <f t="shared" si="2"/>
        <v>0</v>
      </c>
      <c r="N14" s="24">
        <f t="shared" si="2"/>
        <v>0</v>
      </c>
      <c r="O14" s="1">
        <f t="shared" si="2"/>
        <v>0</v>
      </c>
      <c r="P14" s="1">
        <f t="shared" si="2"/>
        <v>0</v>
      </c>
      <c r="Q14" s="35">
        <f t="shared" si="2"/>
        <v>0</v>
      </c>
      <c r="R14" s="24">
        <f t="shared" si="2"/>
        <v>0</v>
      </c>
      <c r="S14" s="1">
        <f t="shared" si="2"/>
        <v>0</v>
      </c>
      <c r="T14" s="1">
        <f t="shared" si="2"/>
        <v>0</v>
      </c>
      <c r="U14" s="35">
        <f t="shared" si="2"/>
        <v>0</v>
      </c>
    </row>
    <row r="15" spans="1:21" x14ac:dyDescent="0.25">
      <c r="A15" s="1" t="s">
        <v>328</v>
      </c>
      <c r="B15" s="1" t="s">
        <v>329</v>
      </c>
      <c r="C15" s="1" t="s">
        <v>341</v>
      </c>
      <c r="D15" s="78">
        <f>D4</f>
        <v>155400</v>
      </c>
      <c r="E15" s="78">
        <f t="shared" si="0"/>
        <v>180151.19114621996</v>
      </c>
      <c r="F15" s="1">
        <v>0</v>
      </c>
      <c r="G15" s="1">
        <v>0</v>
      </c>
      <c r="H15" s="1">
        <v>0</v>
      </c>
      <c r="I15" s="35">
        <v>0</v>
      </c>
      <c r="J15" s="24">
        <f t="shared" si="2"/>
        <v>0</v>
      </c>
      <c r="K15" s="1">
        <f t="shared" si="2"/>
        <v>0</v>
      </c>
      <c r="L15" s="1">
        <f t="shared" si="2"/>
        <v>0</v>
      </c>
      <c r="M15" s="35">
        <f t="shared" si="2"/>
        <v>0</v>
      </c>
      <c r="N15" s="24">
        <f t="shared" si="2"/>
        <v>0</v>
      </c>
      <c r="O15" s="1">
        <f t="shared" si="2"/>
        <v>0</v>
      </c>
      <c r="P15" s="1">
        <f t="shared" si="2"/>
        <v>0</v>
      </c>
      <c r="Q15" s="35">
        <f t="shared" si="2"/>
        <v>0</v>
      </c>
      <c r="R15" s="24">
        <f t="shared" si="2"/>
        <v>0</v>
      </c>
      <c r="S15" s="1">
        <f t="shared" si="2"/>
        <v>0</v>
      </c>
      <c r="T15" s="1">
        <f t="shared" si="2"/>
        <v>0</v>
      </c>
      <c r="U15" s="35">
        <f t="shared" si="2"/>
        <v>0</v>
      </c>
    </row>
    <row r="16" spans="1:21" x14ac:dyDescent="0.25">
      <c r="A16" s="1" t="s">
        <v>342</v>
      </c>
      <c r="B16" s="1" t="s">
        <v>329</v>
      </c>
      <c r="C16" s="1" t="s">
        <v>341</v>
      </c>
      <c r="D16" s="78">
        <f>D5</f>
        <v>81935</v>
      </c>
      <c r="E16" s="78">
        <f t="shared" si="0"/>
        <v>94985.121277770493</v>
      </c>
      <c r="F16" s="1">
        <v>1</v>
      </c>
      <c r="G16" s="1">
        <v>1</v>
      </c>
      <c r="H16" s="1">
        <v>1</v>
      </c>
      <c r="I16" s="35">
        <v>1</v>
      </c>
      <c r="J16" s="24">
        <f t="shared" si="2"/>
        <v>1</v>
      </c>
      <c r="K16" s="1">
        <f t="shared" si="2"/>
        <v>1</v>
      </c>
      <c r="L16" s="1">
        <f t="shared" si="2"/>
        <v>1</v>
      </c>
      <c r="M16" s="35">
        <f t="shared" si="2"/>
        <v>1</v>
      </c>
      <c r="N16" s="24">
        <f t="shared" si="2"/>
        <v>1</v>
      </c>
      <c r="O16" s="1">
        <f t="shared" si="2"/>
        <v>1</v>
      </c>
      <c r="P16" s="1">
        <f t="shared" si="2"/>
        <v>1</v>
      </c>
      <c r="Q16" s="35">
        <f t="shared" si="2"/>
        <v>1</v>
      </c>
      <c r="R16" s="24">
        <f t="shared" si="2"/>
        <v>1</v>
      </c>
      <c r="S16" s="1">
        <f t="shared" si="2"/>
        <v>1</v>
      </c>
      <c r="T16" s="1">
        <f t="shared" si="2"/>
        <v>1</v>
      </c>
      <c r="U16" s="35">
        <f t="shared" si="2"/>
        <v>1</v>
      </c>
    </row>
    <row r="17" spans="1:21" x14ac:dyDescent="0.25">
      <c r="A17" s="1" t="s">
        <v>332</v>
      </c>
      <c r="B17" s="1" t="s">
        <v>329</v>
      </c>
      <c r="C17" s="1" t="s">
        <v>341</v>
      </c>
      <c r="D17" s="78">
        <f t="shared" ref="D17:D22" si="3">D7</f>
        <v>60257</v>
      </c>
      <c r="E17" s="78">
        <f t="shared" si="0"/>
        <v>69854.377895095095</v>
      </c>
      <c r="F17" s="1">
        <v>0</v>
      </c>
      <c r="G17" s="1">
        <v>0</v>
      </c>
      <c r="H17" s="1">
        <v>0</v>
      </c>
      <c r="I17" s="35">
        <v>0</v>
      </c>
      <c r="J17" s="24">
        <f t="shared" si="2"/>
        <v>0</v>
      </c>
      <c r="K17" s="1">
        <f t="shared" si="2"/>
        <v>0</v>
      </c>
      <c r="L17" s="1">
        <f t="shared" si="2"/>
        <v>0</v>
      </c>
      <c r="M17" s="35">
        <f t="shared" si="2"/>
        <v>0</v>
      </c>
      <c r="N17" s="24">
        <f t="shared" si="2"/>
        <v>0</v>
      </c>
      <c r="O17" s="1">
        <f t="shared" si="2"/>
        <v>0</v>
      </c>
      <c r="P17" s="1">
        <f t="shared" si="2"/>
        <v>0</v>
      </c>
      <c r="Q17" s="35">
        <f t="shared" si="2"/>
        <v>0</v>
      </c>
      <c r="R17" s="24">
        <f t="shared" si="2"/>
        <v>0</v>
      </c>
      <c r="S17" s="1">
        <f t="shared" si="2"/>
        <v>0</v>
      </c>
      <c r="T17" s="1">
        <f t="shared" si="2"/>
        <v>0</v>
      </c>
      <c r="U17" s="35">
        <f t="shared" si="2"/>
        <v>0</v>
      </c>
    </row>
    <row r="18" spans="1:21" x14ac:dyDescent="0.25">
      <c r="A18" s="1" t="s">
        <v>333</v>
      </c>
      <c r="B18" s="1" t="s">
        <v>329</v>
      </c>
      <c r="C18" s="1" t="s">
        <v>341</v>
      </c>
      <c r="D18" s="78">
        <f t="shared" si="3"/>
        <v>42286</v>
      </c>
      <c r="E18" s="78">
        <f t="shared" si="0"/>
        <v>49021.063505849794</v>
      </c>
      <c r="F18" s="1">
        <v>3</v>
      </c>
      <c r="G18" s="1">
        <v>3</v>
      </c>
      <c r="H18" s="1">
        <v>3</v>
      </c>
      <c r="I18" s="35">
        <v>3</v>
      </c>
      <c r="J18" s="24">
        <f t="shared" si="2"/>
        <v>3</v>
      </c>
      <c r="K18" s="1">
        <f t="shared" si="2"/>
        <v>3</v>
      </c>
      <c r="L18" s="1">
        <f t="shared" si="2"/>
        <v>3</v>
      </c>
      <c r="M18" s="35">
        <f t="shared" si="2"/>
        <v>3</v>
      </c>
      <c r="N18" s="24">
        <f t="shared" si="2"/>
        <v>3</v>
      </c>
      <c r="O18" s="1">
        <f t="shared" si="2"/>
        <v>3</v>
      </c>
      <c r="P18" s="1">
        <f t="shared" si="2"/>
        <v>3</v>
      </c>
      <c r="Q18" s="35">
        <f t="shared" si="2"/>
        <v>3</v>
      </c>
      <c r="R18" s="24">
        <f t="shared" si="2"/>
        <v>3</v>
      </c>
      <c r="S18" s="1">
        <f t="shared" si="2"/>
        <v>3</v>
      </c>
      <c r="T18" s="1">
        <f t="shared" si="2"/>
        <v>3</v>
      </c>
      <c r="U18" s="35">
        <f t="shared" si="2"/>
        <v>3</v>
      </c>
    </row>
    <row r="19" spans="1:21" x14ac:dyDescent="0.25">
      <c r="A19" s="1" t="s">
        <v>334</v>
      </c>
      <c r="B19" s="1" t="s">
        <v>329</v>
      </c>
      <c r="C19" s="1" t="s">
        <v>341</v>
      </c>
      <c r="D19" s="78">
        <f t="shared" si="3"/>
        <v>59200</v>
      </c>
      <c r="E19" s="78">
        <f t="shared" si="0"/>
        <v>68629.02519855999</v>
      </c>
      <c r="F19" s="1">
        <v>0</v>
      </c>
      <c r="G19" s="1">
        <v>0</v>
      </c>
      <c r="H19" s="1">
        <v>0</v>
      </c>
      <c r="I19" s="35">
        <v>0</v>
      </c>
      <c r="J19" s="24">
        <f t="shared" si="2"/>
        <v>0</v>
      </c>
      <c r="K19" s="1">
        <f t="shared" si="2"/>
        <v>0</v>
      </c>
      <c r="L19" s="1">
        <f t="shared" si="2"/>
        <v>0</v>
      </c>
      <c r="M19" s="35">
        <f t="shared" si="2"/>
        <v>0</v>
      </c>
      <c r="N19" s="24">
        <f t="shared" si="2"/>
        <v>0</v>
      </c>
      <c r="O19" s="1">
        <f t="shared" si="2"/>
        <v>0</v>
      </c>
      <c r="P19" s="1">
        <f t="shared" si="2"/>
        <v>0</v>
      </c>
      <c r="Q19" s="35">
        <f t="shared" si="2"/>
        <v>0</v>
      </c>
      <c r="R19" s="24">
        <f t="shared" si="2"/>
        <v>0</v>
      </c>
      <c r="S19" s="1">
        <f t="shared" si="2"/>
        <v>0</v>
      </c>
      <c r="T19" s="1">
        <f t="shared" si="2"/>
        <v>0</v>
      </c>
      <c r="U19" s="35">
        <f t="shared" si="2"/>
        <v>0</v>
      </c>
    </row>
    <row r="20" spans="1:21" x14ac:dyDescent="0.25">
      <c r="A20" s="1" t="s">
        <v>335</v>
      </c>
      <c r="B20" s="1" t="s">
        <v>329</v>
      </c>
      <c r="C20" s="1" t="s">
        <v>341</v>
      </c>
      <c r="D20" s="78">
        <f t="shared" si="3"/>
        <v>42286</v>
      </c>
      <c r="E20" s="78">
        <f t="shared" si="0"/>
        <v>49021.063505849794</v>
      </c>
      <c r="F20" s="1">
        <v>2</v>
      </c>
      <c r="G20" s="1">
        <v>2</v>
      </c>
      <c r="H20" s="1">
        <v>2</v>
      </c>
      <c r="I20" s="35">
        <v>2</v>
      </c>
      <c r="J20" s="24">
        <f t="shared" si="2"/>
        <v>2</v>
      </c>
      <c r="K20" s="1">
        <f t="shared" si="2"/>
        <v>2</v>
      </c>
      <c r="L20" s="1">
        <f t="shared" si="2"/>
        <v>2</v>
      </c>
      <c r="M20" s="35">
        <f t="shared" si="2"/>
        <v>2</v>
      </c>
      <c r="N20" s="24">
        <f t="shared" si="2"/>
        <v>2</v>
      </c>
      <c r="O20" s="1">
        <f t="shared" si="2"/>
        <v>2</v>
      </c>
      <c r="P20" s="1">
        <f t="shared" si="2"/>
        <v>2</v>
      </c>
      <c r="Q20" s="35">
        <f t="shared" si="2"/>
        <v>2</v>
      </c>
      <c r="R20" s="24">
        <f t="shared" si="2"/>
        <v>2</v>
      </c>
      <c r="S20" s="1">
        <f t="shared" si="2"/>
        <v>2</v>
      </c>
      <c r="T20" s="1">
        <f t="shared" si="2"/>
        <v>2</v>
      </c>
      <c r="U20" s="35">
        <f t="shared" si="2"/>
        <v>2</v>
      </c>
    </row>
    <row r="21" spans="1:21" x14ac:dyDescent="0.25">
      <c r="A21" s="1" t="s">
        <v>343</v>
      </c>
      <c r="B21" s="1" t="s">
        <v>337</v>
      </c>
      <c r="C21" s="1" t="s">
        <v>341</v>
      </c>
      <c r="D21" s="78">
        <f t="shared" si="3"/>
        <v>50743</v>
      </c>
      <c r="E21" s="78">
        <f t="shared" si="0"/>
        <v>58825.044352204895</v>
      </c>
      <c r="F21" s="1">
        <v>0</v>
      </c>
      <c r="G21" s="1">
        <v>0</v>
      </c>
      <c r="H21" s="1">
        <v>0</v>
      </c>
      <c r="I21" s="35">
        <v>0</v>
      </c>
      <c r="J21" s="24">
        <f t="shared" si="2"/>
        <v>0</v>
      </c>
      <c r="K21" s="1">
        <f t="shared" si="2"/>
        <v>0</v>
      </c>
      <c r="L21" s="1">
        <f t="shared" si="2"/>
        <v>0</v>
      </c>
      <c r="M21" s="35">
        <f t="shared" si="2"/>
        <v>0</v>
      </c>
      <c r="N21" s="24">
        <f t="shared" si="2"/>
        <v>0</v>
      </c>
      <c r="O21" s="1">
        <f t="shared" si="2"/>
        <v>0</v>
      </c>
      <c r="P21" s="1">
        <f t="shared" si="2"/>
        <v>0</v>
      </c>
      <c r="Q21" s="35">
        <f t="shared" si="2"/>
        <v>0</v>
      </c>
      <c r="R21" s="24">
        <f t="shared" si="2"/>
        <v>0</v>
      </c>
      <c r="S21" s="1">
        <f t="shared" si="2"/>
        <v>0</v>
      </c>
      <c r="T21" s="1">
        <f t="shared" si="2"/>
        <v>0</v>
      </c>
      <c r="U21" s="35">
        <f t="shared" si="2"/>
        <v>0</v>
      </c>
    </row>
    <row r="22" spans="1:21" x14ac:dyDescent="0.25">
      <c r="A22" s="24" t="s">
        <v>344</v>
      </c>
      <c r="B22" s="24" t="s">
        <v>337</v>
      </c>
      <c r="C22" s="24" t="s">
        <v>341</v>
      </c>
      <c r="D22" s="78">
        <f t="shared" si="3"/>
        <v>26872</v>
      </c>
      <c r="E22" s="78">
        <f t="shared" si="0"/>
        <v>31152.012924589595</v>
      </c>
      <c r="F22" s="24">
        <v>0</v>
      </c>
      <c r="G22" s="24">
        <v>0</v>
      </c>
      <c r="H22" s="24">
        <v>0</v>
      </c>
      <c r="I22" s="35">
        <v>0</v>
      </c>
      <c r="J22" s="80" t="e">
        <f ca="1">_xlfn.CEILING.MATH($F$22*J2)</f>
        <v>#NAME?</v>
      </c>
      <c r="K22" s="80" t="e">
        <f ca="1">_xlfn.CEILING.MATH($F$22*K2)</f>
        <v>#NAME?</v>
      </c>
      <c r="L22" s="80" t="e">
        <f ca="1">_xlfn.CEILING.MATH($F$22*L2)</f>
        <v>#NAME?</v>
      </c>
      <c r="M22" s="81" t="e">
        <f ca="1">_xlfn.CEILING.MATH($F$22*M2)</f>
        <v>#NAME?</v>
      </c>
      <c r="N22" s="80" t="e">
        <f ca="1">_xlfn.CEILING.MATH($G$22*N2)</f>
        <v>#NAME?</v>
      </c>
      <c r="O22" s="80" t="e">
        <f ca="1">_xlfn.CEILING.MATH($G$22*O2)</f>
        <v>#NAME?</v>
      </c>
      <c r="P22" s="80" t="e">
        <f ca="1">_xlfn.CEILING.MATH($G$22*P2)</f>
        <v>#NAME?</v>
      </c>
      <c r="Q22" s="81" t="e">
        <f ca="1">_xlfn.CEILING.MATH($G$22*Q2)</f>
        <v>#NAME?</v>
      </c>
      <c r="R22" s="80" t="e">
        <f ca="1">_xlfn.CEILING.MATH($H$22*R2)</f>
        <v>#NAME?</v>
      </c>
      <c r="S22" s="80" t="e">
        <f ca="1">_xlfn.CEILING.MATH($H$22*S2)</f>
        <v>#NAME?</v>
      </c>
      <c r="T22" s="80" t="e">
        <f ca="1">_xlfn.CEILING.MATH($H$22*T2)</f>
        <v>#NAME?</v>
      </c>
      <c r="U22" s="81" t="e">
        <f ca="1">_xlfn.CEILING.MATH($H$22*U2)</f>
        <v>#NAME?</v>
      </c>
    </row>
    <row r="23" spans="1:21" x14ac:dyDescent="0.25">
      <c r="A23" s="1" t="s">
        <v>345</v>
      </c>
      <c r="B23" s="1" t="s">
        <v>329</v>
      </c>
      <c r="C23" s="1" t="s">
        <v>346</v>
      </c>
      <c r="D23" s="78">
        <v>38057</v>
      </c>
      <c r="E23" s="78">
        <f t="shared" si="0"/>
        <v>44118.493445635097</v>
      </c>
      <c r="F23" s="1">
        <v>4</v>
      </c>
      <c r="G23" s="1">
        <v>4</v>
      </c>
      <c r="H23" s="1">
        <v>4</v>
      </c>
      <c r="I23" s="35">
        <v>4</v>
      </c>
      <c r="J23" s="24">
        <f t="shared" ref="J23:U24" si="4">$F23</f>
        <v>4</v>
      </c>
      <c r="K23" s="1">
        <f t="shared" si="4"/>
        <v>4</v>
      </c>
      <c r="L23" s="1">
        <f t="shared" si="4"/>
        <v>4</v>
      </c>
      <c r="M23" s="35">
        <f t="shared" si="4"/>
        <v>4</v>
      </c>
      <c r="N23" s="24">
        <f t="shared" si="4"/>
        <v>4</v>
      </c>
      <c r="O23" s="1">
        <f t="shared" si="4"/>
        <v>4</v>
      </c>
      <c r="P23" s="1">
        <f t="shared" si="4"/>
        <v>4</v>
      </c>
      <c r="Q23" s="35">
        <f t="shared" si="4"/>
        <v>4</v>
      </c>
      <c r="R23" s="24">
        <f t="shared" si="4"/>
        <v>4</v>
      </c>
      <c r="S23" s="1">
        <f t="shared" si="4"/>
        <v>4</v>
      </c>
      <c r="T23" s="1">
        <f t="shared" si="4"/>
        <v>4</v>
      </c>
      <c r="U23" s="35">
        <f t="shared" si="4"/>
        <v>4</v>
      </c>
    </row>
    <row r="24" spans="1:21" x14ac:dyDescent="0.25">
      <c r="A24" s="22" t="s">
        <v>347</v>
      </c>
      <c r="B24" s="22" t="s">
        <v>329</v>
      </c>
      <c r="C24" s="22" t="s">
        <v>346</v>
      </c>
      <c r="D24" s="82">
        <f>D12</f>
        <v>26872</v>
      </c>
      <c r="E24" s="83">
        <f t="shared" si="0"/>
        <v>31152.012924589595</v>
      </c>
      <c r="F24" s="22">
        <v>4</v>
      </c>
      <c r="G24" s="22">
        <v>4</v>
      </c>
      <c r="H24" s="22">
        <v>4</v>
      </c>
      <c r="I24" s="22">
        <v>4</v>
      </c>
      <c r="J24" s="74">
        <f t="shared" si="4"/>
        <v>4</v>
      </c>
      <c r="K24" s="22">
        <f t="shared" si="4"/>
        <v>4</v>
      </c>
      <c r="L24" s="22">
        <f t="shared" si="4"/>
        <v>4</v>
      </c>
      <c r="M24" s="76">
        <f t="shared" si="4"/>
        <v>4</v>
      </c>
      <c r="N24" s="22">
        <f t="shared" si="4"/>
        <v>4</v>
      </c>
      <c r="O24" s="22">
        <f t="shared" si="4"/>
        <v>4</v>
      </c>
      <c r="P24" s="22">
        <f t="shared" si="4"/>
        <v>4</v>
      </c>
      <c r="Q24" s="22">
        <f t="shared" si="4"/>
        <v>4</v>
      </c>
      <c r="R24" s="74">
        <f t="shared" si="4"/>
        <v>4</v>
      </c>
      <c r="S24" s="22">
        <f t="shared" si="4"/>
        <v>4</v>
      </c>
      <c r="T24" s="22">
        <f t="shared" si="4"/>
        <v>4</v>
      </c>
      <c r="U24" s="76">
        <f t="shared" si="4"/>
        <v>4</v>
      </c>
    </row>
    <row r="25" spans="1:21" x14ac:dyDescent="0.25">
      <c r="A25"/>
      <c r="B25"/>
      <c r="C25"/>
      <c r="D25" s="24" t="s">
        <v>329</v>
      </c>
      <c r="E25" s="1" t="s">
        <v>308</v>
      </c>
      <c r="F25" s="63">
        <f t="shared" ref="F25:U29" si="5">SUMPRODUCT(F$4:F$24,($B$4:$B$24=$D25)*($C$4:$C$24=$E25)*1,$E$4:$E$24)*(1+$B$2)</f>
        <v>2543879.3804616914</v>
      </c>
      <c r="G25" s="63">
        <f t="shared" si="5"/>
        <v>2543879.3804616914</v>
      </c>
      <c r="H25" s="63">
        <f t="shared" si="5"/>
        <v>2543879.3804616914</v>
      </c>
      <c r="I25" s="63">
        <f t="shared" si="5"/>
        <v>2543879.3804616914</v>
      </c>
      <c r="J25" s="63" t="e">
        <f t="shared" ca="1" si="5"/>
        <v>#NAME?</v>
      </c>
      <c r="K25" s="63" t="e">
        <f t="shared" ca="1" si="5"/>
        <v>#NAME?</v>
      </c>
      <c r="L25" s="63" t="e">
        <f t="shared" ca="1" si="5"/>
        <v>#NAME?</v>
      </c>
      <c r="M25" s="63" t="e">
        <f t="shared" ca="1" si="5"/>
        <v>#NAME?</v>
      </c>
      <c r="N25" s="63" t="e">
        <f t="shared" ca="1" si="5"/>
        <v>#NAME?</v>
      </c>
      <c r="O25" s="63" t="e">
        <f t="shared" ca="1" si="5"/>
        <v>#NAME?</v>
      </c>
      <c r="P25" s="63" t="e">
        <f t="shared" ca="1" si="5"/>
        <v>#NAME?</v>
      </c>
      <c r="Q25" s="63" t="e">
        <f t="shared" ca="1" si="5"/>
        <v>#NAME?</v>
      </c>
      <c r="R25" s="63" t="e">
        <f t="shared" ca="1" si="5"/>
        <v>#NAME?</v>
      </c>
      <c r="S25" s="63" t="e">
        <f t="shared" ca="1" si="5"/>
        <v>#NAME?</v>
      </c>
      <c r="T25" s="63" t="e">
        <f t="shared" ca="1" si="5"/>
        <v>#NAME?</v>
      </c>
      <c r="U25" s="63" t="e">
        <f t="shared" ca="1" si="5"/>
        <v>#NAME?</v>
      </c>
    </row>
    <row r="26" spans="1:21" x14ac:dyDescent="0.25">
      <c r="A26" s="1" t="s">
        <v>348</v>
      </c>
      <c r="B26"/>
      <c r="C26"/>
      <c r="D26" s="24" t="s">
        <v>329</v>
      </c>
      <c r="E26" s="1" t="s">
        <v>341</v>
      </c>
      <c r="F26" s="63">
        <f t="shared" si="5"/>
        <v>646171.83373333688</v>
      </c>
      <c r="G26" s="63">
        <f t="shared" si="5"/>
        <v>646171.83373333688</v>
      </c>
      <c r="H26" s="63">
        <f t="shared" si="5"/>
        <v>646171.83373333688</v>
      </c>
      <c r="I26" s="63">
        <f t="shared" si="5"/>
        <v>646171.83373333688</v>
      </c>
      <c r="J26" s="63" t="e">
        <f t="shared" ca="1" si="5"/>
        <v>#NAME?</v>
      </c>
      <c r="K26" s="63" t="e">
        <f t="shared" ca="1" si="5"/>
        <v>#NAME?</v>
      </c>
      <c r="L26" s="63" t="e">
        <f t="shared" ca="1" si="5"/>
        <v>#NAME?</v>
      </c>
      <c r="M26" s="63" t="e">
        <f t="shared" ca="1" si="5"/>
        <v>#NAME?</v>
      </c>
      <c r="N26" s="63" t="e">
        <f t="shared" ca="1" si="5"/>
        <v>#NAME?</v>
      </c>
      <c r="O26" s="63" t="e">
        <f t="shared" ca="1" si="5"/>
        <v>#NAME?</v>
      </c>
      <c r="P26" s="63" t="e">
        <f t="shared" ca="1" si="5"/>
        <v>#NAME?</v>
      </c>
      <c r="Q26" s="63" t="e">
        <f t="shared" ca="1" si="5"/>
        <v>#NAME?</v>
      </c>
      <c r="R26" s="63" t="e">
        <f t="shared" ca="1" si="5"/>
        <v>#NAME?</v>
      </c>
      <c r="S26" s="63" t="e">
        <f t="shared" ca="1" si="5"/>
        <v>#NAME?</v>
      </c>
      <c r="T26" s="63" t="e">
        <f t="shared" ca="1" si="5"/>
        <v>#NAME?</v>
      </c>
      <c r="U26" s="63" t="e">
        <f t="shared" ca="1" si="5"/>
        <v>#NAME?</v>
      </c>
    </row>
    <row r="27" spans="1:21" x14ac:dyDescent="0.25">
      <c r="A27" s="80" t="s">
        <v>349</v>
      </c>
      <c r="B27"/>
      <c r="C27"/>
      <c r="D27" s="24" t="s">
        <v>329</v>
      </c>
      <c r="E27" s="22" t="s">
        <v>346</v>
      </c>
      <c r="F27" s="84">
        <f t="shared" si="5"/>
        <v>572055.84841370769</v>
      </c>
      <c r="G27" s="84">
        <f t="shared" si="5"/>
        <v>572055.84841370769</v>
      </c>
      <c r="H27" s="84">
        <f t="shared" si="5"/>
        <v>572055.84841370769</v>
      </c>
      <c r="I27" s="84">
        <f t="shared" si="5"/>
        <v>572055.84841370769</v>
      </c>
      <c r="J27" s="84" t="e">
        <f t="shared" ca="1" si="5"/>
        <v>#NAME?</v>
      </c>
      <c r="K27" s="84" t="e">
        <f t="shared" ca="1" si="5"/>
        <v>#NAME?</v>
      </c>
      <c r="L27" s="84" t="e">
        <f t="shared" ca="1" si="5"/>
        <v>#NAME?</v>
      </c>
      <c r="M27" s="84" t="e">
        <f t="shared" ca="1" si="5"/>
        <v>#NAME?</v>
      </c>
      <c r="N27" s="84" t="e">
        <f t="shared" ca="1" si="5"/>
        <v>#NAME?</v>
      </c>
      <c r="O27" s="84" t="e">
        <f t="shared" ca="1" si="5"/>
        <v>#NAME?</v>
      </c>
      <c r="P27" s="84" t="e">
        <f t="shared" ca="1" si="5"/>
        <v>#NAME?</v>
      </c>
      <c r="Q27" s="84" t="e">
        <f t="shared" ca="1" si="5"/>
        <v>#NAME?</v>
      </c>
      <c r="R27" s="84" t="e">
        <f t="shared" ca="1" si="5"/>
        <v>#NAME?</v>
      </c>
      <c r="S27" s="84" t="e">
        <f t="shared" ca="1" si="5"/>
        <v>#NAME?</v>
      </c>
      <c r="T27" s="84" t="e">
        <f t="shared" ca="1" si="5"/>
        <v>#NAME?</v>
      </c>
      <c r="U27" s="84" t="e">
        <f t="shared" ca="1" si="5"/>
        <v>#NAME?</v>
      </c>
    </row>
    <row r="28" spans="1:21" x14ac:dyDescent="0.25">
      <c r="A28"/>
      <c r="B28"/>
      <c r="C28"/>
      <c r="D28" s="1" t="s">
        <v>337</v>
      </c>
      <c r="E28" s="1" t="s">
        <v>308</v>
      </c>
      <c r="F28" s="63">
        <f t="shared" si="5"/>
        <v>0</v>
      </c>
      <c r="G28" s="63">
        <f t="shared" si="5"/>
        <v>0</v>
      </c>
      <c r="H28" s="63">
        <f t="shared" si="5"/>
        <v>0</v>
      </c>
      <c r="I28" s="63">
        <f t="shared" si="5"/>
        <v>0</v>
      </c>
      <c r="J28" s="63" t="e">
        <f t="shared" ca="1" si="5"/>
        <v>#NAME?</v>
      </c>
      <c r="K28" s="63" t="e">
        <f t="shared" ca="1" si="5"/>
        <v>#NAME?</v>
      </c>
      <c r="L28" s="63" t="e">
        <f t="shared" ca="1" si="5"/>
        <v>#NAME?</v>
      </c>
      <c r="M28" s="63" t="e">
        <f t="shared" ca="1" si="5"/>
        <v>#NAME?</v>
      </c>
      <c r="N28" s="63" t="e">
        <f t="shared" ca="1" si="5"/>
        <v>#NAME?</v>
      </c>
      <c r="O28" s="63" t="e">
        <f t="shared" ca="1" si="5"/>
        <v>#NAME?</v>
      </c>
      <c r="P28" s="63" t="e">
        <f t="shared" ca="1" si="5"/>
        <v>#NAME?</v>
      </c>
      <c r="Q28" s="63" t="e">
        <f t="shared" ca="1" si="5"/>
        <v>#NAME?</v>
      </c>
      <c r="R28" s="63" t="e">
        <f t="shared" ca="1" si="5"/>
        <v>#NAME?</v>
      </c>
      <c r="S28" s="63" t="e">
        <f t="shared" ca="1" si="5"/>
        <v>#NAME?</v>
      </c>
      <c r="T28" s="63" t="e">
        <f t="shared" ca="1" si="5"/>
        <v>#NAME?</v>
      </c>
      <c r="U28" s="63" t="e">
        <f t="shared" ca="1" si="5"/>
        <v>#NAME?</v>
      </c>
    </row>
    <row r="29" spans="1:21" x14ac:dyDescent="0.25">
      <c r="A29"/>
      <c r="B29"/>
      <c r="C29"/>
      <c r="D29" s="1" t="s">
        <v>337</v>
      </c>
      <c r="E29" s="1" t="s">
        <v>341</v>
      </c>
      <c r="F29" s="63">
        <f t="shared" si="5"/>
        <v>0</v>
      </c>
      <c r="G29" s="63">
        <f t="shared" si="5"/>
        <v>0</v>
      </c>
      <c r="H29" s="63">
        <f t="shared" si="5"/>
        <v>0</v>
      </c>
      <c r="I29" s="63">
        <f t="shared" si="5"/>
        <v>0</v>
      </c>
      <c r="J29" s="63" t="e">
        <f t="shared" ca="1" si="5"/>
        <v>#NAME?</v>
      </c>
      <c r="K29" s="63" t="e">
        <f t="shared" ca="1" si="5"/>
        <v>#NAME?</v>
      </c>
      <c r="L29" s="63" t="e">
        <f t="shared" ca="1" si="5"/>
        <v>#NAME?</v>
      </c>
      <c r="M29" s="63" t="e">
        <f t="shared" ca="1" si="5"/>
        <v>#NAME?</v>
      </c>
      <c r="N29" s="63" t="e">
        <f t="shared" ca="1" si="5"/>
        <v>#NAME?</v>
      </c>
      <c r="O29" s="63" t="e">
        <f t="shared" ca="1" si="5"/>
        <v>#NAME?</v>
      </c>
      <c r="P29" s="63" t="e">
        <f t="shared" ca="1" si="5"/>
        <v>#NAME?</v>
      </c>
      <c r="Q29" s="63" t="e">
        <f t="shared" ca="1" si="5"/>
        <v>#NAME?</v>
      </c>
      <c r="R29" s="63" t="e">
        <f t="shared" ca="1" si="5"/>
        <v>#NAME?</v>
      </c>
      <c r="S29" s="63" t="e">
        <f t="shared" ca="1" si="5"/>
        <v>#NAME?</v>
      </c>
      <c r="T29" s="63" t="e">
        <f t="shared" ca="1" si="5"/>
        <v>#NAME?</v>
      </c>
      <c r="U29" s="63" t="e">
        <f t="shared" ca="1" si="5"/>
        <v>#NAME?</v>
      </c>
    </row>
    <row r="30" spans="1:21" x14ac:dyDescent="0.25">
      <c r="A30"/>
      <c r="B30"/>
      <c r="C30"/>
      <c r="D30"/>
      <c r="E30" s="1" t="s">
        <v>350</v>
      </c>
      <c r="F30" s="63">
        <f t="shared" ref="F30:U30" si="6">SUM(F25:F27)</f>
        <v>3762107.0626087361</v>
      </c>
      <c r="G30" s="63">
        <f t="shared" si="6"/>
        <v>3762107.0626087361</v>
      </c>
      <c r="H30" s="63">
        <f t="shared" si="6"/>
        <v>3762107.0626087361</v>
      </c>
      <c r="I30" s="63">
        <f t="shared" si="6"/>
        <v>3762107.0626087361</v>
      </c>
      <c r="J30" s="63" t="e">
        <f t="shared" ca="1" si="6"/>
        <v>#NAME?</v>
      </c>
      <c r="K30" s="63" t="e">
        <f t="shared" ca="1" si="6"/>
        <v>#NAME?</v>
      </c>
      <c r="L30" s="63" t="e">
        <f t="shared" ca="1" si="6"/>
        <v>#NAME?</v>
      </c>
      <c r="M30" s="63" t="e">
        <f t="shared" ca="1" si="6"/>
        <v>#NAME?</v>
      </c>
      <c r="N30" s="63" t="e">
        <f t="shared" ca="1" si="6"/>
        <v>#NAME?</v>
      </c>
      <c r="O30" s="63" t="e">
        <f t="shared" ca="1" si="6"/>
        <v>#NAME?</v>
      </c>
      <c r="P30" s="63" t="e">
        <f t="shared" ca="1" si="6"/>
        <v>#NAME?</v>
      </c>
      <c r="Q30" s="63" t="e">
        <f t="shared" ca="1" si="6"/>
        <v>#NAME?</v>
      </c>
      <c r="R30" s="63" t="e">
        <f t="shared" ca="1" si="6"/>
        <v>#NAME?</v>
      </c>
      <c r="S30" s="63" t="e">
        <f t="shared" ca="1" si="6"/>
        <v>#NAME?</v>
      </c>
      <c r="T30" s="63" t="e">
        <f t="shared" ca="1" si="6"/>
        <v>#NAME?</v>
      </c>
      <c r="U30" s="63" t="e">
        <f t="shared" ca="1" si="6"/>
        <v>#NAME?</v>
      </c>
    </row>
    <row r="31" spans="1:21" x14ac:dyDescent="0.25">
      <c r="A31"/>
      <c r="B31"/>
      <c r="C31"/>
      <c r="D31"/>
      <c r="E31" s="1" t="s">
        <v>351</v>
      </c>
      <c r="F31" s="63">
        <f t="shared" ref="F31:U31" si="7">SUM(F28:F29)</f>
        <v>0</v>
      </c>
      <c r="G31" s="63">
        <f t="shared" si="7"/>
        <v>0</v>
      </c>
      <c r="H31" s="63">
        <f t="shared" si="7"/>
        <v>0</v>
      </c>
      <c r="I31" s="63">
        <f t="shared" si="7"/>
        <v>0</v>
      </c>
      <c r="J31" s="63" t="e">
        <f t="shared" ca="1" si="7"/>
        <v>#NAME?</v>
      </c>
      <c r="K31" s="63" t="e">
        <f t="shared" ca="1" si="7"/>
        <v>#NAME?</v>
      </c>
      <c r="L31" s="63" t="e">
        <f t="shared" ca="1" si="7"/>
        <v>#NAME?</v>
      </c>
      <c r="M31" s="63" t="e">
        <f t="shared" ca="1" si="7"/>
        <v>#NAME?</v>
      </c>
      <c r="N31" s="63" t="e">
        <f t="shared" ca="1" si="7"/>
        <v>#NAME?</v>
      </c>
      <c r="O31" s="63" t="e">
        <f t="shared" ca="1" si="7"/>
        <v>#NAME?</v>
      </c>
      <c r="P31" s="63" t="e">
        <f t="shared" ca="1" si="7"/>
        <v>#NAME?</v>
      </c>
      <c r="Q31" s="63" t="e">
        <f t="shared" ca="1" si="7"/>
        <v>#NAME?</v>
      </c>
      <c r="R31" s="63" t="e">
        <f t="shared" ca="1" si="7"/>
        <v>#NAME?</v>
      </c>
      <c r="S31" s="63" t="e">
        <f t="shared" ca="1" si="7"/>
        <v>#NAME?</v>
      </c>
      <c r="T31" s="63" t="e">
        <f t="shared" ca="1" si="7"/>
        <v>#NAME?</v>
      </c>
      <c r="U31" s="63" t="e">
        <f t="shared" ca="1" si="7"/>
        <v>#NAME?</v>
      </c>
    </row>
    <row r="32" spans="1:21" x14ac:dyDescent="0.25">
      <c r="A32"/>
      <c r="B32"/>
      <c r="C32"/>
      <c r="D32"/>
      <c r="E32" s="85" t="s">
        <v>352</v>
      </c>
      <c r="F32" s="63">
        <f t="shared" ref="F32:U32" si="8">SUMPRODUCT(F4:F24,$E$4:$E$24)*(1+$B$2)</f>
        <v>3762107.0626087361</v>
      </c>
      <c r="G32" s="63">
        <f t="shared" si="8"/>
        <v>3762107.0626087361</v>
      </c>
      <c r="H32" s="63">
        <f t="shared" si="8"/>
        <v>3762107.0626087361</v>
      </c>
      <c r="I32" s="63">
        <f t="shared" si="8"/>
        <v>3762107.0626087361</v>
      </c>
      <c r="J32" s="63" t="e">
        <f t="shared" ca="1" si="8"/>
        <v>#NAME?</v>
      </c>
      <c r="K32" s="63" t="e">
        <f t="shared" ca="1" si="8"/>
        <v>#NAME?</v>
      </c>
      <c r="L32" s="63" t="e">
        <f t="shared" ca="1" si="8"/>
        <v>#NAME?</v>
      </c>
      <c r="M32" s="63" t="e">
        <f t="shared" ca="1" si="8"/>
        <v>#NAME?</v>
      </c>
      <c r="N32" s="63" t="e">
        <f t="shared" ca="1" si="8"/>
        <v>#NAME?</v>
      </c>
      <c r="O32" s="63" t="e">
        <f t="shared" ca="1" si="8"/>
        <v>#NAME?</v>
      </c>
      <c r="P32" s="63" t="e">
        <f t="shared" ca="1" si="8"/>
        <v>#NAME?</v>
      </c>
      <c r="Q32" s="63" t="e">
        <f t="shared" ca="1" si="8"/>
        <v>#NAME?</v>
      </c>
      <c r="R32" s="63" t="e">
        <f t="shared" ca="1" si="8"/>
        <v>#NAME?</v>
      </c>
      <c r="S32" s="63" t="e">
        <f t="shared" ca="1" si="8"/>
        <v>#NAME?</v>
      </c>
      <c r="T32" s="63" t="e">
        <f t="shared" ca="1" si="8"/>
        <v>#NAME?</v>
      </c>
      <c r="U32" s="63" t="e">
        <f t="shared" ca="1" si="8"/>
        <v>#NAME?</v>
      </c>
    </row>
    <row r="33" spans="1:21" x14ac:dyDescent="0.25">
      <c r="A33"/>
      <c r="B33"/>
      <c r="C33"/>
      <c r="D33"/>
      <c r="E33" s="1" t="s">
        <v>353</v>
      </c>
      <c r="F33" s="1">
        <f t="shared" ref="F33:U33" si="9">SUM(F4:F24)</f>
        <v>34</v>
      </c>
      <c r="G33" s="1">
        <f t="shared" si="9"/>
        <v>34</v>
      </c>
      <c r="H33" s="1">
        <f t="shared" si="9"/>
        <v>34</v>
      </c>
      <c r="I33" s="1">
        <f t="shared" si="9"/>
        <v>34</v>
      </c>
      <c r="J33" s="1" t="e">
        <f t="shared" ca="1" si="9"/>
        <v>#NAME?</v>
      </c>
      <c r="K33" s="1" t="e">
        <f t="shared" ca="1" si="9"/>
        <v>#NAME?</v>
      </c>
      <c r="L33" s="1" t="e">
        <f t="shared" ca="1" si="9"/>
        <v>#NAME?</v>
      </c>
      <c r="M33" s="1" t="e">
        <f t="shared" ca="1" si="9"/>
        <v>#NAME?</v>
      </c>
      <c r="N33" s="1" t="e">
        <f t="shared" ca="1" si="9"/>
        <v>#NAME?</v>
      </c>
      <c r="O33" s="1" t="e">
        <f t="shared" ca="1" si="9"/>
        <v>#NAME?</v>
      </c>
      <c r="P33" s="1" t="e">
        <f t="shared" ca="1" si="9"/>
        <v>#NAME?</v>
      </c>
      <c r="Q33" s="1" t="e">
        <f t="shared" ca="1" si="9"/>
        <v>#NAME?</v>
      </c>
      <c r="R33" s="1" t="e">
        <f t="shared" ca="1" si="9"/>
        <v>#NAME?</v>
      </c>
      <c r="S33" s="1" t="e">
        <f t="shared" ca="1" si="9"/>
        <v>#NAME?</v>
      </c>
      <c r="T33" s="1" t="e">
        <f t="shared" ca="1" si="9"/>
        <v>#NAME?</v>
      </c>
      <c r="U33" s="1" t="e">
        <f t="shared" ca="1" si="9"/>
        <v>#NAME?</v>
      </c>
    </row>
    <row r="34" spans="1:21" x14ac:dyDescent="0.25">
      <c r="A34"/>
      <c r="B34"/>
      <c r="C34"/>
      <c r="D34"/>
      <c r="E34" s="1" t="s">
        <v>354</v>
      </c>
      <c r="F34" s="1">
        <f t="shared" ref="F34:U34" si="10">SUMIFS(F4:F24,$B$4:$B$24,"Fixed")</f>
        <v>34</v>
      </c>
      <c r="G34" s="1">
        <f t="shared" si="10"/>
        <v>34</v>
      </c>
      <c r="H34" s="1">
        <f t="shared" si="10"/>
        <v>34</v>
      </c>
      <c r="I34" s="1">
        <f t="shared" si="10"/>
        <v>34</v>
      </c>
      <c r="J34" s="1">
        <f t="shared" si="10"/>
        <v>34</v>
      </c>
      <c r="K34" s="1">
        <f t="shared" si="10"/>
        <v>34</v>
      </c>
      <c r="L34" s="1">
        <f t="shared" si="10"/>
        <v>34</v>
      </c>
      <c r="M34" s="1">
        <f t="shared" si="10"/>
        <v>34</v>
      </c>
      <c r="N34" s="1">
        <f t="shared" si="10"/>
        <v>34</v>
      </c>
      <c r="O34" s="1">
        <f t="shared" si="10"/>
        <v>34</v>
      </c>
      <c r="P34" s="1">
        <f t="shared" si="10"/>
        <v>34</v>
      </c>
      <c r="Q34" s="1">
        <f t="shared" si="10"/>
        <v>34</v>
      </c>
      <c r="R34" s="1">
        <f t="shared" si="10"/>
        <v>34</v>
      </c>
      <c r="S34" s="1">
        <f t="shared" si="10"/>
        <v>34</v>
      </c>
      <c r="T34" s="1">
        <f t="shared" si="10"/>
        <v>34</v>
      </c>
      <c r="U34" s="1">
        <f t="shared" si="10"/>
        <v>34</v>
      </c>
    </row>
    <row r="35" spans="1:21" x14ac:dyDescent="0.25">
      <c r="A35"/>
      <c r="B35"/>
      <c r="C35"/>
      <c r="D35"/>
      <c r="E35" s="1" t="s">
        <v>355</v>
      </c>
      <c r="F35" s="1">
        <f t="shared" ref="F35:U35" si="11">SUMIFS(F4:F24,$B$4:$B$24,"Variable")</f>
        <v>0</v>
      </c>
      <c r="G35" s="1">
        <f t="shared" si="11"/>
        <v>0</v>
      </c>
      <c r="H35" s="1">
        <f t="shared" si="11"/>
        <v>0</v>
      </c>
      <c r="I35" s="1">
        <f t="shared" si="11"/>
        <v>0</v>
      </c>
      <c r="J35" s="1" t="e">
        <f t="shared" ca="1" si="11"/>
        <v>#NAME?</v>
      </c>
      <c r="K35" s="1" t="e">
        <f t="shared" ca="1" si="11"/>
        <v>#NAME?</v>
      </c>
      <c r="L35" s="1" t="e">
        <f t="shared" ca="1" si="11"/>
        <v>#NAME?</v>
      </c>
      <c r="M35" s="1" t="e">
        <f t="shared" ca="1" si="11"/>
        <v>#NAME?</v>
      </c>
      <c r="N35" s="1" t="e">
        <f t="shared" ca="1" si="11"/>
        <v>#NAME?</v>
      </c>
      <c r="O35" s="1" t="e">
        <f t="shared" ca="1" si="11"/>
        <v>#NAME?</v>
      </c>
      <c r="P35" s="1" t="e">
        <f t="shared" ca="1" si="11"/>
        <v>#NAME?</v>
      </c>
      <c r="Q35" s="1" t="e">
        <f t="shared" ca="1" si="11"/>
        <v>#NAME?</v>
      </c>
      <c r="R35" s="1" t="e">
        <f t="shared" ca="1" si="11"/>
        <v>#NAME?</v>
      </c>
      <c r="S35" s="1" t="e">
        <f t="shared" ca="1" si="11"/>
        <v>#NAME?</v>
      </c>
      <c r="T35" s="1" t="e">
        <f t="shared" ca="1" si="11"/>
        <v>#NAME?</v>
      </c>
      <c r="U35" s="1" t="e">
        <f t="shared" ca="1" si="11"/>
        <v>#NAME?</v>
      </c>
    </row>
    <row r="36" spans="1:21" x14ac:dyDescent="0.25">
      <c r="A36"/>
      <c r="B36"/>
      <c r="C36"/>
      <c r="D36"/>
      <c r="E36"/>
      <c r="F36" s="64"/>
      <c r="G36" s="64"/>
      <c r="H36" s="64"/>
      <c r="I36" s="64"/>
      <c r="J36"/>
      <c r="K36"/>
      <c r="L36"/>
      <c r="M36"/>
      <c r="N36"/>
      <c r="O36"/>
      <c r="P36"/>
      <c r="Q36"/>
      <c r="R36"/>
      <c r="S36"/>
      <c r="T36"/>
      <c r="U36"/>
    </row>
    <row r="37" spans="1:2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x14ac:dyDescent="0.25">
      <c r="A38"/>
      <c r="B38"/>
      <c r="C38"/>
      <c r="D38"/>
      <c r="E38"/>
      <c r="F38"/>
      <c r="G38" s="1" t="str">
        <f t="shared" ref="G38:U38" si="12">G40&amp;G39</f>
        <v>4DBF</v>
      </c>
      <c r="H38" s="1" t="str">
        <f t="shared" si="12"/>
        <v>0DBF</v>
      </c>
      <c r="I38" s="1" t="str">
        <f t="shared" si="12"/>
        <v>1DBF</v>
      </c>
      <c r="J38" s="1" t="str">
        <f t="shared" si="12"/>
        <v>2DBF</v>
      </c>
      <c r="K38" s="1" t="str">
        <f t="shared" si="12"/>
        <v>3DBF</v>
      </c>
      <c r="L38" s="1" t="str">
        <f t="shared" si="12"/>
        <v>4HTL</v>
      </c>
      <c r="M38" s="1" t="str">
        <f t="shared" si="12"/>
        <v>0HTL</v>
      </c>
      <c r="N38" s="1" t="str">
        <f t="shared" si="12"/>
        <v>1HTL</v>
      </c>
      <c r="O38" s="1" t="str">
        <f t="shared" si="12"/>
        <v>2HTL</v>
      </c>
      <c r="P38" s="1" t="str">
        <f t="shared" si="12"/>
        <v>3HTL</v>
      </c>
      <c r="Q38" s="1" t="str">
        <f t="shared" si="12"/>
        <v>4WE</v>
      </c>
      <c r="R38" s="1" t="str">
        <f t="shared" si="12"/>
        <v>0WE</v>
      </c>
      <c r="S38" s="1" t="str">
        <f t="shared" si="12"/>
        <v>1WE</v>
      </c>
      <c r="T38" s="1" t="str">
        <f t="shared" si="12"/>
        <v>2WE</v>
      </c>
      <c r="U38" s="1" t="str">
        <f t="shared" si="12"/>
        <v>3WE</v>
      </c>
    </row>
    <row r="39" spans="1:21" x14ac:dyDescent="0.25">
      <c r="A39"/>
      <c r="B39"/>
      <c r="C39"/>
      <c r="D39"/>
      <c r="E39"/>
      <c r="F39"/>
      <c r="G39" s="65" t="s">
        <v>250</v>
      </c>
      <c r="H39" s="65" t="s">
        <v>250</v>
      </c>
      <c r="I39" s="65" t="s">
        <v>250</v>
      </c>
      <c r="J39" s="65" t="s">
        <v>250</v>
      </c>
      <c r="K39" s="65" t="s">
        <v>250</v>
      </c>
      <c r="L39" s="65" t="s">
        <v>242</v>
      </c>
      <c r="M39" s="65" t="s">
        <v>242</v>
      </c>
      <c r="N39" s="65" t="s">
        <v>242</v>
      </c>
      <c r="O39" s="65" t="s">
        <v>242</v>
      </c>
      <c r="P39" s="65" t="s">
        <v>242</v>
      </c>
      <c r="Q39" s="65" t="s">
        <v>247</v>
      </c>
      <c r="R39" s="65" t="s">
        <v>247</v>
      </c>
      <c r="S39" s="65" t="s">
        <v>247</v>
      </c>
      <c r="T39" s="65" t="s">
        <v>247</v>
      </c>
      <c r="U39" s="65" t="s">
        <v>247</v>
      </c>
    </row>
    <row r="40" spans="1:21" x14ac:dyDescent="0.25">
      <c r="A40"/>
      <c r="B40"/>
      <c r="C40"/>
      <c r="D40"/>
      <c r="E40"/>
      <c r="F40" s="65" t="s">
        <v>327</v>
      </c>
      <c r="G40" s="1">
        <v>4</v>
      </c>
      <c r="H40" s="77">
        <v>0</v>
      </c>
      <c r="I40" s="65">
        <v>1</v>
      </c>
      <c r="J40" s="65">
        <v>2</v>
      </c>
      <c r="K40" s="65">
        <v>3</v>
      </c>
      <c r="L40" s="1">
        <v>4</v>
      </c>
      <c r="M40" s="77">
        <v>0</v>
      </c>
      <c r="N40" s="65">
        <v>1</v>
      </c>
      <c r="O40" s="65">
        <v>2</v>
      </c>
      <c r="P40" s="65">
        <v>3</v>
      </c>
      <c r="Q40" s="1">
        <v>4</v>
      </c>
      <c r="R40" s="77">
        <v>0</v>
      </c>
      <c r="S40" s="65">
        <v>1</v>
      </c>
      <c r="T40" s="65">
        <v>2</v>
      </c>
      <c r="U40" s="65">
        <v>3</v>
      </c>
    </row>
    <row r="41" spans="1:21" x14ac:dyDescent="0.25">
      <c r="A41"/>
      <c r="B41"/>
      <c r="C41"/>
      <c r="D41"/>
      <c r="E41" s="1" t="s">
        <v>329</v>
      </c>
      <c r="F41" s="25">
        <f>I30</f>
        <v>3762107.0626087361</v>
      </c>
      <c r="G41" s="25">
        <f>F30</f>
        <v>3762107.0626087361</v>
      </c>
      <c r="H41" s="25" t="e">
        <f ca="1">J30</f>
        <v>#NAME?</v>
      </c>
      <c r="I41" s="25" t="e">
        <f ca="1">K30</f>
        <v>#NAME?</v>
      </c>
      <c r="J41" s="25" t="e">
        <f ca="1">L30</f>
        <v>#NAME?</v>
      </c>
      <c r="K41" s="25" t="e">
        <f ca="1">M30</f>
        <v>#NAME?</v>
      </c>
      <c r="L41" s="25">
        <f>G30</f>
        <v>3762107.0626087361</v>
      </c>
      <c r="M41" s="25" t="e">
        <f ca="1">N30</f>
        <v>#NAME?</v>
      </c>
      <c r="N41" s="25" t="e">
        <f ca="1">O30</f>
        <v>#NAME?</v>
      </c>
      <c r="O41" s="25" t="e">
        <f ca="1">P30</f>
        <v>#NAME?</v>
      </c>
      <c r="P41" s="25" t="e">
        <f ca="1">Q30</f>
        <v>#NAME?</v>
      </c>
      <c r="Q41" s="25">
        <f>H30</f>
        <v>3762107.0626087361</v>
      </c>
      <c r="R41" s="25" t="e">
        <f ca="1">R30</f>
        <v>#NAME?</v>
      </c>
      <c r="S41" s="25" t="e">
        <f ca="1">S30</f>
        <v>#NAME?</v>
      </c>
      <c r="T41" s="25" t="e">
        <f ca="1">T30</f>
        <v>#NAME?</v>
      </c>
      <c r="U41" s="25" t="e">
        <f ca="1">U30</f>
        <v>#NAME?</v>
      </c>
    </row>
    <row r="42" spans="1:21" x14ac:dyDescent="0.25">
      <c r="A42"/>
      <c r="B42"/>
      <c r="C42"/>
      <c r="D42"/>
      <c r="E42" s="1" t="s">
        <v>356</v>
      </c>
      <c r="F42" s="25">
        <f>I28</f>
        <v>0</v>
      </c>
      <c r="G42" s="25">
        <f>F28</f>
        <v>0</v>
      </c>
      <c r="H42" s="25" t="e">
        <f t="shared" ref="H42:K43" ca="1" si="13">J28</f>
        <v>#NAME?</v>
      </c>
      <c r="I42" s="25" t="e">
        <f t="shared" ca="1" si="13"/>
        <v>#NAME?</v>
      </c>
      <c r="J42" s="25" t="e">
        <f t="shared" ca="1" si="13"/>
        <v>#NAME?</v>
      </c>
      <c r="K42" s="25" t="e">
        <f t="shared" ca="1" si="13"/>
        <v>#NAME?</v>
      </c>
      <c r="L42" s="25">
        <f>G28</f>
        <v>0</v>
      </c>
      <c r="M42" s="25" t="e">
        <f t="shared" ref="M42:P43" ca="1" si="14">N28</f>
        <v>#NAME?</v>
      </c>
      <c r="N42" s="25" t="e">
        <f t="shared" ca="1" si="14"/>
        <v>#NAME?</v>
      </c>
      <c r="O42" s="25" t="e">
        <f t="shared" ca="1" si="14"/>
        <v>#NAME?</v>
      </c>
      <c r="P42" s="25" t="e">
        <f t="shared" ca="1" si="14"/>
        <v>#NAME?</v>
      </c>
      <c r="Q42" s="25">
        <f>H28</f>
        <v>0</v>
      </c>
      <c r="R42" s="25" t="e">
        <f t="shared" ref="R42:U43" ca="1" si="15">R28</f>
        <v>#NAME?</v>
      </c>
      <c r="S42" s="25" t="e">
        <f t="shared" ca="1" si="15"/>
        <v>#NAME?</v>
      </c>
      <c r="T42" s="25" t="e">
        <f t="shared" ca="1" si="15"/>
        <v>#NAME?</v>
      </c>
      <c r="U42" s="25" t="e">
        <f t="shared" ca="1" si="15"/>
        <v>#NAME?</v>
      </c>
    </row>
    <row r="43" spans="1:21" x14ac:dyDescent="0.25">
      <c r="A43"/>
      <c r="B43"/>
      <c r="C43"/>
      <c r="D43"/>
      <c r="E43" s="1" t="s">
        <v>357</v>
      </c>
      <c r="F43" s="25">
        <f>I29</f>
        <v>0</v>
      </c>
      <c r="G43" s="25">
        <f>F29</f>
        <v>0</v>
      </c>
      <c r="H43" s="25" t="e">
        <f t="shared" ca="1" si="13"/>
        <v>#NAME?</v>
      </c>
      <c r="I43" s="25" t="e">
        <f t="shared" ca="1" si="13"/>
        <v>#NAME?</v>
      </c>
      <c r="J43" s="25" t="e">
        <f t="shared" ca="1" si="13"/>
        <v>#NAME?</v>
      </c>
      <c r="K43" s="25" t="e">
        <f t="shared" ca="1" si="13"/>
        <v>#NAME?</v>
      </c>
      <c r="L43" s="25">
        <f>G29</f>
        <v>0</v>
      </c>
      <c r="M43" s="25" t="e">
        <f t="shared" ca="1" si="14"/>
        <v>#NAME?</v>
      </c>
      <c r="N43" s="25" t="e">
        <f t="shared" ca="1" si="14"/>
        <v>#NAME?</v>
      </c>
      <c r="O43" s="25" t="e">
        <f t="shared" ca="1" si="14"/>
        <v>#NAME?</v>
      </c>
      <c r="P43" s="25" t="e">
        <f t="shared" ca="1" si="14"/>
        <v>#NAME?</v>
      </c>
      <c r="Q43" s="25">
        <f>H29</f>
        <v>0</v>
      </c>
      <c r="R43" s="25" t="e">
        <f t="shared" ca="1" si="15"/>
        <v>#NAME?</v>
      </c>
      <c r="S43" s="25" t="e">
        <f t="shared" ca="1" si="15"/>
        <v>#NAME?</v>
      </c>
      <c r="T43" s="25" t="e">
        <f t="shared" ca="1" si="15"/>
        <v>#NAME?</v>
      </c>
      <c r="U43" s="25" t="e">
        <f t="shared" ca="1" si="15"/>
        <v>#NAME?</v>
      </c>
    </row>
    <row r="44" spans="1:21" x14ac:dyDescent="0.25">
      <c r="A44"/>
      <c r="B44"/>
      <c r="C44"/>
      <c r="D44"/>
      <c r="E44" s="1" t="s">
        <v>353</v>
      </c>
      <c r="F44" s="1">
        <f>F34</f>
        <v>34</v>
      </c>
      <c r="G44" s="1">
        <f>F33</f>
        <v>34</v>
      </c>
      <c r="H44" s="1" t="e">
        <f ca="1">J33</f>
        <v>#NAME?</v>
      </c>
      <c r="I44" s="1" t="e">
        <f ca="1">K33</f>
        <v>#NAME?</v>
      </c>
      <c r="J44" s="1" t="e">
        <f ca="1">L33</f>
        <v>#NAME?</v>
      </c>
      <c r="K44" s="1" t="e">
        <f ca="1">M33</f>
        <v>#NAME?</v>
      </c>
      <c r="L44" s="1">
        <f>G33</f>
        <v>34</v>
      </c>
      <c r="M44" s="1" t="e">
        <f ca="1">N33</f>
        <v>#NAME?</v>
      </c>
      <c r="N44" s="1" t="e">
        <f ca="1">O33</f>
        <v>#NAME?</v>
      </c>
      <c r="O44" s="1" t="e">
        <f ca="1">P33</f>
        <v>#NAME?</v>
      </c>
      <c r="P44" s="1" t="e">
        <f ca="1">Q33</f>
        <v>#NAME?</v>
      </c>
      <c r="Q44" s="1">
        <f>H33</f>
        <v>34</v>
      </c>
      <c r="R44" s="1" t="e">
        <f ca="1">R33</f>
        <v>#NAME?</v>
      </c>
      <c r="S44" s="1" t="e">
        <f ca="1">S33</f>
        <v>#NAME?</v>
      </c>
      <c r="T44" s="1" t="e">
        <f ca="1">T33</f>
        <v>#NAME?</v>
      </c>
      <c r="U44" s="1" t="e">
        <f ca="1">U33</f>
        <v>#NAME?</v>
      </c>
    </row>
    <row r="45" spans="1:21" x14ac:dyDescent="0.25">
      <c r="A45"/>
      <c r="B45"/>
      <c r="C45"/>
      <c r="D45"/>
    </row>
    <row r="46" spans="1:21" x14ac:dyDescent="0.25">
      <c r="A46"/>
      <c r="B46"/>
      <c r="C46"/>
      <c r="D46"/>
    </row>
    <row r="47" spans="1:21" x14ac:dyDescent="0.25">
      <c r="A47"/>
      <c r="B47"/>
      <c r="C47"/>
      <c r="D47"/>
    </row>
    <row r="48" spans="1:21" x14ac:dyDescent="0.25">
      <c r="A48"/>
      <c r="B48"/>
      <c r="C48"/>
      <c r="D48"/>
    </row>
    <row r="49" spans="1:4" x14ac:dyDescent="0.25">
      <c r="A49" s="14" t="s">
        <v>358</v>
      </c>
      <c r="B49"/>
      <c r="C49"/>
      <c r="D49"/>
    </row>
    <row r="50" spans="1:4" x14ac:dyDescent="0.25">
      <c r="A50" s="1" t="s">
        <v>359</v>
      </c>
      <c r="B50" s="1" t="s">
        <v>338</v>
      </c>
      <c r="C50" s="1">
        <f t="shared" ref="C50:C59" si="16">INDEX($E$4:$E$24,MATCH(B50,$A$4:$A$24,0))</f>
        <v>31152.012924589595</v>
      </c>
      <c r="D50" s="1">
        <v>17</v>
      </c>
    </row>
    <row r="51" spans="1:4" x14ac:dyDescent="0.25">
      <c r="A51" s="1" t="s">
        <v>360</v>
      </c>
      <c r="B51" s="1" t="s">
        <v>340</v>
      </c>
      <c r="C51" s="1">
        <f t="shared" si="16"/>
        <v>44673.785727224793</v>
      </c>
      <c r="D51" s="1">
        <v>3</v>
      </c>
    </row>
    <row r="52" spans="1:4" x14ac:dyDescent="0.25">
      <c r="A52" s="1" t="s">
        <v>361</v>
      </c>
      <c r="B52" s="1" t="s">
        <v>333</v>
      </c>
      <c r="C52" s="1">
        <f t="shared" si="16"/>
        <v>49021.063505849794</v>
      </c>
      <c r="D52" s="1">
        <v>5</v>
      </c>
    </row>
    <row r="53" spans="1:4" x14ac:dyDescent="0.25">
      <c r="A53" s="1" t="s">
        <v>362</v>
      </c>
      <c r="B53" s="1" t="s">
        <v>335</v>
      </c>
      <c r="C53" s="1">
        <f t="shared" si="16"/>
        <v>49021.063505849794</v>
      </c>
      <c r="D53" s="1">
        <v>10</v>
      </c>
    </row>
    <row r="54" spans="1:4" x14ac:dyDescent="0.25">
      <c r="A54" s="1" t="s">
        <v>363</v>
      </c>
      <c r="B54" s="1" t="s">
        <v>330</v>
      </c>
      <c r="C54" s="1">
        <f t="shared" si="16"/>
        <v>94985.121277770493</v>
      </c>
      <c r="D54" s="1">
        <v>2</v>
      </c>
    </row>
    <row r="55" spans="1:4" x14ac:dyDescent="0.25">
      <c r="A55" s="1" t="s">
        <v>364</v>
      </c>
      <c r="B55" s="1" t="s">
        <v>333</v>
      </c>
      <c r="C55" s="1">
        <f t="shared" si="16"/>
        <v>49021.063505849794</v>
      </c>
      <c r="D55" s="1">
        <v>1</v>
      </c>
    </row>
    <row r="56" spans="1:4" x14ac:dyDescent="0.25">
      <c r="A56" s="1" t="s">
        <v>365</v>
      </c>
      <c r="B56" s="1" t="s">
        <v>328</v>
      </c>
      <c r="C56" s="1">
        <f t="shared" si="16"/>
        <v>180151.19114621996</v>
      </c>
      <c r="D56" s="1">
        <v>1</v>
      </c>
    </row>
    <row r="57" spans="1:4" x14ac:dyDescent="0.25">
      <c r="A57" s="1" t="s">
        <v>366</v>
      </c>
      <c r="B57" s="1" t="s">
        <v>334</v>
      </c>
      <c r="C57" s="1">
        <f t="shared" si="16"/>
        <v>68629.02519855999</v>
      </c>
      <c r="D57" s="1">
        <v>1</v>
      </c>
    </row>
    <row r="58" spans="1:4" x14ac:dyDescent="0.25">
      <c r="A58" s="1" t="s">
        <v>367</v>
      </c>
      <c r="B58" s="22" t="s">
        <v>345</v>
      </c>
      <c r="C58" s="1">
        <f t="shared" si="16"/>
        <v>44118.493445635097</v>
      </c>
      <c r="D58" s="1">
        <v>0.5</v>
      </c>
    </row>
    <row r="59" spans="1:4" x14ac:dyDescent="0.25">
      <c r="A59" s="1" t="s">
        <v>368</v>
      </c>
      <c r="B59" s="22" t="s">
        <v>345</v>
      </c>
      <c r="C59" s="1">
        <f t="shared" si="16"/>
        <v>44118.493445635097</v>
      </c>
      <c r="D59" s="1">
        <v>0.5</v>
      </c>
    </row>
    <row r="60" spans="1:4" x14ac:dyDescent="0.25">
      <c r="D60"/>
    </row>
    <row r="61" spans="1:4" x14ac:dyDescent="0.25">
      <c r="D61" s="63">
        <f>SUMPRODUCT(D50:D59,$C$50:$C$59)*(1+$B$2)</f>
        <v>3668541.9361445759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29</vt:i4>
      </vt:variant>
    </vt:vector>
  </HeadingPairs>
  <TitlesOfParts>
    <vt:vector size="45" baseType="lpstr">
      <vt:lpstr>Control</vt:lpstr>
      <vt:lpstr>Cultivation</vt:lpstr>
      <vt:lpstr>Drying</vt:lpstr>
      <vt:lpstr>WE</vt:lpstr>
      <vt:lpstr>WED</vt:lpstr>
      <vt:lpstr>Hydrotreat</vt:lpstr>
      <vt:lpstr>HTL</vt:lpstr>
      <vt:lpstr>DryingNoSummer</vt:lpstr>
      <vt:lpstr>WEFlat</vt:lpstr>
      <vt:lpstr>Cultivationcoefs</vt:lpstr>
      <vt:lpstr>Cultivationcoefs (2)</vt:lpstr>
      <vt:lpstr>Ref</vt:lpstr>
      <vt:lpstr>test</vt:lpstr>
      <vt:lpstr>CultivationcoefsOLDTEST</vt:lpstr>
      <vt:lpstr>CapitalOLD</vt:lpstr>
      <vt:lpstr>LaborAuto</vt:lpstr>
      <vt:lpstr>Algae_CO2_energy_penalty</vt:lpstr>
      <vt:lpstr>Algae_CO2_fertilizer</vt:lpstr>
      <vt:lpstr>Algae_CO2_non_energy_cost</vt:lpstr>
      <vt:lpstr>Algae_electricity</vt:lpstr>
      <vt:lpstr>Algae_electricity_factor</vt:lpstr>
      <vt:lpstr>Algae_N_fertilizer</vt:lpstr>
      <vt:lpstr>Algae_nonLandVariableCost</vt:lpstr>
      <vt:lpstr>ALGAE_ON</vt:lpstr>
      <vt:lpstr>Algae_P_fertilizer</vt:lpstr>
      <vt:lpstr>Algae_water</vt:lpstr>
      <vt:lpstr>Algae_yield</vt:lpstr>
      <vt:lpstr>Algae_yield_cost_factor</vt:lpstr>
      <vt:lpstr>AltFood_Algae</vt:lpstr>
      <vt:lpstr>AltFood_electricity</vt:lpstr>
      <vt:lpstr>AltFood_input_cost</vt:lpstr>
      <vt:lpstr>AltFood_wholesale_gas</vt:lpstr>
      <vt:lpstr>HTL_Algae</vt:lpstr>
      <vt:lpstr>HTL_elect_td_ind</vt:lpstr>
      <vt:lpstr>HTL_input_cost</vt:lpstr>
      <vt:lpstr>HTL_SecOut_CO2_CCU</vt:lpstr>
      <vt:lpstr>HTL_SecOut_N_fertilizer</vt:lpstr>
      <vt:lpstr>HTL_SecOut_P_fertilizer</vt:lpstr>
      <vt:lpstr>HTL_wholesale_gas</vt:lpstr>
      <vt:lpstr>HTL_wholsale_gas</vt:lpstr>
      <vt:lpstr>WE_Algae</vt:lpstr>
      <vt:lpstr>WE_electricity</vt:lpstr>
      <vt:lpstr>WE_input_cost</vt:lpstr>
      <vt:lpstr>WE_SecOut_BiomassOil</vt:lpstr>
      <vt:lpstr>WE_wholesale_gas</vt:lpstr>
    </vt:vector>
  </TitlesOfParts>
  <Company>Bentley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Michael J.</dc:creator>
  <dc:description/>
  <cp:lastModifiedBy>Michael Jay Walsh</cp:lastModifiedBy>
  <cp:revision>3</cp:revision>
  <dcterms:created xsi:type="dcterms:W3CDTF">2016-03-24T19:12:49Z</dcterms:created>
  <dcterms:modified xsi:type="dcterms:W3CDTF">2017-07-27T02:29:34Z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Bentley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