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seank\PycharmProjects\BeamDesign\tests\Excel\"/>
    </mc:Choice>
  </mc:AlternateContent>
  <xr:revisionPtr revIDLastSave="0" documentId="13_ncr:1_{7B17B916-BCF3-49F2-B961-14132591D4F2}" xr6:coauthVersionLast="40" xr6:coauthVersionMax="40" xr10:uidLastSave="{00000000-0000-0000-0000-000000000000}"/>
  <bookViews>
    <workbookView xWindow="0" yWindow="0" windowWidth="28800" windowHeight="11910" xr2:uid="{00000000-000D-0000-FFFF-FFFF00000000}"/>
  </bookViews>
  <sheets>
    <sheet name="CustomBoxes" sheetId="16" r:id="rId1"/>
    <sheet name="Is" sheetId="11" r:id="rId2"/>
    <sheet name="PFCs" sheetId="13" r:id="rId3"/>
    <sheet name="CHSs" sheetId="14" r:id="rId4"/>
    <sheet name="Non-Uniform Shear Factor" sheetId="15" r:id="rId5"/>
    <sheet name="Lookups" sheetId="12" r:id="rId6"/>
  </sheets>
  <externalReferences>
    <externalReference r:id="rId7"/>
  </externalReferences>
  <definedNames>
    <definedName name="A_" localSheetId="0">#REF!</definedName>
    <definedName name="A_">#REF!</definedName>
    <definedName name="E_" localSheetId="0">#REF!</definedName>
    <definedName name="E_">#REF!</definedName>
    <definedName name="G_" localSheetId="0">#REF!</definedName>
    <definedName name="G_">#REF!</definedName>
    <definedName name="I_w" localSheetId="0">#REF!</definedName>
    <definedName name="I_w">#REF!</definedName>
    <definedName name="J_" localSheetId="0">#REF!</definedName>
    <definedName name="J_">#REF!</definedName>
    <definedName name="l_ez" localSheetId="0">#REF!</definedName>
    <definedName name="l_ez">#REF!</definedName>
    <definedName name="lkpFabricationType">[1]!tbllkpFabricationType[Fabrication Type]</definedName>
    <definedName name="lkpSectionType">[1]!tbllkpSectionType[Section Type]</definedName>
    <definedName name="r_ol" localSheetId="0">#REF!</definedName>
    <definedName name="r_ol">#REF!</definedName>
    <definedName name="r_x" localSheetId="0">#REF!</definedName>
    <definedName name="r_x">#REF!</definedName>
    <definedName name="r_y" localSheetId="0">#REF!</definedName>
    <definedName name="r_y">#REF!</definedName>
    <definedName name="x_o" localSheetId="0">#REF!</definedName>
    <definedName name="x_o">#REF!</definedName>
    <definedName name="y_o" localSheetId="0">#REF!</definedName>
    <definedName name="y_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T3" i="13" l="1"/>
  <c r="AT4" i="13"/>
  <c r="AT5" i="13"/>
  <c r="AT6" i="13"/>
  <c r="AT7" i="13"/>
  <c r="AT8" i="13"/>
  <c r="AT9" i="13"/>
  <c r="AT10" i="13"/>
  <c r="AT11" i="13"/>
  <c r="AT12" i="13"/>
  <c r="AH3" i="13"/>
  <c r="AH4" i="13"/>
  <c r="AH5" i="13"/>
  <c r="AH6" i="13"/>
  <c r="AH7" i="13"/>
  <c r="AH8" i="13"/>
  <c r="AH9" i="13"/>
  <c r="AH10" i="13"/>
  <c r="AH11" i="13"/>
  <c r="AH12" i="13"/>
  <c r="AS3" i="11"/>
  <c r="AS4" i="11"/>
  <c r="AS5" i="11"/>
  <c r="AS6" i="11"/>
  <c r="AS7" i="11"/>
  <c r="AS8" i="11"/>
  <c r="AS9" i="11"/>
  <c r="AS10" i="11"/>
  <c r="AS11" i="11"/>
  <c r="AS12" i="11"/>
  <c r="AS13" i="11"/>
  <c r="AS14" i="11"/>
  <c r="AS15" i="11"/>
  <c r="AS16" i="11"/>
  <c r="AS17" i="11"/>
  <c r="AS18" i="11"/>
  <c r="AS19" i="11"/>
  <c r="AS20" i="11"/>
  <c r="AS21" i="11"/>
  <c r="AS22" i="11"/>
  <c r="AS23" i="11"/>
  <c r="AS24" i="11"/>
  <c r="AS25" i="11"/>
  <c r="AS26" i="11"/>
  <c r="AS27" i="11"/>
  <c r="AS28" i="11"/>
  <c r="AS29" i="11"/>
  <c r="AS30" i="11"/>
  <c r="AS31" i="11"/>
  <c r="AS32" i="11"/>
  <c r="AS33" i="11"/>
  <c r="AS34" i="11"/>
  <c r="AS35" i="11"/>
  <c r="AS36" i="11"/>
  <c r="AS37" i="11"/>
  <c r="AS38" i="11"/>
  <c r="AS39" i="11"/>
  <c r="AS40" i="11"/>
  <c r="AS41" i="11"/>
  <c r="AS42" i="11"/>
  <c r="AS43" i="11"/>
  <c r="AS44" i="11"/>
  <c r="AS45" i="11"/>
  <c r="AS46" i="11"/>
  <c r="AS47" i="11"/>
  <c r="AS48" i="11"/>
  <c r="AS49" i="11"/>
  <c r="AS50" i="11"/>
  <c r="AS51" i="11"/>
  <c r="AS52" i="11"/>
  <c r="AS53" i="11"/>
  <c r="AS54" i="11"/>
  <c r="AS55" i="11"/>
  <c r="AS56" i="11"/>
  <c r="AS57" i="11"/>
  <c r="AS58" i="11"/>
  <c r="AS59" i="11"/>
  <c r="AS60" i="11"/>
  <c r="AS61" i="11"/>
  <c r="AS62" i="11"/>
  <c r="AS63" i="11"/>
  <c r="AS64" i="11"/>
  <c r="AS65" i="11"/>
  <c r="AS66" i="11"/>
  <c r="AS67" i="11"/>
  <c r="AS68" i="11"/>
  <c r="AS69" i="11"/>
  <c r="AS70" i="11"/>
  <c r="AS71" i="11"/>
  <c r="AS72" i="11"/>
  <c r="AS73" i="11"/>
  <c r="AS74" i="11"/>
  <c r="AS75" i="11"/>
  <c r="AS76" i="11"/>
  <c r="AS77" i="11"/>
  <c r="AS78" i="11"/>
  <c r="AS79" i="11"/>
  <c r="AS80" i="11"/>
  <c r="AS81" i="11"/>
  <c r="AS82" i="11"/>
  <c r="AS83" i="11"/>
  <c r="AS84" i="11"/>
  <c r="AS85" i="11"/>
  <c r="AS86" i="11"/>
  <c r="AS87" i="11"/>
  <c r="AS88" i="11"/>
  <c r="AS89" i="11"/>
  <c r="AS90" i="11"/>
  <c r="AS91" i="11"/>
  <c r="AS92" i="11"/>
  <c r="AS93" i="11"/>
  <c r="AS94" i="11"/>
  <c r="AS95" i="11"/>
  <c r="AS96" i="11"/>
  <c r="AS97" i="11"/>
  <c r="AS98" i="11"/>
  <c r="AS99" i="11"/>
  <c r="AS100" i="11"/>
  <c r="AS101" i="11"/>
  <c r="AS102" i="11"/>
  <c r="AS103" i="11"/>
  <c r="AS104" i="11"/>
  <c r="AS105" i="11"/>
  <c r="AS106" i="11"/>
  <c r="AS107" i="11"/>
  <c r="AS108" i="11"/>
  <c r="AS109" i="11"/>
  <c r="AS110" i="11"/>
  <c r="AS111" i="11"/>
  <c r="AS112" i="11"/>
  <c r="AS113" i="11"/>
  <c r="AS114" i="11"/>
  <c r="AS115" i="11"/>
  <c r="AS116" i="11"/>
  <c r="AS117" i="11"/>
  <c r="AS118" i="11"/>
  <c r="AS119" i="11"/>
  <c r="AS120" i="11"/>
  <c r="AS121" i="11"/>
  <c r="AS122" i="11"/>
  <c r="AS123" i="11"/>
  <c r="AS124" i="11"/>
  <c r="AS125" i="11"/>
  <c r="AS126" i="11"/>
  <c r="AS127" i="11"/>
  <c r="AS128" i="11"/>
  <c r="AS129" i="11"/>
  <c r="AS130" i="11"/>
  <c r="AS131" i="11"/>
  <c r="AS132" i="11"/>
  <c r="AE3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E43" i="11"/>
  <c r="AE44" i="11"/>
  <c r="AE45" i="11"/>
  <c r="AE46" i="11"/>
  <c r="AE47" i="11"/>
  <c r="AE48" i="11"/>
  <c r="AE49" i="11"/>
  <c r="AE50" i="11"/>
  <c r="AE51" i="11"/>
  <c r="AE52" i="11"/>
  <c r="AE53" i="11"/>
  <c r="AE54" i="11"/>
  <c r="AE55" i="11"/>
  <c r="AE56" i="11"/>
  <c r="AE57" i="11"/>
  <c r="AE58" i="11"/>
  <c r="AE59" i="11"/>
  <c r="AE60" i="11"/>
  <c r="AE61" i="11"/>
  <c r="AE62" i="11"/>
  <c r="AE63" i="11"/>
  <c r="AE64" i="11"/>
  <c r="AE65" i="11"/>
  <c r="AE66" i="11"/>
  <c r="AE67" i="11"/>
  <c r="AE68" i="11"/>
  <c r="AE69" i="11"/>
  <c r="AE70" i="11"/>
  <c r="AE71" i="11"/>
  <c r="AE72" i="11"/>
  <c r="AE73" i="11"/>
  <c r="AE74" i="11"/>
  <c r="AE75" i="11"/>
  <c r="AE76" i="11"/>
  <c r="AE77" i="11"/>
  <c r="AE78" i="11"/>
  <c r="AE79" i="11"/>
  <c r="AE80" i="11"/>
  <c r="AE81" i="11"/>
  <c r="AE82" i="11"/>
  <c r="AE83" i="11"/>
  <c r="AE84" i="11"/>
  <c r="AE85" i="11"/>
  <c r="AE86" i="11"/>
  <c r="AE87" i="11"/>
  <c r="AE88" i="11"/>
  <c r="AE89" i="11"/>
  <c r="AE90" i="11"/>
  <c r="AE91" i="11"/>
  <c r="AE92" i="11"/>
  <c r="AE93" i="11"/>
  <c r="AE94" i="11"/>
  <c r="AE95" i="11"/>
  <c r="AE96" i="11"/>
  <c r="AE97" i="11"/>
  <c r="AE98" i="11"/>
  <c r="AE99" i="11"/>
  <c r="AE100" i="11"/>
  <c r="AE101" i="11"/>
  <c r="AE102" i="11"/>
  <c r="AE103" i="11"/>
  <c r="AE104" i="11"/>
  <c r="AE105" i="11"/>
  <c r="AE106" i="11"/>
  <c r="AE107" i="11"/>
  <c r="AE108" i="11"/>
  <c r="AE109" i="11"/>
  <c r="AE110" i="11"/>
  <c r="AE111" i="11"/>
  <c r="AE112" i="11"/>
  <c r="AE113" i="11"/>
  <c r="AE114" i="11"/>
  <c r="AE115" i="11"/>
  <c r="AE116" i="11"/>
  <c r="AE117" i="11"/>
  <c r="AE118" i="11"/>
  <c r="AE119" i="11"/>
  <c r="AE120" i="11"/>
  <c r="AE121" i="11"/>
  <c r="AE122" i="11"/>
  <c r="AE123" i="11"/>
  <c r="AE124" i="11"/>
  <c r="AE125" i="11"/>
  <c r="AE126" i="11"/>
  <c r="AE127" i="11"/>
  <c r="AE128" i="11"/>
  <c r="AE129" i="11"/>
  <c r="AE130" i="11"/>
  <c r="AE131" i="11"/>
  <c r="AE132" i="11"/>
  <c r="AC3" i="11" a="1"/>
  <c r="AC3" i="11" s="1"/>
  <c r="AF3" i="16"/>
  <c r="AF4" i="16"/>
  <c r="AF5" i="16"/>
  <c r="AF6" i="16"/>
  <c r="AF7" i="16"/>
  <c r="AF8" i="16"/>
  <c r="AF9" i="16"/>
  <c r="AF10" i="16"/>
  <c r="AF11" i="16"/>
  <c r="AF12" i="16"/>
  <c r="R3" i="16"/>
  <c r="R4" i="16"/>
  <c r="R5" i="16"/>
  <c r="R6" i="16"/>
  <c r="R7" i="16"/>
  <c r="R8" i="16"/>
  <c r="R9" i="16"/>
  <c r="R10" i="16"/>
  <c r="R11" i="16"/>
  <c r="R12" i="16"/>
  <c r="AD4" i="16" l="1"/>
  <c r="AD3" i="16"/>
  <c r="AD5" i="16"/>
  <c r="AD6" i="16"/>
  <c r="AD7" i="16"/>
  <c r="AD8" i="16"/>
  <c r="AD9" i="16"/>
  <c r="AD10" i="16"/>
  <c r="AD11" i="16"/>
  <c r="AD12" i="16"/>
  <c r="AC3" i="16"/>
  <c r="AC4" i="16"/>
  <c r="AC5" i="16"/>
  <c r="AC6" i="16"/>
  <c r="AC7" i="16"/>
  <c r="AC8" i="16"/>
  <c r="AC9" i="16"/>
  <c r="AC10" i="16"/>
  <c r="AC11" i="16"/>
  <c r="AC12" i="16"/>
  <c r="W3" i="14" a="1"/>
  <c r="W3" i="14" s="1"/>
  <c r="W4" i="14" a="1"/>
  <c r="W4" i="14" s="1"/>
  <c r="W5" i="14" a="1"/>
  <c r="W5" i="14" s="1"/>
  <c r="W6" i="14" a="1"/>
  <c r="W6" i="14" s="1"/>
  <c r="W7" i="14" a="1"/>
  <c r="W7" i="14" s="1"/>
  <c r="W8" i="14" a="1"/>
  <c r="W8" i="14" s="1"/>
  <c r="W9" i="14" a="1"/>
  <c r="W9" i="14" s="1"/>
  <c r="W10" i="14" a="1"/>
  <c r="W10" i="14" s="1"/>
  <c r="W11" i="14" a="1"/>
  <c r="W11" i="14" s="1"/>
  <c r="W12" i="14" a="1"/>
  <c r="W12" i="14" s="1"/>
  <c r="W13" i="14" a="1"/>
  <c r="W13" i="14" s="1"/>
  <c r="W14" i="14" a="1"/>
  <c r="W14" i="14" s="1"/>
  <c r="W15" i="14" a="1"/>
  <c r="W15" i="14" s="1"/>
  <c r="W16" i="14" a="1"/>
  <c r="W16" i="14" s="1"/>
  <c r="W17" i="14" a="1"/>
  <c r="W17" i="14" s="1"/>
  <c r="W18" i="14" a="1"/>
  <c r="W18" i="14" s="1"/>
  <c r="W19" i="14" a="1"/>
  <c r="W19" i="14" s="1"/>
  <c r="W20" i="14" a="1"/>
  <c r="W20" i="14" s="1"/>
  <c r="W21" i="14" a="1"/>
  <c r="W21" i="14" s="1"/>
  <c r="W22" i="14" a="1"/>
  <c r="W22" i="14" s="1"/>
  <c r="W23" i="14" a="1"/>
  <c r="W23" i="14" s="1"/>
  <c r="W24" i="14" a="1"/>
  <c r="W24" i="14" s="1"/>
  <c r="W25" i="14" a="1"/>
  <c r="W25" i="14" s="1"/>
  <c r="W26" i="14" a="1"/>
  <c r="W26" i="14" s="1"/>
  <c r="W27" i="14" a="1"/>
  <c r="W27" i="14" s="1"/>
  <c r="W28" i="14" a="1"/>
  <c r="W28" i="14" s="1"/>
  <c r="W29" i="14" a="1"/>
  <c r="W29" i="14" s="1"/>
  <c r="W30" i="14" a="1"/>
  <c r="W30" i="14" s="1"/>
  <c r="W31" i="14" a="1"/>
  <c r="W31" i="14" s="1"/>
  <c r="W32" i="14" a="1"/>
  <c r="W32" i="14" s="1"/>
  <c r="W33" i="14" a="1"/>
  <c r="W33" i="14" s="1"/>
  <c r="W34" i="14" a="1"/>
  <c r="W34" i="14" s="1"/>
  <c r="W35" i="14" a="1"/>
  <c r="W35" i="14" s="1"/>
  <c r="W36" i="14" a="1"/>
  <c r="W36" i="14" s="1"/>
  <c r="W37" i="14" a="1"/>
  <c r="W37" i="14" s="1"/>
  <c r="W38" i="14" a="1"/>
  <c r="W38" i="14" s="1"/>
  <c r="W39" i="14" a="1"/>
  <c r="W39" i="14" s="1"/>
  <c r="W40" i="14" a="1"/>
  <c r="W40" i="14" s="1"/>
  <c r="W41" i="14" a="1"/>
  <c r="W41" i="14" s="1"/>
  <c r="W42" i="14" a="1"/>
  <c r="W42" i="14" s="1"/>
  <c r="W43" i="14" a="1"/>
  <c r="W43" i="14" s="1"/>
  <c r="W44" i="14" a="1"/>
  <c r="W44" i="14" s="1"/>
  <c r="W45" i="14" a="1"/>
  <c r="W45" i="14" s="1"/>
  <c r="W46" i="14" a="1"/>
  <c r="W46" i="14" s="1"/>
  <c r="W47" i="14" a="1"/>
  <c r="W47" i="14" s="1"/>
  <c r="W48" i="14" a="1"/>
  <c r="W48" i="14" s="1"/>
  <c r="W49" i="14" a="1"/>
  <c r="W49" i="14" s="1"/>
  <c r="W50" i="14" a="1"/>
  <c r="W50" i="14" s="1"/>
  <c r="W51" i="14" a="1"/>
  <c r="W51" i="14" s="1"/>
  <c r="W52" i="14" a="1"/>
  <c r="W52" i="14" s="1"/>
  <c r="W53" i="14" a="1"/>
  <c r="W53" i="14" s="1"/>
  <c r="W54" i="14" a="1"/>
  <c r="W54" i="14" s="1"/>
  <c r="W55" i="14" a="1"/>
  <c r="W55" i="14" s="1"/>
  <c r="W56" i="14" a="1"/>
  <c r="W56" i="14" s="1"/>
  <c r="W57" i="14" a="1"/>
  <c r="W57" i="14" s="1"/>
  <c r="W58" i="14" a="1"/>
  <c r="W58" i="14" s="1"/>
  <c r="W59" i="14" a="1"/>
  <c r="W59" i="14" s="1"/>
  <c r="W60" i="14" a="1"/>
  <c r="W60" i="14" s="1"/>
  <c r="W61" i="14" a="1"/>
  <c r="W61" i="14" s="1"/>
  <c r="W62" i="14" a="1"/>
  <c r="W62" i="14" s="1"/>
  <c r="W63" i="14" a="1"/>
  <c r="W63" i="14" s="1"/>
  <c r="W64" i="14" a="1"/>
  <c r="W64" i="14" s="1"/>
  <c r="W65" i="14" a="1"/>
  <c r="W65" i="14" s="1"/>
  <c r="W66" i="14" a="1"/>
  <c r="W66" i="14" s="1"/>
  <c r="W67" i="14" a="1"/>
  <c r="W67" i="14" s="1"/>
  <c r="W68" i="14" a="1"/>
  <c r="W68" i="14" s="1"/>
  <c r="W69" i="14" a="1"/>
  <c r="W69" i="14" s="1"/>
  <c r="W70" i="14" a="1"/>
  <c r="W70" i="14" s="1"/>
  <c r="W71" i="14" a="1"/>
  <c r="W71" i="14" s="1"/>
  <c r="W72" i="14" a="1"/>
  <c r="W72" i="14" s="1"/>
  <c r="W73" i="14" a="1"/>
  <c r="W73" i="14" s="1"/>
  <c r="W74" i="14" a="1"/>
  <c r="W74" i="14" s="1"/>
  <c r="W75" i="14" a="1"/>
  <c r="W75" i="14" s="1"/>
  <c r="W76" i="14" a="1"/>
  <c r="W76" i="14" s="1"/>
  <c r="W77" i="14" a="1"/>
  <c r="W77" i="14" s="1"/>
  <c r="W78" i="14" a="1"/>
  <c r="W78" i="14" s="1"/>
  <c r="W79" i="14" a="1"/>
  <c r="W79" i="14" s="1"/>
  <c r="W80" i="14" a="1"/>
  <c r="W80" i="14" s="1"/>
  <c r="W81" i="14" a="1"/>
  <c r="W81" i="14" s="1"/>
  <c r="W82" i="14" a="1"/>
  <c r="W82" i="14" s="1"/>
  <c r="W83" i="14" a="1"/>
  <c r="W83" i="14" s="1"/>
  <c r="W84" i="14" a="1"/>
  <c r="W84" i="14" s="1"/>
  <c r="W85" i="14" a="1"/>
  <c r="W85" i="14" s="1"/>
  <c r="W86" i="14" a="1"/>
  <c r="W86" i="14" s="1"/>
  <c r="W87" i="14" a="1"/>
  <c r="W87" i="14" s="1"/>
  <c r="W88" i="14" a="1"/>
  <c r="W88" i="14" s="1"/>
  <c r="W89" i="14" a="1"/>
  <c r="W89" i="14" s="1"/>
  <c r="Z3" i="14"/>
  <c r="AA3" i="14" s="1"/>
  <c r="Z4" i="14"/>
  <c r="AA4" i="14" s="1"/>
  <c r="Z5" i="14"/>
  <c r="AA5" i="14" s="1"/>
  <c r="Z6" i="14"/>
  <c r="AA6" i="14" s="1"/>
  <c r="Z7" i="14"/>
  <c r="AA7" i="14" s="1"/>
  <c r="Z8" i="14"/>
  <c r="AA8" i="14" s="1"/>
  <c r="Z9" i="14"/>
  <c r="AA9" i="14" s="1"/>
  <c r="Z10" i="14"/>
  <c r="AA10" i="14" s="1"/>
  <c r="Z11" i="14"/>
  <c r="AA11" i="14" s="1"/>
  <c r="Z12" i="14"/>
  <c r="AA12" i="14" s="1"/>
  <c r="Z13" i="14"/>
  <c r="AA13" i="14" s="1"/>
  <c r="Z14" i="14"/>
  <c r="AA14" i="14" s="1"/>
  <c r="Z15" i="14"/>
  <c r="AA15" i="14" s="1"/>
  <c r="Z16" i="14"/>
  <c r="AA16" i="14" s="1"/>
  <c r="Z17" i="14"/>
  <c r="AA17" i="14" s="1"/>
  <c r="Z18" i="14"/>
  <c r="AA18" i="14" s="1"/>
  <c r="Z19" i="14"/>
  <c r="AA19" i="14" s="1"/>
  <c r="Z20" i="14"/>
  <c r="AA20" i="14" s="1"/>
  <c r="Z21" i="14"/>
  <c r="AA21" i="14" s="1"/>
  <c r="Z22" i="14"/>
  <c r="AA22" i="14" s="1"/>
  <c r="Z23" i="14"/>
  <c r="AA23" i="14" s="1"/>
  <c r="Z24" i="14"/>
  <c r="AA24" i="14" s="1"/>
  <c r="Z25" i="14"/>
  <c r="AA25" i="14" s="1"/>
  <c r="Z26" i="14"/>
  <c r="AA26" i="14" s="1"/>
  <c r="Z27" i="14"/>
  <c r="AA27" i="14" s="1"/>
  <c r="Z28" i="14"/>
  <c r="AA28" i="14" s="1"/>
  <c r="Z29" i="14"/>
  <c r="AA29" i="14" s="1"/>
  <c r="Z30" i="14"/>
  <c r="AA30" i="14" s="1"/>
  <c r="Z31" i="14"/>
  <c r="AA31" i="14" s="1"/>
  <c r="Z32" i="14"/>
  <c r="AA32" i="14" s="1"/>
  <c r="Z33" i="14"/>
  <c r="AA33" i="14" s="1"/>
  <c r="Z34" i="14"/>
  <c r="AA34" i="14" s="1"/>
  <c r="Z35" i="14"/>
  <c r="AA35" i="14" s="1"/>
  <c r="Z36" i="14"/>
  <c r="AA36" i="14" s="1"/>
  <c r="Z37" i="14"/>
  <c r="AA37" i="14" s="1"/>
  <c r="Z38" i="14"/>
  <c r="AA38" i="14" s="1"/>
  <c r="Z39" i="14"/>
  <c r="AA39" i="14" s="1"/>
  <c r="Z40" i="14"/>
  <c r="AA40" i="14" s="1"/>
  <c r="Z41" i="14"/>
  <c r="AA41" i="14" s="1"/>
  <c r="Z42" i="14"/>
  <c r="AA42" i="14" s="1"/>
  <c r="Z43" i="14"/>
  <c r="AA43" i="14" s="1"/>
  <c r="Z44" i="14"/>
  <c r="AA44" i="14" s="1"/>
  <c r="Z45" i="14"/>
  <c r="AA45" i="14" s="1"/>
  <c r="Z46" i="14"/>
  <c r="AA46" i="14" s="1"/>
  <c r="Z47" i="14"/>
  <c r="AA47" i="14" s="1"/>
  <c r="Z48" i="14"/>
  <c r="AA48" i="14" s="1"/>
  <c r="Z49" i="14"/>
  <c r="AA49" i="14" s="1"/>
  <c r="Z50" i="14"/>
  <c r="AA50" i="14" s="1"/>
  <c r="Z51" i="14"/>
  <c r="AA51" i="14" s="1"/>
  <c r="Z52" i="14"/>
  <c r="AA52" i="14" s="1"/>
  <c r="Z53" i="14"/>
  <c r="AA53" i="14" s="1"/>
  <c r="Z54" i="14"/>
  <c r="AA54" i="14" s="1"/>
  <c r="Z55" i="14"/>
  <c r="AA55" i="14" s="1"/>
  <c r="Z56" i="14"/>
  <c r="AA56" i="14" s="1"/>
  <c r="Z57" i="14"/>
  <c r="AA57" i="14" s="1"/>
  <c r="Z58" i="14"/>
  <c r="AA58" i="14" s="1"/>
  <c r="Z59" i="14"/>
  <c r="AA59" i="14" s="1"/>
  <c r="Z60" i="14"/>
  <c r="AA60" i="14" s="1"/>
  <c r="Z61" i="14"/>
  <c r="AA61" i="14" s="1"/>
  <c r="Z62" i="14"/>
  <c r="AA62" i="14" s="1"/>
  <c r="Z63" i="14"/>
  <c r="AA63" i="14" s="1"/>
  <c r="Z64" i="14"/>
  <c r="AA64" i="14" s="1"/>
  <c r="Z65" i="14"/>
  <c r="AA65" i="14" s="1"/>
  <c r="Z66" i="14"/>
  <c r="AA66" i="14" s="1"/>
  <c r="Z67" i="14"/>
  <c r="AA67" i="14" s="1"/>
  <c r="Z68" i="14"/>
  <c r="AA68" i="14" s="1"/>
  <c r="Z69" i="14"/>
  <c r="AA69" i="14" s="1"/>
  <c r="Z70" i="14"/>
  <c r="AA70" i="14" s="1"/>
  <c r="Z71" i="14"/>
  <c r="AA71" i="14" s="1"/>
  <c r="Z72" i="14"/>
  <c r="AA72" i="14" s="1"/>
  <c r="Z73" i="14"/>
  <c r="AA73" i="14" s="1"/>
  <c r="Z74" i="14"/>
  <c r="AA74" i="14" s="1"/>
  <c r="Z75" i="14"/>
  <c r="AA75" i="14" s="1"/>
  <c r="Z76" i="14"/>
  <c r="AA76" i="14" s="1"/>
  <c r="Z77" i="14"/>
  <c r="AA77" i="14" s="1"/>
  <c r="Z78" i="14"/>
  <c r="AA78" i="14" s="1"/>
  <c r="Z79" i="14"/>
  <c r="AA79" i="14" s="1"/>
  <c r="Z80" i="14"/>
  <c r="AA80" i="14" s="1"/>
  <c r="Z81" i="14"/>
  <c r="AA81" i="14" s="1"/>
  <c r="Z82" i="14"/>
  <c r="AA82" i="14" s="1"/>
  <c r="Z83" i="14"/>
  <c r="AA83" i="14" s="1"/>
  <c r="Z84" i="14"/>
  <c r="AA84" i="14" s="1"/>
  <c r="Z85" i="14"/>
  <c r="AA85" i="14" s="1"/>
  <c r="Z86" i="14"/>
  <c r="AA86" i="14" s="1"/>
  <c r="Z87" i="14"/>
  <c r="AA87" i="14" s="1"/>
  <c r="Z88" i="14"/>
  <c r="AA88" i="14" s="1"/>
  <c r="Z89" i="14"/>
  <c r="AA89" i="14" s="1"/>
  <c r="Y3" i="14"/>
  <c r="Y4" i="14"/>
  <c r="Y5" i="14"/>
  <c r="Y6" i="14"/>
  <c r="Y7" i="14"/>
  <c r="Y8" i="14"/>
  <c r="Y9" i="14"/>
  <c r="Y10" i="14"/>
  <c r="Y11" i="14"/>
  <c r="Y12" i="14"/>
  <c r="Y13" i="14"/>
  <c r="Y14" i="14"/>
  <c r="Y15" i="14"/>
  <c r="Y16" i="14"/>
  <c r="Y17" i="14"/>
  <c r="Y18" i="14"/>
  <c r="Y19" i="14"/>
  <c r="Y20" i="14"/>
  <c r="Y21" i="14"/>
  <c r="Y22" i="14"/>
  <c r="Y23" i="14"/>
  <c r="Y24" i="14"/>
  <c r="Y25" i="14"/>
  <c r="Y26" i="14"/>
  <c r="Y27" i="14"/>
  <c r="Y28" i="14"/>
  <c r="Y29" i="14"/>
  <c r="Y30" i="14"/>
  <c r="Y31" i="14"/>
  <c r="Y32" i="14"/>
  <c r="Y33" i="14"/>
  <c r="Y34" i="14"/>
  <c r="Y35" i="14"/>
  <c r="Y36" i="14"/>
  <c r="Y37" i="14"/>
  <c r="Y38" i="14"/>
  <c r="Y39" i="14"/>
  <c r="Y40" i="14"/>
  <c r="Y41" i="14"/>
  <c r="Y42" i="14"/>
  <c r="Y43" i="14"/>
  <c r="Y44" i="14"/>
  <c r="Y45" i="14"/>
  <c r="Y46" i="14"/>
  <c r="Y47" i="14"/>
  <c r="Y48" i="14"/>
  <c r="Y49" i="14"/>
  <c r="Y50" i="14"/>
  <c r="Y51" i="14"/>
  <c r="Y52" i="14"/>
  <c r="Y53" i="14"/>
  <c r="Y54" i="14"/>
  <c r="Y55" i="14"/>
  <c r="Y56" i="14"/>
  <c r="Y57" i="14"/>
  <c r="Y58" i="14"/>
  <c r="Y59" i="14"/>
  <c r="Y60" i="14"/>
  <c r="Y61" i="14"/>
  <c r="Y62" i="14"/>
  <c r="Y63" i="14"/>
  <c r="Y64" i="14"/>
  <c r="Y65" i="14"/>
  <c r="Y66" i="14"/>
  <c r="Y67" i="14"/>
  <c r="Y68" i="14"/>
  <c r="Y69" i="14"/>
  <c r="Y70" i="14"/>
  <c r="Y71" i="14"/>
  <c r="Y72" i="14"/>
  <c r="Y73" i="14"/>
  <c r="Y74" i="14"/>
  <c r="Y75" i="14"/>
  <c r="Y76" i="14"/>
  <c r="Y77" i="14"/>
  <c r="Y78" i="14"/>
  <c r="Y79" i="14"/>
  <c r="Y80" i="14"/>
  <c r="Y81" i="14"/>
  <c r="Y82" i="14"/>
  <c r="Y83" i="14"/>
  <c r="Y84" i="14"/>
  <c r="Y85" i="14"/>
  <c r="Y86" i="14"/>
  <c r="Y87" i="14"/>
  <c r="Y88" i="14"/>
  <c r="Y89" i="14"/>
  <c r="AQ3" i="11"/>
  <c r="AR3" i="11" s="1"/>
  <c r="AQ4" i="11"/>
  <c r="AR4" i="11" s="1"/>
  <c r="AQ5" i="11"/>
  <c r="AR5" i="11" s="1"/>
  <c r="AQ6" i="11"/>
  <c r="AR6" i="11" s="1"/>
  <c r="AQ7" i="11"/>
  <c r="AR7" i="11" s="1"/>
  <c r="AQ8" i="11"/>
  <c r="AR8" i="11" s="1"/>
  <c r="AQ9" i="11"/>
  <c r="AR9" i="11" s="1"/>
  <c r="AQ10" i="11"/>
  <c r="AR10" i="11" s="1"/>
  <c r="AQ11" i="11"/>
  <c r="AR11" i="11" s="1"/>
  <c r="AQ12" i="11"/>
  <c r="AR12" i="11" s="1"/>
  <c r="AQ13" i="11"/>
  <c r="AR13" i="11" s="1"/>
  <c r="AQ14" i="11"/>
  <c r="AR14" i="11" s="1"/>
  <c r="AQ15" i="11"/>
  <c r="AR15" i="11" s="1"/>
  <c r="AQ16" i="11"/>
  <c r="AR16" i="11" s="1"/>
  <c r="AQ17" i="11"/>
  <c r="AR17" i="11" s="1"/>
  <c r="AQ18" i="11"/>
  <c r="AR18" i="11" s="1"/>
  <c r="AQ19" i="11"/>
  <c r="AR19" i="11" s="1"/>
  <c r="AQ20" i="11"/>
  <c r="AR20" i="11" s="1"/>
  <c r="AQ21" i="11"/>
  <c r="AR21" i="11" s="1"/>
  <c r="AQ22" i="11"/>
  <c r="AR22" i="11" s="1"/>
  <c r="AQ23" i="11"/>
  <c r="AR23" i="11" s="1"/>
  <c r="AQ24" i="11"/>
  <c r="AR24" i="11" s="1"/>
  <c r="AQ25" i="11"/>
  <c r="AR25" i="11" s="1"/>
  <c r="AQ26" i="11"/>
  <c r="AR26" i="11" s="1"/>
  <c r="AQ27" i="11"/>
  <c r="AR27" i="11" s="1"/>
  <c r="AQ28" i="11"/>
  <c r="AR28" i="11" s="1"/>
  <c r="AQ29" i="11"/>
  <c r="AR29" i="11" s="1"/>
  <c r="AQ30" i="11"/>
  <c r="AR30" i="11" s="1"/>
  <c r="AQ31" i="11"/>
  <c r="AR31" i="11" s="1"/>
  <c r="AQ32" i="11"/>
  <c r="AR32" i="11" s="1"/>
  <c r="AQ33" i="11"/>
  <c r="AR33" i="11" s="1"/>
  <c r="AQ34" i="11"/>
  <c r="AR34" i="11" s="1"/>
  <c r="AQ35" i="11"/>
  <c r="AR35" i="11" s="1"/>
  <c r="AQ36" i="11"/>
  <c r="AR36" i="11" s="1"/>
  <c r="AQ37" i="11"/>
  <c r="AR37" i="11" s="1"/>
  <c r="AQ38" i="11"/>
  <c r="AR38" i="11" s="1"/>
  <c r="AQ39" i="11"/>
  <c r="AR39" i="11" s="1"/>
  <c r="AQ40" i="11"/>
  <c r="AR40" i="11" s="1"/>
  <c r="AQ41" i="11"/>
  <c r="AR41" i="11" s="1"/>
  <c r="AQ42" i="11"/>
  <c r="AR42" i="11" s="1"/>
  <c r="AQ43" i="11"/>
  <c r="AR43" i="11" s="1"/>
  <c r="AQ44" i="11"/>
  <c r="AR44" i="11" s="1"/>
  <c r="AQ45" i="11"/>
  <c r="AR45" i="11" s="1"/>
  <c r="AQ46" i="11"/>
  <c r="AR46" i="11" s="1"/>
  <c r="AQ47" i="11"/>
  <c r="AR47" i="11" s="1"/>
  <c r="AQ48" i="11"/>
  <c r="AR48" i="11" s="1"/>
  <c r="AQ49" i="11"/>
  <c r="AR49" i="11" s="1"/>
  <c r="AQ50" i="11"/>
  <c r="AR50" i="11" s="1"/>
  <c r="AQ51" i="11"/>
  <c r="AR51" i="11" s="1"/>
  <c r="AQ52" i="11"/>
  <c r="AR52" i="11" s="1"/>
  <c r="AQ53" i="11"/>
  <c r="AR53" i="11" s="1"/>
  <c r="AQ54" i="11"/>
  <c r="AR54" i="11" s="1"/>
  <c r="AQ55" i="11"/>
  <c r="AR55" i="11" s="1"/>
  <c r="AQ56" i="11"/>
  <c r="AR56" i="11" s="1"/>
  <c r="AQ57" i="11"/>
  <c r="AR57" i="11" s="1"/>
  <c r="AQ58" i="11"/>
  <c r="AR58" i="11" s="1"/>
  <c r="AQ59" i="11"/>
  <c r="AR59" i="11" s="1"/>
  <c r="AQ60" i="11"/>
  <c r="AR60" i="11" s="1"/>
  <c r="AQ61" i="11"/>
  <c r="AR61" i="11" s="1"/>
  <c r="AQ62" i="11"/>
  <c r="AR62" i="11" s="1"/>
  <c r="AQ63" i="11"/>
  <c r="AR63" i="11" s="1"/>
  <c r="AQ64" i="11"/>
  <c r="AR64" i="11" s="1"/>
  <c r="AQ65" i="11"/>
  <c r="AR65" i="11" s="1"/>
  <c r="AQ66" i="11"/>
  <c r="AR66" i="11" s="1"/>
  <c r="AQ67" i="11"/>
  <c r="AR67" i="11" s="1"/>
  <c r="AQ68" i="11"/>
  <c r="AR68" i="11" s="1"/>
  <c r="AQ69" i="11"/>
  <c r="AR69" i="11" s="1"/>
  <c r="AQ70" i="11"/>
  <c r="AR70" i="11" s="1"/>
  <c r="AQ71" i="11"/>
  <c r="AR71" i="11" s="1"/>
  <c r="AQ72" i="11"/>
  <c r="AR72" i="11" s="1"/>
  <c r="AQ73" i="11"/>
  <c r="AR73" i="11" s="1"/>
  <c r="AQ74" i="11"/>
  <c r="AR74" i="11" s="1"/>
  <c r="AQ75" i="11"/>
  <c r="AR75" i="11" s="1"/>
  <c r="AQ76" i="11"/>
  <c r="AR76" i="11" s="1"/>
  <c r="AQ77" i="11"/>
  <c r="AR77" i="11" s="1"/>
  <c r="AQ78" i="11"/>
  <c r="AR78" i="11" s="1"/>
  <c r="AQ79" i="11"/>
  <c r="AR79" i="11" s="1"/>
  <c r="AQ80" i="11"/>
  <c r="AR80" i="11" s="1"/>
  <c r="AQ81" i="11"/>
  <c r="AR81" i="11" s="1"/>
  <c r="AQ82" i="11"/>
  <c r="AR82" i="11" s="1"/>
  <c r="AQ83" i="11"/>
  <c r="AR83" i="11" s="1"/>
  <c r="AQ84" i="11"/>
  <c r="AR84" i="11" s="1"/>
  <c r="AQ85" i="11"/>
  <c r="AR85" i="11" s="1"/>
  <c r="AQ86" i="11"/>
  <c r="AR86" i="11" s="1"/>
  <c r="AQ87" i="11"/>
  <c r="AR87" i="11" s="1"/>
  <c r="AQ88" i="11"/>
  <c r="AR88" i="11" s="1"/>
  <c r="AQ89" i="11"/>
  <c r="AR89" i="11" s="1"/>
  <c r="AQ90" i="11"/>
  <c r="AR90" i="11" s="1"/>
  <c r="AQ91" i="11"/>
  <c r="AR91" i="11" s="1"/>
  <c r="AQ92" i="11"/>
  <c r="AR92" i="11" s="1"/>
  <c r="AQ93" i="11"/>
  <c r="AR93" i="11" s="1"/>
  <c r="AQ94" i="11"/>
  <c r="AR94" i="11" s="1"/>
  <c r="AQ95" i="11"/>
  <c r="AR95" i="11" s="1"/>
  <c r="AQ96" i="11"/>
  <c r="AR96" i="11" s="1"/>
  <c r="AQ97" i="11"/>
  <c r="AR97" i="11" s="1"/>
  <c r="AQ98" i="11"/>
  <c r="AR98" i="11" s="1"/>
  <c r="AQ99" i="11"/>
  <c r="AR99" i="11" s="1"/>
  <c r="AQ100" i="11"/>
  <c r="AR100" i="11" s="1"/>
  <c r="AQ101" i="11"/>
  <c r="AR101" i="11" s="1"/>
  <c r="AQ102" i="11"/>
  <c r="AR102" i="11" s="1"/>
  <c r="AQ103" i="11"/>
  <c r="AR103" i="11" s="1"/>
  <c r="AQ104" i="11"/>
  <c r="AR104" i="11" s="1"/>
  <c r="AQ105" i="11"/>
  <c r="AR105" i="11" s="1"/>
  <c r="AQ106" i="11"/>
  <c r="AR106" i="11" s="1"/>
  <c r="AQ107" i="11"/>
  <c r="AR107" i="11" s="1"/>
  <c r="AQ108" i="11"/>
  <c r="AR108" i="11" s="1"/>
  <c r="AQ109" i="11"/>
  <c r="AR109" i="11" s="1"/>
  <c r="AQ110" i="11"/>
  <c r="AR110" i="11" s="1"/>
  <c r="AQ111" i="11"/>
  <c r="AR111" i="11" s="1"/>
  <c r="AQ112" i="11"/>
  <c r="AR112" i="11" s="1"/>
  <c r="AQ113" i="11"/>
  <c r="AR113" i="11" s="1"/>
  <c r="AQ114" i="11"/>
  <c r="AR114" i="11" s="1"/>
  <c r="AQ115" i="11"/>
  <c r="AR115" i="11" s="1"/>
  <c r="AQ116" i="11"/>
  <c r="AR116" i="11" s="1"/>
  <c r="AQ117" i="11"/>
  <c r="AR117" i="11" s="1"/>
  <c r="AQ118" i="11"/>
  <c r="AR118" i="11" s="1"/>
  <c r="AQ119" i="11"/>
  <c r="AR119" i="11" s="1"/>
  <c r="AQ120" i="11"/>
  <c r="AR120" i="11" s="1"/>
  <c r="AQ121" i="11"/>
  <c r="AR121" i="11" s="1"/>
  <c r="AQ122" i="11"/>
  <c r="AR122" i="11" s="1"/>
  <c r="AQ123" i="11"/>
  <c r="AR123" i="11" s="1"/>
  <c r="AQ124" i="11"/>
  <c r="AR124" i="11" s="1"/>
  <c r="AQ125" i="11"/>
  <c r="AR125" i="11" s="1"/>
  <c r="AQ126" i="11"/>
  <c r="AR126" i="11" s="1"/>
  <c r="AQ127" i="11"/>
  <c r="AR127" i="11" s="1"/>
  <c r="AQ128" i="11"/>
  <c r="AR128" i="11" s="1"/>
  <c r="AQ129" i="11"/>
  <c r="AR129" i="11" s="1"/>
  <c r="AQ130" i="11"/>
  <c r="AR130" i="11" s="1"/>
  <c r="AQ131" i="11"/>
  <c r="AR131" i="11" s="1"/>
  <c r="AQ132" i="11"/>
  <c r="AR132" i="11" s="1"/>
  <c r="AP3" i="11"/>
  <c r="AP4" i="11"/>
  <c r="AP5" i="11"/>
  <c r="AP6" i="11"/>
  <c r="AP7" i="11"/>
  <c r="AP8" i="11"/>
  <c r="AP9" i="11"/>
  <c r="AP10" i="11"/>
  <c r="AP11" i="11"/>
  <c r="AP12" i="11"/>
  <c r="AP13" i="11"/>
  <c r="AP14" i="11"/>
  <c r="AP15" i="11"/>
  <c r="AP16" i="11"/>
  <c r="AP17" i="11"/>
  <c r="AP18" i="11"/>
  <c r="AP19" i="11"/>
  <c r="AP20" i="11"/>
  <c r="AP21" i="11"/>
  <c r="AP22" i="11"/>
  <c r="AP23" i="11"/>
  <c r="AP24" i="11"/>
  <c r="AP25" i="11"/>
  <c r="AP26" i="11"/>
  <c r="AP27" i="11"/>
  <c r="AP28" i="11"/>
  <c r="AP29" i="11"/>
  <c r="AP30" i="11"/>
  <c r="AP31" i="11"/>
  <c r="AP32" i="11"/>
  <c r="AP33" i="11"/>
  <c r="AP34" i="11"/>
  <c r="AP35" i="11"/>
  <c r="AP36" i="11"/>
  <c r="AP37" i="11"/>
  <c r="AP38" i="11"/>
  <c r="AP39" i="11"/>
  <c r="AP40" i="11"/>
  <c r="AP41" i="11"/>
  <c r="AP42" i="11"/>
  <c r="AP43" i="11"/>
  <c r="AP44" i="11"/>
  <c r="AP45" i="11"/>
  <c r="AP46" i="11"/>
  <c r="AP47" i="11"/>
  <c r="AP48" i="11"/>
  <c r="AP49" i="11"/>
  <c r="AP50" i="11"/>
  <c r="AP51" i="11"/>
  <c r="AP52" i="11"/>
  <c r="AP53" i="11"/>
  <c r="AP54" i="11"/>
  <c r="AP55" i="11"/>
  <c r="AP56" i="11"/>
  <c r="AP57" i="11"/>
  <c r="AP58" i="11"/>
  <c r="AP59" i="11"/>
  <c r="AP60" i="11"/>
  <c r="AP61" i="11"/>
  <c r="AP62" i="11"/>
  <c r="AP63" i="11"/>
  <c r="AP64" i="11"/>
  <c r="AP65" i="11"/>
  <c r="AP66" i="11"/>
  <c r="AP67" i="11"/>
  <c r="AP68" i="11"/>
  <c r="AP69" i="11"/>
  <c r="AP70" i="11"/>
  <c r="AP71" i="11"/>
  <c r="AP72" i="11"/>
  <c r="AP73" i="11"/>
  <c r="AP74" i="11"/>
  <c r="AP75" i="11"/>
  <c r="AP76" i="11"/>
  <c r="AP77" i="11"/>
  <c r="AP78" i="11"/>
  <c r="AP79" i="11"/>
  <c r="AP80" i="11"/>
  <c r="AP81" i="11"/>
  <c r="AP82" i="11"/>
  <c r="AP83" i="11"/>
  <c r="AP84" i="11"/>
  <c r="AP85" i="11"/>
  <c r="AP86" i="11"/>
  <c r="AP87" i="11"/>
  <c r="AP88" i="11"/>
  <c r="AP89" i="11"/>
  <c r="AP90" i="11"/>
  <c r="AP91" i="11"/>
  <c r="AP92" i="11"/>
  <c r="AP93" i="11"/>
  <c r="AP94" i="11"/>
  <c r="AP95" i="11"/>
  <c r="AP96" i="11"/>
  <c r="AP97" i="11"/>
  <c r="AP98" i="11"/>
  <c r="AP99" i="11"/>
  <c r="AP100" i="11"/>
  <c r="AP101" i="11"/>
  <c r="AP102" i="11"/>
  <c r="AP103" i="11"/>
  <c r="AP104" i="11"/>
  <c r="AP105" i="11"/>
  <c r="AP106" i="11"/>
  <c r="AP107" i="11"/>
  <c r="AP108" i="11"/>
  <c r="AP109" i="11"/>
  <c r="AP110" i="11"/>
  <c r="AP111" i="11"/>
  <c r="AP112" i="11"/>
  <c r="AP113" i="11"/>
  <c r="AP114" i="11"/>
  <c r="AP115" i="11"/>
  <c r="AP116" i="11"/>
  <c r="AP117" i="11"/>
  <c r="AP118" i="11"/>
  <c r="AP119" i="11"/>
  <c r="AP120" i="11"/>
  <c r="AP121" i="11"/>
  <c r="AP122" i="11"/>
  <c r="AP123" i="11"/>
  <c r="AP124" i="11"/>
  <c r="AP125" i="11"/>
  <c r="AP126" i="11"/>
  <c r="AP127" i="11"/>
  <c r="AP128" i="11"/>
  <c r="AP129" i="11"/>
  <c r="AP130" i="11"/>
  <c r="AP131" i="11"/>
  <c r="AP132" i="11"/>
  <c r="AR3" i="13"/>
  <c r="AS3" i="13" s="1"/>
  <c r="AR4" i="13"/>
  <c r="AS4" i="13" s="1"/>
  <c r="AR5" i="13"/>
  <c r="AS5" i="13" s="1"/>
  <c r="AR6" i="13"/>
  <c r="AS6" i="13" s="1"/>
  <c r="AR7" i="13"/>
  <c r="AS7" i="13" s="1"/>
  <c r="AR8" i="13"/>
  <c r="AS8" i="13" s="1"/>
  <c r="AR9" i="13"/>
  <c r="AS9" i="13" s="1"/>
  <c r="AR10" i="13"/>
  <c r="AS10" i="13" s="1"/>
  <c r="AR11" i="13"/>
  <c r="AS11" i="13" s="1"/>
  <c r="AR12" i="13"/>
  <c r="AS12" i="13" s="1"/>
  <c r="AQ3" i="13"/>
  <c r="AQ4" i="13"/>
  <c r="AQ5" i="13"/>
  <c r="AQ6" i="13"/>
  <c r="AQ7" i="13"/>
  <c r="AQ8" i="13"/>
  <c r="AQ9" i="13"/>
  <c r="AQ10" i="13"/>
  <c r="AQ11" i="13"/>
  <c r="AQ12" i="13"/>
  <c r="AC84" i="14" l="1"/>
  <c r="AD84" i="14" s="1"/>
  <c r="AC68" i="14"/>
  <c r="AD68" i="14" s="1"/>
  <c r="AC76" i="14"/>
  <c r="AD76" i="14" s="1"/>
  <c r="AC60" i="14"/>
  <c r="AD60" i="14" s="1"/>
  <c r="AC87" i="14"/>
  <c r="AD87" i="14" s="1"/>
  <c r="AC79" i="14"/>
  <c r="AD79" i="14" s="1"/>
  <c r="AC71" i="14"/>
  <c r="AD71" i="14" s="1"/>
  <c r="AC63" i="14"/>
  <c r="AD63" i="14" s="1"/>
  <c r="AC55" i="14"/>
  <c r="AD55" i="14" s="1"/>
  <c r="AC47" i="14"/>
  <c r="AD47" i="14" s="1"/>
  <c r="AC39" i="14"/>
  <c r="AD39" i="14" s="1"/>
  <c r="AC31" i="14"/>
  <c r="AD31" i="14" s="1"/>
  <c r="AC23" i="14"/>
  <c r="AD23" i="14" s="1"/>
  <c r="AC15" i="14"/>
  <c r="AD15" i="14" s="1"/>
  <c r="AC7" i="14"/>
  <c r="AD7" i="14" s="1"/>
  <c r="AC88" i="14"/>
  <c r="AD88" i="14" s="1"/>
  <c r="AC80" i="14"/>
  <c r="AD80" i="14" s="1"/>
  <c r="AC72" i="14"/>
  <c r="AD72" i="14" s="1"/>
  <c r="AC64" i="14"/>
  <c r="AD64" i="14" s="1"/>
  <c r="AC56" i="14"/>
  <c r="AD56" i="14" s="1"/>
  <c r="AC48" i="14"/>
  <c r="AD48" i="14" s="1"/>
  <c r="AC40" i="14"/>
  <c r="AD40" i="14" s="1"/>
  <c r="AC32" i="14"/>
  <c r="AD32" i="14" s="1"/>
  <c r="AC24" i="14"/>
  <c r="AD24" i="14" s="1"/>
  <c r="AC16" i="14"/>
  <c r="AD16" i="14" s="1"/>
  <c r="AC8" i="14"/>
  <c r="AD8" i="14" s="1"/>
  <c r="AC86" i="14"/>
  <c r="AD86" i="14" s="1"/>
  <c r="AC78" i="14"/>
  <c r="AD78" i="14" s="1"/>
  <c r="AC70" i="14"/>
  <c r="AD70" i="14" s="1"/>
  <c r="AC62" i="14"/>
  <c r="AD62" i="14" s="1"/>
  <c r="AC54" i="14"/>
  <c r="AD54" i="14" s="1"/>
  <c r="AC46" i="14"/>
  <c r="AD46" i="14" s="1"/>
  <c r="AC38" i="14"/>
  <c r="AD38" i="14" s="1"/>
  <c r="AC30" i="14"/>
  <c r="AD30" i="14" s="1"/>
  <c r="AC22" i="14"/>
  <c r="AD22" i="14" s="1"/>
  <c r="AC14" i="14"/>
  <c r="AD14" i="14" s="1"/>
  <c r="AC6" i="14"/>
  <c r="AD6" i="14" s="1"/>
  <c r="AC52" i="14"/>
  <c r="AD52" i="14" s="1"/>
  <c r="AC44" i="14"/>
  <c r="AD44" i="14" s="1"/>
  <c r="AC36" i="14"/>
  <c r="AD36" i="14" s="1"/>
  <c r="AC28" i="14"/>
  <c r="AD28" i="14" s="1"/>
  <c r="AC20" i="14"/>
  <c r="AD20" i="14" s="1"/>
  <c r="AC12" i="14"/>
  <c r="AD12" i="14" s="1"/>
  <c r="AC82" i="14"/>
  <c r="AD82" i="14" s="1"/>
  <c r="AC74" i="14"/>
  <c r="AD74" i="14" s="1"/>
  <c r="AC66" i="14"/>
  <c r="AD66" i="14" s="1"/>
  <c r="AC58" i="14"/>
  <c r="AD58" i="14" s="1"/>
  <c r="AC50" i="14"/>
  <c r="AD50" i="14" s="1"/>
  <c r="AC42" i="14"/>
  <c r="AD42" i="14" s="1"/>
  <c r="AC34" i="14"/>
  <c r="AD34" i="14" s="1"/>
  <c r="AC26" i="14"/>
  <c r="AD26" i="14" s="1"/>
  <c r="AC18" i="14"/>
  <c r="AD18" i="14" s="1"/>
  <c r="AC10" i="14"/>
  <c r="AD10" i="14" s="1"/>
  <c r="AC4" i="14"/>
  <c r="AD4" i="14" s="1"/>
  <c r="AC83" i="14"/>
  <c r="AD83" i="14" s="1"/>
  <c r="AC75" i="14"/>
  <c r="AD75" i="14" s="1"/>
  <c r="AC67" i="14"/>
  <c r="AD67" i="14" s="1"/>
  <c r="AC59" i="14"/>
  <c r="AD59" i="14" s="1"/>
  <c r="AC51" i="14"/>
  <c r="AD51" i="14" s="1"/>
  <c r="AC43" i="14"/>
  <c r="AD43" i="14" s="1"/>
  <c r="AC35" i="14"/>
  <c r="AD35" i="14" s="1"/>
  <c r="AC27" i="14"/>
  <c r="AD27" i="14" s="1"/>
  <c r="AC19" i="14"/>
  <c r="AD19" i="14" s="1"/>
  <c r="AC11" i="14"/>
  <c r="AD11" i="14" s="1"/>
  <c r="AC3" i="14"/>
  <c r="AD3" i="14" s="1"/>
  <c r="AC89" i="14"/>
  <c r="AD89" i="14" s="1"/>
  <c r="AC81" i="14"/>
  <c r="AD81" i="14" s="1"/>
  <c r="AC73" i="14"/>
  <c r="AD73" i="14" s="1"/>
  <c r="AC65" i="14"/>
  <c r="AD65" i="14" s="1"/>
  <c r="AC57" i="14"/>
  <c r="AD57" i="14" s="1"/>
  <c r="AC49" i="14"/>
  <c r="AD49" i="14" s="1"/>
  <c r="AC41" i="14"/>
  <c r="AD41" i="14" s="1"/>
  <c r="AC33" i="14"/>
  <c r="AD33" i="14" s="1"/>
  <c r="AC25" i="14"/>
  <c r="AD25" i="14" s="1"/>
  <c r="AC17" i="14"/>
  <c r="AD17" i="14" s="1"/>
  <c r="AC9" i="14"/>
  <c r="AD9" i="14" s="1"/>
  <c r="AC85" i="14"/>
  <c r="AD85" i="14" s="1"/>
  <c r="AC77" i="14"/>
  <c r="AD77" i="14" s="1"/>
  <c r="AC69" i="14"/>
  <c r="AD69" i="14" s="1"/>
  <c r="AC61" i="14"/>
  <c r="AD61" i="14" s="1"/>
  <c r="AC53" i="14"/>
  <c r="AD53" i="14" s="1"/>
  <c r="AC45" i="14"/>
  <c r="AD45" i="14" s="1"/>
  <c r="AC37" i="14"/>
  <c r="AD37" i="14" s="1"/>
  <c r="AC29" i="14"/>
  <c r="AD29" i="14" s="1"/>
  <c r="AC21" i="14"/>
  <c r="AD21" i="14" s="1"/>
  <c r="AC13" i="14"/>
  <c r="AD13" i="14" s="1"/>
  <c r="AC5" i="14"/>
  <c r="AD5" i="14" s="1"/>
  <c r="AT71" i="11"/>
  <c r="AT7" i="11"/>
  <c r="AT65" i="11"/>
  <c r="AT98" i="11"/>
  <c r="AU8" i="13"/>
  <c r="C3" i="16"/>
  <c r="B3" i="16" s="1"/>
  <c r="C4" i="16"/>
  <c r="B4" i="16" s="1"/>
  <c r="C5" i="16"/>
  <c r="B5" i="16" s="1"/>
  <c r="C6" i="16"/>
  <c r="B6" i="16" s="1"/>
  <c r="C7" i="16"/>
  <c r="B7" i="16" s="1"/>
  <c r="C8" i="16"/>
  <c r="B8" i="16" s="1"/>
  <c r="C9" i="16"/>
  <c r="B9" i="16" s="1"/>
  <c r="C10" i="16"/>
  <c r="B10" i="16" s="1"/>
  <c r="C11" i="16"/>
  <c r="B11" i="16" s="1"/>
  <c r="C12" i="16"/>
  <c r="B12" i="16" s="1"/>
  <c r="L3" i="16"/>
  <c r="L4" i="16"/>
  <c r="L5" i="16"/>
  <c r="L6" i="16"/>
  <c r="L7" i="16"/>
  <c r="L8" i="16"/>
  <c r="L9" i="16"/>
  <c r="L10" i="16"/>
  <c r="L11" i="16"/>
  <c r="L12" i="16"/>
  <c r="K3" i="16"/>
  <c r="M3" i="16" s="1"/>
  <c r="K4" i="16"/>
  <c r="M4" i="16" s="1"/>
  <c r="K5" i="16"/>
  <c r="M5" i="16" s="1"/>
  <c r="K6" i="16"/>
  <c r="T6" i="16" s="1"/>
  <c r="K7" i="16"/>
  <c r="M7" i="16" s="1"/>
  <c r="K8" i="16"/>
  <c r="M8" i="16" s="1"/>
  <c r="K9" i="16"/>
  <c r="M9" i="16" s="1"/>
  <c r="K10" i="16"/>
  <c r="K11" i="16"/>
  <c r="M11" i="16" s="1"/>
  <c r="K12" i="16"/>
  <c r="M12" i="16" s="1"/>
  <c r="Y12" i="16"/>
  <c r="Z12" i="16" s="1"/>
  <c r="S12" i="16" a="1"/>
  <c r="S12" i="16" s="1"/>
  <c r="X12" i="16" s="1"/>
  <c r="Q12" i="16" a="1"/>
  <c r="Q12" i="16" s="1"/>
  <c r="P12" i="16" a="1"/>
  <c r="P12" i="16" s="1"/>
  <c r="Y11" i="16"/>
  <c r="Z11" i="16" s="1"/>
  <c r="S11" i="16" a="1"/>
  <c r="S11" i="16" s="1"/>
  <c r="X11" i="16" s="1"/>
  <c r="Q11" i="16" a="1"/>
  <c r="Q11" i="16" s="1"/>
  <c r="P11" i="16" a="1"/>
  <c r="P11" i="16" s="1"/>
  <c r="Y10" i="16"/>
  <c r="Z10" i="16" s="1"/>
  <c r="S10" i="16" a="1"/>
  <c r="S10" i="16" s="1"/>
  <c r="X10" i="16" s="1"/>
  <c r="Q10" i="16" a="1"/>
  <c r="Q10" i="16" s="1"/>
  <c r="P10" i="16" a="1"/>
  <c r="P10" i="16" s="1"/>
  <c r="Y9" i="16"/>
  <c r="Z9" i="16" s="1"/>
  <c r="S9" i="16" a="1"/>
  <c r="S9" i="16" s="1"/>
  <c r="X9" i="16" s="1"/>
  <c r="Q9" i="16" a="1"/>
  <c r="Q9" i="16" s="1"/>
  <c r="P9" i="16" a="1"/>
  <c r="P9" i="16" s="1"/>
  <c r="Y8" i="16"/>
  <c r="Z8" i="16" s="1"/>
  <c r="S8" i="16" a="1"/>
  <c r="S8" i="16" s="1"/>
  <c r="X8" i="16" s="1"/>
  <c r="Q8" i="16" a="1"/>
  <c r="Q8" i="16" s="1"/>
  <c r="P8" i="16" a="1"/>
  <c r="P8" i="16" s="1"/>
  <c r="Y7" i="16"/>
  <c r="Z7" i="16" s="1"/>
  <c r="S7" i="16" a="1"/>
  <c r="S7" i="16" s="1"/>
  <c r="X7" i="16" s="1"/>
  <c r="Q7" i="16" a="1"/>
  <c r="Q7" i="16" s="1"/>
  <c r="P7" i="16" a="1"/>
  <c r="P7" i="16" s="1"/>
  <c r="Y6" i="16"/>
  <c r="Z6" i="16" s="1"/>
  <c r="S6" i="16" a="1"/>
  <c r="S6" i="16" s="1"/>
  <c r="X6" i="16" s="1"/>
  <c r="Q6" i="16" a="1"/>
  <c r="Q6" i="16" s="1"/>
  <c r="P6" i="16" a="1"/>
  <c r="P6" i="16" s="1"/>
  <c r="Y5" i="16"/>
  <c r="Z5" i="16" s="1"/>
  <c r="S5" i="16" a="1"/>
  <c r="S5" i="16" s="1"/>
  <c r="X5" i="16" s="1"/>
  <c r="Q5" i="16" a="1"/>
  <c r="Q5" i="16" s="1"/>
  <c r="P5" i="16" a="1"/>
  <c r="P5" i="16" s="1"/>
  <c r="Y4" i="16"/>
  <c r="Z4" i="16" s="1"/>
  <c r="S4" i="16" a="1"/>
  <c r="S4" i="16" s="1"/>
  <c r="X4" i="16" s="1"/>
  <c r="Q4" i="16" a="1"/>
  <c r="Q4" i="16" s="1"/>
  <c r="P4" i="16" a="1"/>
  <c r="P4" i="16" s="1"/>
  <c r="Y3" i="16"/>
  <c r="Z3" i="16" s="1"/>
  <c r="S3" i="16" a="1"/>
  <c r="S3" i="16" s="1"/>
  <c r="X3" i="16" s="1"/>
  <c r="Q3" i="16" a="1"/>
  <c r="Q3" i="16" s="1"/>
  <c r="P3" i="16" a="1"/>
  <c r="P3" i="16" s="1"/>
  <c r="AN3" i="13"/>
  <c r="AO3" i="13" s="1"/>
  <c r="AN4" i="13"/>
  <c r="AO4" i="13" s="1"/>
  <c r="AN5" i="13"/>
  <c r="AO5" i="13" s="1"/>
  <c r="AN6" i="13"/>
  <c r="AO6" i="13" s="1"/>
  <c r="AN7" i="13"/>
  <c r="AO7" i="13" s="1"/>
  <c r="AN8" i="13"/>
  <c r="AO8" i="13" s="1"/>
  <c r="AN9" i="13"/>
  <c r="AO9" i="13" s="1"/>
  <c r="AN10" i="13"/>
  <c r="AO10" i="13" s="1"/>
  <c r="AN11" i="13"/>
  <c r="AO11" i="13" s="1"/>
  <c r="AN12" i="13"/>
  <c r="AO12" i="13" s="1"/>
  <c r="AI3" i="13" a="1"/>
  <c r="AI3" i="13" s="1"/>
  <c r="AU3" i="13" s="1"/>
  <c r="AI4" i="13" a="1"/>
  <c r="AI4" i="13" s="1"/>
  <c r="AU4" i="13" s="1"/>
  <c r="AI5" i="13" a="1"/>
  <c r="AI5" i="13" s="1"/>
  <c r="AU5" i="13" s="1"/>
  <c r="AI6" i="13" a="1"/>
  <c r="AI6" i="13" s="1"/>
  <c r="AU6" i="13" s="1"/>
  <c r="AI7" i="13" a="1"/>
  <c r="AI7" i="13" s="1"/>
  <c r="AU7" i="13" s="1"/>
  <c r="AI8" i="13" a="1"/>
  <c r="AI8" i="13" s="1"/>
  <c r="AI9" i="13" a="1"/>
  <c r="AI9" i="13" s="1"/>
  <c r="AU9" i="13" s="1"/>
  <c r="AI10" i="13" a="1"/>
  <c r="AI10" i="13" s="1"/>
  <c r="AU10" i="13" s="1"/>
  <c r="AI11" i="13" a="1"/>
  <c r="AI11" i="13" s="1"/>
  <c r="AU11" i="13" s="1"/>
  <c r="AI12" i="13" a="1"/>
  <c r="AI12" i="13" s="1"/>
  <c r="AU12" i="13" s="1"/>
  <c r="AG3" i="13" a="1"/>
  <c r="AG3" i="13" s="1"/>
  <c r="AG4" i="13" a="1"/>
  <c r="AG4" i="13" s="1"/>
  <c r="AG5" i="13" a="1"/>
  <c r="AG5" i="13" s="1"/>
  <c r="AG6" i="13" a="1"/>
  <c r="AG6" i="13" s="1"/>
  <c r="AG7" i="13" a="1"/>
  <c r="AG7" i="13" s="1"/>
  <c r="AG8" i="13" a="1"/>
  <c r="AG8" i="13" s="1"/>
  <c r="AG9" i="13" a="1"/>
  <c r="AG9" i="13" s="1"/>
  <c r="AG10" i="13" a="1"/>
  <c r="AG10" i="13" s="1"/>
  <c r="AG11" i="13" a="1"/>
  <c r="AG11" i="13" s="1"/>
  <c r="AG12" i="13" a="1"/>
  <c r="AG12" i="13" s="1"/>
  <c r="AD3" i="11" a="1"/>
  <c r="AD3" i="11" s="1"/>
  <c r="AD4" i="11" a="1"/>
  <c r="AD4" i="11" s="1"/>
  <c r="AD5" i="11" a="1"/>
  <c r="AD5" i="11" s="1"/>
  <c r="AD6" i="11" a="1"/>
  <c r="AD6" i="11" s="1"/>
  <c r="AD7" i="11" a="1"/>
  <c r="AD7" i="11" s="1"/>
  <c r="AD8" i="11" a="1"/>
  <c r="AD8" i="11" s="1"/>
  <c r="AD9" i="11" a="1"/>
  <c r="AD9" i="11" s="1"/>
  <c r="AD10" i="11" a="1"/>
  <c r="AD10" i="11" s="1"/>
  <c r="AD11" i="11" a="1"/>
  <c r="AD11" i="11" s="1"/>
  <c r="AD12" i="11" a="1"/>
  <c r="AD12" i="11" s="1"/>
  <c r="AD13" i="11" a="1"/>
  <c r="AD13" i="11" s="1"/>
  <c r="AD14" i="11" a="1"/>
  <c r="AD14" i="11" s="1"/>
  <c r="AD15" i="11" a="1"/>
  <c r="AD15" i="11" s="1"/>
  <c r="AD16" i="11" a="1"/>
  <c r="AD16" i="11" s="1"/>
  <c r="AD17" i="11" a="1"/>
  <c r="AD17" i="11" s="1"/>
  <c r="AD18" i="11" a="1"/>
  <c r="AD18" i="11" s="1"/>
  <c r="AD19" i="11" a="1"/>
  <c r="AD19" i="11" s="1"/>
  <c r="AD20" i="11" a="1"/>
  <c r="AD20" i="11" s="1"/>
  <c r="AD21" i="11" a="1"/>
  <c r="AD21" i="11" s="1"/>
  <c r="AD22" i="11" a="1"/>
  <c r="AD22" i="11" s="1"/>
  <c r="AD23" i="11" a="1"/>
  <c r="AD23" i="11" s="1"/>
  <c r="AD24" i="11" a="1"/>
  <c r="AD24" i="11" s="1"/>
  <c r="AD25" i="11" a="1"/>
  <c r="AD25" i="11" s="1"/>
  <c r="AD26" i="11" a="1"/>
  <c r="AD26" i="11" s="1"/>
  <c r="AD27" i="11" a="1"/>
  <c r="AD27" i="11" s="1"/>
  <c r="AD28" i="11" a="1"/>
  <c r="AD28" i="11" s="1"/>
  <c r="AD29" i="11" a="1"/>
  <c r="AD29" i="11" s="1"/>
  <c r="AD30" i="11" a="1"/>
  <c r="AD30" i="11" s="1"/>
  <c r="AD31" i="11" a="1"/>
  <c r="AD31" i="11" s="1"/>
  <c r="AD32" i="11" a="1"/>
  <c r="AD32" i="11" s="1"/>
  <c r="AD33" i="11" a="1"/>
  <c r="AD33" i="11" s="1"/>
  <c r="AD34" i="11" a="1"/>
  <c r="AD34" i="11" s="1"/>
  <c r="AD35" i="11" a="1"/>
  <c r="AD35" i="11" s="1"/>
  <c r="AD36" i="11" a="1"/>
  <c r="AD36" i="11" s="1"/>
  <c r="AD37" i="11" a="1"/>
  <c r="AD37" i="11" s="1"/>
  <c r="AD38" i="11" a="1"/>
  <c r="AD38" i="11" s="1"/>
  <c r="AD39" i="11" a="1"/>
  <c r="AD39" i="11" s="1"/>
  <c r="AD40" i="11" a="1"/>
  <c r="AD40" i="11" s="1"/>
  <c r="AD41" i="11" a="1"/>
  <c r="AD41" i="11" s="1"/>
  <c r="AD42" i="11" a="1"/>
  <c r="AD42" i="11" s="1"/>
  <c r="AD43" i="11" a="1"/>
  <c r="AD43" i="11" s="1"/>
  <c r="AD44" i="11" a="1"/>
  <c r="AD44" i="11" s="1"/>
  <c r="AD45" i="11" a="1"/>
  <c r="AD45" i="11" s="1"/>
  <c r="AD46" i="11" a="1"/>
  <c r="AD46" i="11" s="1"/>
  <c r="AD47" i="11" a="1"/>
  <c r="AD47" i="11" s="1"/>
  <c r="AD48" i="11" a="1"/>
  <c r="AD48" i="11" s="1"/>
  <c r="AD49" i="11" a="1"/>
  <c r="AD49" i="11" s="1"/>
  <c r="AD50" i="11" a="1"/>
  <c r="AD50" i="11" s="1"/>
  <c r="AD51" i="11" a="1"/>
  <c r="AD51" i="11" s="1"/>
  <c r="AD52" i="11" a="1"/>
  <c r="AD52" i="11" s="1"/>
  <c r="AD53" i="11" a="1"/>
  <c r="AD53" i="11" s="1"/>
  <c r="AD54" i="11" a="1"/>
  <c r="AD54" i="11" s="1"/>
  <c r="AD55" i="11" a="1"/>
  <c r="AD55" i="11" s="1"/>
  <c r="AD56" i="11" a="1"/>
  <c r="AD56" i="11" s="1"/>
  <c r="AD57" i="11" a="1"/>
  <c r="AD57" i="11" s="1"/>
  <c r="AD58" i="11" a="1"/>
  <c r="AD58" i="11" s="1"/>
  <c r="AD59" i="11" a="1"/>
  <c r="AD59" i="11" s="1"/>
  <c r="AD60" i="11" a="1"/>
  <c r="AD60" i="11" s="1"/>
  <c r="AD61" i="11" a="1"/>
  <c r="AD61" i="11" s="1"/>
  <c r="AD62" i="11" a="1"/>
  <c r="AD62" i="11" s="1"/>
  <c r="AD63" i="11" a="1"/>
  <c r="AD63" i="11" s="1"/>
  <c r="AD64" i="11" a="1"/>
  <c r="AD64" i="11" s="1"/>
  <c r="AD65" i="11" a="1"/>
  <c r="AD65" i="11" s="1"/>
  <c r="AD66" i="11" a="1"/>
  <c r="AD66" i="11" s="1"/>
  <c r="AD67" i="11" a="1"/>
  <c r="AD67" i="11" s="1"/>
  <c r="AD68" i="11" a="1"/>
  <c r="AD68" i="11" s="1"/>
  <c r="AD69" i="11" a="1"/>
  <c r="AD69" i="11" s="1"/>
  <c r="AD70" i="11" a="1"/>
  <c r="AD70" i="11" s="1"/>
  <c r="AD71" i="11" a="1"/>
  <c r="AD71" i="11" s="1"/>
  <c r="AD72" i="11" a="1"/>
  <c r="AD72" i="11" s="1"/>
  <c r="AD73" i="11" a="1"/>
  <c r="AD73" i="11" s="1"/>
  <c r="AD74" i="11" a="1"/>
  <c r="AD74" i="11" s="1"/>
  <c r="AD75" i="11" a="1"/>
  <c r="AD75" i="11" s="1"/>
  <c r="AD76" i="11" a="1"/>
  <c r="AD76" i="11" s="1"/>
  <c r="AD77" i="11" a="1"/>
  <c r="AD77" i="11" s="1"/>
  <c r="AD78" i="11" a="1"/>
  <c r="AD78" i="11" s="1"/>
  <c r="AD79" i="11" a="1"/>
  <c r="AD79" i="11" s="1"/>
  <c r="AD80" i="11" a="1"/>
  <c r="AD80" i="11" s="1"/>
  <c r="AD81" i="11" a="1"/>
  <c r="AD81" i="11" s="1"/>
  <c r="AD82" i="11" a="1"/>
  <c r="AD82" i="11" s="1"/>
  <c r="AD83" i="11" a="1"/>
  <c r="AD83" i="11" s="1"/>
  <c r="AD84" i="11" a="1"/>
  <c r="AD84" i="11" s="1"/>
  <c r="AD85" i="11" a="1"/>
  <c r="AD85" i="11" s="1"/>
  <c r="AD86" i="11" a="1"/>
  <c r="AD86" i="11" s="1"/>
  <c r="AD87" i="11" a="1"/>
  <c r="AD87" i="11" s="1"/>
  <c r="AD88" i="11" a="1"/>
  <c r="AD88" i="11" s="1"/>
  <c r="AD89" i="11" a="1"/>
  <c r="AD89" i="11" s="1"/>
  <c r="AD90" i="11" a="1"/>
  <c r="AD90" i="11" s="1"/>
  <c r="AD91" i="11" a="1"/>
  <c r="AD91" i="11" s="1"/>
  <c r="AD92" i="11" a="1"/>
  <c r="AD92" i="11" s="1"/>
  <c r="AD93" i="11" a="1"/>
  <c r="AD93" i="11" s="1"/>
  <c r="AD94" i="11" a="1"/>
  <c r="AD94" i="11" s="1"/>
  <c r="AD95" i="11" a="1"/>
  <c r="AD95" i="11" s="1"/>
  <c r="AD96" i="11" a="1"/>
  <c r="AD96" i="11" s="1"/>
  <c r="AD97" i="11" a="1"/>
  <c r="AD97" i="11" s="1"/>
  <c r="AD98" i="11" a="1"/>
  <c r="AD98" i="11" s="1"/>
  <c r="AD99" i="11" a="1"/>
  <c r="AD99" i="11" s="1"/>
  <c r="AD100" i="11" a="1"/>
  <c r="AD100" i="11" s="1"/>
  <c r="AD101" i="11" a="1"/>
  <c r="AD101" i="11" s="1"/>
  <c r="AD102" i="11" a="1"/>
  <c r="AD102" i="11" s="1"/>
  <c r="AD103" i="11" a="1"/>
  <c r="AD103" i="11" s="1"/>
  <c r="AD104" i="11" a="1"/>
  <c r="AD104" i="11" s="1"/>
  <c r="AD105" i="11" a="1"/>
  <c r="AD105" i="11" s="1"/>
  <c r="AD106" i="11" a="1"/>
  <c r="AD106" i="11" s="1"/>
  <c r="AD107" i="11" a="1"/>
  <c r="AD107" i="11" s="1"/>
  <c r="AD108" i="11" a="1"/>
  <c r="AD108" i="11" s="1"/>
  <c r="AD109" i="11" a="1"/>
  <c r="AD109" i="11" s="1"/>
  <c r="AD110" i="11" a="1"/>
  <c r="AD110" i="11" s="1"/>
  <c r="AD111" i="11" a="1"/>
  <c r="AD111" i="11" s="1"/>
  <c r="AD112" i="11" a="1"/>
  <c r="AD112" i="11" s="1"/>
  <c r="AD113" i="11" a="1"/>
  <c r="AD113" i="11" s="1"/>
  <c r="AD114" i="11" a="1"/>
  <c r="AD114" i="11" s="1"/>
  <c r="AD115" i="11" a="1"/>
  <c r="AD115" i="11" s="1"/>
  <c r="AD116" i="11" a="1"/>
  <c r="AD116" i="11" s="1"/>
  <c r="AD117" i="11" a="1"/>
  <c r="AD117" i="11" s="1"/>
  <c r="AD118" i="11" a="1"/>
  <c r="AD118" i="11" s="1"/>
  <c r="AD119" i="11" a="1"/>
  <c r="AD119" i="11" s="1"/>
  <c r="AD120" i="11" a="1"/>
  <c r="AD120" i="11" s="1"/>
  <c r="AD121" i="11" a="1"/>
  <c r="AD121" i="11" s="1"/>
  <c r="AD122" i="11" a="1"/>
  <c r="AD122" i="11" s="1"/>
  <c r="AD123" i="11" a="1"/>
  <c r="AD123" i="11" s="1"/>
  <c r="AD124" i="11" a="1"/>
  <c r="AD124" i="11" s="1"/>
  <c r="AD125" i="11" a="1"/>
  <c r="AD125" i="11" s="1"/>
  <c r="AD126" i="11" a="1"/>
  <c r="AD126" i="11" s="1"/>
  <c r="AD127" i="11" a="1"/>
  <c r="AD127" i="11" s="1"/>
  <c r="AD128" i="11" a="1"/>
  <c r="AD128" i="11" s="1"/>
  <c r="AD129" i="11" a="1"/>
  <c r="AD129" i="11" s="1"/>
  <c r="AD130" i="11" a="1"/>
  <c r="AD130" i="11" s="1"/>
  <c r="AD131" i="11" a="1"/>
  <c r="AD131" i="11" s="1"/>
  <c r="AD132" i="11" a="1"/>
  <c r="AD132" i="11" s="1"/>
  <c r="AK85" i="11"/>
  <c r="AK86" i="11"/>
  <c r="AK87" i="11"/>
  <c r="AK88" i="11"/>
  <c r="AK89" i="11"/>
  <c r="AK90" i="11"/>
  <c r="AK91" i="11"/>
  <c r="AK92" i="11"/>
  <c r="AK93" i="11"/>
  <c r="AK94" i="11"/>
  <c r="AK95" i="11"/>
  <c r="AK96" i="11"/>
  <c r="AK97" i="11"/>
  <c r="AK98" i="11"/>
  <c r="AK99" i="11"/>
  <c r="AK100" i="11"/>
  <c r="AK101" i="11"/>
  <c r="AK102" i="11"/>
  <c r="AK103" i="11"/>
  <c r="AK104" i="11"/>
  <c r="AK105" i="11"/>
  <c r="AK106" i="11"/>
  <c r="AK107" i="11"/>
  <c r="AK108" i="11"/>
  <c r="AK109" i="11"/>
  <c r="AK110" i="11"/>
  <c r="AK111" i="11"/>
  <c r="AK112" i="11"/>
  <c r="AK113" i="11"/>
  <c r="AK114" i="11"/>
  <c r="AK115" i="11"/>
  <c r="AK116" i="11"/>
  <c r="AK117" i="11"/>
  <c r="AK118" i="11"/>
  <c r="AK119" i="11"/>
  <c r="AK120" i="11"/>
  <c r="AK121" i="11"/>
  <c r="AK122" i="11"/>
  <c r="AK123" i="11"/>
  <c r="AK124" i="11"/>
  <c r="AK125" i="11"/>
  <c r="AK126" i="11"/>
  <c r="AK127" i="11"/>
  <c r="AK128" i="11"/>
  <c r="AK129" i="11"/>
  <c r="AK130" i="11"/>
  <c r="AK131" i="11"/>
  <c r="AK132" i="11"/>
  <c r="AN85" i="11"/>
  <c r="AN86" i="11"/>
  <c r="AN87" i="11"/>
  <c r="AN88" i="11"/>
  <c r="AN89" i="11"/>
  <c r="AN90" i="11"/>
  <c r="AN91" i="11"/>
  <c r="AN92" i="11"/>
  <c r="AN93" i="11"/>
  <c r="AN94" i="11"/>
  <c r="AN95" i="11"/>
  <c r="AN96" i="11"/>
  <c r="AN97" i="11"/>
  <c r="AN98" i="11"/>
  <c r="AN99" i="11"/>
  <c r="AN100" i="11"/>
  <c r="AN101" i="11"/>
  <c r="AN102" i="11"/>
  <c r="AN103" i="11"/>
  <c r="AN104" i="11"/>
  <c r="AN105" i="11"/>
  <c r="AN106" i="11"/>
  <c r="AN107" i="11"/>
  <c r="AN108" i="11"/>
  <c r="AN109" i="11"/>
  <c r="AN110" i="11"/>
  <c r="AN111" i="11"/>
  <c r="AN112" i="11"/>
  <c r="AN113" i="11"/>
  <c r="AN114" i="11"/>
  <c r="AN115" i="11"/>
  <c r="AN116" i="11"/>
  <c r="AN117" i="11"/>
  <c r="AN118" i="11"/>
  <c r="AN119" i="11"/>
  <c r="AN120" i="11"/>
  <c r="AN121" i="11"/>
  <c r="AN122" i="11"/>
  <c r="AN123" i="11"/>
  <c r="AN124" i="11"/>
  <c r="AN125" i="11"/>
  <c r="AN126" i="11"/>
  <c r="AN127" i="11"/>
  <c r="AN128" i="11"/>
  <c r="AN129" i="11"/>
  <c r="AN130" i="11"/>
  <c r="AN131" i="11"/>
  <c r="AN132" i="11"/>
  <c r="AL3" i="11"/>
  <c r="AM3" i="11" s="1"/>
  <c r="AL4" i="11"/>
  <c r="AM4" i="11" s="1"/>
  <c r="AL5" i="11"/>
  <c r="AM5" i="11" s="1"/>
  <c r="AL6" i="11"/>
  <c r="AM6" i="11" s="1"/>
  <c r="AL7" i="11"/>
  <c r="AM7" i="11" s="1"/>
  <c r="AL8" i="11"/>
  <c r="AM8" i="11" s="1"/>
  <c r="AL9" i="11"/>
  <c r="AM9" i="11" s="1"/>
  <c r="AL10" i="11"/>
  <c r="AM10" i="11" s="1"/>
  <c r="AL11" i="11"/>
  <c r="AM11" i="11" s="1"/>
  <c r="AL12" i="11"/>
  <c r="AM12" i="11" s="1"/>
  <c r="AL13" i="11"/>
  <c r="AM13" i="11" s="1"/>
  <c r="AL14" i="11"/>
  <c r="AM14" i="11" s="1"/>
  <c r="AL15" i="11"/>
  <c r="AM15" i="11" s="1"/>
  <c r="AL16" i="11"/>
  <c r="AM16" i="11" s="1"/>
  <c r="AL17" i="11"/>
  <c r="AM17" i="11" s="1"/>
  <c r="AL18" i="11"/>
  <c r="AM18" i="11" s="1"/>
  <c r="AL19" i="11"/>
  <c r="AM19" i="11" s="1"/>
  <c r="AL20" i="11"/>
  <c r="AM20" i="11" s="1"/>
  <c r="AL21" i="11"/>
  <c r="AM21" i="11" s="1"/>
  <c r="AL22" i="11"/>
  <c r="AM22" i="11" s="1"/>
  <c r="AL23" i="11"/>
  <c r="AM23" i="11" s="1"/>
  <c r="AL24" i="11"/>
  <c r="AM24" i="11" s="1"/>
  <c r="AL25" i="11"/>
  <c r="AM25" i="11" s="1"/>
  <c r="AL26" i="11"/>
  <c r="AM26" i="11" s="1"/>
  <c r="AL27" i="11"/>
  <c r="AM27" i="11" s="1"/>
  <c r="AL28" i="11"/>
  <c r="AM28" i="11" s="1"/>
  <c r="AL29" i="11"/>
  <c r="AM29" i="11" s="1"/>
  <c r="AL30" i="11"/>
  <c r="AM30" i="11" s="1"/>
  <c r="AL31" i="11"/>
  <c r="AM31" i="11" s="1"/>
  <c r="AL32" i="11"/>
  <c r="AM32" i="11" s="1"/>
  <c r="AL33" i="11"/>
  <c r="AM33" i="11" s="1"/>
  <c r="AL34" i="11"/>
  <c r="AM34" i="11" s="1"/>
  <c r="AL35" i="11"/>
  <c r="AM35" i="11" s="1"/>
  <c r="AL36" i="11"/>
  <c r="AM36" i="11" s="1"/>
  <c r="AL37" i="11"/>
  <c r="AM37" i="11" s="1"/>
  <c r="AL38" i="11"/>
  <c r="AM38" i="11" s="1"/>
  <c r="AL39" i="11"/>
  <c r="AM39" i="11" s="1"/>
  <c r="AL40" i="11"/>
  <c r="AM40" i="11" s="1"/>
  <c r="AL41" i="11"/>
  <c r="AM41" i="11" s="1"/>
  <c r="AL42" i="11"/>
  <c r="AM42" i="11" s="1"/>
  <c r="AL43" i="11"/>
  <c r="AM43" i="11" s="1"/>
  <c r="AL44" i="11"/>
  <c r="AM44" i="11" s="1"/>
  <c r="AL45" i="11"/>
  <c r="AM45" i="11" s="1"/>
  <c r="AL46" i="11"/>
  <c r="AM46" i="11" s="1"/>
  <c r="AL47" i="11"/>
  <c r="AM47" i="11" s="1"/>
  <c r="AL48" i="11"/>
  <c r="AM48" i="11" s="1"/>
  <c r="AL49" i="11"/>
  <c r="AM49" i="11" s="1"/>
  <c r="AL50" i="11"/>
  <c r="AM50" i="11" s="1"/>
  <c r="AL51" i="11"/>
  <c r="AM51" i="11" s="1"/>
  <c r="AL52" i="11"/>
  <c r="AM52" i="11" s="1"/>
  <c r="AL53" i="11"/>
  <c r="AM53" i="11" s="1"/>
  <c r="AL54" i="11"/>
  <c r="AM54" i="11" s="1"/>
  <c r="AL55" i="11"/>
  <c r="AM55" i="11" s="1"/>
  <c r="AL56" i="11"/>
  <c r="AM56" i="11" s="1"/>
  <c r="AL57" i="11"/>
  <c r="AM57" i="11" s="1"/>
  <c r="AL58" i="11"/>
  <c r="AM58" i="11" s="1"/>
  <c r="AL59" i="11"/>
  <c r="AM59" i="11" s="1"/>
  <c r="AL60" i="11"/>
  <c r="AM60" i="11" s="1"/>
  <c r="AL61" i="11"/>
  <c r="AM61" i="11" s="1"/>
  <c r="AL62" i="11"/>
  <c r="AM62" i="11" s="1"/>
  <c r="AL63" i="11"/>
  <c r="AM63" i="11" s="1"/>
  <c r="AL64" i="11"/>
  <c r="AM64" i="11" s="1"/>
  <c r="AL65" i="11"/>
  <c r="AM65" i="11" s="1"/>
  <c r="AL66" i="11"/>
  <c r="AM66" i="11" s="1"/>
  <c r="AL67" i="11"/>
  <c r="AM67" i="11" s="1"/>
  <c r="AL68" i="11"/>
  <c r="AM68" i="11" s="1"/>
  <c r="AL69" i="11"/>
  <c r="AM69" i="11" s="1"/>
  <c r="AL70" i="11"/>
  <c r="AM70" i="11" s="1"/>
  <c r="AL71" i="11"/>
  <c r="AM71" i="11" s="1"/>
  <c r="AL72" i="11"/>
  <c r="AM72" i="11" s="1"/>
  <c r="AL73" i="11"/>
  <c r="AM73" i="11" s="1"/>
  <c r="AL74" i="11"/>
  <c r="AM74" i="11" s="1"/>
  <c r="AL75" i="11"/>
  <c r="AM75" i="11" s="1"/>
  <c r="AL76" i="11"/>
  <c r="AM76" i="11" s="1"/>
  <c r="AL77" i="11"/>
  <c r="AM77" i="11" s="1"/>
  <c r="AL78" i="11"/>
  <c r="AM78" i="11" s="1"/>
  <c r="AL79" i="11"/>
  <c r="AM79" i="11" s="1"/>
  <c r="AL80" i="11"/>
  <c r="AM80" i="11" s="1"/>
  <c r="AL81" i="11"/>
  <c r="AM81" i="11" s="1"/>
  <c r="AL82" i="11"/>
  <c r="AM82" i="11" s="1"/>
  <c r="AL83" i="11"/>
  <c r="AM83" i="11" s="1"/>
  <c r="AL84" i="11"/>
  <c r="AM84" i="11" s="1"/>
  <c r="AL85" i="11"/>
  <c r="AM85" i="11" s="1"/>
  <c r="AL86" i="11"/>
  <c r="AM86" i="11" s="1"/>
  <c r="AL87" i="11"/>
  <c r="AM87" i="11" s="1"/>
  <c r="AL88" i="11"/>
  <c r="AM88" i="11" s="1"/>
  <c r="AL89" i="11"/>
  <c r="AM89" i="11" s="1"/>
  <c r="AL90" i="11"/>
  <c r="AM90" i="11" s="1"/>
  <c r="AL91" i="11"/>
  <c r="AM91" i="11" s="1"/>
  <c r="AL92" i="11"/>
  <c r="AM92" i="11" s="1"/>
  <c r="AL93" i="11"/>
  <c r="AM93" i="11" s="1"/>
  <c r="AL94" i="11"/>
  <c r="AM94" i="11" s="1"/>
  <c r="AL95" i="11"/>
  <c r="AM95" i="11" s="1"/>
  <c r="AL96" i="11"/>
  <c r="AM96" i="11" s="1"/>
  <c r="AL97" i="11"/>
  <c r="AM97" i="11" s="1"/>
  <c r="AL98" i="11"/>
  <c r="AM98" i="11" s="1"/>
  <c r="AL99" i="11"/>
  <c r="AM99" i="11" s="1"/>
  <c r="AL100" i="11"/>
  <c r="AM100" i="11" s="1"/>
  <c r="AL101" i="11"/>
  <c r="AM101" i="11" s="1"/>
  <c r="AL102" i="11"/>
  <c r="AM102" i="11" s="1"/>
  <c r="AL103" i="11"/>
  <c r="AM103" i="11" s="1"/>
  <c r="AL104" i="11"/>
  <c r="AM104" i="11" s="1"/>
  <c r="AL105" i="11"/>
  <c r="AM105" i="11" s="1"/>
  <c r="AL106" i="11"/>
  <c r="AM106" i="11" s="1"/>
  <c r="AL107" i="11"/>
  <c r="AM107" i="11" s="1"/>
  <c r="AL108" i="11"/>
  <c r="AM108" i="11" s="1"/>
  <c r="AL109" i="11"/>
  <c r="AM109" i="11" s="1"/>
  <c r="AL110" i="11"/>
  <c r="AM110" i="11" s="1"/>
  <c r="AL111" i="11"/>
  <c r="AM111" i="11" s="1"/>
  <c r="AL112" i="11"/>
  <c r="AM112" i="11" s="1"/>
  <c r="AL113" i="11"/>
  <c r="AM113" i="11" s="1"/>
  <c r="AL114" i="11"/>
  <c r="AM114" i="11" s="1"/>
  <c r="AL115" i="11"/>
  <c r="AM115" i="11" s="1"/>
  <c r="AL116" i="11"/>
  <c r="AM116" i="11" s="1"/>
  <c r="AL117" i="11"/>
  <c r="AM117" i="11" s="1"/>
  <c r="AL118" i="11"/>
  <c r="AM118" i="11" s="1"/>
  <c r="AL119" i="11"/>
  <c r="AM119" i="11" s="1"/>
  <c r="AL120" i="11"/>
  <c r="AM120" i="11" s="1"/>
  <c r="AL121" i="11"/>
  <c r="AM121" i="11" s="1"/>
  <c r="AL122" i="11"/>
  <c r="AM122" i="11" s="1"/>
  <c r="AL123" i="11"/>
  <c r="AM123" i="11" s="1"/>
  <c r="AL124" i="11"/>
  <c r="AM124" i="11" s="1"/>
  <c r="AL125" i="11"/>
  <c r="AM125" i="11" s="1"/>
  <c r="AL126" i="11"/>
  <c r="AM126" i="11" s="1"/>
  <c r="AL127" i="11"/>
  <c r="AM127" i="11" s="1"/>
  <c r="AL128" i="11"/>
  <c r="AM128" i="11" s="1"/>
  <c r="AL129" i="11"/>
  <c r="AM129" i="11" s="1"/>
  <c r="AL130" i="11"/>
  <c r="AM130" i="11" s="1"/>
  <c r="AL131" i="11"/>
  <c r="AM131" i="11" s="1"/>
  <c r="AL132" i="11"/>
  <c r="AM132" i="11" s="1"/>
  <c r="AF3" i="11" a="1"/>
  <c r="AF3" i="11" s="1"/>
  <c r="AT3" i="11" s="1"/>
  <c r="AF4" i="11" a="1"/>
  <c r="AF4" i="11" s="1"/>
  <c r="AT4" i="11" s="1"/>
  <c r="AF5" i="11" a="1"/>
  <c r="AF5" i="11" s="1"/>
  <c r="AT5" i="11" s="1"/>
  <c r="AF6" i="11" a="1"/>
  <c r="AF6" i="11" s="1"/>
  <c r="AT6" i="11" s="1"/>
  <c r="AF7" i="11" a="1"/>
  <c r="AF7" i="11" s="1"/>
  <c r="AK7" i="11" s="1"/>
  <c r="AF8" i="11" a="1"/>
  <c r="AF8" i="11" s="1"/>
  <c r="AK8" i="11" s="1"/>
  <c r="AF9" i="11" a="1"/>
  <c r="AF9" i="11" s="1"/>
  <c r="AK9" i="11" s="1"/>
  <c r="AF10" i="11" a="1"/>
  <c r="AF10" i="11" s="1"/>
  <c r="AK10" i="11" s="1"/>
  <c r="AF11" i="11" a="1"/>
  <c r="AF11" i="11" s="1"/>
  <c r="AT11" i="11" s="1"/>
  <c r="AF12" i="11" a="1"/>
  <c r="AF12" i="11" s="1"/>
  <c r="AT12" i="11" s="1"/>
  <c r="AF13" i="11" a="1"/>
  <c r="AF13" i="11" s="1"/>
  <c r="AT13" i="11" s="1"/>
  <c r="AF14" i="11" a="1"/>
  <c r="AF14" i="11" s="1"/>
  <c r="AK14" i="11" s="1"/>
  <c r="AF15" i="11" a="1"/>
  <c r="AF15" i="11" s="1"/>
  <c r="AK15" i="11" s="1"/>
  <c r="AF16" i="11" a="1"/>
  <c r="AF16" i="11" s="1"/>
  <c r="AK16" i="11" s="1"/>
  <c r="AF17" i="11" a="1"/>
  <c r="AF17" i="11" s="1"/>
  <c r="AK17" i="11" s="1"/>
  <c r="AF18" i="11" a="1"/>
  <c r="AF18" i="11" s="1"/>
  <c r="AK18" i="11" s="1"/>
  <c r="AF19" i="11" a="1"/>
  <c r="AF19" i="11" s="1"/>
  <c r="AT19" i="11" s="1"/>
  <c r="AF20" i="11" a="1"/>
  <c r="AF20" i="11" s="1"/>
  <c r="AT20" i="11" s="1"/>
  <c r="AF21" i="11" a="1"/>
  <c r="AF21" i="11" s="1"/>
  <c r="AT21" i="11" s="1"/>
  <c r="AF22" i="11" a="1"/>
  <c r="AF22" i="11" s="1"/>
  <c r="AK22" i="11" s="1"/>
  <c r="AF23" i="11" a="1"/>
  <c r="AF23" i="11" s="1"/>
  <c r="AK23" i="11" s="1"/>
  <c r="AF24" i="11" a="1"/>
  <c r="AF24" i="11" s="1"/>
  <c r="AK24" i="11" s="1"/>
  <c r="AF25" i="11" a="1"/>
  <c r="AF25" i="11" s="1"/>
  <c r="AK25" i="11" s="1"/>
  <c r="AF26" i="11" a="1"/>
  <c r="AF26" i="11" s="1"/>
  <c r="AK26" i="11" s="1"/>
  <c r="AF27" i="11" a="1"/>
  <c r="AF27" i="11" s="1"/>
  <c r="AT27" i="11" s="1"/>
  <c r="AF28" i="11" a="1"/>
  <c r="AF28" i="11" s="1"/>
  <c r="AT28" i="11" s="1"/>
  <c r="AF29" i="11" a="1"/>
  <c r="AF29" i="11" s="1"/>
  <c r="AT29" i="11" s="1"/>
  <c r="AF30" i="11" a="1"/>
  <c r="AF30" i="11" s="1"/>
  <c r="AT30" i="11" s="1"/>
  <c r="AF31" i="11" a="1"/>
  <c r="AF31" i="11" s="1"/>
  <c r="AK31" i="11" s="1"/>
  <c r="AF32" i="11" a="1"/>
  <c r="AF32" i="11" s="1"/>
  <c r="AK32" i="11" s="1"/>
  <c r="AF33" i="11" a="1"/>
  <c r="AF33" i="11" s="1"/>
  <c r="AK33" i="11" s="1"/>
  <c r="AF34" i="11" a="1"/>
  <c r="AF34" i="11" s="1"/>
  <c r="AK34" i="11" s="1"/>
  <c r="AF35" i="11" a="1"/>
  <c r="AF35" i="11" s="1"/>
  <c r="AT35" i="11" s="1"/>
  <c r="AF36" i="11" a="1"/>
  <c r="AF36" i="11" s="1"/>
  <c r="AT36" i="11" s="1"/>
  <c r="AF37" i="11" a="1"/>
  <c r="AF37" i="11" s="1"/>
  <c r="AT37" i="11" s="1"/>
  <c r="AF38" i="11" a="1"/>
  <c r="AF38" i="11" s="1"/>
  <c r="AK38" i="11" s="1"/>
  <c r="AF39" i="11" a="1"/>
  <c r="AF39" i="11" s="1"/>
  <c r="AK39" i="11" s="1"/>
  <c r="AF40" i="11" a="1"/>
  <c r="AF40" i="11" s="1"/>
  <c r="AK40" i="11" s="1"/>
  <c r="AF41" i="11" a="1"/>
  <c r="AF41" i="11" s="1"/>
  <c r="AK41" i="11" s="1"/>
  <c r="AF42" i="11" a="1"/>
  <c r="AF42" i="11" s="1"/>
  <c r="AK42" i="11" s="1"/>
  <c r="AF43" i="11" a="1"/>
  <c r="AF43" i="11" s="1"/>
  <c r="AT43" i="11" s="1"/>
  <c r="AF44" i="11" a="1"/>
  <c r="AF44" i="11" s="1"/>
  <c r="AT44" i="11" s="1"/>
  <c r="AF45" i="11" a="1"/>
  <c r="AF45" i="11" s="1"/>
  <c r="AT45" i="11" s="1"/>
  <c r="AF46" i="11" a="1"/>
  <c r="AF46" i="11" s="1"/>
  <c r="AT46" i="11" s="1"/>
  <c r="AF47" i="11" a="1"/>
  <c r="AF47" i="11" s="1"/>
  <c r="AK47" i="11" s="1"/>
  <c r="AF48" i="11" a="1"/>
  <c r="AF48" i="11" s="1"/>
  <c r="AK48" i="11" s="1"/>
  <c r="AF49" i="11" a="1"/>
  <c r="AF49" i="11" s="1"/>
  <c r="AK49" i="11" s="1"/>
  <c r="AF50" i="11" a="1"/>
  <c r="AF50" i="11" s="1"/>
  <c r="AK50" i="11" s="1"/>
  <c r="AF51" i="11" a="1"/>
  <c r="AF51" i="11" s="1"/>
  <c r="AT51" i="11" s="1"/>
  <c r="AF52" i="11" a="1"/>
  <c r="AF52" i="11" s="1"/>
  <c r="AT52" i="11" s="1"/>
  <c r="AF53" i="11" a="1"/>
  <c r="AF53" i="11" s="1"/>
  <c r="AT53" i="11" s="1"/>
  <c r="AF54" i="11" a="1"/>
  <c r="AF54" i="11" s="1"/>
  <c r="AT54" i="11" s="1"/>
  <c r="AF55" i="11" a="1"/>
  <c r="AF55" i="11" s="1"/>
  <c r="AK55" i="11" s="1"/>
  <c r="AF56" i="11" a="1"/>
  <c r="AF56" i="11" s="1"/>
  <c r="AK56" i="11" s="1"/>
  <c r="AF57" i="11" a="1"/>
  <c r="AF57" i="11" s="1"/>
  <c r="AK57" i="11" s="1"/>
  <c r="AF58" i="11" a="1"/>
  <c r="AF58" i="11" s="1"/>
  <c r="AK58" i="11" s="1"/>
  <c r="AF59" i="11" a="1"/>
  <c r="AF59" i="11" s="1"/>
  <c r="AT59" i="11" s="1"/>
  <c r="AF60" i="11" a="1"/>
  <c r="AF60" i="11" s="1"/>
  <c r="AT60" i="11" s="1"/>
  <c r="AF61" i="11" a="1"/>
  <c r="AF61" i="11" s="1"/>
  <c r="AT61" i="11" s="1"/>
  <c r="AF62" i="11" a="1"/>
  <c r="AF62" i="11" s="1"/>
  <c r="AT62" i="11" s="1"/>
  <c r="AF63" i="11" a="1"/>
  <c r="AF63" i="11" s="1"/>
  <c r="AK63" i="11" s="1"/>
  <c r="AF64" i="11" a="1"/>
  <c r="AF64" i="11" s="1"/>
  <c r="AK64" i="11" s="1"/>
  <c r="AF65" i="11" a="1"/>
  <c r="AF65" i="11" s="1"/>
  <c r="AK65" i="11" s="1"/>
  <c r="AF66" i="11" a="1"/>
  <c r="AF66" i="11" s="1"/>
  <c r="AK66" i="11" s="1"/>
  <c r="AF67" i="11" a="1"/>
  <c r="AF67" i="11" s="1"/>
  <c r="AT67" i="11" s="1"/>
  <c r="AF68" i="11" a="1"/>
  <c r="AF68" i="11" s="1"/>
  <c r="AT68" i="11" s="1"/>
  <c r="AF69" i="11" a="1"/>
  <c r="AF69" i="11" s="1"/>
  <c r="AT69" i="11" s="1"/>
  <c r="AF70" i="11" a="1"/>
  <c r="AF70" i="11" s="1"/>
  <c r="AT70" i="11" s="1"/>
  <c r="AF71" i="11" a="1"/>
  <c r="AF71" i="11" s="1"/>
  <c r="AK71" i="11" s="1"/>
  <c r="AF72" i="11" a="1"/>
  <c r="AF72" i="11" s="1"/>
  <c r="AK72" i="11" s="1"/>
  <c r="AF73" i="11" a="1"/>
  <c r="AF73" i="11" s="1"/>
  <c r="AK73" i="11" s="1"/>
  <c r="AF74" i="11" a="1"/>
  <c r="AF74" i="11" s="1"/>
  <c r="AK74" i="11" s="1"/>
  <c r="AF75" i="11" a="1"/>
  <c r="AF75" i="11" s="1"/>
  <c r="AT75" i="11" s="1"/>
  <c r="AF76" i="11" a="1"/>
  <c r="AF76" i="11" s="1"/>
  <c r="AT76" i="11" s="1"/>
  <c r="AF77" i="11" a="1"/>
  <c r="AF77" i="11" s="1"/>
  <c r="AT77" i="11" s="1"/>
  <c r="AF78" i="11" a="1"/>
  <c r="AF78" i="11" s="1"/>
  <c r="AT78" i="11" s="1"/>
  <c r="AF79" i="11" a="1"/>
  <c r="AF79" i="11" s="1"/>
  <c r="AK79" i="11" s="1"/>
  <c r="AF80" i="11" a="1"/>
  <c r="AF80" i="11" s="1"/>
  <c r="AK80" i="11" s="1"/>
  <c r="AF81" i="11" a="1"/>
  <c r="AF81" i="11" s="1"/>
  <c r="AK81" i="11" s="1"/>
  <c r="AF82" i="11" a="1"/>
  <c r="AF82" i="11" s="1"/>
  <c r="AK82" i="11" s="1"/>
  <c r="AF83" i="11" a="1"/>
  <c r="AF83" i="11" s="1"/>
  <c r="AT83" i="11" s="1"/>
  <c r="AF84" i="11" a="1"/>
  <c r="AF84" i="11" s="1"/>
  <c r="AT84" i="11" s="1"/>
  <c r="AF85" i="11" a="1"/>
  <c r="AF85" i="11" s="1"/>
  <c r="AT85" i="11" s="1"/>
  <c r="AF86" i="11" a="1"/>
  <c r="AF86" i="11" s="1"/>
  <c r="AT86" i="11" s="1"/>
  <c r="AF87" i="11" a="1"/>
  <c r="AF87" i="11" s="1"/>
  <c r="AT87" i="11" s="1"/>
  <c r="AF88" i="11" a="1"/>
  <c r="AF88" i="11" s="1"/>
  <c r="AT88" i="11" s="1"/>
  <c r="AF89" i="11" a="1"/>
  <c r="AF89" i="11" s="1"/>
  <c r="AT89" i="11" s="1"/>
  <c r="AF90" i="11" a="1"/>
  <c r="AF90" i="11" s="1"/>
  <c r="AT90" i="11" s="1"/>
  <c r="AF91" i="11" a="1"/>
  <c r="AF91" i="11" s="1"/>
  <c r="AT91" i="11" s="1"/>
  <c r="AF92" i="11" a="1"/>
  <c r="AF92" i="11" s="1"/>
  <c r="AT92" i="11" s="1"/>
  <c r="AF93" i="11" a="1"/>
  <c r="AF93" i="11" s="1"/>
  <c r="AT93" i="11" s="1"/>
  <c r="AF94" i="11" a="1"/>
  <c r="AF94" i="11" s="1"/>
  <c r="AT94" i="11" s="1"/>
  <c r="AF95" i="11" a="1"/>
  <c r="AF95" i="11" s="1"/>
  <c r="AT95" i="11" s="1"/>
  <c r="AF96" i="11" a="1"/>
  <c r="AF96" i="11" s="1"/>
  <c r="AT96" i="11" s="1"/>
  <c r="AF97" i="11" a="1"/>
  <c r="AF97" i="11" s="1"/>
  <c r="AT97" i="11" s="1"/>
  <c r="AF98" i="11" a="1"/>
  <c r="AF98" i="11" s="1"/>
  <c r="AF99" i="11" a="1"/>
  <c r="AF99" i="11" s="1"/>
  <c r="AT99" i="11" s="1"/>
  <c r="AF100" i="11" a="1"/>
  <c r="AF100" i="11" s="1"/>
  <c r="AT100" i="11" s="1"/>
  <c r="AF101" i="11" a="1"/>
  <c r="AF101" i="11" s="1"/>
  <c r="AT101" i="11" s="1"/>
  <c r="AF102" i="11" a="1"/>
  <c r="AF102" i="11" s="1"/>
  <c r="AT102" i="11" s="1"/>
  <c r="AF103" i="11" a="1"/>
  <c r="AF103" i="11" s="1"/>
  <c r="AT103" i="11" s="1"/>
  <c r="AF104" i="11" a="1"/>
  <c r="AF104" i="11" s="1"/>
  <c r="AT104" i="11" s="1"/>
  <c r="AF105" i="11" a="1"/>
  <c r="AF105" i="11" s="1"/>
  <c r="AT105" i="11" s="1"/>
  <c r="AF106" i="11" a="1"/>
  <c r="AF106" i="11" s="1"/>
  <c r="AT106" i="11" s="1"/>
  <c r="AF107" i="11" a="1"/>
  <c r="AF107" i="11" s="1"/>
  <c r="AT107" i="11" s="1"/>
  <c r="AF108" i="11" a="1"/>
  <c r="AF108" i="11" s="1"/>
  <c r="AT108" i="11" s="1"/>
  <c r="AF109" i="11" a="1"/>
  <c r="AF109" i="11" s="1"/>
  <c r="AT109" i="11" s="1"/>
  <c r="AF110" i="11" a="1"/>
  <c r="AF110" i="11" s="1"/>
  <c r="AT110" i="11" s="1"/>
  <c r="AF111" i="11" a="1"/>
  <c r="AF111" i="11" s="1"/>
  <c r="AT111" i="11" s="1"/>
  <c r="AF112" i="11" a="1"/>
  <c r="AF112" i="11" s="1"/>
  <c r="AT112" i="11" s="1"/>
  <c r="AF113" i="11" a="1"/>
  <c r="AF113" i="11" s="1"/>
  <c r="AT113" i="11" s="1"/>
  <c r="AF114" i="11" a="1"/>
  <c r="AF114" i="11" s="1"/>
  <c r="AT114" i="11" s="1"/>
  <c r="AF115" i="11" a="1"/>
  <c r="AF115" i="11" s="1"/>
  <c r="AT115" i="11" s="1"/>
  <c r="AF116" i="11" a="1"/>
  <c r="AF116" i="11" s="1"/>
  <c r="AT116" i="11" s="1"/>
  <c r="AF117" i="11" a="1"/>
  <c r="AF117" i="11" s="1"/>
  <c r="AT117" i="11" s="1"/>
  <c r="AF118" i="11" a="1"/>
  <c r="AF118" i="11" s="1"/>
  <c r="AT118" i="11" s="1"/>
  <c r="AF119" i="11" a="1"/>
  <c r="AF119" i="11" s="1"/>
  <c r="AT119" i="11" s="1"/>
  <c r="AF120" i="11" a="1"/>
  <c r="AF120" i="11" s="1"/>
  <c r="AT120" i="11" s="1"/>
  <c r="AF121" i="11" a="1"/>
  <c r="AF121" i="11" s="1"/>
  <c r="AT121" i="11" s="1"/>
  <c r="AF122" i="11" a="1"/>
  <c r="AF122" i="11" s="1"/>
  <c r="AT122" i="11" s="1"/>
  <c r="AF123" i="11" a="1"/>
  <c r="AF123" i="11" s="1"/>
  <c r="AT123" i="11" s="1"/>
  <c r="AF124" i="11" a="1"/>
  <c r="AF124" i="11" s="1"/>
  <c r="AT124" i="11" s="1"/>
  <c r="AF125" i="11" a="1"/>
  <c r="AF125" i="11" s="1"/>
  <c r="AT125" i="11" s="1"/>
  <c r="AF126" i="11" a="1"/>
  <c r="AF126" i="11" s="1"/>
  <c r="AT126" i="11" s="1"/>
  <c r="AF127" i="11" a="1"/>
  <c r="AF127" i="11" s="1"/>
  <c r="AT127" i="11" s="1"/>
  <c r="AF128" i="11" a="1"/>
  <c r="AF128" i="11" s="1"/>
  <c r="AT128" i="11" s="1"/>
  <c r="AF129" i="11" a="1"/>
  <c r="AF129" i="11" s="1"/>
  <c r="AT129" i="11" s="1"/>
  <c r="AF130" i="11" a="1"/>
  <c r="AF130" i="11" s="1"/>
  <c r="AT130" i="11" s="1"/>
  <c r="AF131" i="11" a="1"/>
  <c r="AF131" i="11" s="1"/>
  <c r="AT131" i="11" s="1"/>
  <c r="AF132" i="11" a="1"/>
  <c r="AF132" i="11" s="1"/>
  <c r="AT132" i="11" s="1"/>
  <c r="E23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AT56" i="11" l="1"/>
  <c r="AT34" i="11"/>
  <c r="AT26" i="11"/>
  <c r="AT57" i="11"/>
  <c r="AT48" i="11"/>
  <c r="AT63" i="11"/>
  <c r="AT14" i="11"/>
  <c r="AT42" i="11"/>
  <c r="AT22" i="11"/>
  <c r="AT9" i="11"/>
  <c r="AT73" i="11"/>
  <c r="AT15" i="11"/>
  <c r="AT64" i="11"/>
  <c r="AT79" i="11"/>
  <c r="AT50" i="11"/>
  <c r="AT38" i="11"/>
  <c r="AT17" i="11"/>
  <c r="AT81" i="11"/>
  <c r="AT23" i="11"/>
  <c r="AT8" i="11"/>
  <c r="AT72" i="11"/>
  <c r="AT58" i="11"/>
  <c r="AT25" i="11"/>
  <c r="AT16" i="11"/>
  <c r="AT80" i="11"/>
  <c r="AT31" i="11"/>
  <c r="AT10" i="11"/>
  <c r="AT66" i="11"/>
  <c r="AT33" i="11"/>
  <c r="AT24" i="11"/>
  <c r="AT39" i="11"/>
  <c r="AT74" i="11"/>
  <c r="AT41" i="11"/>
  <c r="AT32" i="11"/>
  <c r="AT47" i="11"/>
  <c r="AT18" i="11"/>
  <c r="AT82" i="11"/>
  <c r="AT49" i="11"/>
  <c r="AT40" i="11"/>
  <c r="AT55" i="11"/>
  <c r="V5" i="16"/>
  <c r="V7" i="16"/>
  <c r="W7" i="16" s="1"/>
  <c r="V9" i="16"/>
  <c r="V11" i="16"/>
  <c r="V3" i="16"/>
  <c r="V4" i="16"/>
  <c r="W4" i="16" s="1"/>
  <c r="V6" i="16"/>
  <c r="V8" i="16"/>
  <c r="W8" i="16" s="1"/>
  <c r="V12" i="16"/>
  <c r="W12" i="16" s="1"/>
  <c r="N10" i="16"/>
  <c r="AE10" i="16" s="1"/>
  <c r="AG10" i="16" s="1"/>
  <c r="O8" i="16"/>
  <c r="AA8" i="16" s="1"/>
  <c r="W11" i="16"/>
  <c r="M6" i="16"/>
  <c r="W3" i="16"/>
  <c r="O10" i="16"/>
  <c r="AA10" i="16" s="1"/>
  <c r="O11" i="16"/>
  <c r="AB11" i="16" s="1"/>
  <c r="N9" i="16"/>
  <c r="AE9" i="16" s="1"/>
  <c r="AG9" i="16" s="1"/>
  <c r="W6" i="16"/>
  <c r="O3" i="16"/>
  <c r="AA3" i="16" s="1"/>
  <c r="O7" i="16"/>
  <c r="AA7" i="16" s="1"/>
  <c r="N4" i="16"/>
  <c r="AE4" i="16" s="1"/>
  <c r="AG4" i="16" s="1"/>
  <c r="N3" i="16"/>
  <c r="AE3" i="16" s="1"/>
  <c r="AG3" i="16" s="1"/>
  <c r="O12" i="16"/>
  <c r="AA12" i="16" s="1"/>
  <c r="O4" i="16"/>
  <c r="AA4" i="16" s="1"/>
  <c r="N12" i="16"/>
  <c r="AE12" i="16" s="1"/>
  <c r="AG12" i="16" s="1"/>
  <c r="O9" i="16"/>
  <c r="AB9" i="16" s="1"/>
  <c r="N11" i="16"/>
  <c r="AE11" i="16" s="1"/>
  <c r="AG11" i="16" s="1"/>
  <c r="W5" i="16"/>
  <c r="N8" i="16"/>
  <c r="AE8" i="16" s="1"/>
  <c r="AG8" i="16" s="1"/>
  <c r="T12" i="16"/>
  <c r="U12" i="16" s="1"/>
  <c r="T4" i="16"/>
  <c r="U4" i="16" s="1"/>
  <c r="N7" i="16"/>
  <c r="AE7" i="16" s="1"/>
  <c r="AG7" i="16" s="1"/>
  <c r="T11" i="16"/>
  <c r="U11" i="16" s="1"/>
  <c r="T3" i="16"/>
  <c r="U3" i="16" s="1"/>
  <c r="N6" i="16"/>
  <c r="AE6" i="16" s="1"/>
  <c r="AG6" i="16" s="1"/>
  <c r="T10" i="16"/>
  <c r="U10" i="16" s="1"/>
  <c r="T5" i="16"/>
  <c r="U5" i="16" s="1"/>
  <c r="N5" i="16"/>
  <c r="AE5" i="16" s="1"/>
  <c r="AG5" i="16" s="1"/>
  <c r="T9" i="16"/>
  <c r="U9" i="16" s="1"/>
  <c r="O6" i="16"/>
  <c r="AA6" i="16" s="1"/>
  <c r="T8" i="16"/>
  <c r="U8" i="16" s="1"/>
  <c r="O5" i="16"/>
  <c r="AB5" i="16" s="1"/>
  <c r="T7" i="16"/>
  <c r="U7" i="16" s="1"/>
  <c r="M10" i="16"/>
  <c r="W9" i="16"/>
  <c r="U6" i="16"/>
  <c r="V10" i="16"/>
  <c r="W10" i="16" s="1"/>
  <c r="AK78" i="11"/>
  <c r="AN78" i="11" s="1"/>
  <c r="AK70" i="11"/>
  <c r="AN70" i="11" s="1"/>
  <c r="AK62" i="11"/>
  <c r="AN62" i="11" s="1"/>
  <c r="AK54" i="11"/>
  <c r="AN54" i="11" s="1"/>
  <c r="AK46" i="11"/>
  <c r="AN46" i="11" s="1"/>
  <c r="AK30" i="11"/>
  <c r="AN30" i="11" s="1"/>
  <c r="AK6" i="11"/>
  <c r="AN6" i="11" s="1"/>
  <c r="AN38" i="11"/>
  <c r="AN81" i="11"/>
  <c r="AN73" i="11"/>
  <c r="AN65" i="11"/>
  <c r="AN57" i="11"/>
  <c r="AN49" i="11"/>
  <c r="AN41" i="11"/>
  <c r="AN33" i="11"/>
  <c r="AN25" i="11"/>
  <c r="AN17" i="11"/>
  <c r="AN9" i="11"/>
  <c r="AK77" i="11"/>
  <c r="AN77" i="11" s="1"/>
  <c r="AK69" i="11"/>
  <c r="AN69" i="11" s="1"/>
  <c r="AK61" i="11"/>
  <c r="AN61" i="11" s="1"/>
  <c r="AK53" i="11"/>
  <c r="AN53" i="11" s="1"/>
  <c r="AK45" i="11"/>
  <c r="AN45" i="11" s="1"/>
  <c r="AK37" i="11"/>
  <c r="AN37" i="11" s="1"/>
  <c r="AK29" i="11"/>
  <c r="AN29" i="11" s="1"/>
  <c r="AK21" i="11"/>
  <c r="AN21" i="11" s="1"/>
  <c r="AK13" i="11"/>
  <c r="AN13" i="11" s="1"/>
  <c r="AK5" i="11"/>
  <c r="AN5" i="11" s="1"/>
  <c r="AN22" i="11"/>
  <c r="AK84" i="11"/>
  <c r="AN84" i="11" s="1"/>
  <c r="AK76" i="11"/>
  <c r="AN76" i="11" s="1"/>
  <c r="AK68" i="11"/>
  <c r="AN68" i="11" s="1"/>
  <c r="AK60" i="11"/>
  <c r="AN60" i="11" s="1"/>
  <c r="AK52" i="11"/>
  <c r="AN52" i="11" s="1"/>
  <c r="AK44" i="11"/>
  <c r="AN44" i="11" s="1"/>
  <c r="AK36" i="11"/>
  <c r="AN36" i="11" s="1"/>
  <c r="AK28" i="11"/>
  <c r="AN28" i="11" s="1"/>
  <c r="AK20" i="11"/>
  <c r="AN20" i="11" s="1"/>
  <c r="AK12" i="11"/>
  <c r="AN12" i="11" s="1"/>
  <c r="AK4" i="11"/>
  <c r="AN4" i="11" s="1"/>
  <c r="AN14" i="11"/>
  <c r="AN79" i="11"/>
  <c r="AN71" i="11"/>
  <c r="AN63" i="11"/>
  <c r="AN55" i="11"/>
  <c r="AN47" i="11"/>
  <c r="AN39" i="11"/>
  <c r="AN31" i="11"/>
  <c r="AN23" i="11"/>
  <c r="AN15" i="11"/>
  <c r="AN7" i="11"/>
  <c r="AK83" i="11"/>
  <c r="AN83" i="11" s="1"/>
  <c r="AK75" i="11"/>
  <c r="AN75" i="11" s="1"/>
  <c r="AK67" i="11"/>
  <c r="AN67" i="11" s="1"/>
  <c r="AK59" i="11"/>
  <c r="AN59" i="11" s="1"/>
  <c r="AK51" i="11"/>
  <c r="AN51" i="11" s="1"/>
  <c r="AK43" i="11"/>
  <c r="AN43" i="11" s="1"/>
  <c r="AK35" i="11"/>
  <c r="AN35" i="11" s="1"/>
  <c r="AK27" i="11"/>
  <c r="AN27" i="11" s="1"/>
  <c r="AK19" i="11"/>
  <c r="AN19" i="11" s="1"/>
  <c r="AK11" i="11"/>
  <c r="AN11" i="11" s="1"/>
  <c r="AK3" i="11"/>
  <c r="AN3" i="11" s="1"/>
  <c r="AN82" i="11"/>
  <c r="AN74" i="11"/>
  <c r="AN66" i="11"/>
  <c r="AN58" i="11"/>
  <c r="AN50" i="11"/>
  <c r="AN42" i="11"/>
  <c r="AN34" i="11"/>
  <c r="AN26" i="11"/>
  <c r="AN18" i="11"/>
  <c r="AN10" i="11"/>
  <c r="AN80" i="11"/>
  <c r="AN72" i="11"/>
  <c r="AN64" i="11"/>
  <c r="AN56" i="11"/>
  <c r="AN48" i="11"/>
  <c r="AN40" i="11"/>
  <c r="AN32" i="11"/>
  <c r="AN24" i="11"/>
  <c r="AN16" i="11"/>
  <c r="AN8" i="11"/>
  <c r="V3" i="14" a="1"/>
  <c r="V3" i="14" s="1"/>
  <c r="V4" i="14" a="1"/>
  <c r="V4" i="14" s="1"/>
  <c r="V5" i="14" a="1"/>
  <c r="V5" i="14" s="1"/>
  <c r="V6" i="14" a="1"/>
  <c r="V6" i="14" s="1"/>
  <c r="V7" i="14" a="1"/>
  <c r="V7" i="14" s="1"/>
  <c r="V8" i="14" a="1"/>
  <c r="V8" i="14" s="1"/>
  <c r="V9" i="14" a="1"/>
  <c r="V9" i="14" s="1"/>
  <c r="V10" i="14" a="1"/>
  <c r="V10" i="14" s="1"/>
  <c r="V11" i="14" a="1"/>
  <c r="V11" i="14" s="1"/>
  <c r="V12" i="14" a="1"/>
  <c r="V12" i="14" s="1"/>
  <c r="V13" i="14" a="1"/>
  <c r="V13" i="14" s="1"/>
  <c r="V14" i="14" a="1"/>
  <c r="V14" i="14" s="1"/>
  <c r="V15" i="14" a="1"/>
  <c r="V15" i="14" s="1"/>
  <c r="V16" i="14" a="1"/>
  <c r="V16" i="14" s="1"/>
  <c r="V17" i="14" a="1"/>
  <c r="V17" i="14" s="1"/>
  <c r="V18" i="14" a="1"/>
  <c r="V18" i="14" s="1"/>
  <c r="V19" i="14" a="1"/>
  <c r="V19" i="14" s="1"/>
  <c r="V20" i="14" a="1"/>
  <c r="V20" i="14" s="1"/>
  <c r="V21" i="14" a="1"/>
  <c r="V21" i="14" s="1"/>
  <c r="V22" i="14" a="1"/>
  <c r="V22" i="14" s="1"/>
  <c r="V23" i="14" a="1"/>
  <c r="V23" i="14" s="1"/>
  <c r="V24" i="14" a="1"/>
  <c r="V24" i="14" s="1"/>
  <c r="V25" i="14" a="1"/>
  <c r="V25" i="14" s="1"/>
  <c r="V26" i="14" a="1"/>
  <c r="V26" i="14" s="1"/>
  <c r="V27" i="14" a="1"/>
  <c r="V27" i="14" s="1"/>
  <c r="V28" i="14" a="1"/>
  <c r="V28" i="14" s="1"/>
  <c r="V29" i="14" a="1"/>
  <c r="V29" i="14" s="1"/>
  <c r="V30" i="14" a="1"/>
  <c r="V30" i="14" s="1"/>
  <c r="V31" i="14" a="1"/>
  <c r="V31" i="14" s="1"/>
  <c r="V32" i="14" a="1"/>
  <c r="V32" i="14" s="1"/>
  <c r="V33" i="14" a="1"/>
  <c r="V33" i="14" s="1"/>
  <c r="V34" i="14" a="1"/>
  <c r="V34" i="14" s="1"/>
  <c r="V35" i="14" a="1"/>
  <c r="V35" i="14" s="1"/>
  <c r="V36" i="14" a="1"/>
  <c r="V36" i="14" s="1"/>
  <c r="V37" i="14" a="1"/>
  <c r="V37" i="14" s="1"/>
  <c r="V38" i="14" a="1"/>
  <c r="V38" i="14" s="1"/>
  <c r="V39" i="14" a="1"/>
  <c r="V39" i="14" s="1"/>
  <c r="V40" i="14" a="1"/>
  <c r="V40" i="14" s="1"/>
  <c r="V41" i="14" a="1"/>
  <c r="V41" i="14" s="1"/>
  <c r="V42" i="14" a="1"/>
  <c r="V42" i="14" s="1"/>
  <c r="V43" i="14" a="1"/>
  <c r="V43" i="14" s="1"/>
  <c r="V44" i="14" a="1"/>
  <c r="V44" i="14" s="1"/>
  <c r="V45" i="14" a="1"/>
  <c r="V45" i="14" s="1"/>
  <c r="V46" i="14" a="1"/>
  <c r="V46" i="14" s="1"/>
  <c r="V47" i="14" a="1"/>
  <c r="V47" i="14" s="1"/>
  <c r="V48" i="14" a="1"/>
  <c r="V48" i="14" s="1"/>
  <c r="V49" i="14" a="1"/>
  <c r="V49" i="14" s="1"/>
  <c r="V50" i="14" a="1"/>
  <c r="V50" i="14" s="1"/>
  <c r="V51" i="14" a="1"/>
  <c r="V51" i="14" s="1"/>
  <c r="V52" i="14" a="1"/>
  <c r="V52" i="14" s="1"/>
  <c r="V53" i="14" a="1"/>
  <c r="V53" i="14" s="1"/>
  <c r="V54" i="14" a="1"/>
  <c r="V54" i="14" s="1"/>
  <c r="V55" i="14" a="1"/>
  <c r="V55" i="14" s="1"/>
  <c r="V56" i="14" a="1"/>
  <c r="V56" i="14" s="1"/>
  <c r="V57" i="14" a="1"/>
  <c r="V57" i="14" s="1"/>
  <c r="V58" i="14" a="1"/>
  <c r="V58" i="14" s="1"/>
  <c r="V59" i="14" a="1"/>
  <c r="V59" i="14" s="1"/>
  <c r="V60" i="14" a="1"/>
  <c r="V60" i="14" s="1"/>
  <c r="V61" i="14" a="1"/>
  <c r="V61" i="14" s="1"/>
  <c r="V62" i="14" a="1"/>
  <c r="V62" i="14" s="1"/>
  <c r="V63" i="14" a="1"/>
  <c r="V63" i="14" s="1"/>
  <c r="V64" i="14" a="1"/>
  <c r="V64" i="14" s="1"/>
  <c r="V65" i="14" a="1"/>
  <c r="V65" i="14" s="1"/>
  <c r="V66" i="14" a="1"/>
  <c r="V66" i="14" s="1"/>
  <c r="V67" i="14" a="1"/>
  <c r="V67" i="14" s="1"/>
  <c r="V68" i="14" a="1"/>
  <c r="V68" i="14" s="1"/>
  <c r="V69" i="14" a="1"/>
  <c r="V69" i="14" s="1"/>
  <c r="V70" i="14" a="1"/>
  <c r="V70" i="14" s="1"/>
  <c r="V71" i="14" a="1"/>
  <c r="V71" i="14" s="1"/>
  <c r="V72" i="14" a="1"/>
  <c r="V72" i="14" s="1"/>
  <c r="V73" i="14" a="1"/>
  <c r="V73" i="14" s="1"/>
  <c r="V74" i="14" a="1"/>
  <c r="V74" i="14" s="1"/>
  <c r="V75" i="14" a="1"/>
  <c r="V75" i="14" s="1"/>
  <c r="V76" i="14" a="1"/>
  <c r="V76" i="14" s="1"/>
  <c r="V77" i="14" a="1"/>
  <c r="V77" i="14" s="1"/>
  <c r="V78" i="14" a="1"/>
  <c r="V78" i="14" s="1"/>
  <c r="V79" i="14" a="1"/>
  <c r="V79" i="14" s="1"/>
  <c r="V80" i="14" a="1"/>
  <c r="V80" i="14" s="1"/>
  <c r="V81" i="14" a="1"/>
  <c r="V81" i="14" s="1"/>
  <c r="V82" i="14" a="1"/>
  <c r="V82" i="14" s="1"/>
  <c r="V83" i="14" a="1"/>
  <c r="V83" i="14" s="1"/>
  <c r="V84" i="14" a="1"/>
  <c r="V84" i="14" s="1"/>
  <c r="V85" i="14" a="1"/>
  <c r="V85" i="14" s="1"/>
  <c r="V86" i="14" a="1"/>
  <c r="V86" i="14" s="1"/>
  <c r="V87" i="14" a="1"/>
  <c r="V87" i="14" s="1"/>
  <c r="V88" i="14" a="1"/>
  <c r="V88" i="14" s="1"/>
  <c r="V89" i="14" a="1"/>
  <c r="V89" i="14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AH4" i="16" l="1"/>
  <c r="AH12" i="16"/>
  <c r="AH10" i="16"/>
  <c r="AH7" i="16"/>
  <c r="AH3" i="16"/>
  <c r="AH11" i="16"/>
  <c r="AH8" i="16"/>
  <c r="AH6" i="16"/>
  <c r="AH9" i="16"/>
  <c r="AH5" i="16"/>
  <c r="AB12" i="16"/>
  <c r="AB7" i="16"/>
  <c r="AB6" i="16"/>
  <c r="AB8" i="16"/>
  <c r="AB3" i="16"/>
  <c r="AB10" i="16"/>
  <c r="AB4" i="16"/>
  <c r="X63" i="14"/>
  <c r="AB63" i="14"/>
  <c r="X7" i="14"/>
  <c r="AB7" i="14"/>
  <c r="X54" i="14"/>
  <c r="AB54" i="14"/>
  <c r="X14" i="14"/>
  <c r="AB14" i="14"/>
  <c r="X6" i="14"/>
  <c r="AB6" i="14"/>
  <c r="X85" i="14"/>
  <c r="AB85" i="14"/>
  <c r="X77" i="14"/>
  <c r="AB77" i="14"/>
  <c r="X69" i="14"/>
  <c r="AB69" i="14"/>
  <c r="X61" i="14"/>
  <c r="AB61" i="14"/>
  <c r="X53" i="14"/>
  <c r="AB53" i="14"/>
  <c r="X45" i="14"/>
  <c r="AB45" i="14"/>
  <c r="X37" i="14"/>
  <c r="AB37" i="14"/>
  <c r="X29" i="14"/>
  <c r="AB29" i="14"/>
  <c r="X21" i="14"/>
  <c r="AB21" i="14"/>
  <c r="X13" i="14"/>
  <c r="AB13" i="14"/>
  <c r="X5" i="14"/>
  <c r="AB5" i="14"/>
  <c r="X39" i="14"/>
  <c r="AB39" i="14"/>
  <c r="X78" i="14"/>
  <c r="AB78" i="14"/>
  <c r="X38" i="14"/>
  <c r="AB38" i="14"/>
  <c r="X84" i="14"/>
  <c r="AB84" i="14"/>
  <c r="X76" i="14"/>
  <c r="AB76" i="14"/>
  <c r="X68" i="14"/>
  <c r="AB68" i="14"/>
  <c r="X60" i="14"/>
  <c r="AB60" i="14"/>
  <c r="X52" i="14"/>
  <c r="AB52" i="14"/>
  <c r="X44" i="14"/>
  <c r="AB44" i="14"/>
  <c r="X36" i="14"/>
  <c r="AB36" i="14"/>
  <c r="X28" i="14"/>
  <c r="AB28" i="14"/>
  <c r="X20" i="14"/>
  <c r="AB20" i="14"/>
  <c r="X12" i="14"/>
  <c r="AB12" i="14"/>
  <c r="X4" i="14"/>
  <c r="AB4" i="14"/>
  <c r="X79" i="14"/>
  <c r="AB79" i="14"/>
  <c r="X47" i="14"/>
  <c r="AB47" i="14"/>
  <c r="X86" i="14"/>
  <c r="AB86" i="14"/>
  <c r="X46" i="14"/>
  <c r="AB46" i="14"/>
  <c r="X75" i="14"/>
  <c r="AB75" i="14"/>
  <c r="X59" i="14"/>
  <c r="AB59" i="14"/>
  <c r="X51" i="14"/>
  <c r="AB51" i="14"/>
  <c r="X43" i="14"/>
  <c r="AB43" i="14"/>
  <c r="X35" i="14"/>
  <c r="AB35" i="14"/>
  <c r="X27" i="14"/>
  <c r="AB27" i="14"/>
  <c r="X19" i="14"/>
  <c r="AB19" i="14"/>
  <c r="X11" i="14"/>
  <c r="AB11" i="14"/>
  <c r="X3" i="14"/>
  <c r="AB3" i="14"/>
  <c r="X55" i="14"/>
  <c r="AB55" i="14"/>
  <c r="X15" i="14"/>
  <c r="AB15" i="14"/>
  <c r="X62" i="14"/>
  <c r="AB62" i="14"/>
  <c r="X22" i="14"/>
  <c r="AB22" i="14"/>
  <c r="X67" i="14"/>
  <c r="AB67" i="14"/>
  <c r="X82" i="14"/>
  <c r="AB82" i="14"/>
  <c r="X74" i="14"/>
  <c r="AB74" i="14"/>
  <c r="X66" i="14"/>
  <c r="AB66" i="14"/>
  <c r="X58" i="14"/>
  <c r="AB58" i="14"/>
  <c r="X50" i="14"/>
  <c r="AB50" i="14"/>
  <c r="X42" i="14"/>
  <c r="AB42" i="14"/>
  <c r="X34" i="14"/>
  <c r="AB34" i="14"/>
  <c r="X26" i="14"/>
  <c r="AB26" i="14"/>
  <c r="X18" i="14"/>
  <c r="AB18" i="14"/>
  <c r="X10" i="14"/>
  <c r="AB10" i="14"/>
  <c r="X71" i="14"/>
  <c r="AB71" i="14"/>
  <c r="X31" i="14"/>
  <c r="AB31" i="14"/>
  <c r="X70" i="14"/>
  <c r="AB70" i="14"/>
  <c r="X30" i="14"/>
  <c r="AB30" i="14"/>
  <c r="X83" i="14"/>
  <c r="AB83" i="14"/>
  <c r="X89" i="14"/>
  <c r="AB89" i="14"/>
  <c r="X81" i="14"/>
  <c r="AB81" i="14"/>
  <c r="X73" i="14"/>
  <c r="AB73" i="14"/>
  <c r="X65" i="14"/>
  <c r="AB65" i="14"/>
  <c r="X57" i="14"/>
  <c r="AB57" i="14"/>
  <c r="X49" i="14"/>
  <c r="AB49" i="14"/>
  <c r="X41" i="14"/>
  <c r="AB41" i="14"/>
  <c r="X33" i="14"/>
  <c r="AB33" i="14"/>
  <c r="X25" i="14"/>
  <c r="AB25" i="14"/>
  <c r="X17" i="14"/>
  <c r="AB17" i="14"/>
  <c r="X9" i="14"/>
  <c r="AB9" i="14"/>
  <c r="X87" i="14"/>
  <c r="AB87" i="14"/>
  <c r="X23" i="14"/>
  <c r="AB23" i="14"/>
  <c r="X88" i="14"/>
  <c r="AB88" i="14"/>
  <c r="X80" i="14"/>
  <c r="AB80" i="14"/>
  <c r="X72" i="14"/>
  <c r="AB72" i="14"/>
  <c r="X64" i="14"/>
  <c r="AB64" i="14"/>
  <c r="X56" i="14"/>
  <c r="AB56" i="14"/>
  <c r="X48" i="14"/>
  <c r="AB48" i="14"/>
  <c r="X40" i="14"/>
  <c r="AB40" i="14"/>
  <c r="X32" i="14"/>
  <c r="AB32" i="14"/>
  <c r="X24" i="14"/>
  <c r="AB24" i="14"/>
  <c r="X16" i="14"/>
  <c r="AB16" i="14"/>
  <c r="X8" i="14"/>
  <c r="AB8" i="14"/>
  <c r="AA11" i="16"/>
  <c r="AA9" i="16"/>
  <c r="AA5" i="16"/>
  <c r="AJ3" i="13"/>
  <c r="AJ4" i="13"/>
  <c r="AJ5" i="13"/>
  <c r="AJ6" i="13"/>
  <c r="AJ7" i="13"/>
  <c r="AJ8" i="13"/>
  <c r="AJ9" i="13"/>
  <c r="AJ10" i="13"/>
  <c r="AJ11" i="13"/>
  <c r="AJ12" i="13"/>
  <c r="AF3" i="13" a="1"/>
  <c r="AF3" i="13" s="1"/>
  <c r="AV3" i="13" s="1"/>
  <c r="AF4" i="13" a="1"/>
  <c r="AF4" i="13" s="1"/>
  <c r="AV4" i="13" s="1"/>
  <c r="AF5" i="13" a="1"/>
  <c r="AF5" i="13" s="1"/>
  <c r="AV5" i="13" s="1"/>
  <c r="AF6" i="13" a="1"/>
  <c r="AF6" i="13" s="1"/>
  <c r="AV6" i="13" s="1"/>
  <c r="AF7" i="13" a="1"/>
  <c r="AF7" i="13" s="1"/>
  <c r="AV7" i="13" s="1"/>
  <c r="AF8" i="13" a="1"/>
  <c r="AF8" i="13" s="1"/>
  <c r="AV8" i="13" s="1"/>
  <c r="AF9" i="13" a="1"/>
  <c r="AF9" i="13" s="1"/>
  <c r="AV9" i="13" s="1"/>
  <c r="AF10" i="13" a="1"/>
  <c r="AF10" i="13" s="1"/>
  <c r="AV10" i="13" s="1"/>
  <c r="AF11" i="13" a="1"/>
  <c r="AF11" i="13" s="1"/>
  <c r="AV11" i="13" s="1"/>
  <c r="AF12" i="13" a="1"/>
  <c r="AF12" i="13" s="1"/>
  <c r="AV12" i="13" s="1"/>
  <c r="B3" i="13"/>
  <c r="B4" i="13"/>
  <c r="B5" i="13"/>
  <c r="B6" i="13"/>
  <c r="B7" i="13"/>
  <c r="B8" i="13"/>
  <c r="B9" i="13"/>
  <c r="B10" i="13"/>
  <c r="B11" i="13"/>
  <c r="B12" i="13"/>
  <c r="B126" i="11"/>
  <c r="B127" i="11"/>
  <c r="B128" i="11"/>
  <c r="B129" i="11"/>
  <c r="B130" i="11"/>
  <c r="B131" i="11"/>
  <c r="B132" i="11"/>
  <c r="AC126" i="11" a="1"/>
  <c r="AC126" i="11" s="1"/>
  <c r="AC127" i="11" a="1"/>
  <c r="AC127" i="11" s="1"/>
  <c r="AC128" i="11" a="1"/>
  <c r="AC128" i="11" s="1"/>
  <c r="AC129" i="11" a="1"/>
  <c r="AC129" i="11" s="1"/>
  <c r="AC130" i="11" a="1"/>
  <c r="AC130" i="11" s="1"/>
  <c r="AC131" i="11" a="1"/>
  <c r="AC131" i="11" s="1"/>
  <c r="AC132" i="11" a="1"/>
  <c r="AC132" i="11" s="1"/>
  <c r="AG126" i="11"/>
  <c r="AG127" i="11"/>
  <c r="AG128" i="11"/>
  <c r="AG129" i="11"/>
  <c r="AG130" i="11"/>
  <c r="AG131" i="11"/>
  <c r="AG13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AO132" i="11" l="1"/>
  <c r="AU132" i="11"/>
  <c r="AO131" i="11"/>
  <c r="AU131" i="11"/>
  <c r="AO129" i="11"/>
  <c r="AU129" i="11"/>
  <c r="AO130" i="11"/>
  <c r="AU130" i="11"/>
  <c r="AO128" i="11"/>
  <c r="AU128" i="11"/>
  <c r="AO127" i="11"/>
  <c r="AU127" i="11"/>
  <c r="AO126" i="11"/>
  <c r="AU126" i="11"/>
  <c r="AP4" i="13"/>
  <c r="AP11" i="13"/>
  <c r="AP3" i="13"/>
  <c r="AP6" i="13"/>
  <c r="AP9" i="13"/>
  <c r="AP12" i="13"/>
  <c r="AP8" i="13"/>
  <c r="AP5" i="13"/>
  <c r="AP7" i="13"/>
  <c r="AL10" i="13"/>
  <c r="AM10" i="13" s="1"/>
  <c r="AP10" i="13"/>
  <c r="AK6" i="13"/>
  <c r="AL6" i="13"/>
  <c r="AM6" i="13" s="1"/>
  <c r="AK5" i="13"/>
  <c r="AL5" i="13"/>
  <c r="AM5" i="13" s="1"/>
  <c r="AK12" i="13"/>
  <c r="AL12" i="13"/>
  <c r="AM12" i="13" s="1"/>
  <c r="AK4" i="13"/>
  <c r="AL4" i="13"/>
  <c r="AM4" i="13" s="1"/>
  <c r="AK7" i="13"/>
  <c r="AL7" i="13"/>
  <c r="AM7" i="13" s="1"/>
  <c r="AK11" i="13"/>
  <c r="AL11" i="13"/>
  <c r="AM11" i="13" s="1"/>
  <c r="AK3" i="13"/>
  <c r="AL3" i="13"/>
  <c r="AM3" i="13" s="1"/>
  <c r="AK8" i="13"/>
  <c r="AL8" i="13"/>
  <c r="AM8" i="13" s="1"/>
  <c r="AK9" i="13"/>
  <c r="AL9" i="13"/>
  <c r="AM9" i="13" s="1"/>
  <c r="AI130" i="11"/>
  <c r="AJ130" i="11" s="1"/>
  <c r="AI131" i="11"/>
  <c r="AJ131" i="11" s="1"/>
  <c r="AI126" i="11"/>
  <c r="AJ126" i="11" s="1"/>
  <c r="AI128" i="11"/>
  <c r="AJ128" i="11" s="1"/>
  <c r="AI132" i="11"/>
  <c r="AJ132" i="11" s="1"/>
  <c r="AI129" i="11"/>
  <c r="AJ129" i="11" s="1"/>
  <c r="AH127" i="11"/>
  <c r="AI127" i="11"/>
  <c r="AJ127" i="11" s="1"/>
  <c r="AK10" i="13"/>
  <c r="AH131" i="11"/>
  <c r="AH132" i="11"/>
  <c r="AH130" i="11"/>
  <c r="AH129" i="11"/>
  <c r="AH128" i="11"/>
  <c r="AH126" i="11"/>
  <c r="AC117" i="11" a="1"/>
  <c r="AC117" i="11" s="1"/>
  <c r="AG121" i="11"/>
  <c r="AC116" i="11" a="1"/>
  <c r="AC116" i="11" s="1"/>
  <c r="AG120" i="11"/>
  <c r="AC124" i="11" a="1"/>
  <c r="AC124" i="11" s="1"/>
  <c r="AC125" i="11" a="1"/>
  <c r="AC125" i="11" s="1"/>
  <c r="AC115" i="11" a="1"/>
  <c r="AC115" i="11" s="1"/>
  <c r="AG119" i="11"/>
  <c r="AC123" i="11" a="1"/>
  <c r="AC123" i="11" s="1"/>
  <c r="AG118" i="11"/>
  <c r="AC113" i="11" a="1"/>
  <c r="AC113" i="11" s="1"/>
  <c r="AG117" i="11"/>
  <c r="AC121" i="11" a="1"/>
  <c r="AC121" i="11" s="1"/>
  <c r="AG125" i="11"/>
  <c r="AG116" i="11"/>
  <c r="AC120" i="11" a="1"/>
  <c r="AC120" i="11" s="1"/>
  <c r="AG124" i="11"/>
  <c r="AC114" i="11" a="1"/>
  <c r="AC114" i="11" s="1"/>
  <c r="AG115" i="11"/>
  <c r="AC119" i="11" a="1"/>
  <c r="AC119" i="11" s="1"/>
  <c r="AG123" i="11"/>
  <c r="AG113" i="11"/>
  <c r="AC122" i="11" a="1"/>
  <c r="AC122" i="11" s="1"/>
  <c r="AG114" i="11"/>
  <c r="AC118" i="11" a="1"/>
  <c r="AC118" i="11" s="1"/>
  <c r="AG122" i="11"/>
  <c r="AO121" i="11" l="1"/>
  <c r="AU121" i="11"/>
  <c r="AO124" i="11"/>
  <c r="AU124" i="11"/>
  <c r="AO125" i="11"/>
  <c r="AU125" i="11"/>
  <c r="AO119" i="11"/>
  <c r="AU119" i="11"/>
  <c r="AO116" i="11"/>
  <c r="AU116" i="11"/>
  <c r="AO114" i="11"/>
  <c r="AU114" i="11"/>
  <c r="AO123" i="11"/>
  <c r="AU123" i="11"/>
  <c r="AO117" i="11"/>
  <c r="AU117" i="11"/>
  <c r="AO113" i="11"/>
  <c r="AU113" i="11"/>
  <c r="AO118" i="11"/>
  <c r="AU118" i="11"/>
  <c r="AO120" i="11"/>
  <c r="AU120" i="11"/>
  <c r="AO122" i="11"/>
  <c r="AU122" i="11"/>
  <c r="AO115" i="11"/>
  <c r="AU115" i="11"/>
  <c r="AI116" i="11"/>
  <c r="AJ116" i="11" s="1"/>
  <c r="AI114" i="11"/>
  <c r="AJ114" i="11" s="1"/>
  <c r="AI123" i="11"/>
  <c r="AJ123" i="11" s="1"/>
  <c r="AI117" i="11"/>
  <c r="AJ117" i="11" s="1"/>
  <c r="AI118" i="11"/>
  <c r="AJ118" i="11" s="1"/>
  <c r="AI120" i="11"/>
  <c r="AJ120" i="11" s="1"/>
  <c r="AI122" i="11"/>
  <c r="AJ122" i="11" s="1"/>
  <c r="AI115" i="11"/>
  <c r="AJ115" i="11" s="1"/>
  <c r="AI125" i="11"/>
  <c r="AJ125" i="11" s="1"/>
  <c r="AI121" i="11"/>
  <c r="AJ121" i="11" s="1"/>
  <c r="AI124" i="11"/>
  <c r="AJ124" i="11" s="1"/>
  <c r="AI113" i="11"/>
  <c r="AJ113" i="11" s="1"/>
  <c r="AI119" i="11"/>
  <c r="AJ119" i="11" s="1"/>
  <c r="AH115" i="11"/>
  <c r="AH118" i="11"/>
  <c r="AH121" i="11"/>
  <c r="AH123" i="11"/>
  <c r="AH120" i="11"/>
  <c r="AH119" i="11"/>
  <c r="AH122" i="11"/>
  <c r="AH125" i="11"/>
  <c r="AH113" i="11"/>
  <c r="AH124" i="11"/>
  <c r="AH117" i="11"/>
  <c r="AH116" i="11"/>
  <c r="AH114" i="11"/>
  <c r="AC4" i="11" l="1" a="1"/>
  <c r="AC4" i="11" s="1"/>
  <c r="AC5" i="11" a="1"/>
  <c r="AC5" i="11" s="1"/>
  <c r="AC6" i="11" a="1"/>
  <c r="AC6" i="11" s="1"/>
  <c r="AC7" i="11" a="1"/>
  <c r="AC7" i="11" s="1"/>
  <c r="AC8" i="11" a="1"/>
  <c r="AC8" i="11" s="1"/>
  <c r="AC9" i="11" a="1"/>
  <c r="AC9" i="11" s="1"/>
  <c r="AC10" i="11" a="1"/>
  <c r="AC10" i="11" s="1"/>
  <c r="AC11" i="11" a="1"/>
  <c r="AC11" i="11" s="1"/>
  <c r="AC12" i="11" a="1"/>
  <c r="AC12" i="11" s="1"/>
  <c r="AC13" i="11" a="1"/>
  <c r="AC13" i="11" s="1"/>
  <c r="AC14" i="11" a="1"/>
  <c r="AC14" i="11" s="1"/>
  <c r="AC15" i="11" a="1"/>
  <c r="AC15" i="11" s="1"/>
  <c r="AC16" i="11" a="1"/>
  <c r="AC16" i="11" s="1"/>
  <c r="AC17" i="11" a="1"/>
  <c r="AC17" i="11" s="1"/>
  <c r="AC18" i="11" a="1"/>
  <c r="AC18" i="11" s="1"/>
  <c r="AC19" i="11" a="1"/>
  <c r="AC19" i="11" s="1"/>
  <c r="AC20" i="11" a="1"/>
  <c r="AC20" i="11" s="1"/>
  <c r="AC21" i="11" a="1"/>
  <c r="AC21" i="11" s="1"/>
  <c r="AC22" i="11" a="1"/>
  <c r="AC22" i="11" s="1"/>
  <c r="AC23" i="11" a="1"/>
  <c r="AC23" i="11" s="1"/>
  <c r="AC24" i="11" a="1"/>
  <c r="AC24" i="11" s="1"/>
  <c r="AC25" i="11" a="1"/>
  <c r="AC25" i="11" s="1"/>
  <c r="AC26" i="11" a="1"/>
  <c r="AC26" i="11" s="1"/>
  <c r="AC27" i="11" a="1"/>
  <c r="AC27" i="11" s="1"/>
  <c r="AC28" i="11" a="1"/>
  <c r="AC28" i="11" s="1"/>
  <c r="AC29" i="11" a="1"/>
  <c r="AC29" i="11" s="1"/>
  <c r="AC30" i="11" a="1"/>
  <c r="AC30" i="11" s="1"/>
  <c r="AC31" i="11" a="1"/>
  <c r="AC31" i="11" s="1"/>
  <c r="AC32" i="11" a="1"/>
  <c r="AC32" i="11" s="1"/>
  <c r="AC33" i="11" a="1"/>
  <c r="AC33" i="11" s="1"/>
  <c r="AC34" i="11" a="1"/>
  <c r="AC34" i="11" s="1"/>
  <c r="AC35" i="11" a="1"/>
  <c r="AC35" i="11" s="1"/>
  <c r="AC36" i="11" a="1"/>
  <c r="AC36" i="11" s="1"/>
  <c r="AC37" i="11" a="1"/>
  <c r="AC37" i="11" s="1"/>
  <c r="AC38" i="11" a="1"/>
  <c r="AC38" i="11" s="1"/>
  <c r="AC39" i="11" a="1"/>
  <c r="AC39" i="11" s="1"/>
  <c r="AC40" i="11" a="1"/>
  <c r="AC40" i="11" s="1"/>
  <c r="AC41" i="11" a="1"/>
  <c r="AC41" i="11" s="1"/>
  <c r="AC42" i="11" a="1"/>
  <c r="AC42" i="11" s="1"/>
  <c r="AC43" i="11" a="1"/>
  <c r="AC43" i="11" s="1"/>
  <c r="AC44" i="11" a="1"/>
  <c r="AC44" i="11" s="1"/>
  <c r="AC45" i="11" a="1"/>
  <c r="AC45" i="11" s="1"/>
  <c r="AC46" i="11" a="1"/>
  <c r="AC46" i="11" s="1"/>
  <c r="AC47" i="11" a="1"/>
  <c r="AC47" i="11" s="1"/>
  <c r="AC48" i="11" a="1"/>
  <c r="AC48" i="11" s="1"/>
  <c r="AC49" i="11" a="1"/>
  <c r="AC49" i="11" s="1"/>
  <c r="AC50" i="11" a="1"/>
  <c r="AC50" i="11" s="1"/>
  <c r="AC51" i="11" a="1"/>
  <c r="AC51" i="11" s="1"/>
  <c r="AC52" i="11" a="1"/>
  <c r="AC52" i="11" s="1"/>
  <c r="AC53" i="11" a="1"/>
  <c r="AC53" i="11" s="1"/>
  <c r="AC54" i="11" a="1"/>
  <c r="AC54" i="11" s="1"/>
  <c r="AC55" i="11" a="1"/>
  <c r="AC55" i="11" s="1"/>
  <c r="AC56" i="11" a="1"/>
  <c r="AC56" i="11" s="1"/>
  <c r="AC57" i="11" a="1"/>
  <c r="AC57" i="11" s="1"/>
  <c r="AC58" i="11" a="1"/>
  <c r="AC58" i="11" s="1"/>
  <c r="AC59" i="11" a="1"/>
  <c r="AC59" i="11" s="1"/>
  <c r="AC60" i="11" a="1"/>
  <c r="AC60" i="11" s="1"/>
  <c r="AC61" i="11" a="1"/>
  <c r="AC61" i="11" s="1"/>
  <c r="AC62" i="11" a="1"/>
  <c r="AC62" i="11" s="1"/>
  <c r="AC63" i="11" a="1"/>
  <c r="AC63" i="11" s="1"/>
  <c r="AC64" i="11" a="1"/>
  <c r="AC64" i="11" s="1"/>
  <c r="AC65" i="11" a="1"/>
  <c r="AC65" i="11" s="1"/>
  <c r="AC66" i="11" a="1"/>
  <c r="AC66" i="11" s="1"/>
  <c r="AC67" i="11" a="1"/>
  <c r="AC67" i="11" s="1"/>
  <c r="AC68" i="11" a="1"/>
  <c r="AC68" i="11" s="1"/>
  <c r="AC69" i="11" a="1"/>
  <c r="AC69" i="11" s="1"/>
  <c r="AC70" i="11" a="1"/>
  <c r="AC70" i="11" s="1"/>
  <c r="AC71" i="11" a="1"/>
  <c r="AC71" i="11" s="1"/>
  <c r="AC72" i="11" a="1"/>
  <c r="AC72" i="11" s="1"/>
  <c r="AC73" i="11" a="1"/>
  <c r="AC73" i="11" s="1"/>
  <c r="AC74" i="11" a="1"/>
  <c r="AC74" i="11" s="1"/>
  <c r="AC75" i="11" a="1"/>
  <c r="AC75" i="11" s="1"/>
  <c r="AC76" i="11" a="1"/>
  <c r="AC76" i="11" s="1"/>
  <c r="AC77" i="11" a="1"/>
  <c r="AC77" i="11" s="1"/>
  <c r="AC78" i="11" a="1"/>
  <c r="AC78" i="11" s="1"/>
  <c r="AC79" i="11" a="1"/>
  <c r="AC79" i="11" s="1"/>
  <c r="AC80" i="11" a="1"/>
  <c r="AC80" i="11" s="1"/>
  <c r="AC81" i="11" a="1"/>
  <c r="AC81" i="11" s="1"/>
  <c r="AC82" i="11" a="1"/>
  <c r="AC82" i="11" s="1"/>
  <c r="AC83" i="11" a="1"/>
  <c r="AC83" i="11" s="1"/>
  <c r="AC84" i="11" a="1"/>
  <c r="AC84" i="11" s="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AO74" i="11" l="1"/>
  <c r="AU74" i="11"/>
  <c r="AO58" i="11"/>
  <c r="AU58" i="11"/>
  <c r="AO50" i="11"/>
  <c r="AU50" i="11"/>
  <c r="AO34" i="11"/>
  <c r="AU34" i="11"/>
  <c r="AO18" i="11"/>
  <c r="AU18" i="11"/>
  <c r="AO10" i="11"/>
  <c r="AU10" i="11"/>
  <c r="AO81" i="11"/>
  <c r="AU81" i="11"/>
  <c r="AO73" i="11"/>
  <c r="AU73" i="11"/>
  <c r="AO65" i="11"/>
  <c r="AU65" i="11"/>
  <c r="AO57" i="11"/>
  <c r="AU57" i="11"/>
  <c r="AO49" i="11"/>
  <c r="AU49" i="11"/>
  <c r="AO41" i="11"/>
  <c r="AU41" i="11"/>
  <c r="AO33" i="11"/>
  <c r="AU33" i="11"/>
  <c r="AO25" i="11"/>
  <c r="AU25" i="11"/>
  <c r="AO17" i="11"/>
  <c r="AU17" i="11"/>
  <c r="AO9" i="11"/>
  <c r="AU9" i="11"/>
  <c r="AO82" i="11"/>
  <c r="AU82" i="11"/>
  <c r="AO66" i="11"/>
  <c r="AU66" i="11"/>
  <c r="AO42" i="11"/>
  <c r="AU42" i="11"/>
  <c r="AO26" i="11"/>
  <c r="AU26" i="11"/>
  <c r="AO80" i="11"/>
  <c r="AU80" i="11"/>
  <c r="AO72" i="11"/>
  <c r="AU72" i="11"/>
  <c r="AO64" i="11"/>
  <c r="AU64" i="11"/>
  <c r="AO56" i="11"/>
  <c r="AU56" i="11"/>
  <c r="AO48" i="11"/>
  <c r="AU48" i="11"/>
  <c r="AO40" i="11"/>
  <c r="AU40" i="11"/>
  <c r="AO32" i="11"/>
  <c r="AU32" i="11"/>
  <c r="AO24" i="11"/>
  <c r="AU24" i="11"/>
  <c r="AO16" i="11"/>
  <c r="AU16" i="11"/>
  <c r="AO8" i="11"/>
  <c r="AU8" i="11"/>
  <c r="AO78" i="11"/>
  <c r="AU78" i="11"/>
  <c r="AO70" i="11"/>
  <c r="AU70" i="11"/>
  <c r="AO62" i="11"/>
  <c r="AU62" i="11"/>
  <c r="AO54" i="11"/>
  <c r="AU54" i="11"/>
  <c r="AO46" i="11"/>
  <c r="AU46" i="11"/>
  <c r="AO38" i="11"/>
  <c r="AU38" i="11"/>
  <c r="AO30" i="11"/>
  <c r="AU30" i="11"/>
  <c r="AO22" i="11"/>
  <c r="AU22" i="11"/>
  <c r="AO14" i="11"/>
  <c r="AU14" i="11"/>
  <c r="AO6" i="11"/>
  <c r="AU6" i="11"/>
  <c r="AO79" i="11"/>
  <c r="AU79" i="11"/>
  <c r="AO63" i="11"/>
  <c r="AU63" i="11"/>
  <c r="AO39" i="11"/>
  <c r="AU39" i="11"/>
  <c r="AO23" i="11"/>
  <c r="AU23" i="11"/>
  <c r="AO7" i="11"/>
  <c r="AU7" i="11"/>
  <c r="AO77" i="11"/>
  <c r="AU77" i="11"/>
  <c r="AO69" i="11"/>
  <c r="AU69" i="11"/>
  <c r="AO61" i="11"/>
  <c r="AU61" i="11"/>
  <c r="AO53" i="11"/>
  <c r="AU53" i="11"/>
  <c r="AO45" i="11"/>
  <c r="AU45" i="11"/>
  <c r="AO37" i="11"/>
  <c r="AU37" i="11"/>
  <c r="AO29" i="11"/>
  <c r="AU29" i="11"/>
  <c r="AO21" i="11"/>
  <c r="AU21" i="11"/>
  <c r="AO13" i="11"/>
  <c r="AU13" i="11"/>
  <c r="AO5" i="11"/>
  <c r="AU5" i="11"/>
  <c r="AO55" i="11"/>
  <c r="AU55" i="11"/>
  <c r="AO84" i="11"/>
  <c r="AU84" i="11"/>
  <c r="AO76" i="11"/>
  <c r="AU76" i="11"/>
  <c r="AO68" i="11"/>
  <c r="AU68" i="11"/>
  <c r="AO60" i="11"/>
  <c r="AU60" i="11"/>
  <c r="AO52" i="11"/>
  <c r="AU52" i="11"/>
  <c r="AO44" i="11"/>
  <c r="AU44" i="11"/>
  <c r="AO36" i="11"/>
  <c r="AU36" i="11"/>
  <c r="AO28" i="11"/>
  <c r="AU28" i="11"/>
  <c r="AO20" i="11"/>
  <c r="AU20" i="11"/>
  <c r="AO12" i="11"/>
  <c r="AU12" i="11"/>
  <c r="AO4" i="11"/>
  <c r="AU4" i="11"/>
  <c r="AO71" i="11"/>
  <c r="AU71" i="11"/>
  <c r="AO47" i="11"/>
  <c r="AU47" i="11"/>
  <c r="AO31" i="11"/>
  <c r="AU31" i="11"/>
  <c r="AO15" i="11"/>
  <c r="AU15" i="11"/>
  <c r="AO83" i="11"/>
  <c r="AU83" i="11"/>
  <c r="AO75" i="11"/>
  <c r="AU75" i="11"/>
  <c r="AO67" i="11"/>
  <c r="AU67" i="11"/>
  <c r="AO59" i="11"/>
  <c r="AU59" i="11"/>
  <c r="AO51" i="11"/>
  <c r="AU51" i="11"/>
  <c r="AO43" i="11"/>
  <c r="AU43" i="11"/>
  <c r="AO35" i="11"/>
  <c r="AU35" i="11"/>
  <c r="AO27" i="11"/>
  <c r="AU27" i="11"/>
  <c r="AO19" i="11"/>
  <c r="AU19" i="11"/>
  <c r="AO11" i="11"/>
  <c r="AU11" i="11"/>
  <c r="AO3" i="11"/>
  <c r="AU3" i="11"/>
  <c r="AI58" i="11"/>
  <c r="AJ58" i="11" s="1"/>
  <c r="AI73" i="11"/>
  <c r="AJ73" i="11" s="1"/>
  <c r="AI65" i="11"/>
  <c r="AJ65" i="11" s="1"/>
  <c r="AI57" i="11"/>
  <c r="AJ57" i="11" s="1"/>
  <c r="AI49" i="11"/>
  <c r="AJ49" i="11" s="1"/>
  <c r="AI41" i="11"/>
  <c r="AJ41" i="11" s="1"/>
  <c r="AI33" i="11"/>
  <c r="AJ33" i="11" s="1"/>
  <c r="AI25" i="11"/>
  <c r="AJ25" i="11" s="1"/>
  <c r="AI17" i="11"/>
  <c r="AJ17" i="11" s="1"/>
  <c r="AI9" i="11"/>
  <c r="AJ9" i="11" s="1"/>
  <c r="AI34" i="11"/>
  <c r="AJ34" i="11" s="1"/>
  <c r="AI10" i="11"/>
  <c r="AJ10" i="11" s="1"/>
  <c r="AI81" i="11"/>
  <c r="AJ81" i="11" s="1"/>
  <c r="AI80" i="11"/>
  <c r="AJ80" i="11" s="1"/>
  <c r="AI72" i="11"/>
  <c r="AJ72" i="11" s="1"/>
  <c r="AI64" i="11"/>
  <c r="AJ64" i="11" s="1"/>
  <c r="AI56" i="11"/>
  <c r="AJ56" i="11" s="1"/>
  <c r="AI48" i="11"/>
  <c r="AJ48" i="11" s="1"/>
  <c r="AI40" i="11"/>
  <c r="AJ40" i="11" s="1"/>
  <c r="AI32" i="11"/>
  <c r="AJ32" i="11" s="1"/>
  <c r="AI24" i="11"/>
  <c r="AJ24" i="11" s="1"/>
  <c r="AI16" i="11"/>
  <c r="AJ16" i="11" s="1"/>
  <c r="AI8" i="11"/>
  <c r="AJ8" i="11" s="1"/>
  <c r="AI82" i="11"/>
  <c r="AJ82" i="11" s="1"/>
  <c r="AI26" i="11"/>
  <c r="AJ26" i="11" s="1"/>
  <c r="AI79" i="11"/>
  <c r="AJ79" i="11" s="1"/>
  <c r="AI71" i="11"/>
  <c r="AJ71" i="11" s="1"/>
  <c r="AI63" i="11"/>
  <c r="AJ63" i="11" s="1"/>
  <c r="AI55" i="11"/>
  <c r="AJ55" i="11" s="1"/>
  <c r="AI47" i="11"/>
  <c r="AJ47" i="11" s="1"/>
  <c r="AI39" i="11"/>
  <c r="AJ39" i="11" s="1"/>
  <c r="AI31" i="11"/>
  <c r="AJ31" i="11" s="1"/>
  <c r="AI23" i="11"/>
  <c r="AJ23" i="11" s="1"/>
  <c r="AI15" i="11"/>
  <c r="AJ15" i="11" s="1"/>
  <c r="AI7" i="11"/>
  <c r="AJ7" i="11" s="1"/>
  <c r="AI74" i="11"/>
  <c r="AJ74" i="11" s="1"/>
  <c r="AI18" i="11"/>
  <c r="AJ18" i="11" s="1"/>
  <c r="AI78" i="11"/>
  <c r="AJ78" i="11" s="1"/>
  <c r="AI70" i="11"/>
  <c r="AJ70" i="11" s="1"/>
  <c r="AI62" i="11"/>
  <c r="AJ62" i="11" s="1"/>
  <c r="AI54" i="11"/>
  <c r="AJ54" i="11" s="1"/>
  <c r="AI46" i="11"/>
  <c r="AJ46" i="11" s="1"/>
  <c r="AI38" i="11"/>
  <c r="AJ38" i="11" s="1"/>
  <c r="AI30" i="11"/>
  <c r="AJ30" i="11" s="1"/>
  <c r="AI22" i="11"/>
  <c r="AJ22" i="11" s="1"/>
  <c r="AI14" i="11"/>
  <c r="AJ14" i="11" s="1"/>
  <c r="AI6" i="11"/>
  <c r="AJ6" i="11" s="1"/>
  <c r="AI66" i="11"/>
  <c r="AJ66" i="11" s="1"/>
  <c r="AI77" i="11"/>
  <c r="AJ77" i="11" s="1"/>
  <c r="AI61" i="11"/>
  <c r="AJ61" i="11" s="1"/>
  <c r="AI53" i="11"/>
  <c r="AJ53" i="11" s="1"/>
  <c r="AI45" i="11"/>
  <c r="AJ45" i="11" s="1"/>
  <c r="AI37" i="11"/>
  <c r="AJ37" i="11" s="1"/>
  <c r="AI29" i="11"/>
  <c r="AJ29" i="11" s="1"/>
  <c r="AI21" i="11"/>
  <c r="AJ21" i="11" s="1"/>
  <c r="AI13" i="11"/>
  <c r="AJ13" i="11" s="1"/>
  <c r="AI5" i="11"/>
  <c r="AJ5" i="11" s="1"/>
  <c r="AI50" i="11"/>
  <c r="AJ50" i="11" s="1"/>
  <c r="AI69" i="11"/>
  <c r="AJ69" i="11" s="1"/>
  <c r="AI84" i="11"/>
  <c r="AJ84" i="11" s="1"/>
  <c r="AI76" i="11"/>
  <c r="AJ76" i="11" s="1"/>
  <c r="AI68" i="11"/>
  <c r="AJ68" i="11" s="1"/>
  <c r="AI60" i="11"/>
  <c r="AJ60" i="11" s="1"/>
  <c r="AI52" i="11"/>
  <c r="AJ52" i="11" s="1"/>
  <c r="AI44" i="11"/>
  <c r="AJ44" i="11" s="1"/>
  <c r="AI36" i="11"/>
  <c r="AJ36" i="11" s="1"/>
  <c r="AI28" i="11"/>
  <c r="AJ28" i="11" s="1"/>
  <c r="AI20" i="11"/>
  <c r="AJ20" i="11" s="1"/>
  <c r="AI12" i="11"/>
  <c r="AJ12" i="11" s="1"/>
  <c r="AI4" i="11"/>
  <c r="AJ4" i="11" s="1"/>
  <c r="AI42" i="11"/>
  <c r="AJ42" i="11" s="1"/>
  <c r="AI83" i="11"/>
  <c r="AJ83" i="11" s="1"/>
  <c r="AI75" i="11"/>
  <c r="AJ75" i="11" s="1"/>
  <c r="AI67" i="11"/>
  <c r="AJ67" i="11" s="1"/>
  <c r="AI59" i="11"/>
  <c r="AJ59" i="11" s="1"/>
  <c r="AI51" i="11"/>
  <c r="AJ51" i="11" s="1"/>
  <c r="AI43" i="11"/>
  <c r="AJ43" i="11" s="1"/>
  <c r="AI35" i="11"/>
  <c r="AJ35" i="11" s="1"/>
  <c r="AI27" i="11"/>
  <c r="AJ27" i="11" s="1"/>
  <c r="AI19" i="11"/>
  <c r="AJ19" i="11" s="1"/>
  <c r="AI11" i="11"/>
  <c r="AJ11" i="11" s="1"/>
  <c r="AI3" i="11"/>
  <c r="AJ3" i="11" s="1"/>
  <c r="AC85" i="11" a="1"/>
  <c r="AC85" i="11" s="1"/>
  <c r="AC89" i="11" a="1"/>
  <c r="AC89" i="11" s="1"/>
  <c r="AC93" i="11" a="1"/>
  <c r="AC93" i="11" s="1"/>
  <c r="AC97" i="11" a="1"/>
  <c r="AC97" i="11" s="1"/>
  <c r="AC101" i="11" a="1"/>
  <c r="AC101" i="11" s="1"/>
  <c r="AC105" i="11" a="1"/>
  <c r="AC105" i="11" s="1"/>
  <c r="AC109" i="11" a="1"/>
  <c r="AC109" i="11" s="1"/>
  <c r="AC88" i="11" a="1"/>
  <c r="AC88" i="11" s="1"/>
  <c r="AC92" i="11" a="1"/>
  <c r="AC92" i="11" s="1"/>
  <c r="AC96" i="11" a="1"/>
  <c r="AC96" i="11" s="1"/>
  <c r="AC100" i="11" a="1"/>
  <c r="AC100" i="11" s="1"/>
  <c r="AC104" i="11" a="1"/>
  <c r="AC104" i="11" s="1"/>
  <c r="AC108" i="11" a="1"/>
  <c r="AC108" i="11" s="1"/>
  <c r="AC112" i="11" a="1"/>
  <c r="AC112" i="11" s="1"/>
  <c r="AC87" i="11" a="1"/>
  <c r="AC87" i="11" s="1"/>
  <c r="AC91" i="11" a="1"/>
  <c r="AC91" i="11" s="1"/>
  <c r="AC95" i="11" a="1"/>
  <c r="AC95" i="11" s="1"/>
  <c r="AC99" i="11" a="1"/>
  <c r="AC99" i="11" s="1"/>
  <c r="AC103" i="11" a="1"/>
  <c r="AC103" i="11" s="1"/>
  <c r="AC107" i="11" a="1"/>
  <c r="AC107" i="11" s="1"/>
  <c r="AC111" i="11" a="1"/>
  <c r="AC111" i="11" s="1"/>
  <c r="AC86" i="11" a="1"/>
  <c r="AC86" i="11" s="1"/>
  <c r="AC90" i="11" a="1"/>
  <c r="AC90" i="11" s="1"/>
  <c r="AC94" i="11" a="1"/>
  <c r="AC94" i="11" s="1"/>
  <c r="AC98" i="11" a="1"/>
  <c r="AC98" i="11" s="1"/>
  <c r="AC102" i="11" a="1"/>
  <c r="AC102" i="11" s="1"/>
  <c r="AC106" i="11" a="1"/>
  <c r="AC106" i="11" s="1"/>
  <c r="AC110" i="11" a="1"/>
  <c r="AC110" i="11" s="1"/>
  <c r="AG87" i="11"/>
  <c r="AG91" i="11"/>
  <c r="AG95" i="11"/>
  <c r="AG99" i="11"/>
  <c r="AG103" i="11"/>
  <c r="AG107" i="11"/>
  <c r="AG111" i="11"/>
  <c r="AG86" i="11"/>
  <c r="AG90" i="11"/>
  <c r="AG94" i="11"/>
  <c r="AG98" i="11"/>
  <c r="AG102" i="11"/>
  <c r="AG106" i="11"/>
  <c r="AG110" i="11"/>
  <c r="AG85" i="11"/>
  <c r="AG89" i="11"/>
  <c r="AG93" i="11"/>
  <c r="AG97" i="11"/>
  <c r="AG101" i="11"/>
  <c r="AG105" i="11"/>
  <c r="AG109" i="11"/>
  <c r="AG88" i="11"/>
  <c r="AG92" i="11"/>
  <c r="AG96" i="11"/>
  <c r="AG100" i="11"/>
  <c r="AG104" i="11"/>
  <c r="AG108" i="11"/>
  <c r="AG112" i="11"/>
  <c r="AO102" i="11" l="1"/>
  <c r="AU102" i="11"/>
  <c r="AO96" i="11"/>
  <c r="AU96" i="11"/>
  <c r="AO98" i="11"/>
  <c r="AU98" i="11"/>
  <c r="AO95" i="11"/>
  <c r="AU95" i="11"/>
  <c r="AO92" i="11"/>
  <c r="AU92" i="11"/>
  <c r="AO85" i="11"/>
  <c r="AU85" i="11"/>
  <c r="AO89" i="11"/>
  <c r="AU89" i="11"/>
  <c r="AO94" i="11"/>
  <c r="AU94" i="11"/>
  <c r="AO91" i="11"/>
  <c r="AU91" i="11"/>
  <c r="AO88" i="11"/>
  <c r="AU88" i="11"/>
  <c r="AO87" i="11"/>
  <c r="AU87" i="11"/>
  <c r="AO105" i="11"/>
  <c r="AU105" i="11"/>
  <c r="AO90" i="11"/>
  <c r="AU90" i="11"/>
  <c r="AO86" i="11"/>
  <c r="AU86" i="11"/>
  <c r="AO112" i="11"/>
  <c r="AU112" i="11"/>
  <c r="AO111" i="11"/>
  <c r="AU111" i="11"/>
  <c r="AO108" i="11"/>
  <c r="AU108" i="11"/>
  <c r="AO101" i="11"/>
  <c r="AU101" i="11"/>
  <c r="AO99" i="11"/>
  <c r="AU99" i="11"/>
  <c r="AO110" i="11"/>
  <c r="AU110" i="11"/>
  <c r="AO107" i="11"/>
  <c r="AU107" i="11"/>
  <c r="AO104" i="11"/>
  <c r="AU104" i="11"/>
  <c r="AO97" i="11"/>
  <c r="AU97" i="11"/>
  <c r="AO109" i="11"/>
  <c r="AU109" i="11"/>
  <c r="AO106" i="11"/>
  <c r="AU106" i="11"/>
  <c r="AO103" i="11"/>
  <c r="AU103" i="11"/>
  <c r="AO100" i="11"/>
  <c r="AU100" i="11"/>
  <c r="AO93" i="11"/>
  <c r="AU93" i="11"/>
  <c r="AI104" i="11"/>
  <c r="AJ104" i="11" s="1"/>
  <c r="AI106" i="11"/>
  <c r="AJ106" i="11" s="1"/>
  <c r="AI103" i="11"/>
  <c r="AJ103" i="11" s="1"/>
  <c r="AI100" i="11"/>
  <c r="AJ100" i="11" s="1"/>
  <c r="AI93" i="11"/>
  <c r="AJ93" i="11" s="1"/>
  <c r="AI107" i="11"/>
  <c r="AJ107" i="11" s="1"/>
  <c r="AI102" i="11"/>
  <c r="AJ102" i="11" s="1"/>
  <c r="AI99" i="11"/>
  <c r="AJ99" i="11" s="1"/>
  <c r="AI96" i="11"/>
  <c r="AJ96" i="11" s="1"/>
  <c r="AI89" i="11"/>
  <c r="AJ89" i="11" s="1"/>
  <c r="AI97" i="11"/>
  <c r="AJ97" i="11" s="1"/>
  <c r="AI98" i="11"/>
  <c r="AJ98" i="11" s="1"/>
  <c r="AI85" i="11"/>
  <c r="AJ85" i="11" s="1"/>
  <c r="AI110" i="11"/>
  <c r="AJ110" i="11" s="1"/>
  <c r="AI95" i="11"/>
  <c r="AJ95" i="11" s="1"/>
  <c r="AI92" i="11"/>
  <c r="AJ92" i="11" s="1"/>
  <c r="AI94" i="11"/>
  <c r="AJ94" i="11" s="1"/>
  <c r="AI91" i="11"/>
  <c r="AJ91" i="11" s="1"/>
  <c r="AI88" i="11"/>
  <c r="AJ88" i="11" s="1"/>
  <c r="AI111" i="11"/>
  <c r="AJ111" i="11" s="1"/>
  <c r="AI109" i="11"/>
  <c r="AJ109" i="11" s="1"/>
  <c r="AI90" i="11"/>
  <c r="AJ90" i="11" s="1"/>
  <c r="AI87" i="11"/>
  <c r="AJ87" i="11" s="1"/>
  <c r="AI86" i="11"/>
  <c r="AJ86" i="11" s="1"/>
  <c r="AI112" i="11"/>
  <c r="AJ112" i="11" s="1"/>
  <c r="AI105" i="11"/>
  <c r="AJ105" i="11" s="1"/>
  <c r="AI108" i="11"/>
  <c r="AJ108" i="11" s="1"/>
  <c r="AI101" i="11"/>
  <c r="AJ101" i="11" s="1"/>
  <c r="AH92" i="11"/>
  <c r="AH85" i="11"/>
  <c r="AH112" i="11"/>
  <c r="AH105" i="11"/>
  <c r="AH99" i="11"/>
  <c r="AH102" i="11"/>
  <c r="AH93" i="11"/>
  <c r="AH100" i="11"/>
  <c r="AH90" i="11"/>
  <c r="AH87" i="11"/>
  <c r="AH96" i="11"/>
  <c r="AH89" i="11"/>
  <c r="AH109" i="11"/>
  <c r="AH106" i="11"/>
  <c r="AH103" i="11"/>
  <c r="AH86" i="11"/>
  <c r="AH108" i="11"/>
  <c r="AH101" i="11"/>
  <c r="AH98" i="11"/>
  <c r="AH95" i="11"/>
  <c r="AH104" i="11"/>
  <c r="AH97" i="11"/>
  <c r="AH94" i="11"/>
  <c r="AH91" i="11"/>
  <c r="AH111" i="11"/>
  <c r="AH88" i="11"/>
  <c r="AH110" i="11"/>
  <c r="AH107" i="11"/>
  <c r="AG3" i="11" l="1"/>
  <c r="AG4" i="11"/>
  <c r="AG5" i="11"/>
  <c r="AG6" i="11"/>
  <c r="AG7" i="11"/>
  <c r="AG8" i="11"/>
  <c r="AG9" i="11"/>
  <c r="AG10" i="11"/>
  <c r="AG11" i="11"/>
  <c r="AG12" i="11"/>
  <c r="AG13" i="11"/>
  <c r="AG14" i="11"/>
  <c r="AG15" i="11"/>
  <c r="AG16" i="11"/>
  <c r="AG17" i="11"/>
  <c r="AG18" i="11"/>
  <c r="AG19" i="1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3" i="11"/>
  <c r="AG44" i="11"/>
  <c r="AG45" i="11"/>
  <c r="AG46" i="11"/>
  <c r="AG47" i="11"/>
  <c r="AG48" i="11"/>
  <c r="AG49" i="11"/>
  <c r="AG50" i="11"/>
  <c r="AG51" i="11"/>
  <c r="AG52" i="11"/>
  <c r="AG53" i="11"/>
  <c r="AG54" i="11"/>
  <c r="AG55" i="11"/>
  <c r="AG56" i="11"/>
  <c r="AG57" i="11"/>
  <c r="AG58" i="11"/>
  <c r="AG59" i="11"/>
  <c r="AG60" i="11"/>
  <c r="AG61" i="11"/>
  <c r="AG62" i="11"/>
  <c r="AG63" i="11"/>
  <c r="AG64" i="11"/>
  <c r="AG65" i="11"/>
  <c r="AG66" i="11"/>
  <c r="AG67" i="11"/>
  <c r="AG68" i="11"/>
  <c r="AG69" i="11"/>
  <c r="AG70" i="11"/>
  <c r="AG71" i="11"/>
  <c r="AG72" i="11"/>
  <c r="AG73" i="11"/>
  <c r="AG74" i="11"/>
  <c r="AG75" i="11"/>
  <c r="AH75" i="11" s="1"/>
  <c r="AG76" i="11"/>
  <c r="AG77" i="11"/>
  <c r="AG78" i="11"/>
  <c r="AG79" i="11"/>
  <c r="AG80" i="11"/>
  <c r="AG81" i="11"/>
  <c r="AG82" i="11"/>
  <c r="AG83" i="11"/>
  <c r="AH83" i="11" s="1"/>
  <c r="AG84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AH78" i="11" l="1"/>
  <c r="AH72" i="11"/>
  <c r="AH80" i="11"/>
  <c r="AH76" i="11"/>
  <c r="AH68" i="11"/>
  <c r="AH73" i="11"/>
  <c r="AH71" i="11"/>
  <c r="AH70" i="11"/>
  <c r="AH82" i="11"/>
  <c r="AH74" i="11"/>
  <c r="AH77" i="11"/>
  <c r="AH69" i="11"/>
  <c r="AH67" i="11"/>
  <c r="AH81" i="11"/>
  <c r="AH79" i="11"/>
  <c r="AH84" i="11"/>
  <c r="AH66" i="11"/>
  <c r="AH53" i="11" l="1"/>
  <c r="AH58" i="11"/>
  <c r="AH63" i="11"/>
  <c r="AH64" i="11"/>
  <c r="AH65" i="11"/>
  <c r="AH50" i="11"/>
  <c r="AH60" i="11"/>
  <c r="AH62" i="11"/>
  <c r="AH56" i="11"/>
  <c r="AH59" i="11"/>
  <c r="AH52" i="11"/>
  <c r="AH49" i="11"/>
  <c r="AH51" i="11"/>
  <c r="AH61" i="11"/>
  <c r="AH57" i="11"/>
  <c r="AH55" i="11"/>
  <c r="AH54" i="11"/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AH26" i="11"/>
  <c r="AH27" i="11"/>
  <c r="AH29" i="11"/>
  <c r="AH30" i="11"/>
  <c r="AH31" i="11"/>
  <c r="AH32" i="11"/>
  <c r="AH33" i="11"/>
  <c r="AH34" i="11"/>
  <c r="AH36" i="11"/>
  <c r="AH37" i="11"/>
  <c r="AH38" i="11"/>
  <c r="AH39" i="11"/>
  <c r="AH40" i="11"/>
  <c r="AH42" i="11"/>
  <c r="AH43" i="11"/>
  <c r="AH44" i="11"/>
  <c r="AH45" i="11"/>
  <c r="AH46" i="11"/>
  <c r="AH47" i="11"/>
  <c r="AH48" i="11"/>
  <c r="AH28" i="11"/>
  <c r="AH35" i="11"/>
  <c r="AH41" i="11"/>
  <c r="AH3" i="11" l="1"/>
  <c r="AH4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</calcChain>
</file>

<file path=xl/sharedStrings.xml><?xml version="1.0" encoding="utf-8"?>
<sst xmlns="http://schemas.openxmlformats.org/spreadsheetml/2006/main" count="1348" uniqueCount="307">
  <si>
    <t>J</t>
  </si>
  <si>
    <t>Section</t>
  </si>
  <si>
    <t>1200WB455</t>
  </si>
  <si>
    <t>350WC197</t>
  </si>
  <si>
    <t>75PFC</t>
  </si>
  <si>
    <t>610UB125</t>
  </si>
  <si>
    <t>380PFC</t>
  </si>
  <si>
    <t>d</t>
  </si>
  <si>
    <t>Designation</t>
  </si>
  <si>
    <t>Mass</t>
  </si>
  <si>
    <t>Section Type</t>
  </si>
  <si>
    <t>Fabrication Type</t>
  </si>
  <si>
    <t>WB</t>
  </si>
  <si>
    <t>I</t>
  </si>
  <si>
    <t>Welded</t>
  </si>
  <si>
    <t>1200WB423</t>
  </si>
  <si>
    <t>1200WB392</t>
  </si>
  <si>
    <t>1200WB342</t>
  </si>
  <si>
    <t>1200WB317</t>
  </si>
  <si>
    <t>1200WB278</t>
  </si>
  <si>
    <t>1200WB249</t>
  </si>
  <si>
    <t>1000WB322</t>
  </si>
  <si>
    <t>1000WB296</t>
  </si>
  <si>
    <t>1000WB258</t>
  </si>
  <si>
    <t>1000WB215</t>
  </si>
  <si>
    <t>900WB282</t>
  </si>
  <si>
    <t>900WB257</t>
  </si>
  <si>
    <t>900WB218</t>
  </si>
  <si>
    <t>900WB175</t>
  </si>
  <si>
    <t>800WB192</t>
  </si>
  <si>
    <t>800WB168</t>
  </si>
  <si>
    <t>800WB146</t>
  </si>
  <si>
    <t>800WB122</t>
  </si>
  <si>
    <t>700WB173</t>
  </si>
  <si>
    <t>700WB150</t>
  </si>
  <si>
    <t>700WB130</t>
  </si>
  <si>
    <t>700WB115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</si>
  <si>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</si>
  <si>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</si>
  <si>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</si>
  <si>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</si>
  <si>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t</t>
    </r>
    <r>
      <rPr>
        <vertAlign val="subscript"/>
        <sz val="11"/>
        <color theme="1"/>
        <rFont val="Calibri"/>
        <family val="2"/>
        <scheme val="minor"/>
      </rPr>
      <t>w</t>
    </r>
  </si>
  <si>
    <r>
      <t>(b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) / (2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</si>
  <si>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g</t>
    </r>
  </si>
  <si>
    <r>
      <t>I</t>
    </r>
    <r>
      <rPr>
        <vertAlign val="subscript"/>
        <sz val="11"/>
        <color theme="1"/>
        <rFont val="Calibri"/>
        <family val="2"/>
        <scheme val="minor"/>
      </rPr>
      <t>x</t>
    </r>
  </si>
  <si>
    <r>
      <t>Z</t>
    </r>
    <r>
      <rPr>
        <vertAlign val="subscript"/>
        <sz val="11"/>
        <color theme="1"/>
        <rFont val="Calibri"/>
        <family val="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</si>
  <si>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</si>
  <si>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</si>
  <si>
    <r>
      <t>I</t>
    </r>
    <r>
      <rPr>
        <vertAlign val="subscript"/>
        <sz val="11"/>
        <color theme="1"/>
        <rFont val="Calibri"/>
        <family val="2"/>
        <scheme val="minor"/>
      </rPr>
      <t>y</t>
    </r>
  </si>
  <si>
    <r>
      <t>Z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</si>
  <si>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</si>
  <si>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y</t>
    </r>
  </si>
  <si>
    <r>
      <t>I</t>
    </r>
    <r>
      <rPr>
        <vertAlign val="subscript"/>
        <sz val="11"/>
        <color theme="1"/>
        <rFont val="Calibri"/>
        <family val="2"/>
        <scheme val="minor"/>
      </rPr>
      <t>w</t>
    </r>
  </si>
  <si>
    <r>
      <t>A</t>
    </r>
    <r>
      <rPr>
        <vertAlign val="subscript"/>
        <sz val="11"/>
        <color theme="1"/>
        <rFont val="Calibri"/>
        <family val="2"/>
        <scheme val="minor"/>
      </rPr>
      <t>w</t>
    </r>
  </si>
  <si>
    <t>Test_Name</t>
  </si>
  <si>
    <t>Grade</t>
  </si>
  <si>
    <t>Thickness</t>
  </si>
  <si>
    <r>
      <t>V</t>
    </r>
    <r>
      <rPr>
        <vertAlign val="subscript"/>
        <sz val="11"/>
        <color theme="1"/>
        <rFont val="Calibri"/>
        <family val="2"/>
        <scheme val="minor"/>
      </rPr>
      <t>yield</t>
    </r>
  </si>
  <si>
    <t>500WC440</t>
  </si>
  <si>
    <t>500WC414</t>
  </si>
  <si>
    <t>500WC383</t>
  </si>
  <si>
    <t>500WC340</t>
  </si>
  <si>
    <t>500WC290</t>
  </si>
  <si>
    <t>500WC267</t>
  </si>
  <si>
    <t>500WC228</t>
  </si>
  <si>
    <t>400WC361</t>
  </si>
  <si>
    <t>400WC328</t>
  </si>
  <si>
    <t>400WC303</t>
  </si>
  <si>
    <t>400WC270</t>
  </si>
  <si>
    <t>400WC212</t>
  </si>
  <si>
    <t>400WC181</t>
  </si>
  <si>
    <t>400WC144</t>
  </si>
  <si>
    <t>350WC280</t>
  </si>
  <si>
    <t>350WC258</t>
  </si>
  <si>
    <t>350WC230</t>
  </si>
  <si>
    <t>WC</t>
  </si>
  <si>
    <t>610UB113</t>
  </si>
  <si>
    <t>610UB101</t>
  </si>
  <si>
    <t>530UB92.4</t>
  </si>
  <si>
    <t>530UB82.0</t>
  </si>
  <si>
    <t>460UB82.1</t>
  </si>
  <si>
    <t>460UB74.6</t>
  </si>
  <si>
    <t>460UB67.1</t>
  </si>
  <si>
    <t>410UB59.7</t>
  </si>
  <si>
    <t>410UB53.7</t>
  </si>
  <si>
    <t>360UB56.7</t>
  </si>
  <si>
    <t>360UB50.7</t>
  </si>
  <si>
    <t>360UB44.7</t>
  </si>
  <si>
    <t>310UB46.2</t>
  </si>
  <si>
    <t>310UB40.4</t>
  </si>
  <si>
    <t>310UB32.0</t>
  </si>
  <si>
    <t>250UB37.3</t>
  </si>
  <si>
    <t>250UB31.4</t>
  </si>
  <si>
    <t>250UB25.7</t>
  </si>
  <si>
    <t>200UB29.8</t>
  </si>
  <si>
    <t>200UB25.4</t>
  </si>
  <si>
    <t>200UB22.3</t>
  </si>
  <si>
    <t>200UB18.2</t>
  </si>
  <si>
    <t>180UB22.2</t>
  </si>
  <si>
    <t>180UB18.1</t>
  </si>
  <si>
    <t>180UB16.1</t>
  </si>
  <si>
    <t>150UB18.0</t>
  </si>
  <si>
    <t>150UB14.0</t>
  </si>
  <si>
    <r>
      <t>r</t>
    </r>
    <r>
      <rPr>
        <vertAlign val="subscript"/>
        <sz val="9"/>
        <color theme="1"/>
        <rFont val="Calibri"/>
        <family val="2"/>
        <scheme val="minor"/>
      </rPr>
      <t>1</t>
    </r>
  </si>
  <si>
    <t>UB</t>
  </si>
  <si>
    <t>Hot Rolled</t>
  </si>
  <si>
    <t>300HR</t>
  </si>
  <si>
    <t>N/A</t>
  </si>
  <si>
    <t>310UC96.8</t>
  </si>
  <si>
    <t>310UC158</t>
  </si>
  <si>
    <t>310UC137</t>
  </si>
  <si>
    <t>310UC118</t>
  </si>
  <si>
    <t>250UC89.5</t>
  </si>
  <si>
    <t>250UC72.9</t>
  </si>
  <si>
    <t>200UC59.5</t>
  </si>
  <si>
    <t>200UC52.2</t>
  </si>
  <si>
    <t>200UC46.2</t>
  </si>
  <si>
    <t>150UC37.2</t>
  </si>
  <si>
    <t>150UC30.0</t>
  </si>
  <si>
    <t>150UC23.4</t>
  </si>
  <si>
    <t>100UC14.8</t>
  </si>
  <si>
    <t>UC</t>
  </si>
  <si>
    <t>UBP</t>
  </si>
  <si>
    <t>310UBP149</t>
  </si>
  <si>
    <t>200UBP146</t>
  </si>
  <si>
    <t>200UBP122</t>
  </si>
  <si>
    <t>310UBP110</t>
  </si>
  <si>
    <t>250UBP84.9</t>
  </si>
  <si>
    <t>310UBP78.8</t>
  </si>
  <si>
    <t>250UBP62.6</t>
  </si>
  <si>
    <t>Test Name</t>
  </si>
  <si>
    <t>300PFC</t>
  </si>
  <si>
    <t>250PFC</t>
  </si>
  <si>
    <t>230PFC</t>
  </si>
  <si>
    <t>200PFC</t>
  </si>
  <si>
    <t>180PFC</t>
  </si>
  <si>
    <t>150PFC</t>
  </si>
  <si>
    <t>125PFC</t>
  </si>
  <si>
    <t>100PFC</t>
  </si>
  <si>
    <t>PFC</t>
  </si>
  <si>
    <r>
      <t>x</t>
    </r>
    <r>
      <rPr>
        <vertAlign val="subscript"/>
        <sz val="9"/>
        <color theme="1"/>
        <rFont val="Calibri"/>
        <family val="2"/>
        <scheme val="minor"/>
      </rPr>
      <t>L</t>
    </r>
  </si>
  <si>
    <r>
      <t>x</t>
    </r>
    <r>
      <rPr>
        <vertAlign val="subscript"/>
        <sz val="9"/>
        <color theme="1"/>
        <rFont val="Calibri"/>
        <family val="2"/>
        <scheme val="minor"/>
      </rPr>
      <t>O</t>
    </r>
  </si>
  <si>
    <r>
      <t>Z</t>
    </r>
    <r>
      <rPr>
        <vertAlign val="subscript"/>
        <sz val="11"/>
        <color theme="1"/>
        <rFont val="Calibri"/>
        <family val="2"/>
        <scheme val="minor"/>
      </rPr>
      <t>yL</t>
    </r>
  </si>
  <si>
    <r>
      <t>Z</t>
    </r>
    <r>
      <rPr>
        <vertAlign val="subscript"/>
        <sz val="9"/>
        <color theme="1"/>
        <rFont val="Calibri"/>
        <family val="2"/>
        <scheme val="minor"/>
      </rPr>
      <t>yR</t>
    </r>
  </si>
  <si>
    <r>
      <t>(b</t>
    </r>
    <r>
      <rPr>
        <vertAlign val="subscript"/>
        <sz val="9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</t>
    </r>
    <r>
      <rPr>
        <vertAlign val="subscript"/>
        <sz val="9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) / t</t>
    </r>
    <r>
      <rPr>
        <vertAlign val="subscript"/>
        <sz val="9"/>
        <color theme="1"/>
        <rFont val="Calibri"/>
        <family val="2"/>
        <scheme val="minor"/>
      </rPr>
      <t>f</t>
    </r>
  </si>
  <si>
    <r>
      <t>A</t>
    </r>
    <r>
      <rPr>
        <vertAlign val="subscript"/>
        <sz val="11"/>
        <color theme="0"/>
        <rFont val="Calibri"/>
        <family val="2"/>
        <scheme val="minor"/>
      </rPr>
      <t>w</t>
    </r>
  </si>
  <si>
    <r>
      <t>V</t>
    </r>
    <r>
      <rPr>
        <vertAlign val="subscript"/>
        <sz val="11"/>
        <color theme="0"/>
        <rFont val="Calibri"/>
        <family val="2"/>
        <scheme val="minor"/>
      </rPr>
      <t>yield</t>
    </r>
  </si>
  <si>
    <t>t</t>
  </si>
  <si>
    <t>d / t</t>
  </si>
  <si>
    <t>Z</t>
  </si>
  <si>
    <t>S</t>
  </si>
  <si>
    <t>r</t>
  </si>
  <si>
    <t>C</t>
  </si>
  <si>
    <t>Compactness</t>
  </si>
  <si>
    <t>508 x 16 CHS</t>
  </si>
  <si>
    <t>CF 350</t>
  </si>
  <si>
    <t>508 x 12.5 CHS</t>
  </si>
  <si>
    <t>508 x 10 CHS</t>
  </si>
  <si>
    <t>457 x 16 CHS</t>
  </si>
  <si>
    <t>457 x 12.5 CHS</t>
  </si>
  <si>
    <t>457 x 10 CHS</t>
  </si>
  <si>
    <t>406.4 x 16 CHS</t>
  </si>
  <si>
    <t>406.4 x 12.5 CHS</t>
  </si>
  <si>
    <t>406.4 x 10 CHS</t>
  </si>
  <si>
    <t>406.4 x 8 CHS</t>
  </si>
  <si>
    <t>355.6 x 16 CHS</t>
  </si>
  <si>
    <t>355.6 x 12.5 CHS</t>
  </si>
  <si>
    <t>355.6 x 10 CHS</t>
  </si>
  <si>
    <t>355.6 x 8 CHS</t>
  </si>
  <si>
    <t>323.9 x 12.5 CHS</t>
  </si>
  <si>
    <t>323.9 x 10 CHS</t>
  </si>
  <si>
    <t>323.9 x 8 CHS</t>
  </si>
  <si>
    <t>323.9 x 6 CHS</t>
  </si>
  <si>
    <t>273.1 x 12.5 CHS</t>
  </si>
  <si>
    <t>273.1 x 10 CHS</t>
  </si>
  <si>
    <t>273.1 x 8 CHS</t>
  </si>
  <si>
    <t>273.1 x 6 CHS</t>
  </si>
  <si>
    <t>273.1 x 5 CHS</t>
  </si>
  <si>
    <t>219.1 x 12.5 CHS</t>
  </si>
  <si>
    <t>219.1 x 10 CHS</t>
  </si>
  <si>
    <t>219.1 x 8 CHS</t>
  </si>
  <si>
    <t>219.1 x 6 CHS</t>
  </si>
  <si>
    <t>219.1 x 5 CHS</t>
  </si>
  <si>
    <t>193.7 x 10 CHS</t>
  </si>
  <si>
    <t>193.7 x 8 CHS</t>
  </si>
  <si>
    <t>193.7 x 6 CHS</t>
  </si>
  <si>
    <t>193.7 x 5 CHS</t>
  </si>
  <si>
    <t>168.3 x 10 CHS</t>
  </si>
  <si>
    <t>168.3 x 8 CHS</t>
  </si>
  <si>
    <t>168.3 x 6 CHS</t>
  </si>
  <si>
    <t>168.3 x 5 CHS</t>
  </si>
  <si>
    <t>168.3 x 4 CHS</t>
  </si>
  <si>
    <t>165.1 x 3.5 CHS</t>
  </si>
  <si>
    <t>165.1 x 3 CHS</t>
  </si>
  <si>
    <t>139.7 x 3.5 CHS</t>
  </si>
  <si>
    <t>139.7 x 3 CHS</t>
  </si>
  <si>
    <t>114.3 x 3.6 CHS</t>
  </si>
  <si>
    <t>114.3 x 3.2 CHS</t>
  </si>
  <si>
    <t>101.6 x 3.2 CHS</t>
  </si>
  <si>
    <t>101.6 x 2.6 CHS</t>
  </si>
  <si>
    <t>88.9 x 3.2 CHS</t>
  </si>
  <si>
    <t>88.9 x 2.6 CHS</t>
  </si>
  <si>
    <t>76.1 x 3.2 CHS</t>
  </si>
  <si>
    <t>76.1 x 2.3 CHS</t>
  </si>
  <si>
    <t>60.3 x 2.9 CHS</t>
  </si>
  <si>
    <t>60.3 x 2.3 CHS</t>
  </si>
  <si>
    <t>48.3 x 2.9 CHS</t>
  </si>
  <si>
    <t>48.3 x 2.3 CHS</t>
  </si>
  <si>
    <t>42.4 x 2.6 CHS</t>
  </si>
  <si>
    <t>42.4 x 2 CHS</t>
  </si>
  <si>
    <t>33.7 x 2.6 CHS</t>
  </si>
  <si>
    <t>33.7 x 2 CHS</t>
  </si>
  <si>
    <t>26.9 x 2.3 CHS</t>
  </si>
  <si>
    <t>26.9 x 2 CHS</t>
  </si>
  <si>
    <t>165.1 x 5.4 CHS</t>
  </si>
  <si>
    <t>CF 250</t>
  </si>
  <si>
    <t>165.1 x 5 CHS</t>
  </si>
  <si>
    <t>139.7 x 5.4 CHS</t>
  </si>
  <si>
    <t>139.7 x 5 CHS</t>
  </si>
  <si>
    <t>114.3 x 5.4 CHS</t>
  </si>
  <si>
    <t>114.3 x 4.5 CHS</t>
  </si>
  <si>
    <t>101.6 x 5 CHS</t>
  </si>
  <si>
    <t>101.6 x 4 CHS</t>
  </si>
  <si>
    <t>88.9 x 5.9 CHS</t>
  </si>
  <si>
    <t>88.9 x 5 CHS</t>
  </si>
  <si>
    <t>88.9 x 4 CHS</t>
  </si>
  <si>
    <t>76.1 x 5.9 CHS</t>
  </si>
  <si>
    <t>76.1 x 4.5 CHS</t>
  </si>
  <si>
    <t>76.1 x 3.6 CHS</t>
  </si>
  <si>
    <t>60.3 x 5.4 CHS</t>
  </si>
  <si>
    <t>60.3 x 4.5 CHS</t>
  </si>
  <si>
    <t>60.3 x 3.6 CHS</t>
  </si>
  <si>
    <t>48.3 x 4 CHS</t>
  </si>
  <si>
    <t>48.3 x 3.2 CHS</t>
  </si>
  <si>
    <t>42.4 x 4 CHS</t>
  </si>
  <si>
    <t>42.4 x 3.2 CHS</t>
  </si>
  <si>
    <t>33.7 x 4 CHS</t>
  </si>
  <si>
    <t>33.7 x 3.2 CHS</t>
  </si>
  <si>
    <t>26.9 x 4 CHS</t>
  </si>
  <si>
    <t>26.9 x 3.2 CHS</t>
  </si>
  <si>
    <t>26.9 x 2.6 CHS</t>
  </si>
  <si>
    <t>21.3 x 3.2 CHS</t>
  </si>
  <si>
    <t>21.3 x 2.6 CHS</t>
  </si>
  <si>
    <t>CHS</t>
  </si>
  <si>
    <t>Cold Formed</t>
  </si>
  <si>
    <t>N</t>
  </si>
  <si>
    <r>
      <t>f</t>
    </r>
    <r>
      <rPr>
        <vertAlign val="subscript"/>
        <sz val="11"/>
        <color theme="1"/>
        <rFont val="Calibri"/>
        <family val="2"/>
        <scheme val="minor"/>
      </rPr>
      <t>y</t>
    </r>
  </si>
  <si>
    <r>
      <t>k</t>
    </r>
    <r>
      <rPr>
        <vertAlign val="subscript"/>
        <sz val="11"/>
        <color theme="1"/>
        <rFont val="Calibri"/>
        <family val="2"/>
        <scheme val="minor"/>
      </rPr>
      <t>f</t>
    </r>
  </si>
  <si>
    <r>
      <t>Z</t>
    </r>
    <r>
      <rPr>
        <vertAlign val="subscript"/>
        <sz val="11"/>
        <color theme="1"/>
        <rFont val="Calibri"/>
        <family val="2"/>
        <scheme val="minor"/>
      </rPr>
      <t>e</t>
    </r>
  </si>
  <si>
    <t>CF 450</t>
  </si>
  <si>
    <r>
      <t>f</t>
    </r>
    <r>
      <rPr>
        <vertAlign val="subscript"/>
        <sz val="11"/>
        <color theme="1"/>
        <rFont val="Calibri"/>
        <family val="2"/>
        <scheme val="minor"/>
      </rPr>
      <t>u</t>
    </r>
  </si>
  <si>
    <r>
      <rPr>
        <sz val="11"/>
        <color theme="1"/>
        <rFont val="Calibri"/>
        <family val="2"/>
      </rPr>
      <t>α</t>
    </r>
    <r>
      <rPr>
        <vertAlign val="subscript"/>
        <sz val="9.35"/>
        <color theme="1"/>
        <rFont val="Calibri"/>
        <family val="2"/>
      </rPr>
      <t>v</t>
    </r>
  </si>
  <si>
    <t>limiting web slenderness</t>
  </si>
  <si>
    <r>
      <rPr>
        <sz val="11"/>
        <color theme="0"/>
        <rFont val="Calibri"/>
        <family val="2"/>
        <scheme val="minor"/>
      </rPr>
      <t>α</t>
    </r>
    <r>
      <rPr>
        <vertAlign val="subscript"/>
        <sz val="9.35"/>
        <color theme="0"/>
        <rFont val="Calibri"/>
        <family val="2"/>
        <scheme val="minor"/>
      </rPr>
      <t>v</t>
    </r>
  </si>
  <si>
    <t>Test Case</t>
  </si>
  <si>
    <r>
      <t>f</t>
    </r>
    <r>
      <rPr>
        <vertAlign val="subscript"/>
        <sz val="11"/>
        <color theme="1"/>
        <rFont val="Calibri"/>
        <family val="2"/>
        <scheme val="minor"/>
      </rPr>
      <t>vm</t>
    </r>
  </si>
  <si>
    <r>
      <t>f</t>
    </r>
    <r>
      <rPr>
        <vertAlign val="subscript"/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</si>
  <si>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vma</t>
    </r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</si>
  <si>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</si>
  <si>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</si>
  <si>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</si>
  <si>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</si>
  <si>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</si>
  <si>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</si>
  <si>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</si>
  <si>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</si>
  <si>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</si>
  <si>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</si>
  <si>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</si>
  <si>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</si>
  <si>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</si>
  <si>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</si>
  <si>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</si>
  <si>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</si>
  <si>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</si>
  <si>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</si>
  <si>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</si>
  <si>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</si>
  <si>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</si>
  <si>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r>
      <t>f</t>
    </r>
    <r>
      <rPr>
        <vertAlign val="subscript"/>
        <sz val="9"/>
        <color theme="1"/>
        <rFont val="Calibri"/>
        <family val="2"/>
        <scheme val="minor"/>
      </rPr>
      <t>u</t>
    </r>
  </si>
  <si>
    <r>
      <t>Q</t>
    </r>
    <r>
      <rPr>
        <vertAlign val="subscript"/>
        <sz val="11"/>
        <color theme="1"/>
        <rFont val="Calibri"/>
        <family val="2"/>
        <scheme val="minor"/>
      </rPr>
      <t>flange</t>
    </r>
  </si>
  <si>
    <r>
      <t>d</t>
    </r>
    <r>
      <rPr>
        <vertAlign val="subscript"/>
        <sz val="11"/>
        <color theme="1"/>
        <rFont val="Calibri"/>
        <family val="2"/>
        <scheme val="minor"/>
      </rPr>
      <t>f</t>
    </r>
  </si>
  <si>
    <r>
      <t>V</t>
    </r>
    <r>
      <rPr>
        <vertAlign val="subscript"/>
        <sz val="11"/>
        <color theme="1"/>
        <rFont val="Calibri"/>
        <family val="2"/>
        <scheme val="minor"/>
      </rPr>
      <t>weld</t>
    </r>
  </si>
  <si>
    <r>
      <t>V</t>
    </r>
    <r>
      <rPr>
        <vertAlign val="subscript"/>
        <sz val="11"/>
        <color theme="1"/>
        <rFont val="Calibri"/>
        <family val="2"/>
        <scheme val="minor"/>
      </rPr>
      <t>interface</t>
    </r>
  </si>
  <si>
    <r>
      <t>v</t>
    </r>
    <r>
      <rPr>
        <vertAlign val="subscript"/>
        <sz val="11"/>
        <color theme="1"/>
        <rFont val="Calibri"/>
        <family val="2"/>
        <scheme val="minor"/>
      </rPr>
      <t>w</t>
    </r>
  </si>
  <si>
    <r>
      <t>f</t>
    </r>
    <r>
      <rPr>
        <vertAlign val="subscript"/>
        <sz val="9"/>
        <color theme="1"/>
        <rFont val="Calibri"/>
        <family val="2"/>
        <scheme val="minor"/>
      </rPr>
      <t>y_web</t>
    </r>
  </si>
  <si>
    <r>
      <t>f</t>
    </r>
    <r>
      <rPr>
        <vertAlign val="subscript"/>
        <sz val="9"/>
        <color theme="1"/>
        <rFont val="Calibri"/>
        <family val="2"/>
        <scheme val="minor"/>
      </rPr>
      <t>y_flange</t>
    </r>
  </si>
  <si>
    <r>
      <t>f</t>
    </r>
    <r>
      <rPr>
        <vertAlign val="subscript"/>
        <sz val="11"/>
        <color theme="0"/>
        <rFont val="Calibri"/>
        <family val="2"/>
        <scheme val="minor"/>
      </rPr>
      <t>y</t>
    </r>
    <r>
      <rPr>
        <vertAlign val="subscript"/>
        <sz val="9"/>
        <color theme="0"/>
        <rFont val="Calibri"/>
        <family val="2"/>
        <scheme val="minor"/>
      </rPr>
      <t>_web</t>
    </r>
  </si>
  <si>
    <r>
      <t>f</t>
    </r>
    <r>
      <rPr>
        <vertAlign val="subscript"/>
        <sz val="9"/>
        <color theme="0"/>
        <rFont val="Calibri"/>
        <family val="2"/>
        <scheme val="minor"/>
      </rPr>
      <t>y_flange</t>
    </r>
  </si>
  <si>
    <r>
      <t>f</t>
    </r>
    <r>
      <rPr>
        <vertAlign val="subscript"/>
        <sz val="9"/>
        <color theme="0"/>
        <rFont val="Calibri"/>
        <family val="2"/>
        <scheme val="minor"/>
      </rPr>
      <t>u</t>
    </r>
  </si>
  <si>
    <r>
      <t>d</t>
    </r>
    <r>
      <rPr>
        <vertAlign val="subscript"/>
        <sz val="9"/>
        <color theme="0"/>
        <rFont val="Calibri"/>
        <family val="2"/>
        <scheme val="minor"/>
      </rPr>
      <t>f</t>
    </r>
  </si>
  <si>
    <r>
      <t>Q</t>
    </r>
    <r>
      <rPr>
        <vertAlign val="subscript"/>
        <sz val="9"/>
        <color theme="0"/>
        <rFont val="Calibri"/>
        <family val="2"/>
        <scheme val="minor"/>
      </rPr>
      <t>flange</t>
    </r>
  </si>
  <si>
    <r>
      <t>V</t>
    </r>
    <r>
      <rPr>
        <vertAlign val="subscript"/>
        <sz val="9"/>
        <color theme="0"/>
        <rFont val="Calibri"/>
        <family val="2"/>
        <scheme val="minor"/>
      </rPr>
      <t>interface</t>
    </r>
  </si>
  <si>
    <r>
      <t>b</t>
    </r>
    <r>
      <rPr>
        <vertAlign val="subscript"/>
        <sz val="9"/>
        <color theme="1"/>
        <rFont val="Calibri"/>
        <family val="2"/>
        <scheme val="minor"/>
      </rPr>
      <t>1</t>
    </r>
  </si>
  <si>
    <r>
      <t>N</t>
    </r>
    <r>
      <rPr>
        <vertAlign val="subscript"/>
        <sz val="9"/>
        <color theme="0"/>
        <rFont val="Calibri"/>
        <family val="2"/>
        <scheme val="minor"/>
      </rPr>
      <t>ty</t>
    </r>
  </si>
  <si>
    <t>Kt factors</t>
  </si>
  <si>
    <t>Index</t>
  </si>
  <si>
    <r>
      <t>k</t>
    </r>
    <r>
      <rPr>
        <vertAlign val="subscript"/>
        <sz val="11"/>
        <color theme="1"/>
        <rFont val="Calibri"/>
        <family val="2"/>
        <scheme val="minor"/>
      </rPr>
      <t>t</t>
    </r>
  </si>
  <si>
    <r>
      <t>k</t>
    </r>
    <r>
      <rPr>
        <vertAlign val="subscript"/>
        <sz val="9"/>
        <color theme="1"/>
        <rFont val="Calibri"/>
        <family val="2"/>
        <scheme val="minor"/>
      </rPr>
      <t>t</t>
    </r>
  </si>
  <si>
    <r>
      <rPr>
        <sz val="9"/>
        <color theme="1"/>
        <rFont val="Calibri"/>
        <family val="2"/>
      </rPr>
      <t>α</t>
    </r>
    <r>
      <rPr>
        <vertAlign val="subscript"/>
        <sz val="9"/>
        <color theme="1"/>
        <rFont val="Calibri"/>
        <family val="2"/>
      </rPr>
      <t>u</t>
    </r>
  </si>
  <si>
    <r>
      <t>N</t>
    </r>
    <r>
      <rPr>
        <vertAlign val="subscript"/>
        <sz val="9"/>
        <color theme="0"/>
        <rFont val="Calibri"/>
        <family val="2"/>
        <scheme val="minor"/>
      </rPr>
      <t>tu</t>
    </r>
  </si>
  <si>
    <r>
      <t>A</t>
    </r>
    <r>
      <rPr>
        <vertAlign val="subscript"/>
        <sz val="9"/>
        <color theme="1"/>
        <rFont val="Calibri"/>
        <family val="2"/>
        <scheme val="minor"/>
      </rPr>
      <t>n</t>
    </r>
  </si>
  <si>
    <r>
      <t>N</t>
    </r>
    <r>
      <rPr>
        <vertAlign val="subscript"/>
        <sz val="11"/>
        <color theme="1"/>
        <rFont val="Calibri"/>
        <family val="2"/>
        <scheme val="minor"/>
      </rPr>
      <t>t</t>
    </r>
  </si>
  <si>
    <r>
      <t>N</t>
    </r>
    <r>
      <rPr>
        <vertAlign val="subscript"/>
        <sz val="9"/>
        <color theme="0"/>
        <rFont val="Calibri"/>
        <family val="2"/>
        <scheme val="minor"/>
      </rPr>
      <t>t</t>
    </r>
  </si>
  <si>
    <r>
      <t>Deduction_for_A</t>
    </r>
    <r>
      <rPr>
        <vertAlign val="subscript"/>
        <sz val="9"/>
        <color theme="1"/>
        <rFont val="Calibri"/>
        <family val="2"/>
        <scheme val="minor"/>
      </rPr>
      <t>n</t>
    </r>
  </si>
  <si>
    <r>
      <t>f</t>
    </r>
    <r>
      <rPr>
        <vertAlign val="subscript"/>
        <sz val="9"/>
        <color theme="1"/>
        <rFont val="Calibri"/>
        <family val="2"/>
        <scheme val="minor"/>
      </rPr>
      <t>y</t>
    </r>
  </si>
  <si>
    <r>
      <t>f</t>
    </r>
    <r>
      <rPr>
        <vertAlign val="subscript"/>
        <sz val="9"/>
        <color theme="0"/>
        <rFont val="Calibri"/>
        <family val="2"/>
        <scheme val="minor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</si>
</sst>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164" formatCode="0.0"/>
    <numFmt numFmtId="165" formatCode="0.000&quot; m&quot;"/>
    <numFmt numFmtId="166" formatCode="##0.00E+00&quot; m⁴&quot;"/>
    <numFmt numFmtId="167" formatCode="##0.00E+00&quot; m⁶&quot;"/>
    <numFmt numFmtId="168" formatCode="##0E+00&quot; Pa&quot;"/>
    <numFmt numFmtId="169" formatCode="##0.00E+00&quot; N&quot;"/>
    <numFmt numFmtId="170" formatCode="##0.00E+00&quot; Pa&quot;"/>
    <numFmt numFmtId="171" formatCode="0&quot; kg/m&quot;"/>
    <numFmt numFmtId="172" formatCode="0.000&quot; m²&quot;"/>
    <numFmt numFmtId="173" formatCode="##0.00E+00&quot; m³&quot;"/>
    <numFmt numFmtId="174" formatCode="##0.00E+00&quot; m²&quot;"/>
    <numFmt numFmtId="175" formatCode="0&quot; kg / m&quot;"/>
    <numFmt numFmtId="176" formatCode="0.000"/>
    <numFmt numFmtId="177" formatCode="##0.00E+00&quot; N/m&quot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color rgb="FF404041"/>
      <name val="Calibri"/>
      <family val="2"/>
      <scheme val="minor"/>
    </font>
    <font>
      <vertAlign val="subscript"/>
      <sz val="9"/>
      <color theme="0"/>
      <name val="Calibri"/>
      <family val="2"/>
      <scheme val="minor"/>
    </font>
    <font>
      <vertAlign val="subscript"/>
      <sz val="9.35"/>
      <color theme="1"/>
      <name val="Calibri"/>
      <family val="2"/>
    </font>
    <font>
      <sz val="9"/>
      <color theme="1"/>
      <name val="Calibri"/>
      <family val="2"/>
    </font>
    <font>
      <vertAlign val="subscript"/>
      <sz val="9.35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404041"/>
        <bgColor indexed="64"/>
      </patternFill>
    </fill>
  </fills>
  <borders count="7">
    <border>
      <left/>
      <right/>
      <top/>
      <bottom/>
      <diagonal/>
    </border>
    <border>
      <left style="thin">
        <color rgb="FF404041"/>
      </left>
      <right style="thin">
        <color rgb="FF404041"/>
      </right>
      <top style="thin">
        <color rgb="FF404041"/>
      </top>
      <bottom style="thin">
        <color rgb="FF404041"/>
      </bottom>
      <diagonal/>
    </border>
    <border>
      <left style="thin">
        <color rgb="FF404041"/>
      </left>
      <right/>
      <top/>
      <bottom/>
      <diagonal/>
    </border>
    <border>
      <left/>
      <right style="thin">
        <color rgb="FF404041"/>
      </right>
      <top/>
      <bottom/>
      <diagonal/>
    </border>
    <border>
      <left style="medium">
        <color rgb="FF404041"/>
      </left>
      <right style="medium">
        <color rgb="FF404041"/>
      </right>
      <top style="thin">
        <color rgb="FF404041"/>
      </top>
      <bottom style="medium">
        <color rgb="FF404041"/>
      </bottom>
      <diagonal/>
    </border>
    <border>
      <left style="thin">
        <color rgb="FF404041"/>
      </left>
      <right style="thin">
        <color rgb="FF404041"/>
      </right>
      <top style="thin">
        <color rgb="FF404041"/>
      </top>
      <bottom/>
      <diagonal/>
    </border>
    <border>
      <left style="thin">
        <color rgb="FF404041"/>
      </left>
      <right style="thin">
        <color rgb="FF404041"/>
      </right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0" fillId="0" borderId="0" xfId="0" applyFont="1"/>
    <xf numFmtId="0" fontId="0" fillId="2" borderId="0" xfId="0" applyFill="1"/>
    <xf numFmtId="171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172" fontId="0" fillId="2" borderId="0" xfId="0" applyNumberFormat="1" applyFill="1"/>
    <xf numFmtId="166" fontId="0" fillId="2" borderId="0" xfId="0" applyNumberFormat="1" applyFill="1"/>
    <xf numFmtId="173" fontId="0" fillId="2" borderId="0" xfId="0" applyNumberFormat="1" applyFill="1"/>
    <xf numFmtId="167" fontId="0" fillId="2" borderId="0" xfId="0" applyNumberFormat="1" applyFill="1"/>
    <xf numFmtId="169" fontId="0" fillId="0" borderId="0" xfId="0" applyNumberFormat="1"/>
    <xf numFmtId="170" fontId="0" fillId="0" borderId="0" xfId="0" applyNumberFormat="1"/>
    <xf numFmtId="165" fontId="0" fillId="0" borderId="0" xfId="0" applyNumberFormat="1"/>
    <xf numFmtId="0" fontId="0" fillId="0" borderId="0" xfId="0" applyFill="1"/>
    <xf numFmtId="0" fontId="0" fillId="0" borderId="0" xfId="0" applyNumberFormat="1" applyFill="1"/>
    <xf numFmtId="1" fontId="0" fillId="0" borderId="0" xfId="0" applyNumberFormat="1"/>
    <xf numFmtId="168" fontId="0" fillId="0" borderId="0" xfId="0" applyNumberFormat="1" applyFill="1"/>
    <xf numFmtId="174" fontId="0" fillId="0" borderId="0" xfId="0" applyNumberFormat="1"/>
    <xf numFmtId="0" fontId="6" fillId="3" borderId="1" xfId="0" applyFont="1" applyFill="1" applyBorder="1"/>
    <xf numFmtId="0" fontId="5" fillId="0" borderId="0" xfId="0" applyFont="1"/>
    <xf numFmtId="0" fontId="6" fillId="3" borderId="2" xfId="0" applyFont="1" applyFill="1" applyBorder="1"/>
    <xf numFmtId="0" fontId="6" fillId="3" borderId="0" xfId="0" applyFont="1" applyFill="1" applyBorder="1"/>
    <xf numFmtId="0" fontId="6" fillId="3" borderId="3" xfId="0" applyFont="1" applyFill="1" applyBorder="1"/>
    <xf numFmtId="0" fontId="8" fillId="0" borderId="4" xfId="0" applyFont="1" applyBorder="1"/>
    <xf numFmtId="0" fontId="6" fillId="3" borderId="5" xfId="0" applyFont="1" applyFill="1" applyBorder="1"/>
    <xf numFmtId="0" fontId="0" fillId="2" borderId="0" xfId="0" applyFill="1" applyAlignment="1">
      <alignment horizontal="center"/>
    </xf>
    <xf numFmtId="175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74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73" fontId="0" fillId="2" borderId="0" xfId="0" applyNumberFormat="1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11" fillId="0" borderId="0" xfId="0" applyFont="1"/>
    <xf numFmtId="164" fontId="0" fillId="0" borderId="0" xfId="0" applyNumberFormat="1"/>
    <xf numFmtId="176" fontId="0" fillId="0" borderId="0" xfId="0" applyNumberFormat="1"/>
    <xf numFmtId="168" fontId="0" fillId="0" borderId="0" xfId="0" applyNumberFormat="1"/>
    <xf numFmtId="177" fontId="0" fillId="0" borderId="0" xfId="0" applyNumberFormat="1"/>
    <xf numFmtId="173" fontId="0" fillId="0" borderId="0" xfId="0" applyNumberFormat="1"/>
    <xf numFmtId="0" fontId="6" fillId="3" borderId="6" xfId="0" applyFont="1" applyFill="1" applyBorder="1"/>
    <xf numFmtId="165" fontId="0" fillId="0" borderId="0" xfId="0" applyNumberFormat="1" applyFill="1"/>
    <xf numFmtId="164" fontId="0" fillId="0" borderId="0" xfId="0" applyNumberFormat="1" applyFill="1"/>
    <xf numFmtId="172" fontId="0" fillId="0" borderId="0" xfId="0" applyNumberFormat="1" applyFill="1"/>
    <xf numFmtId="166" fontId="0" fillId="0" borderId="0" xfId="0" applyNumberFormat="1" applyFill="1"/>
    <xf numFmtId="2" fontId="0" fillId="2" borderId="0" xfId="0" applyNumberFormat="1" applyFill="1"/>
    <xf numFmtId="2" fontId="0" fillId="0" borderId="0" xfId="0" applyNumberFormat="1" applyFill="1"/>
    <xf numFmtId="9" fontId="0" fillId="0" borderId="0" xfId="1" applyFont="1" applyFill="1"/>
    <xf numFmtId="9" fontId="0" fillId="0" borderId="0" xfId="1" applyFont="1"/>
    <xf numFmtId="2" fontId="0" fillId="2" borderId="0" xfId="1" applyNumberFormat="1" applyFont="1" applyFill="1"/>
    <xf numFmtId="2" fontId="0" fillId="0" borderId="0" xfId="0" applyNumberFormat="1"/>
    <xf numFmtId="2" fontId="0" fillId="2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163">
    <dxf>
      <numFmt numFmtId="170" formatCode="##0.00E+00&quot; Pa&quot;"/>
    </dxf>
    <dxf>
      <numFmt numFmtId="170" formatCode="##0.00E+00&quot; Pa&quot;"/>
    </dxf>
    <dxf>
      <numFmt numFmtId="165" formatCode="0.000&quot; m&quot;"/>
    </dxf>
    <dxf>
      <numFmt numFmtId="1" formatCode="0"/>
    </dxf>
    <dxf>
      <numFmt numFmtId="176" formatCode="0.000"/>
    </dxf>
    <dxf>
      <numFmt numFmtId="168" formatCode="##0E+00&quot; Pa&quot;"/>
    </dxf>
    <dxf>
      <numFmt numFmtId="168" formatCode="##0E+00&quot; Pa&quot;"/>
    </dxf>
    <dxf>
      <numFmt numFmtId="169" formatCode="##0.00E+00&quot; N&quot;"/>
    </dxf>
    <dxf>
      <numFmt numFmtId="169" formatCode="##0.00E+00&quot; N&quot;"/>
    </dxf>
    <dxf>
      <numFmt numFmtId="169" formatCode="##0.00E+00&quot; N&quot;"/>
    </dxf>
    <dxf>
      <numFmt numFmtId="174" formatCode="##0.00E+00&quot; m²&quot;"/>
    </dxf>
    <dxf>
      <numFmt numFmtId="2" formatCode="0.00"/>
    </dxf>
    <dxf>
      <numFmt numFmtId="169" formatCode="##0.00E+00&quot; N&quot;"/>
    </dxf>
    <dxf>
      <numFmt numFmtId="170" formatCode="##0.00E+00&quot; Pa&quot;"/>
    </dxf>
    <dxf>
      <numFmt numFmtId="170" formatCode="##0.00E+00&quot; Pa&quot;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6" formatCode="0.00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4" formatCode="##0.00E+00&quot; m²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65" formatCode="0.000&quot;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175" formatCode="0&quot; kg / m&quot;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169" formatCode="##0.00E+00&quot; N&quot;"/>
    </dxf>
    <dxf>
      <numFmt numFmtId="169" formatCode="##0.00E+00&quot; N&quot;"/>
    </dxf>
    <dxf>
      <numFmt numFmtId="169" formatCode="##0.00E+00&quot; N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2" formatCode="0.000&quot; m²&quot;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169" formatCode="##0.00E+00&quot; N&quot;"/>
    </dxf>
    <dxf>
      <numFmt numFmtId="173" formatCode="##0.00E+00&quot; m³&quot;"/>
    </dxf>
    <dxf>
      <numFmt numFmtId="165" formatCode="0.000&quot; m&quot;"/>
    </dxf>
    <dxf>
      <numFmt numFmtId="176" formatCode="0.000"/>
    </dxf>
    <dxf>
      <numFmt numFmtId="164" formatCode="0.0"/>
    </dxf>
    <dxf>
      <numFmt numFmtId="169" formatCode="##0.00E+00&quot; N&quot;"/>
    </dxf>
    <dxf>
      <numFmt numFmtId="174" formatCode="##0.00E+00&quot; m²&quot;"/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8" formatCode="##0E+00&quot; Pa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8" tint="0.79998168889431442"/>
        </patternFill>
      </fill>
    </dxf>
    <dxf>
      <numFmt numFmtId="167" formatCode="##0.00E+00&quot; m⁶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2" formatCode="0.000&quot; m²&quot;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71" formatCode="0&quot; kg/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40404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numFmt numFmtId="169" formatCode="##0.00E+00&quot; N&quot;"/>
    </dxf>
    <dxf>
      <numFmt numFmtId="169" formatCode="##0.00E+00&quot; N&quot;"/>
    </dxf>
    <dxf>
      <numFmt numFmtId="169" formatCode="##0.00E+00&quot; N&quot;"/>
    </dxf>
    <dxf>
      <numFmt numFmtId="174" formatCode="##0.00E+00&quot; m²&quot;"/>
    </dxf>
    <dxf>
      <numFmt numFmtId="2" formatCode="0.00"/>
    </dxf>
    <dxf>
      <numFmt numFmtId="169" formatCode="##0.00E+00&quot; N&quot;"/>
    </dxf>
    <dxf>
      <numFmt numFmtId="169" formatCode="##0.00E+00&quot; N&quot;"/>
    </dxf>
    <dxf>
      <numFmt numFmtId="173" formatCode="##0.00E+00&quot; m³&quot;"/>
    </dxf>
    <dxf>
      <numFmt numFmtId="165" formatCode="0.000&quot; m&quot;"/>
    </dxf>
    <dxf>
      <numFmt numFmtId="177" formatCode="##0.00E+00&quot; N/m&quot;"/>
    </dxf>
    <dxf>
      <numFmt numFmtId="176" formatCode="0.000"/>
    </dxf>
    <dxf>
      <numFmt numFmtId="164" formatCode="0.0"/>
    </dxf>
    <dxf>
      <numFmt numFmtId="169" formatCode="##0.00E+00&quot; N&quot;"/>
    </dxf>
    <dxf>
      <numFmt numFmtId="174" formatCode="##0.00E+00&quot; m²&quot;"/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8" formatCode="##0E+00&quot; Pa&quot;"/>
      <fill>
        <patternFill patternType="none">
          <fgColor indexed="64"/>
          <bgColor auto="1"/>
        </patternFill>
      </fill>
    </dxf>
    <dxf>
      <numFmt numFmtId="178" formatCode="0.0000"/>
      <fill>
        <patternFill patternType="solid">
          <fgColor indexed="64"/>
          <bgColor theme="8" tint="0.79998168889431442"/>
        </patternFill>
      </fill>
    </dxf>
    <dxf>
      <numFmt numFmtId="167" formatCode="##0.00E+00&quot; m⁶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73" formatCode="##0.00E+00&quot; m³&quot;"/>
      <fill>
        <patternFill patternType="solid">
          <fgColor indexed="64"/>
          <bgColor theme="8" tint="0.79998168889431442"/>
        </patternFill>
      </fill>
    </dxf>
    <dxf>
      <numFmt numFmtId="166" formatCode="##0.00E+00&quot; m⁴&quot;"/>
      <fill>
        <patternFill patternType="solid">
          <fgColor indexed="64"/>
          <bgColor theme="8" tint="0.79998168889431442"/>
        </patternFill>
      </fill>
    </dxf>
    <dxf>
      <numFmt numFmtId="172" formatCode="0.000&quot; m²&quot;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71" formatCode="0&quot; kg/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69" formatCode="##0.00E+00&quot; N&quot;"/>
    </dxf>
    <dxf>
      <numFmt numFmtId="169" formatCode="##0.00E+00&quot; N&quot;"/>
    </dxf>
    <dxf>
      <numFmt numFmtId="169" formatCode="##0.00E+00&quot; N&quot;"/>
    </dxf>
    <dxf>
      <numFmt numFmtId="172" formatCode="0.000&quot; m²&quot;"/>
      <fill>
        <patternFill patternType="none">
          <fgColor indexed="64"/>
          <bgColor indexed="65"/>
        </patternFill>
      </fill>
    </dxf>
    <dxf>
      <numFmt numFmtId="2" formatCode="0.00"/>
    </dxf>
    <dxf>
      <numFmt numFmtId="169" formatCode="##0.00E+00&quot; N&quot;"/>
    </dxf>
    <dxf>
      <numFmt numFmtId="169" formatCode="##0.00E+00&quot; N&quot;"/>
    </dxf>
    <dxf>
      <numFmt numFmtId="173" formatCode="##0.00E+00&quot; m³&quot;"/>
    </dxf>
    <dxf>
      <numFmt numFmtId="165" formatCode="0.000&quot; m&quot;"/>
    </dxf>
    <dxf>
      <numFmt numFmtId="177" formatCode="##0.00E+00&quot; N/m&quot;"/>
    </dxf>
    <dxf>
      <numFmt numFmtId="176" formatCode="0.000"/>
    </dxf>
    <dxf>
      <numFmt numFmtId="164" formatCode="0.0"/>
    </dxf>
    <dxf>
      <numFmt numFmtId="169" formatCode="##0.00E+00&quot; N&quot;"/>
    </dxf>
    <dxf>
      <numFmt numFmtId="174" formatCode="##0.00E+00&quot; m²&quot;"/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8" formatCode="##0E+00&quot; Pa&quot;"/>
      <fill>
        <patternFill patternType="none">
          <fgColor indexed="64"/>
          <bgColor indexed="65"/>
        </patternFill>
      </fill>
    </dxf>
    <dxf>
      <numFmt numFmtId="168" formatCode="##0E+00&quot; Pa&quot;"/>
      <fill>
        <patternFill patternType="none">
          <fgColor indexed="64"/>
          <bgColor auto="1"/>
        </patternFill>
      </fill>
    </dxf>
    <dxf>
      <numFmt numFmtId="166" formatCode="##0.00E+00&quot; m⁴&quot;"/>
      <fill>
        <patternFill patternType="none">
          <fgColor indexed="64"/>
          <bgColor auto="1"/>
        </patternFill>
      </fill>
    </dxf>
    <dxf>
      <numFmt numFmtId="172" formatCode="0.000&quot; m²&quot;"/>
      <fill>
        <patternFill patternType="none">
          <fgColor indexed="64"/>
          <bgColor auto="1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numFmt numFmtId="165" formatCode="0.000&quot; m&quot;"/>
      <fill>
        <patternFill patternType="none">
          <fgColor indexed="64"/>
          <bgColor auto="1"/>
        </patternFill>
      </fill>
    </dxf>
    <dxf>
      <numFmt numFmtId="165" formatCode="0.000&quot; m&quot;"/>
      <fill>
        <patternFill patternType="none">
          <fgColor indexed="64"/>
          <bgColor auto="1"/>
        </patternFill>
      </fill>
    </dxf>
    <dxf>
      <numFmt numFmtId="2" formatCode="0.00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numFmt numFmtId="165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 xr9:uid="{00000000-0011-0000-FFFF-FFFF00000000}">
      <tableStyleElement type="wholeTable" dxfId="162"/>
      <tableStyleElement type="headerRow" dxfId="161"/>
      <tableStyleElement type="secondRowStripe" dxfId="160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a454aa08dd17b2e/Engineering/Documents/Steel%20Design%20Spreadsheets/Australian%20Standard%20Section%20Proper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Information"/>
      <sheetName val="All Sections"/>
      <sheetName val="SHSdimSI"/>
      <sheetName val="SHSdim"/>
      <sheetName val="RHSdimSI"/>
      <sheetName val="RHSdim"/>
      <sheetName val="CHSdim"/>
      <sheetName val="CHSdimSI"/>
      <sheetName val="WBdim"/>
      <sheetName val="WBdimSI"/>
      <sheetName val="WCdimSI"/>
      <sheetName val="UBdimSI"/>
      <sheetName val="UCdimSI"/>
      <sheetName val="UBPdimSI"/>
      <sheetName val="TFBdimSI"/>
      <sheetName val="PFCdimSI"/>
      <sheetName val="EAdimSI"/>
      <sheetName val="UAdimSI"/>
      <sheetName val="RAILdimSI"/>
      <sheetName val="WBdes"/>
      <sheetName val="WCdim"/>
      <sheetName val="WBdesSI"/>
      <sheetName val="WCdes"/>
      <sheetName val="UBdim"/>
      <sheetName val="WCdesSI"/>
      <sheetName val="UBdesSI"/>
      <sheetName val="UBdes"/>
      <sheetName val="UCdim"/>
      <sheetName val="UCdes"/>
      <sheetName val="UCdesSI"/>
      <sheetName val="UBPdim"/>
      <sheetName val="UBPdesSI"/>
      <sheetName val="UBPdes"/>
      <sheetName val="TFBdim"/>
      <sheetName val="TFBdesSI"/>
      <sheetName val="TFBdes"/>
      <sheetName val="PFCdim"/>
      <sheetName val="PFCdesSI"/>
      <sheetName val="PFCdes"/>
      <sheetName val="EAdim"/>
      <sheetName val="EAdesSI"/>
      <sheetName val="EAdes"/>
      <sheetName val="UAdim"/>
      <sheetName val="UAdesSI"/>
      <sheetName val="UAdes"/>
      <sheetName val="RAILdim"/>
      <sheetName val="lookups"/>
      <sheetName val="Australian Standard Section P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0BDCFC-F346-4FC8-8824-0A11DA336114}" name="Table84" displayName="Table84" ref="B2:AH12" totalsRowShown="0">
  <autoFilter ref="B2:AH12" xr:uid="{0AC04653-982D-4DB0-97C0-530DC6DA1D7C}"/>
  <tableColumns count="33">
    <tableColumn id="27" xr3:uid="{80953EE1-F0DB-46FA-9A3A-0513EF481921}" name="Test_Name" dataDxfId="159">
      <calculatedColumnFormula>Table84[[#This Row],[Section]]&amp;"-"&amp;TEXT(Table84[[#This Row],[Grade]],"0")</calculatedColumnFormula>
    </tableColumn>
    <tableColumn id="1" xr3:uid="{E0440185-071D-4C84-B1EB-7344A79DFC18}" name="Section" dataDxfId="158">
      <calculatedColumnFormula>Table84[[#This Row],[d]]*1000&amp;"x"&amp;Table84[[#This Row],[bf]]*1000&amp;"x"&amp;Table84[[#This Row],[tf]]*1000&amp;"Fx"&amp;Table84[[#This Row],[tw]]*1000&amp;"W"</calculatedColumnFormula>
    </tableColumn>
    <tableColumn id="29" xr3:uid="{12B0E924-ACF6-4671-80E9-E00520FA559E}" name="Grade" dataDxfId="157"/>
    <tableColumn id="5" xr3:uid="{A7996E42-7152-40C7-A51F-ECC9F726C36E}" name="Fabrication Type" dataDxfId="156"/>
    <tableColumn id="6" xr3:uid="{CADB7C99-62DB-42A1-8D50-8275BDFAB08D}" name="d" dataDxfId="155"/>
    <tableColumn id="7" xr3:uid="{7B88BF03-F335-4EC2-B437-3BB33EDCE04E}" name="bf" dataDxfId="154"/>
    <tableColumn id="8" xr3:uid="{9D925235-C5D5-4674-A66D-3DACA748BA16}" name="tf" dataDxfId="153"/>
    <tableColumn id="9" xr3:uid="{76597924-70C3-473D-A848-1F414A25ACA5}" name="tw" dataDxfId="152"/>
    <tableColumn id="2" xr3:uid="{459889D3-9DA1-4E66-BD96-C11C991E498F}" name="αu" dataDxfId="151"/>
    <tableColumn id="10" xr3:uid="{CF436D67-C370-4145-BEED-1D83890E1902}" name="d1" dataDxfId="150">
      <calculatedColumnFormula>Table84[[#This Row],[d]]-Table84[[#This Row],[tf]]*2</calculatedColumnFormula>
    </tableColumn>
    <tableColumn id="40" xr3:uid="{FA38A466-0FF6-4B9E-95BC-C87805759173}" name="b1" dataDxfId="149">
      <calculatedColumnFormula>Table84[[#This Row],[bf]]-2*Table84[[#This Row],[tw]]</calculatedColumnFormula>
    </tableColumn>
    <tableColumn id="11" xr3:uid="{25167980-FA7E-4D1C-BF71-FA2E02854B5C}" name="d1 / tw" dataDxfId="148">
      <calculatedColumnFormula>Table84[[#This Row],[d1]]/Table84[[#This Row],[tw]]</calculatedColumnFormula>
    </tableColumn>
    <tableColumn id="13" xr3:uid="{80CBAB7E-8A81-473E-B820-DA9C255FAFB8}" name="Ag" dataDxfId="147">
      <calculatedColumnFormula>Table84[[#This Row],[d]]*Table84[[#This Row],[bf]]-Table84[[#This Row],[d1]]*Table84[[#This Row],[b1]]</calculatedColumnFormula>
    </tableColumn>
    <tableColumn id="14" xr3:uid="{DC2A0DD4-D210-488B-B482-7359684B2E6D}" name="Ix" dataDxfId="146">
      <calculatedColumnFormula>(Table84[[#This Row],[bf]]*Table84[[#This Row],[d]]^3-Table84[[#This Row],[b1]]*Table84[[#This Row],[d1]]^3)/12</calculatedColumnFormula>
    </tableColumn>
    <tableColumn id="26" xr3:uid="{B83D44D8-C4E5-4A17-BE62-F860CEF36F0F}" name="fy_web" dataDxfId="145">
      <calculatedColumnFormula array="1">INDEX(tbllkpSteelGrades[fy],MATCH(1,(Table84[[#This Row],[Grade]]=tbllkpSteelGrades[Grade])*(Table84[[#This Row],[tw]]&lt;=tbllkpSteelGrades[Thickness]),0))</calculatedColumnFormula>
    </tableColumn>
    <tableColumn id="39" xr3:uid="{7DF3F021-6EAB-4A74-9BB3-0C7CE43AA457}" name="fy_flange" dataDxfId="144">
      <calculatedColumnFormula array="1">INDEX(tbllkpSteelGrades[fy],MATCH(1,(Table84[[#This Row],[Grade]]=tbllkpSteelGrades[Grade])*(Table84[[#This Row],[tf]]&lt;=tbllkpSteelGrades[Thickness]),0))</calculatedColumnFormula>
    </tableColumn>
    <tableColumn id="3" xr3:uid="{5691C67E-E828-47B8-A4B7-5FC977E2A6DA}" name="fy" dataDxfId="143">
      <calculatedColumnFormula>MIN(Table84[[#This Row],[fy_web]],Table84[[#This Row],[fy_flange]])</calculatedColumnFormula>
    </tableColumn>
    <tableColumn id="32" xr3:uid="{F3CB5706-4DCE-4E45-9015-EAB4810BB18A}" name="fu" dataDxfId="142">
      <calculatedColumnFormula array="1">INDEX(tbllkpSteelGrades[fu],MATCH(1,(Table84[[#This Row],[Grade]]=tbllkpSteelGrades[Grade])*(Table84[[#This Row],[tw]]&lt;=tbllkpSteelGrades[Thickness]),0))</calculatedColumnFormula>
    </tableColumn>
    <tableColumn id="24" xr3:uid="{E48C4B3F-F736-4326-909E-4EECCB3623A0}" name="Aw" dataDxfId="141">
      <calculatedColumnFormula>IF(Table84[[#This Row],[Fabrication Type]]="Welded",Table84[[#This Row],[d1]],Table84[[#This Row],[d]])*Table84[[#This Row],[tw]]*2</calculatedColumnFormula>
    </tableColumn>
    <tableColumn id="25" xr3:uid="{B0FE6666-DDE6-44B9-BEF8-31934A3DB2D0}" name="Vyield" dataDxfId="140">
      <calculatedColumnFormula>Table84[[#This Row],[Aw]]*Table84[[#This Row],[fy_web]]*0.6</calculatedColumnFormula>
    </tableColumn>
    <tableColumn id="31" xr3:uid="{FD83A469-7330-4C57-85AC-05BD82038C3E}" name="limiting web slenderness" dataDxfId="139">
      <calculatedColumnFormula>82/SQRT(Table84[[#This Row],[fy_web]]/250000000)</calculatedColumnFormula>
    </tableColumn>
    <tableColumn id="28" xr3:uid="{6DF48F84-8DB9-4D0B-8D5E-F95A68C255CB}" name="αv" dataDxfId="138">
      <calculatedColumnFormula>IF((Table84[[#This Row],[d1]]/Table84[[#This Row],[tw]])&gt;Table84[[#This Row],[limiting web slenderness]],(82/((Table84[[#This Row],[d1]]/Table84[[#This Row],[tw]])*SQRT(Table84[[#This Row],[fy_web]]/250000000)))^2,1)</calculatedColumnFormula>
    </tableColumn>
    <tableColumn id="33" xr3:uid="{5CA34170-6D44-473E-80E3-49D073D376DD}" name="vw" dataDxfId="137">
      <calculatedColumnFormula>IF(Table84[[#This Row],[Fabrication Type]]="Welded",IF(Table84[[#This Row],[tw]]&gt;0.016,0.016*Table84[[#This Row],[fu]],Table84[[#This Row],[tw]]*Table84[[#This Row],[fu]]),"")*2</calculatedColumnFormula>
    </tableColumn>
    <tableColumn id="35" xr3:uid="{2898AAA1-0EA4-4138-99A5-43C357C9BF1D}" name="df" dataDxfId="136">
      <calculatedColumnFormula>Table84[[#This Row],[d]]-Table84[[#This Row],[tf]]</calculatedColumnFormula>
    </tableColumn>
    <tableColumn id="34" xr3:uid="{891B2B72-F925-45B6-B8CE-D92447064D12}" name="Qflange" dataDxfId="135">
      <calculatedColumnFormula>Table84[[#This Row],[bf]]*Table84[[#This Row],[tf]]*(Table84[[#This Row],[df]]/2)</calculatedColumnFormula>
    </tableColumn>
    <tableColumn id="36" xr3:uid="{93841966-E101-4D00-AE76-3CD5B7E4DDC8}" name="Vweld" dataDxfId="134">
      <calculatedColumnFormula>IF(Table84[[#This Row],[Fabrication Type]]="Welded",Table84[[#This Row],[vw]]*Table84[[#This Row],[Ix]]/Table84[[#This Row],[Qflange]],"")</calculatedColumnFormula>
    </tableColumn>
    <tableColumn id="37" xr3:uid="{4EA8701D-66E7-4472-9316-6EE165304697}" name="Vinterface" dataDxfId="133">
      <calculatedColumnFormula>2*Table84[[#This Row],[tw]]*MIN(Table84[[#This Row],[fy_web]], Table84[[#This Row],[fy_flange]])*0.6*Table84[[#This Row],[Ix]]/Table84[[#This Row],[Qflange]]</calculatedColumnFormula>
    </tableColumn>
    <tableColumn id="4" xr3:uid="{4FFB2C24-49C8-456D-B703-A752828C1544}" name="kt" dataDxfId="132">
      <calculatedColumnFormula>INDEX(tbllkpkt[kt],MATCH(RANDBETWEEN(1,4),tbllkpkt[Index],0))</calculatedColumnFormula>
    </tableColumn>
    <tableColumn id="12" xr3:uid="{5807E341-D15C-40E9-97C8-0A01B3B2DA65}" name="Deduction_for_An" dataCellStyle="Percent">
      <calculatedColumnFormula>1-RANDBETWEEN(0,10)/100</calculatedColumnFormula>
    </tableColumn>
    <tableColumn id="15" xr3:uid="{1484FAE6-2389-44D0-B657-533A442B5F2B}" name="An" dataDxfId="131">
      <calculatedColumnFormula>Table84[[#This Row],[Ag]]*Table84[[#This Row],[Deduction_for_An]]</calculatedColumnFormula>
    </tableColumn>
    <tableColumn id="16" xr3:uid="{80E05D75-4C7F-443A-BCF5-4C36400C5F32}" name="Nty" dataDxfId="130">
      <calculatedColumnFormula>Table84[[#This Row],[fy]]*Table84[[#This Row],[Ag]]</calculatedColumnFormula>
    </tableColumn>
    <tableColumn id="17" xr3:uid="{84F067D3-D746-4EBF-98EF-BC3A51A33FB2}" name="Ntu" dataDxfId="129">
      <calculatedColumnFormula>Table84[[#This Row],[αu]]*Table84[[#This Row],[kt]]*Table84[[#This Row],[An]]*Table84[[#This Row],[fu]]</calculatedColumnFormula>
    </tableColumn>
    <tableColumn id="18" xr3:uid="{024A5D7B-B721-44BB-B605-F6431B07F927}" name="Nt" dataDxfId="128">
      <calculatedColumnFormula>MIN(Table84[[#This Row],[Nty]],Table84[[#This Row],[Ntu]])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EE4D4-895F-4D98-BD2B-A1595D136FE1}" name="Table8" displayName="Table8" ref="B2:AU132" totalsRowShown="0">
  <autoFilter ref="B2:AU132" xr:uid="{0AC04653-982D-4DB0-97C0-530DC6DA1D7C}"/>
  <tableColumns count="46">
    <tableColumn id="27" xr3:uid="{F0C68715-1699-4435-A336-CF305A8B079E}" name="Test_Name" dataDxfId="127">
      <calculatedColumnFormula>Table8[[#This Row],[Section]]&amp;"-"&amp;TEXT(Table8[[#This Row],[Grade]],"0")</calculatedColumnFormula>
    </tableColumn>
    <tableColumn id="1" xr3:uid="{280EAB9D-68EA-4683-A885-68F041F7C696}" name="Section" dataDxfId="126"/>
    <tableColumn id="29" xr3:uid="{5010BFA1-B99D-42AE-851A-22DE2AA6C466}" name="Grade" dataDxfId="125"/>
    <tableColumn id="2" xr3:uid="{607776AD-1CEA-4ABA-9EBB-6E7242760D55}" name="Designation" dataDxfId="124"/>
    <tableColumn id="3" xr3:uid="{8B64A8C3-F92A-47F9-96F3-AA3D2FB57C71}" name="Mass" dataDxfId="123"/>
    <tableColumn id="4" xr3:uid="{C3F54EAF-B082-4E92-89A4-EB922C48C2FD}" name="Section Type" dataDxfId="122"/>
    <tableColumn id="5" xr3:uid="{099E95F4-155C-46BC-9B68-09B5DC82AC9E}" name="Fabrication Type" dataDxfId="121"/>
    <tableColumn id="6" xr3:uid="{603611E8-32D2-418A-B7F1-7978728F31CE}" name="d" dataDxfId="120"/>
    <tableColumn id="7" xr3:uid="{8C2BF6A8-8480-4D0B-8189-8DD35F84F37A}" name="bf" dataDxfId="119"/>
    <tableColumn id="8" xr3:uid="{AF33BA8F-44DE-4FA5-B937-5086CFDD19FF}" name="tf" dataDxfId="118"/>
    <tableColumn id="9" xr3:uid="{688540C0-5BD0-4CE3-8BC7-7345CE0E5749}" name="tw" dataDxfId="117"/>
    <tableColumn id="30" xr3:uid="{360F5B09-D453-4A68-ABB3-C009F0F472BF}" name="r1" dataDxfId="116"/>
    <tableColumn id="10" xr3:uid="{1C612196-CED2-42B0-865A-D4E03216B7B7}" name="d1" dataDxfId="115"/>
    <tableColumn id="11" xr3:uid="{4F3DA98F-ED30-4ACB-A515-75F8C0DC4843}" name="d1 / tw" dataDxfId="114"/>
    <tableColumn id="12" xr3:uid="{22B64CBB-F443-44A9-9500-7B9BBDFB124B}" name="(bf - tw) / (2 × tf)" dataDxfId="113"/>
    <tableColumn id="13" xr3:uid="{D4DF694A-4484-4C9F-9376-6A57C15AF617}" name="Ag" dataDxfId="112"/>
    <tableColumn id="14" xr3:uid="{3724EE49-662E-4E0E-A37B-3ADE156496AD}" name="Ix" dataDxfId="111"/>
    <tableColumn id="15" xr3:uid="{AD4648AD-343E-4A35-9246-69098C5044CC}" name="Zx" dataDxfId="110"/>
    <tableColumn id="16" xr3:uid="{0ABFCF14-5F21-419A-9559-2CA91A10474B}" name="Sx" dataDxfId="109"/>
    <tableColumn id="17" xr3:uid="{DC4F87E0-E5C6-4D73-A757-8F63BAF7554D}" name="rx" dataDxfId="108"/>
    <tableColumn id="18" xr3:uid="{23E1E09C-910E-46AB-90C7-90D38D81B99E}" name="Iy" dataDxfId="107"/>
    <tableColumn id="19" xr3:uid="{885B4339-7E0D-4B91-9FC6-5D81E2299F9C}" name="Zy" dataDxfId="106"/>
    <tableColumn id="20" xr3:uid="{84C35746-536E-4B01-8256-14A9DCAB142B}" name="Sy" dataDxfId="105"/>
    <tableColumn id="21" xr3:uid="{A7686837-B7AE-4BAE-88E2-6F9FAD730E01}" name="ry" dataDxfId="104"/>
    <tableColumn id="22" xr3:uid="{767ED161-3BD1-4294-96E7-EF008EBAF27A}" name="J" dataDxfId="103"/>
    <tableColumn id="23" xr3:uid="{4874CB8A-E902-4CEB-AEFF-C3681E512597}" name="Iw" dataDxfId="102"/>
    <tableColumn id="44" xr3:uid="{74D510B8-AE38-442A-9C35-FCAB96669C1B}" name="αu" dataDxfId="101"/>
    <tableColumn id="26" xr3:uid="{4B448337-5DAD-4159-85BB-146825F8C228}" name="fy_web" dataDxfId="100">
      <calculatedColumnFormula array="1">INDEX(tbllkpSteelGrades[fy],MATCH(1,(Table8[[#This Row],[Grade]]=tbllkpSteelGrades[Grade])*(Table8[[#This Row],[tw]]&lt;=tbllkpSteelGrades[Thickness]),0))</calculatedColumnFormula>
    </tableColumn>
    <tableColumn id="39" xr3:uid="{4835A219-D0A1-493A-92D4-A1CF39B62EEA}" name="fy_flange" dataDxfId="99">
      <calculatedColumnFormula array="1">INDEX(tbllkpSteelGrades[fy],MATCH(1,(Table8[[#This Row],[Grade]]=tbllkpSteelGrades[Grade])*(Table8[[#This Row],[tf]]&lt;=tbllkpSteelGrades[Thickness]),0))</calculatedColumnFormula>
    </tableColumn>
    <tableColumn id="46" xr3:uid="{C2B256E9-3C78-4C9D-A53B-377F031AC1F7}" name="fy" dataDxfId="98">
      <calculatedColumnFormula>MIN(Table8[[#This Row],[fy_web]],Table8[[#This Row],[fy_flange]])</calculatedColumnFormula>
    </tableColumn>
    <tableColumn id="32" xr3:uid="{37FF3E15-4433-4C1B-B92A-136870D1546E}" name="fu" dataDxfId="97">
      <calculatedColumnFormula array="1">INDEX(tbllkpSteelGrades[fu],MATCH(1,(Table8[[#This Row],[Grade]]=tbllkpSteelGrades[Grade])*(Table8[[#This Row],[tw]]&lt;=tbllkpSteelGrades[Thickness]),0))</calculatedColumnFormula>
    </tableColumn>
    <tableColumn id="24" xr3:uid="{473325F2-FF03-4C75-BD12-A70F0A6AA4F1}" name="Aw" dataDxfId="96">
      <calculatedColumnFormula>IF(Table8[[#This Row],[Fabrication Type]]="Welded",Table8[[#This Row],[d1]],Table8[[#This Row],[d]])*Table8[[#This Row],[tw]]</calculatedColumnFormula>
    </tableColumn>
    <tableColumn id="25" xr3:uid="{98B29A8D-CA7E-401A-9966-485A14A8FF27}" name="Vyield" dataDxfId="95">
      <calculatedColumnFormula>Table8[[#This Row],[Aw]]*Table8[[#This Row],[fy_web]]*0.6</calculatedColumnFormula>
    </tableColumn>
    <tableColumn id="31" xr3:uid="{D2AE4FE6-949C-44C1-ABA2-0661F2AF8B79}" name="limiting web slenderness" dataDxfId="94">
      <calculatedColumnFormula>82/SQRT(Table8[[#This Row],[fy_web]]/250000000)</calculatedColumnFormula>
    </tableColumn>
    <tableColumn id="28" xr3:uid="{350AE1F7-C8CC-4EFA-83FA-43CEF626EC3E}" name="αv" dataDxfId="93">
      <calculatedColumnFormula>IF((Table8[[#This Row],[d1]]/Table8[[#This Row],[tw]])&gt;Table8[[#This Row],[limiting web slenderness]],(82/((Table8[[#This Row],[d1]]/Table8[[#This Row],[tw]])*SQRT(Table8[[#This Row],[fy_web]]/250000000)))^2,1)</calculatedColumnFormula>
    </tableColumn>
    <tableColumn id="33" xr3:uid="{FCD706B2-2BA6-4DE4-82D4-347F41D9B217}" name="vw" dataDxfId="92">
      <calculatedColumnFormula>IF(Table8[[#This Row],[Fabrication Type]]="Welded",IF(Table8[[#This Row],[tw]]&gt;0.016,0.016*Table8[[#This Row],[fu]],Table8[[#This Row],[tw]]*Table8[[#This Row],[fu]]),"")</calculatedColumnFormula>
    </tableColumn>
    <tableColumn id="35" xr3:uid="{5CCA7C25-8C72-493A-B186-2CB8B1D486ED}" name="df" dataDxfId="91">
      <calculatedColumnFormula>Table8[[#This Row],[d]]-Table8[[#This Row],[tf]]</calculatedColumnFormula>
    </tableColumn>
    <tableColumn id="34" xr3:uid="{E9034DD1-D76E-4C73-9963-3A0CAC77712C}" name="Qflange" dataDxfId="90">
      <calculatedColumnFormula>Table8[[#This Row],[bf]]*Table8[[#This Row],[tf]]*(Table8[[#This Row],[df]]/2)</calculatedColumnFormula>
    </tableColumn>
    <tableColumn id="36" xr3:uid="{677DF129-40A4-47AA-A4F0-5C7CB986ABCC}" name="Vweld" dataDxfId="89">
      <calculatedColumnFormula>IF(Table8[[#This Row],[Fabrication Type]]="Welded",Table8[[#This Row],[vw]]*Table8[[#This Row],[Ix]]/Table8[[#This Row],[Qflange]],"")</calculatedColumnFormula>
    </tableColumn>
    <tableColumn id="37" xr3:uid="{702894B3-AE19-45A1-96B4-538ACC38F391}" name="Vinterface" dataDxfId="88">
      <calculatedColumnFormula>Table8[[#This Row],[tw]]*MIN(Table8[[#This Row],[fy_web]], Table8[[#This Row],[fy_flange]])*0.6*Table8[[#This Row],[Ix]]/Table8[[#This Row],[Qflange]]</calculatedColumnFormula>
    </tableColumn>
    <tableColumn id="38" xr3:uid="{95BACA26-06BA-4552-84E4-A67FFD202123}" name="kt" dataDxfId="87">
      <calculatedColumnFormula>INDEX(tbllkpkt[kt],MATCH(RANDBETWEEN(1,4),tbllkpkt[Index],0))</calculatedColumnFormula>
    </tableColumn>
    <tableColumn id="40" xr3:uid="{DEC379FD-8ED8-4AE3-BE85-D18A1E817128}" name="Deduction_for_An" dataCellStyle="Percent">
      <calculatedColumnFormula>1-RANDBETWEEN(0,10)/100</calculatedColumnFormula>
    </tableColumn>
    <tableColumn id="41" xr3:uid="{A23B6C61-51B1-49DB-8153-4E9CF7F33877}" name="An" dataDxfId="86">
      <calculatedColumnFormula>Table8[[#This Row],[Ag]]*Table8[[#This Row],[Deduction_for_An]]</calculatedColumnFormula>
    </tableColumn>
    <tableColumn id="42" xr3:uid="{B53617F2-5D2D-4E17-B7D9-7F48975451BE}" name="Nty" dataDxfId="85">
      <calculatedColumnFormula>Table8[[#This Row],[fy]]*Table8[[#This Row],[Ag]]</calculatedColumnFormula>
    </tableColumn>
    <tableColumn id="43" xr3:uid="{5B10DD81-A917-404E-8972-CDC545150E74}" name="Ntu" dataDxfId="84">
      <calculatedColumnFormula>Table8[[#This Row],[αu]]*Table8[[#This Row],[kt]]*Table8[[#This Row],[An]]*Table8[[#This Row],[fu]]</calculatedColumnFormula>
    </tableColumn>
    <tableColumn id="45" xr3:uid="{9911C68E-2B00-40CE-94EB-598F2E6CE0C9}" name="Nt" dataDxfId="83">
      <calculatedColumnFormula>MIN(Table8[[#This Row],[Nty]],Table8[[#This Row],[Ntu]])</calculatedColumnFormula>
    </tableColumn>
  </tableColumns>
  <tableStyleInfo name="tblIntegral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7F662-23F3-4692-B884-ACBE9C4BC921}" name="Table1" displayName="Table1" ref="B2:AV12" totalsRowShown="0" headerRowDxfId="82">
  <autoFilter ref="B2:AV12" xr:uid="{159D2995-82C8-4243-A12A-2992509062CB}"/>
  <tableColumns count="47">
    <tableColumn id="1" xr3:uid="{BFC7DADC-5D9A-410D-8005-ABEDA04EC4E5}" name="Test Name" dataDxfId="81">
      <calculatedColumnFormula>Table1[[#This Row],[Section]]&amp;"-"&amp;TEXT(Table1[[#This Row],[Grade]],"0")</calculatedColumnFormula>
    </tableColumn>
    <tableColumn id="2" xr3:uid="{A68B01D6-63C3-4091-8CB2-10D8394F7045}" name="Section" dataDxfId="80"/>
    <tableColumn id="3" xr3:uid="{F0C91944-5320-440C-89CC-1BCEEA04DC3A}" name="Grade" dataDxfId="79"/>
    <tableColumn id="4" xr3:uid="{8BEB6DFF-49C4-4FA8-9224-463494339BF7}" name="Designation" dataDxfId="78"/>
    <tableColumn id="5" xr3:uid="{AA456E27-CAB5-458A-A415-DCD765520D10}" name="Mass" dataDxfId="77"/>
    <tableColumn id="6" xr3:uid="{58FBA757-33E6-4107-82A6-01450F92ECF1}" name="Section Type" dataDxfId="76"/>
    <tableColumn id="7" xr3:uid="{E42F97CD-458E-4C03-887D-149CADBEE730}" name="Fabrication Type" dataDxfId="75"/>
    <tableColumn id="8" xr3:uid="{30A5893B-DE67-4DB4-B63E-A74FA4F62A88}" name="d" dataDxfId="74"/>
    <tableColumn id="9" xr3:uid="{DCAC7CD7-0C42-42AC-A9A3-3E6703738EA2}" name="bf" dataDxfId="73"/>
    <tableColumn id="10" xr3:uid="{C94CF9A2-1DAE-4D19-BE5E-306E8BF46B88}" name="tf" dataDxfId="72"/>
    <tableColumn id="11" xr3:uid="{1E144395-2B2F-424C-990F-3523916EC30D}" name="tw" dataDxfId="71"/>
    <tableColumn id="12" xr3:uid="{BBC3D8A7-825A-413D-8F5B-523A8316C953}" name="r1" dataDxfId="70"/>
    <tableColumn id="15" xr3:uid="{075B0A49-A933-463E-A295-DC05820221CD}" name="d1" dataDxfId="69"/>
    <tableColumn id="16" xr3:uid="{C169B72F-E99F-4C91-8937-CA4CB5F1C0BD}" name="d1 / tw" dataDxfId="68"/>
    <tableColumn id="17" xr3:uid="{EDE65130-55B8-4ED1-9338-8CF7DC57B7B0}" name="(bf - tw) / tf" dataDxfId="67"/>
    <tableColumn id="18" xr3:uid="{B3EA4ACF-56D6-4C30-BAE3-E9AA6DECAD5B}" name="Ag" dataDxfId="66"/>
    <tableColumn id="19" xr3:uid="{110F3BD2-1591-441D-8F2A-354835DE7C03}" name="xL" dataDxfId="65"/>
    <tableColumn id="20" xr3:uid="{00DE344B-2B7A-4589-95FC-964370589D2F}" name="xO" dataDxfId="64"/>
    <tableColumn id="21" xr3:uid="{74E05A20-8171-4C56-847A-4E2736645723}" name="Ix" dataDxfId="63"/>
    <tableColumn id="22" xr3:uid="{46F05E10-2A14-4B02-8DDE-BE0422A2E11C}" name="Zx" dataDxfId="62"/>
    <tableColumn id="23" xr3:uid="{8B5994C6-C074-4DE5-91BE-E16423FAB9D1}" name="Sx" dataDxfId="61"/>
    <tableColumn id="24" xr3:uid="{9F69E4F9-9733-4980-9F4B-73E323CFD6C1}" name="rx" dataDxfId="60"/>
    <tableColumn id="25" xr3:uid="{EA2F89F0-BB76-48D8-B83E-B76812070936}" name="Iy" dataDxfId="59"/>
    <tableColumn id="26" xr3:uid="{A7187315-BF57-4454-8122-9170C02466BF}" name="ZyL" dataDxfId="58"/>
    <tableColumn id="27" xr3:uid="{E24C8AEF-AEA2-460E-BC1B-54C7E8064ED2}" name="ZyR" dataDxfId="57"/>
    <tableColumn id="28" xr3:uid="{CDDE43D5-2755-4C6C-98C0-89FB469561A9}" name="Sy" dataDxfId="56"/>
    <tableColumn id="29" xr3:uid="{CC95640D-57BD-4549-8961-244E9160233E}" name="ry" dataDxfId="55"/>
    <tableColumn id="30" xr3:uid="{4E80C201-306F-427A-B841-CC8204AC71EB}" name="J" dataDxfId="54"/>
    <tableColumn id="31" xr3:uid="{D8BDE5DB-34D6-4AAF-94B6-6CA66EDDC4EC}" name="Iw" dataDxfId="53"/>
    <tableColumn id="45" xr3:uid="{0FA27F7A-B962-4A81-8DC9-D765FAABACA0}" name="αu" dataDxfId="52" dataCellStyle="Percent"/>
    <tableColumn id="32" xr3:uid="{729B2C64-AA61-4ED8-88D9-46889D56FABC}" name="fy_web" dataDxfId="51">
      <calculatedColumnFormula array="1">INDEX(tbllkpSteelGrades[fy],MATCH(1,(Table1[[#This Row],[Grade]]=tbllkpSteelGrades[Grade])*(Table1[[#This Row],[tw]]&lt;=tbllkpSteelGrades[Thickness]),0))</calculatedColumnFormula>
    </tableColumn>
    <tableColumn id="35" xr3:uid="{EE7FD6DF-6BB2-4C8C-AAAF-7827C69F5A25}" name="fy_flange" dataDxfId="50">
      <calculatedColumnFormula array="1">INDEX(tbllkpSteelGrades[fy],MATCH(1,(Table1[[#This Row],[Grade]]=tbllkpSteelGrades[Grade])*(Table1[[#This Row],[tf]]&lt;=tbllkpSteelGrades[Thickness]),0))</calculatedColumnFormula>
    </tableColumn>
    <tableColumn id="47" xr3:uid="{0520F13E-8EA1-492C-A14E-9525B410EAD2}" name="fy" dataDxfId="49">
      <calculatedColumnFormula>MIN(Table1[[#This Row],[fy_web]],Table1[[#This Row],[fy_flange]])</calculatedColumnFormula>
    </tableColumn>
    <tableColumn id="36" xr3:uid="{68AD0092-4648-468B-8FA3-91F651043A35}" name="fu" dataDxfId="48">
      <calculatedColumnFormula array="1">INDEX(tbllkpSteelGrades[fu],MATCH(1,(Table1[[#This Row],[Grade]]=tbllkpSteelGrades[Grade])*(Table1[[#This Row],[tw]]&lt;=tbllkpSteelGrades[Thickness]),0))</calculatedColumnFormula>
    </tableColumn>
    <tableColumn id="33" xr3:uid="{F78CCC46-7A18-4959-A81C-F51FA1F9FF08}" name="Aw" dataDxfId="47">
      <calculatedColumnFormula>IF(Table1[[#This Row],[Fabrication Type]]="Welded",Table1[[#This Row],[d1]],Table1[[#This Row],[d]])*Table1[[#This Row],[tw]]</calculatedColumnFormula>
    </tableColumn>
    <tableColumn id="34" xr3:uid="{EA3538CB-7B8A-4AF7-B6DC-16292E7F4F19}" name="Vyield" dataDxfId="46">
      <calculatedColumnFormula>Table1[[#This Row],[Aw]]*Table1[[#This Row],[fy_web]]*0.6</calculatedColumnFormula>
    </tableColumn>
    <tableColumn id="13" xr3:uid="{6EFC8E23-CF2E-4C0D-BB9A-02BCA8159CF3}" name="limiting web slenderness" dataDxfId="45">
      <calculatedColumnFormula>82/SQRT(Table1[[#This Row],[fy_web]]/250000000)</calculatedColumnFormula>
    </tableColumn>
    <tableColumn id="14" xr3:uid="{3A2CC757-AD8B-4EAF-9CE0-7A223D47C931}" name="αv" dataDxfId="44">
      <calculatedColumnFormula>IF((Table1[[#This Row],[d1]]/Table1[[#This Row],[tw]])&gt;Table1[[#This Row],[limiting web slenderness]],(82/((Table1[[#This Row],[d1]]/Table1[[#This Row],[tw]])*SQRT(Table1[[#This Row],[fy_web]]/250000000)))^2,1)</calculatedColumnFormula>
    </tableColumn>
    <tableColumn id="37" xr3:uid="{03C6F1A1-F87C-49DA-9AB5-0BB4B2971C76}" name="df" dataDxfId="43">
      <calculatedColumnFormula>Table1[[#This Row],[d]]-Table1[[#This Row],[tf]]</calculatedColumnFormula>
    </tableColumn>
    <tableColumn id="38" xr3:uid="{C850898C-7533-4860-8CDD-D29714BA88BF}" name="Qflange" dataDxfId="42">
      <calculatedColumnFormula>Table1[[#This Row],[bf]]*Table1[[#This Row],[tf]]*(Table1[[#This Row],[df]]/2)</calculatedColumnFormula>
    </tableColumn>
    <tableColumn id="39" xr3:uid="{2DF333B2-5506-4BCC-B036-DDC0447D7461}" name="Vinterface" dataDxfId="41">
      <calculatedColumnFormula>Table1[[#This Row],[tw]]*MIN(Table1[[#This Row],[fy_web]], Table1[[#This Row],[fy_flange]])*0.6*Table1[[#This Row],[Ix]]/Table1[[#This Row],[Qflange]]</calculatedColumnFormula>
    </tableColumn>
    <tableColumn id="41" xr3:uid="{4EE8BF52-B3F1-4AAA-9F10-B9B283B4FEAA}" name="kt" dataDxfId="40">
      <calculatedColumnFormula>INDEX(tbllkpkt[kt],MATCH(RANDBETWEEN(1,4),tbllkpkt[Index],0))</calculatedColumnFormula>
    </tableColumn>
    <tableColumn id="42" xr3:uid="{F0608F43-1BF1-404C-B027-CE8C4967A4E6}" name="Deduction_for_An" dataDxfId="39" dataCellStyle="Percent">
      <calculatedColumnFormula>1-RANDBETWEEN(0,10)/100</calculatedColumnFormula>
    </tableColumn>
    <tableColumn id="43" xr3:uid="{5518B0BE-1E00-4488-92A8-4C86806ED0AB}" name="An" dataDxfId="38" dataCellStyle="Percent">
      <calculatedColumnFormula>Table1[[#This Row],[Ag]]*Table1[[#This Row],[Deduction_for_An]]</calculatedColumnFormula>
    </tableColumn>
    <tableColumn id="40" xr3:uid="{D48A304C-74B8-49F7-B9B5-C589DC8236E5}" name="Nty" dataDxfId="37">
      <calculatedColumnFormula>Table1[[#This Row],[fy]]*Table1[[#This Row],[Ag]]</calculatedColumnFormula>
    </tableColumn>
    <tableColumn id="44" xr3:uid="{0F611F93-37B9-4888-89E0-7A7081EE4A56}" name="Ntu" dataDxfId="36">
      <calculatedColumnFormula>Table1[[#This Row],[αu]]*Table1[[#This Row],[kt]]*Table1[[#This Row],[An]]*Table1[[#This Row],[fu]]</calculatedColumnFormula>
    </tableColumn>
    <tableColumn id="46" xr3:uid="{B3262191-F456-4AE6-9808-48C466B9DC06}" name="Nt" dataDxfId="35">
      <calculatedColumnFormula>MIN(Table1[[#This Row],[Nty]],Table1[[#This Row],[Ntu]])</calculatedColumnFormula>
    </tableColumn>
  </tableColumns>
  <tableStyleInfo name="tblIntegral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B81ECD-7B4A-4F8B-8113-71224F76D2FC}" name="Table4" displayName="Table4" ref="B2:AD89" totalsRowShown="0">
  <autoFilter ref="B2:AD89" xr:uid="{BA8101F0-ED77-49F7-BC18-C9D3E65708CA}"/>
  <tableColumns count="29">
    <tableColumn id="1" xr3:uid="{4CA5654D-B547-49EB-AEE4-88550654C33A}" name="Test Name" dataDxfId="34">
      <calculatedColumnFormula>Table4[[#This Row],[Section]]&amp;"-"&amp;Table4[[#This Row],[Grade]]</calculatedColumnFormula>
    </tableColumn>
    <tableColumn id="2" xr3:uid="{8162C8E5-B488-4140-826E-7A4F44922C08}" name="Section" dataDxfId="33"/>
    <tableColumn id="3" xr3:uid="{7613563F-32CB-43B4-9CD2-B12E2A6FF2D5}" name="Grade" dataDxfId="32"/>
    <tableColumn id="4" xr3:uid="{C5BFAAF5-51F1-4535-980C-4B0DCD036D32}" name="Mass" dataDxfId="31"/>
    <tableColumn id="5" xr3:uid="{7AAEBAA8-C99A-4F5A-88E3-88CB6960D4CA}" name="Section Type" dataDxfId="30"/>
    <tableColumn id="6" xr3:uid="{B8C36499-3A13-4344-BAB0-D49EE58FE3E9}" name="Fabrication Type" dataDxfId="29"/>
    <tableColumn id="7" xr3:uid="{A3848530-1431-48F2-A8A1-1A8E7187F0E4}" name="d" dataDxfId="28"/>
    <tableColumn id="8" xr3:uid="{8180C5FB-397C-4385-9E2C-449435B22140}" name="t" dataDxfId="27"/>
    <tableColumn id="9" xr3:uid="{721CCE1E-9271-453E-85A6-F1C3DE9BFA92}" name="d / t" dataDxfId="26"/>
    <tableColumn id="10" xr3:uid="{DFEF7444-BB05-41F3-98A0-8E93565A79E0}" name="Ag" dataDxfId="25"/>
    <tableColumn id="11" xr3:uid="{06548E9A-6BA5-4869-83BA-2B1ECD35C8FD}" name="I" dataDxfId="24"/>
    <tableColumn id="12" xr3:uid="{04325DE9-C88D-4898-9081-69BD38E3F367}" name="Z" dataDxfId="23"/>
    <tableColumn id="13" xr3:uid="{3357C355-9047-4ABB-AD18-D3E15B86E03B}" name="S" dataDxfId="22"/>
    <tableColumn id="14" xr3:uid="{470CF4A9-89AA-474A-9533-AE8D1C11D912}" name="r" dataDxfId="21"/>
    <tableColumn id="15" xr3:uid="{79889950-A6E3-4DDC-8073-3A8BC3FB6AD2}" name="J" dataDxfId="20"/>
    <tableColumn id="16" xr3:uid="{73364D2E-305B-4F6C-B09F-DB78BE1F3A38}" name="C" dataDxfId="19"/>
    <tableColumn id="17" xr3:uid="{0DA98F09-3F11-4D08-A6FC-AE92787F4FB2}" name="kf" dataDxfId="18"/>
    <tableColumn id="18" xr3:uid="{716DC685-2BC9-475D-918F-7D51D96E5B00}" name="Compactness" dataDxfId="17"/>
    <tableColumn id="19" xr3:uid="{1542DC57-D289-4280-A0B5-ED30B2199915}" name="Ze" dataDxfId="16"/>
    <tableColumn id="27" xr3:uid="{BBDD16D8-D9C1-4735-B00C-600EF40814FB}" name="αu" dataDxfId="15"/>
    <tableColumn id="20" xr3:uid="{3F052E38-FD56-42D0-85E3-1A2A4ED2525C}" name="fy" dataDxfId="14">
      <calculatedColumnFormula array="1">INDEX(tbllkpSteelGrades[fy],MATCH(1,(Table4[[#This Row],[Grade]]=tbllkpSteelGrades[Grade])*(Table4[[#This Row],[t]]&lt;=tbllkpSteelGrades[Thickness]),0))</calculatedColumnFormula>
    </tableColumn>
    <tableColumn id="28" xr3:uid="{CBA51B00-3C26-4B32-857D-A2553D91F7A7}" name="fu" dataDxfId="13">
      <calculatedColumnFormula array="1">INDEX(tbllkpSteelGrades[fu],MATCH(1,(Table4[[#This Row],[Grade]]=tbllkpSteelGrades[Grade])*(Table4[[#This Row],[t]]&lt;=tbllkpSteelGrades[Thickness]),0))</calculatedColumnFormula>
    </tableColumn>
    <tableColumn id="21" xr3:uid="{B66015BF-7FDD-4B8C-9B06-5EBF43E6C1A4}" name="Vyield" dataDxfId="12">
      <calculatedColumnFormula>Table4[[#This Row],[fy]]*Table4[[#This Row],[Ag]]*0.36</calculatedColumnFormula>
    </tableColumn>
    <tableColumn id="22" xr3:uid="{C60D704D-BDC1-4CEC-9B75-FC31B5FC0B0E}" name="kt" dataDxfId="11">
      <calculatedColumnFormula>INDEX(tbllkpkt[kt],MATCH(RANDBETWEEN(1,4),tbllkpkt[Index],0))</calculatedColumnFormula>
    </tableColumn>
    <tableColumn id="23" xr3:uid="{0B509AFD-7D39-497F-9B33-BFBD486DBC01}" name="Deduction_for_An" dataCellStyle="Percent">
      <calculatedColumnFormula>1-RANDBETWEEN(0,10)/100</calculatedColumnFormula>
    </tableColumn>
    <tableColumn id="24" xr3:uid="{C9167D03-CB9D-43E7-9606-406D4D8D8A17}" name="An" dataDxfId="10">
      <calculatedColumnFormula>Table4[[#This Row],[Ag]]*Table4[[#This Row],[Deduction_for_An]]</calculatedColumnFormula>
    </tableColumn>
    <tableColumn id="25" xr3:uid="{92B82A98-9095-46A2-A722-06F0FC893F7F}" name="Nty" dataDxfId="9">
      <calculatedColumnFormula>Table4[[#This Row],[fy]]*Table4[[#This Row],[Ag]]</calculatedColumnFormula>
    </tableColumn>
    <tableColumn id="26" xr3:uid="{49F1AD50-DC59-4CCF-B2C1-0C5809280A30}" name="Ntu" dataDxfId="8">
      <calculatedColumnFormula>Table4[[#This Row],[αu]]*Table4[[#This Row],[kt]]*Table4[[#This Row],[An]]*Table4[[#This Row],[fu]]</calculatedColumnFormula>
    </tableColumn>
    <tableColumn id="29" xr3:uid="{DF387169-A91B-439D-B24E-CB86A91AB347}" name="Nt" dataDxfId="7">
      <calculatedColumnFormula>MIN(Table4[[#This Row],[Nty]],Table4[[#This Row],[Ntu]])</calculatedColumnFormula>
    </tableColumn>
  </tableColumns>
  <tableStyleInfo name="tblIntegral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17E260-11C0-442B-AA16-DDBB93330F1C}" name="Table2" displayName="Table2" ref="B2:E23" totalsRowShown="0">
  <autoFilter ref="B2:E23" xr:uid="{20C0F86D-EAF6-4804-BF93-367A7A7E9E5D}"/>
  <tableColumns count="4">
    <tableColumn id="1" xr3:uid="{AED8D1C4-A5D1-48D5-8362-BF93186F64D8}" name="Test Case"/>
    <tableColumn id="2" xr3:uid="{2B7C6EA1-FA0A-491C-9FC4-9EDCAD101098}" name="fvm" dataDxfId="6"/>
    <tableColumn id="3" xr3:uid="{19C2EAB6-619C-48D8-BC1E-7CCB1AE1F9F5}" name="fva" dataDxfId="5"/>
    <tableColumn id="4" xr3:uid="{17C3DBBC-E440-40B0-BD71-A39BC8D02B47}" name="αvma" dataDxfId="4">
      <calculatedColumnFormula>MIN(2/(0.9+(Table2[[#This Row],[fvm]]/Table2[[#This Row],[fva]])),1)</calculatedColumnFormula>
    </tableColumn>
  </tableColumns>
  <tableStyleInfo name="tblIntegral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922492-54C4-4564-A70A-4C52BDDF1798}" name="tbllkpSteelGrades" displayName="tbllkpSteelGrades" ref="B3:E16" totalsRowShown="0">
  <autoFilter ref="B3:E16" xr:uid="{3E6AE8C4-C748-4435-9220-6A582ED1C1D7}"/>
  <tableColumns count="4">
    <tableColumn id="1" xr3:uid="{523DAE2A-27B2-4510-92AE-37C4C3C1762C}" name="Grade" dataDxfId="3"/>
    <tableColumn id="2" xr3:uid="{9F87EDD2-D6FD-414D-8B88-062C86BD2D39}" name="Thickness" dataDxfId="2"/>
    <tableColumn id="3" xr3:uid="{102B2EDD-89A2-45B5-8609-721075A59D6E}" name="fy" dataDxfId="1"/>
    <tableColumn id="4" xr3:uid="{58E14996-58E6-4334-B475-B91075D2EE2F}" name="fu" dataDxfId="0"/>
  </tableColumns>
  <tableStyleInfo name="tblIntegral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249B8E-178E-4330-A778-BE8EB045676D}" name="tbllkpkt" displayName="tbllkpkt" ref="B21:C25" totalsRowShown="0">
  <autoFilter ref="B21:C25" xr:uid="{C416D0A4-BB23-479D-B8CA-339D00CA3211}"/>
  <tableColumns count="2">
    <tableColumn id="1" xr3:uid="{B1445298-D9F1-488D-92C9-6223AB344D63}" name="Index"/>
    <tableColumn id="2" xr3:uid="{3F06BC8B-096D-4E20-AEB2-2E938C395A67}" name="kt"/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56DC-CD5B-4ADD-AD26-C27CAE28869E}">
  <dimension ref="B2:AH12"/>
  <sheetViews>
    <sheetView tabSelected="1" topLeftCell="F1" zoomScale="85" zoomScaleNormal="85" workbookViewId="0">
      <selection activeCell="T13" sqref="T13"/>
    </sheetView>
  </sheetViews>
  <sheetFormatPr defaultRowHeight="15" x14ac:dyDescent="0.25"/>
  <cols>
    <col min="2" max="2" width="25.5703125" bestFit="1" customWidth="1"/>
    <col min="3" max="3" width="19.140625" bestFit="1" customWidth="1"/>
    <col min="4" max="4" width="8.7109375" bestFit="1" customWidth="1"/>
    <col min="5" max="5" width="17" customWidth="1"/>
    <col min="6" max="9" width="7.85546875" bestFit="1" customWidth="1"/>
    <col min="10" max="10" width="5.5703125" bestFit="1" customWidth="1"/>
    <col min="11" max="11" width="7.85546875" bestFit="1" customWidth="1"/>
    <col min="12" max="12" width="7.85546875" customWidth="1"/>
    <col min="13" max="13" width="9" customWidth="1"/>
    <col min="14" max="14" width="8.5703125" bestFit="1" customWidth="1"/>
    <col min="15" max="15" width="13.42578125" bestFit="1" customWidth="1"/>
    <col min="16" max="16" width="10.85546875" bestFit="1" customWidth="1"/>
    <col min="17" max="19" width="10.85546875" customWidth="1"/>
    <col min="20" max="20" width="12.28515625" bestFit="1" customWidth="1"/>
    <col min="21" max="21" width="10.5703125" bestFit="1" customWidth="1"/>
    <col min="22" max="22" width="27.85546875" bestFit="1" customWidth="1"/>
    <col min="23" max="23" width="5.7109375" bestFit="1" customWidth="1"/>
    <col min="24" max="24" width="13.140625" bestFit="1" customWidth="1"/>
    <col min="25" max="25" width="7.85546875" bestFit="1" customWidth="1"/>
    <col min="26" max="26" width="12.28515625" bestFit="1" customWidth="1"/>
    <col min="27" max="27" width="11.5703125" bestFit="1" customWidth="1"/>
    <col min="28" max="28" width="10.5703125" bestFit="1" customWidth="1"/>
    <col min="29" max="29" width="5.140625" bestFit="1" customWidth="1"/>
    <col min="30" max="30" width="16.5703125" bestFit="1" customWidth="1"/>
    <col min="31" max="31" width="8.5703125" bestFit="1" customWidth="1"/>
    <col min="32" max="34" width="11.5703125" bestFit="1" customWidth="1"/>
  </cols>
  <sheetData>
    <row r="2" spans="2:34" ht="18" x14ac:dyDescent="0.35">
      <c r="B2" s="1" t="s">
        <v>54</v>
      </c>
      <c r="C2" s="1" t="s">
        <v>1</v>
      </c>
      <c r="D2" s="1" t="s">
        <v>55</v>
      </c>
      <c r="E2" s="1" t="s">
        <v>11</v>
      </c>
      <c r="F2" s="1" t="s">
        <v>7</v>
      </c>
      <c r="G2" s="1" t="s">
        <v>37</v>
      </c>
      <c r="H2" s="1" t="s">
        <v>38</v>
      </c>
      <c r="I2" s="1" t="s">
        <v>39</v>
      </c>
      <c r="J2" s="34" t="s">
        <v>299</v>
      </c>
      <c r="K2" s="1" t="s">
        <v>40</v>
      </c>
      <c r="L2" s="1" t="s">
        <v>293</v>
      </c>
      <c r="M2" s="1" t="s">
        <v>41</v>
      </c>
      <c r="N2" s="1" t="s">
        <v>43</v>
      </c>
      <c r="O2" s="1" t="s">
        <v>44</v>
      </c>
      <c r="P2" s="1" t="s">
        <v>285</v>
      </c>
      <c r="Q2" s="1" t="s">
        <v>286</v>
      </c>
      <c r="R2" s="1" t="s">
        <v>305</v>
      </c>
      <c r="S2" s="1" t="s">
        <v>279</v>
      </c>
      <c r="T2" t="s">
        <v>53</v>
      </c>
      <c r="U2" t="s">
        <v>57</v>
      </c>
      <c r="V2" t="s">
        <v>252</v>
      </c>
      <c r="W2" s="34" t="s">
        <v>251</v>
      </c>
      <c r="X2" t="s">
        <v>284</v>
      </c>
      <c r="Y2" t="s">
        <v>281</v>
      </c>
      <c r="Z2" t="s">
        <v>280</v>
      </c>
      <c r="AA2" t="s">
        <v>282</v>
      </c>
      <c r="AB2" t="s">
        <v>283</v>
      </c>
      <c r="AC2" s="1" t="s">
        <v>298</v>
      </c>
      <c r="AD2" s="1" t="s">
        <v>304</v>
      </c>
      <c r="AE2" s="1" t="s">
        <v>301</v>
      </c>
      <c r="AF2" s="40" t="s">
        <v>294</v>
      </c>
      <c r="AG2" s="40" t="s">
        <v>300</v>
      </c>
      <c r="AH2" t="s">
        <v>302</v>
      </c>
    </row>
    <row r="3" spans="2:34" x14ac:dyDescent="0.25">
      <c r="B3" s="14" t="str">
        <f>Table84[[#This Row],[Section]]&amp;"-"&amp;TEXT(Table84[[#This Row],[Grade]],"0")</f>
        <v>1000x333x20Fx10W-300HR</v>
      </c>
      <c r="C3" s="3" t="str">
        <f>Table84[[#This Row],[d]]*1000&amp;"x"&amp;Table84[[#This Row],[bf]]*1000&amp;"x"&amp;Table84[[#This Row],[tf]]*1000&amp;"Fx"&amp;Table84[[#This Row],[tw]]*1000&amp;"W"</f>
        <v>1000x333x20Fx10W</v>
      </c>
      <c r="D3" s="3" t="s">
        <v>106</v>
      </c>
      <c r="E3" s="3" t="s">
        <v>14</v>
      </c>
      <c r="F3" s="5">
        <v>1</v>
      </c>
      <c r="G3" s="5">
        <v>0.33300000000000002</v>
      </c>
      <c r="H3" s="5">
        <v>0.02</v>
      </c>
      <c r="I3" s="5">
        <v>0.01</v>
      </c>
      <c r="J3" s="45">
        <v>0.85</v>
      </c>
      <c r="K3" s="41">
        <f>Table84[[#This Row],[d]]-Table84[[#This Row],[tf]]*2</f>
        <v>0.96</v>
      </c>
      <c r="L3" s="41">
        <f>Table84[[#This Row],[bf]]-2*Table84[[#This Row],[tw]]</f>
        <v>0.313</v>
      </c>
      <c r="M3" s="42">
        <f>Table84[[#This Row],[d1]]/Table84[[#This Row],[tw]]</f>
        <v>96</v>
      </c>
      <c r="N3" s="43">
        <f>Table84[[#This Row],[d]]*Table84[[#This Row],[bf]]-Table84[[#This Row],[d1]]*Table84[[#This Row],[b1]]</f>
        <v>3.2520000000000049E-2</v>
      </c>
      <c r="O3" s="44">
        <f>(Table84[[#This Row],[bf]]*Table84[[#This Row],[d]]^3-Table84[[#This Row],[b1]]*Table84[[#This Row],[d1]]^3)/12</f>
        <v>4.6731360000000039E-3</v>
      </c>
      <c r="P3" s="17">
        <f t="array" ref="P3">INDEX(tbllkpSteelGrades[fy],MATCH(1,(Table84[[#This Row],[Grade]]=tbllkpSteelGrades[Grade])*(Table84[[#This Row],[tw]]&lt;=tbllkpSteelGrades[Thickness]),0))</f>
        <v>320000000</v>
      </c>
      <c r="Q3" s="17">
        <f t="array" ref="Q3">INDEX(tbllkpSteelGrades[fy],MATCH(1,(Table84[[#This Row],[Grade]]=tbllkpSteelGrades[Grade])*(Table84[[#This Row],[tf]]&lt;=tbllkpSteelGrades[Thickness]),0))</f>
        <v>280000000</v>
      </c>
      <c r="R3" s="17">
        <f>MIN(Table84[[#This Row],[fy_web]],Table84[[#This Row],[fy_flange]])</f>
        <v>280000000</v>
      </c>
      <c r="S3" s="17">
        <f t="array" ref="S3">INDEX(tbllkpSteelGrades[fu],MATCH(1,(Table84[[#This Row],[Grade]]=tbllkpSteelGrades[Grade])*(Table84[[#This Row],[tw]]&lt;=tbllkpSteelGrades[Thickness]),0))</f>
        <v>440000000</v>
      </c>
      <c r="T3" s="18">
        <f>IF(Table84[[#This Row],[Fabrication Type]]="Welded",Table84[[#This Row],[d1]],Table84[[#This Row],[d]])*Table84[[#This Row],[tw]]*2</f>
        <v>1.9199999999999998E-2</v>
      </c>
      <c r="U3" s="11">
        <f>Table84[[#This Row],[Aw]]*Table84[[#This Row],[fy_web]]*0.6</f>
        <v>3686399.9999999995</v>
      </c>
      <c r="V3" s="35">
        <f>82/SQRT(Table84[[#This Row],[fy_web]]/250000000)</f>
        <v>72.478445071621124</v>
      </c>
      <c r="W3" s="36">
        <f>IF((Table84[[#This Row],[d1]]/Table84[[#This Row],[tw]])&gt;Table84[[#This Row],[limiting web slenderness]],(82/((Table84[[#This Row],[d1]]/Table84[[#This Row],[tw]])*SQRT(Table84[[#This Row],[fy_web]]/250000000)))^2,1)</f>
        <v>0.57000054253472221</v>
      </c>
      <c r="X3" s="38">
        <f>IF(Table84[[#This Row],[Fabrication Type]]="Welded",IF(Table84[[#This Row],[tw]]&gt;0.016,0.016*Table84[[#This Row],[fu]],Table84[[#This Row],[tw]]*Table84[[#This Row],[fu]]),"")*2</f>
        <v>8800000</v>
      </c>
      <c r="Y3" s="13">
        <f>Table84[[#This Row],[d]]-Table84[[#This Row],[tf]]</f>
        <v>0.98</v>
      </c>
      <c r="Z3" s="39">
        <f>Table84[[#This Row],[bf]]*Table84[[#This Row],[tf]]*(Table84[[#This Row],[df]]/2)</f>
        <v>3.2634000000000001E-3</v>
      </c>
      <c r="AA3" s="11">
        <f>IF(Table84[[#This Row],[Fabrication Type]]="Welded",Table84[[#This Row],[vw]]*Table84[[#This Row],[Ix]]/Table84[[#This Row],[Qflange]],"")</f>
        <v>12601457.620886203</v>
      </c>
      <c r="AB3" s="11">
        <f>2*Table84[[#This Row],[tw]]*MIN(Table84[[#This Row],[fy_web]], Table84[[#This Row],[fy_flange]])*0.6*Table84[[#This Row],[Ix]]/Table84[[#This Row],[Qflange]]</f>
        <v>4811465.6370656407</v>
      </c>
      <c r="AC3" s="50">
        <f ca="1">INDEX(tbllkpkt[kt],MATCH(RANDBETWEEN(1,4),tbllkpkt[Index],0))</f>
        <v>1</v>
      </c>
      <c r="AD3" s="48">
        <f t="shared" ref="AD3:AD12" ca="1" si="0">1-RANDBETWEEN(0,10)/100</f>
        <v>0.99</v>
      </c>
      <c r="AE3" s="43">
        <f ca="1">Table84[[#This Row],[Ag]]*Table84[[#This Row],[Deduction_for_An]]</f>
        <v>3.2194800000000051E-2</v>
      </c>
      <c r="AF3" s="11">
        <f>Table84[[#This Row],[fy]]*Table84[[#This Row],[Ag]]</f>
        <v>9105600.000000013</v>
      </c>
      <c r="AG3" s="11">
        <f ca="1">Table84[[#This Row],[αu]]*Table84[[#This Row],[kt]]*Table84[[#This Row],[An]]*Table84[[#This Row],[fu]]</f>
        <v>12040855.200000018</v>
      </c>
      <c r="AH3" s="11">
        <f ca="1">MIN(Table84[[#This Row],[Nty]],Table84[[#This Row],[Ntu]])</f>
        <v>9105600.000000013</v>
      </c>
    </row>
    <row r="4" spans="2:34" x14ac:dyDescent="0.25">
      <c r="B4" s="14" t="str">
        <f>Table84[[#This Row],[Section]]&amp;"-"&amp;TEXT(Table84[[#This Row],[Grade]],"0")</f>
        <v>1000x666x20Fx10W-300HR</v>
      </c>
      <c r="C4" s="3" t="str">
        <f>Table84[[#This Row],[d]]*1000&amp;"x"&amp;Table84[[#This Row],[bf]]*1000&amp;"x"&amp;Table84[[#This Row],[tf]]*1000&amp;"Fx"&amp;Table84[[#This Row],[tw]]*1000&amp;"W"</f>
        <v>1000x666x20Fx10W</v>
      </c>
      <c r="D4" s="3" t="s">
        <v>106</v>
      </c>
      <c r="E4" s="3" t="s">
        <v>14</v>
      </c>
      <c r="F4" s="5">
        <v>1</v>
      </c>
      <c r="G4" s="5">
        <v>0.66600000000000004</v>
      </c>
      <c r="H4" s="5">
        <v>0.02</v>
      </c>
      <c r="I4" s="5">
        <v>0.01</v>
      </c>
      <c r="J4" s="45">
        <v>0.85</v>
      </c>
      <c r="K4" s="41">
        <f>Table84[[#This Row],[d]]-Table84[[#This Row],[tf]]*2</f>
        <v>0.96</v>
      </c>
      <c r="L4" s="41">
        <f>Table84[[#This Row],[bf]]-2*Table84[[#This Row],[tw]]</f>
        <v>0.64600000000000002</v>
      </c>
      <c r="M4" s="42">
        <f>Table84[[#This Row],[d1]]/Table84[[#This Row],[tw]]</f>
        <v>96</v>
      </c>
      <c r="N4" s="43">
        <f>Table84[[#This Row],[d]]*Table84[[#This Row],[bf]]-Table84[[#This Row],[d1]]*Table84[[#This Row],[b1]]</f>
        <v>4.5839999999999992E-2</v>
      </c>
      <c r="O4" s="44">
        <f>(Table84[[#This Row],[bf]]*Table84[[#This Row],[d]]^3-Table84[[#This Row],[b1]]*Table84[[#This Row],[d1]]^3)/12</f>
        <v>7.8717120000000029E-3</v>
      </c>
      <c r="P4" s="17">
        <f t="array" ref="P4">INDEX(tbllkpSteelGrades[fy],MATCH(1,(Table84[[#This Row],[Grade]]=tbllkpSteelGrades[Grade])*(Table84[[#This Row],[tw]]&lt;=tbllkpSteelGrades[Thickness]),0))</f>
        <v>320000000</v>
      </c>
      <c r="Q4" s="17">
        <f t="array" ref="Q4">INDEX(tbllkpSteelGrades[fy],MATCH(1,(Table84[[#This Row],[Grade]]=tbllkpSteelGrades[Grade])*(Table84[[#This Row],[tf]]&lt;=tbllkpSteelGrades[Thickness]),0))</f>
        <v>280000000</v>
      </c>
      <c r="R4" s="17">
        <f>MIN(Table84[[#This Row],[fy_web]],Table84[[#This Row],[fy_flange]])</f>
        <v>280000000</v>
      </c>
      <c r="S4" s="17">
        <f t="array" ref="S4">INDEX(tbllkpSteelGrades[fu],MATCH(1,(Table84[[#This Row],[Grade]]=tbllkpSteelGrades[Grade])*(Table84[[#This Row],[tw]]&lt;=tbllkpSteelGrades[Thickness]),0))</f>
        <v>440000000</v>
      </c>
      <c r="T4" s="18">
        <f>IF(Table84[[#This Row],[Fabrication Type]]="Welded",Table84[[#This Row],[d1]],Table84[[#This Row],[d]])*Table84[[#This Row],[tw]]*2</f>
        <v>1.9199999999999998E-2</v>
      </c>
      <c r="U4" s="11">
        <f>Table84[[#This Row],[Aw]]*Table84[[#This Row],[fy_web]]*0.6</f>
        <v>3686399.9999999995</v>
      </c>
      <c r="V4" s="35">
        <f>82/SQRT(Table84[[#This Row],[fy_web]]/250000000)</f>
        <v>72.478445071621124</v>
      </c>
      <c r="W4" s="36">
        <f>IF((Table84[[#This Row],[d1]]/Table84[[#This Row],[tw]])&gt;Table84[[#This Row],[limiting web slenderness]],(82/((Table84[[#This Row],[d1]]/Table84[[#This Row],[tw]])*SQRT(Table84[[#This Row],[fy_web]]/250000000)))^2,1)</f>
        <v>0.57000054253472221</v>
      </c>
      <c r="X4" s="38">
        <f>IF(Table84[[#This Row],[Fabrication Type]]="Welded",IF(Table84[[#This Row],[tw]]&gt;0.016,0.016*Table84[[#This Row],[fu]],Table84[[#This Row],[tw]]*Table84[[#This Row],[fu]]),"")*2</f>
        <v>8800000</v>
      </c>
      <c r="Y4" s="13">
        <f>Table84[[#This Row],[d]]-Table84[[#This Row],[tf]]</f>
        <v>0.98</v>
      </c>
      <c r="Z4" s="39">
        <f>Table84[[#This Row],[bf]]*Table84[[#This Row],[tf]]*(Table84[[#This Row],[df]]/2)</f>
        <v>6.5268000000000001E-3</v>
      </c>
      <c r="AA4" s="11">
        <f>IF(Table84[[#This Row],[Fabrication Type]]="Welded",Table84[[#This Row],[vw]]*Table84[[#This Row],[Ix]]/Table84[[#This Row],[Qflange]],"")</f>
        <v>10613327.449898884</v>
      </c>
      <c r="AB4" s="11">
        <f>2*Table84[[#This Row],[tw]]*MIN(Table84[[#This Row],[fy_web]], Table84[[#This Row],[fy_flange]])*0.6*Table84[[#This Row],[Ix]]/Table84[[#This Row],[Qflange]]</f>
        <v>4052361.3899613917</v>
      </c>
      <c r="AC4" s="50">
        <f ca="1">INDEX(tbllkpkt[kt],MATCH(RANDBETWEEN(1,4),tbllkpkt[Index],0))</f>
        <v>0.75</v>
      </c>
      <c r="AD4" s="48">
        <f ca="1">1-RANDBETWEEN(0,10)/100</f>
        <v>0.94</v>
      </c>
      <c r="AE4" s="43">
        <f ca="1">Table84[[#This Row],[Ag]]*Table84[[#This Row],[Deduction_for_An]]</f>
        <v>4.3089599999999992E-2</v>
      </c>
      <c r="AF4" s="11">
        <f>Table84[[#This Row],[fy]]*Table84[[#This Row],[Ag]]</f>
        <v>12835199.999999998</v>
      </c>
      <c r="AG4" s="11">
        <f ca="1">Table84[[#This Row],[αu]]*Table84[[#This Row],[kt]]*Table84[[#This Row],[An]]*Table84[[#This Row],[fu]]</f>
        <v>12086632.799999997</v>
      </c>
      <c r="AH4" s="11">
        <f ca="1">MIN(Table84[[#This Row],[Nty]],Table84[[#This Row],[Ntu]])</f>
        <v>12086632.799999997</v>
      </c>
    </row>
    <row r="5" spans="2:34" x14ac:dyDescent="0.25">
      <c r="B5" s="14" t="str">
        <f>Table84[[#This Row],[Section]]&amp;"-"&amp;TEXT(Table84[[#This Row],[Grade]],"0")</f>
        <v>1000x1000x20Fx10W-300HR</v>
      </c>
      <c r="C5" s="3" t="str">
        <f>Table84[[#This Row],[d]]*1000&amp;"x"&amp;Table84[[#This Row],[bf]]*1000&amp;"x"&amp;Table84[[#This Row],[tf]]*1000&amp;"Fx"&amp;Table84[[#This Row],[tw]]*1000&amp;"W"</f>
        <v>1000x1000x20Fx10W</v>
      </c>
      <c r="D5" s="3" t="s">
        <v>106</v>
      </c>
      <c r="E5" s="3" t="s">
        <v>14</v>
      </c>
      <c r="F5" s="5">
        <v>1</v>
      </c>
      <c r="G5" s="5">
        <v>1</v>
      </c>
      <c r="H5" s="5">
        <v>0.02</v>
      </c>
      <c r="I5" s="5">
        <v>0.01</v>
      </c>
      <c r="J5" s="45">
        <v>0.85</v>
      </c>
      <c r="K5" s="41">
        <f>Table84[[#This Row],[d]]-Table84[[#This Row],[tf]]*2</f>
        <v>0.96</v>
      </c>
      <c r="L5" s="41">
        <f>Table84[[#This Row],[bf]]-2*Table84[[#This Row],[tw]]</f>
        <v>0.98</v>
      </c>
      <c r="M5" s="42">
        <f>Table84[[#This Row],[d1]]/Table84[[#This Row],[tw]]</f>
        <v>96</v>
      </c>
      <c r="N5" s="43">
        <f>Table84[[#This Row],[d]]*Table84[[#This Row],[bf]]-Table84[[#This Row],[d1]]*Table84[[#This Row],[b1]]</f>
        <v>5.920000000000003E-2</v>
      </c>
      <c r="O5" s="44">
        <f>(Table84[[#This Row],[bf]]*Table84[[#This Row],[d]]^3-Table84[[#This Row],[b1]]*Table84[[#This Row],[d1]]^3)/12</f>
        <v>1.107989333333334E-2</v>
      </c>
      <c r="P5" s="17">
        <f t="array" ref="P5">INDEX(tbllkpSteelGrades[fy],MATCH(1,(Table84[[#This Row],[Grade]]=tbllkpSteelGrades[Grade])*(Table84[[#This Row],[tw]]&lt;=tbllkpSteelGrades[Thickness]),0))</f>
        <v>320000000</v>
      </c>
      <c r="Q5" s="17">
        <f t="array" ref="Q5">INDEX(tbllkpSteelGrades[fy],MATCH(1,(Table84[[#This Row],[Grade]]=tbllkpSteelGrades[Grade])*(Table84[[#This Row],[tf]]&lt;=tbllkpSteelGrades[Thickness]),0))</f>
        <v>280000000</v>
      </c>
      <c r="R5" s="17">
        <f>MIN(Table84[[#This Row],[fy_web]],Table84[[#This Row],[fy_flange]])</f>
        <v>280000000</v>
      </c>
      <c r="S5" s="17">
        <f t="array" ref="S5">INDEX(tbllkpSteelGrades[fu],MATCH(1,(Table84[[#This Row],[Grade]]=tbllkpSteelGrades[Grade])*(Table84[[#This Row],[tw]]&lt;=tbllkpSteelGrades[Thickness]),0))</f>
        <v>440000000</v>
      </c>
      <c r="T5" s="18">
        <f>IF(Table84[[#This Row],[Fabrication Type]]="Welded",Table84[[#This Row],[d1]],Table84[[#This Row],[d]])*Table84[[#This Row],[tw]]*2</f>
        <v>1.9199999999999998E-2</v>
      </c>
      <c r="U5" s="11">
        <f>Table84[[#This Row],[Aw]]*Table84[[#This Row],[fy_web]]*0.6</f>
        <v>3686399.9999999995</v>
      </c>
      <c r="V5" s="35">
        <f>82/SQRT(Table84[[#This Row],[fy_web]]/250000000)</f>
        <v>72.478445071621124</v>
      </c>
      <c r="W5" s="36">
        <f>IF((Table84[[#This Row],[d1]]/Table84[[#This Row],[tw]])&gt;Table84[[#This Row],[limiting web slenderness]],(82/((Table84[[#This Row],[d1]]/Table84[[#This Row],[tw]])*SQRT(Table84[[#This Row],[fy_web]]/250000000)))^2,1)</f>
        <v>0.57000054253472221</v>
      </c>
      <c r="X5" s="38">
        <f>IF(Table84[[#This Row],[Fabrication Type]]="Welded",IF(Table84[[#This Row],[tw]]&gt;0.016,0.016*Table84[[#This Row],[fu]],Table84[[#This Row],[tw]]*Table84[[#This Row],[fu]]),"")*2</f>
        <v>8800000</v>
      </c>
      <c r="Y5" s="13">
        <f>Table84[[#This Row],[d]]-Table84[[#This Row],[tf]]</f>
        <v>0.98</v>
      </c>
      <c r="Z5" s="39">
        <f>Table84[[#This Row],[bf]]*Table84[[#This Row],[tf]]*(Table84[[#This Row],[df]]/2)</f>
        <v>9.7999999999999997E-3</v>
      </c>
      <c r="AA5" s="11">
        <f>IF(Table84[[#This Row],[Fabrication Type]]="Welded",Table84[[#This Row],[vw]]*Table84[[#This Row],[Ix]]/Table84[[#This Row],[Qflange]],"")</f>
        <v>9949291.9727891218</v>
      </c>
      <c r="AB5" s="11">
        <f>2*Table84[[#This Row],[tw]]*MIN(Table84[[#This Row],[fy_web]], Table84[[#This Row],[fy_flange]])*0.6*Table84[[#This Row],[Ix]]/Table84[[#This Row],[Qflange]]</f>
        <v>3798820.5714285742</v>
      </c>
      <c r="AC5" s="50">
        <f ca="1">INDEX(tbllkpkt[kt],MATCH(RANDBETWEEN(1,4),tbllkpkt[Index],0))</f>
        <v>0.9</v>
      </c>
      <c r="AD5" s="48">
        <f t="shared" ca="1" si="0"/>
        <v>0.9</v>
      </c>
      <c r="AE5" s="43">
        <f ca="1">Table84[[#This Row],[Ag]]*Table84[[#This Row],[Deduction_for_An]]</f>
        <v>5.3280000000000029E-2</v>
      </c>
      <c r="AF5" s="11">
        <f>Table84[[#This Row],[fy]]*Table84[[#This Row],[Ag]]</f>
        <v>16576000.000000009</v>
      </c>
      <c r="AG5" s="11">
        <f ca="1">Table84[[#This Row],[αu]]*Table84[[#This Row],[kt]]*Table84[[#This Row],[An]]*Table84[[#This Row],[fu]]</f>
        <v>17934048.000000011</v>
      </c>
      <c r="AH5" s="11">
        <f ca="1">MIN(Table84[[#This Row],[Nty]],Table84[[#This Row],[Ntu]])</f>
        <v>16576000.000000009</v>
      </c>
    </row>
    <row r="6" spans="2:34" x14ac:dyDescent="0.25">
      <c r="B6" s="14" t="str">
        <f>Table84[[#This Row],[Section]]&amp;"-"&amp;TEXT(Table84[[#This Row],[Grade]],"0")</f>
        <v>1000x1333x20Fx10W-300HR</v>
      </c>
      <c r="C6" s="3" t="str">
        <f>Table84[[#This Row],[d]]*1000&amp;"x"&amp;Table84[[#This Row],[bf]]*1000&amp;"x"&amp;Table84[[#This Row],[tf]]*1000&amp;"Fx"&amp;Table84[[#This Row],[tw]]*1000&amp;"W"</f>
        <v>1000x1333x20Fx10W</v>
      </c>
      <c r="D6" s="3" t="s">
        <v>106</v>
      </c>
      <c r="E6" s="3" t="s">
        <v>14</v>
      </c>
      <c r="F6" s="5">
        <v>1</v>
      </c>
      <c r="G6" s="5">
        <v>1.333</v>
      </c>
      <c r="H6" s="5">
        <v>0.02</v>
      </c>
      <c r="I6" s="5">
        <v>0.01</v>
      </c>
      <c r="J6" s="45">
        <v>0.85</v>
      </c>
      <c r="K6" s="41">
        <f>Table84[[#This Row],[d]]-Table84[[#This Row],[tf]]*2</f>
        <v>0.96</v>
      </c>
      <c r="L6" s="41">
        <f>Table84[[#This Row],[bf]]-2*Table84[[#This Row],[tw]]</f>
        <v>1.3129999999999999</v>
      </c>
      <c r="M6" s="42">
        <f>Table84[[#This Row],[d1]]/Table84[[#This Row],[tw]]</f>
        <v>96</v>
      </c>
      <c r="N6" s="43">
        <f>Table84[[#This Row],[d]]*Table84[[#This Row],[bf]]-Table84[[#This Row],[d1]]*Table84[[#This Row],[b1]]</f>
        <v>7.252000000000014E-2</v>
      </c>
      <c r="O6" s="44">
        <f>(Table84[[#This Row],[bf]]*Table84[[#This Row],[d]]^3-Table84[[#This Row],[b1]]*Table84[[#This Row],[d1]]^3)/12</f>
        <v>1.427846933333334E-2</v>
      </c>
      <c r="P6" s="17">
        <f t="array" ref="P6">INDEX(tbllkpSteelGrades[fy],MATCH(1,(Table84[[#This Row],[Grade]]=tbllkpSteelGrades[Grade])*(Table84[[#This Row],[tw]]&lt;=tbllkpSteelGrades[Thickness]),0))</f>
        <v>320000000</v>
      </c>
      <c r="Q6" s="17">
        <f t="array" ref="Q6">INDEX(tbllkpSteelGrades[fy],MATCH(1,(Table84[[#This Row],[Grade]]=tbllkpSteelGrades[Grade])*(Table84[[#This Row],[tf]]&lt;=tbllkpSteelGrades[Thickness]),0))</f>
        <v>280000000</v>
      </c>
      <c r="R6" s="17">
        <f>MIN(Table84[[#This Row],[fy_web]],Table84[[#This Row],[fy_flange]])</f>
        <v>280000000</v>
      </c>
      <c r="S6" s="17">
        <f t="array" ref="S6">INDEX(tbllkpSteelGrades[fu],MATCH(1,(Table84[[#This Row],[Grade]]=tbllkpSteelGrades[Grade])*(Table84[[#This Row],[tw]]&lt;=tbllkpSteelGrades[Thickness]),0))</f>
        <v>440000000</v>
      </c>
      <c r="T6" s="18">
        <f>IF(Table84[[#This Row],[Fabrication Type]]="Welded",Table84[[#This Row],[d1]],Table84[[#This Row],[d]])*Table84[[#This Row],[tw]]*2</f>
        <v>1.9199999999999998E-2</v>
      </c>
      <c r="U6" s="11">
        <f>Table84[[#This Row],[Aw]]*Table84[[#This Row],[fy_web]]*0.6</f>
        <v>3686399.9999999995</v>
      </c>
      <c r="V6" s="35">
        <f>82/SQRT(Table84[[#This Row],[fy_web]]/250000000)</f>
        <v>72.478445071621124</v>
      </c>
      <c r="W6" s="36">
        <f>IF((Table84[[#This Row],[d1]]/Table84[[#This Row],[tw]])&gt;Table84[[#This Row],[limiting web slenderness]],(82/((Table84[[#This Row],[d1]]/Table84[[#This Row],[tw]])*SQRT(Table84[[#This Row],[fy_web]]/250000000)))^2,1)</f>
        <v>0.57000054253472221</v>
      </c>
      <c r="X6" s="38">
        <f>IF(Table84[[#This Row],[Fabrication Type]]="Welded",IF(Table84[[#This Row],[tw]]&gt;0.016,0.016*Table84[[#This Row],[fu]],Table84[[#This Row],[tw]]*Table84[[#This Row],[fu]]),"")*2</f>
        <v>8800000</v>
      </c>
      <c r="Y6" s="13">
        <f>Table84[[#This Row],[d]]-Table84[[#This Row],[tf]]</f>
        <v>0.98</v>
      </c>
      <c r="Z6" s="39">
        <f>Table84[[#This Row],[bf]]*Table84[[#This Row],[tf]]*(Table84[[#This Row],[df]]/2)</f>
        <v>1.3063399999999999E-2</v>
      </c>
      <c r="AA6" s="11">
        <f>IF(Table84[[#This Row],[Fabrication Type]]="Welded",Table84[[#This Row],[vw]]*Table84[[#This Row],[Ix]]/Table84[[#This Row],[Qflange]],"")</f>
        <v>9618516.6291572936</v>
      </c>
      <c r="AB6" s="11">
        <f>2*Table84[[#This Row],[tw]]*MIN(Table84[[#This Row],[fy_web]], Table84[[#This Row],[fy_flange]])*0.6*Table84[[#This Row],[Ix]]/Table84[[#This Row],[Qflange]]</f>
        <v>3672524.5311327851</v>
      </c>
      <c r="AC6" s="50">
        <f ca="1">INDEX(tbllkpkt[kt],MATCH(RANDBETWEEN(1,4),tbllkpkt[Index],0))</f>
        <v>1</v>
      </c>
      <c r="AD6" s="48">
        <f t="shared" ca="1" si="0"/>
        <v>0.92</v>
      </c>
      <c r="AE6" s="43">
        <f ca="1">Table84[[#This Row],[Ag]]*Table84[[#This Row],[Deduction_for_An]]</f>
        <v>6.6718400000000136E-2</v>
      </c>
      <c r="AF6" s="11">
        <f>Table84[[#This Row],[fy]]*Table84[[#This Row],[Ag]]</f>
        <v>20305600.000000041</v>
      </c>
      <c r="AG6" s="11">
        <f ca="1">Table84[[#This Row],[αu]]*Table84[[#This Row],[kt]]*Table84[[#This Row],[An]]*Table84[[#This Row],[fu]]</f>
        <v>24952681.60000005</v>
      </c>
      <c r="AH6" s="11">
        <f ca="1">MIN(Table84[[#This Row],[Nty]],Table84[[#This Row],[Ntu]])</f>
        <v>20305600.000000041</v>
      </c>
    </row>
    <row r="7" spans="2:34" x14ac:dyDescent="0.25">
      <c r="B7" s="14" t="str">
        <f>Table84[[#This Row],[Section]]&amp;"-"&amp;TEXT(Table84[[#This Row],[Grade]],"0")</f>
        <v>1000x1666x20Fx10W-300HR</v>
      </c>
      <c r="C7" s="3" t="str">
        <f>Table84[[#This Row],[d]]*1000&amp;"x"&amp;Table84[[#This Row],[bf]]*1000&amp;"x"&amp;Table84[[#This Row],[tf]]*1000&amp;"Fx"&amp;Table84[[#This Row],[tw]]*1000&amp;"W"</f>
        <v>1000x1666x20Fx10W</v>
      </c>
      <c r="D7" s="3" t="s">
        <v>106</v>
      </c>
      <c r="E7" s="3" t="s">
        <v>14</v>
      </c>
      <c r="F7" s="5">
        <v>1</v>
      </c>
      <c r="G7" s="5">
        <v>1.6659999999999999</v>
      </c>
      <c r="H7" s="5">
        <v>0.02</v>
      </c>
      <c r="I7" s="5">
        <v>0.01</v>
      </c>
      <c r="J7" s="45">
        <v>0.85</v>
      </c>
      <c r="K7" s="41">
        <f>Table84[[#This Row],[d]]-Table84[[#This Row],[tf]]*2</f>
        <v>0.96</v>
      </c>
      <c r="L7" s="41">
        <f>Table84[[#This Row],[bf]]-2*Table84[[#This Row],[tw]]</f>
        <v>1.6459999999999999</v>
      </c>
      <c r="M7" s="42">
        <f>Table84[[#This Row],[d1]]/Table84[[#This Row],[tw]]</f>
        <v>96</v>
      </c>
      <c r="N7" s="43">
        <f>Table84[[#This Row],[d]]*Table84[[#This Row],[bf]]-Table84[[#This Row],[d1]]*Table84[[#This Row],[b1]]</f>
        <v>8.5840000000000138E-2</v>
      </c>
      <c r="O7" s="44">
        <f>(Table84[[#This Row],[bf]]*Table84[[#This Row],[d]]^3-Table84[[#This Row],[b1]]*Table84[[#This Row],[d1]]^3)/12</f>
        <v>1.747704533333333E-2</v>
      </c>
      <c r="P7" s="17">
        <f t="array" ref="P7">INDEX(tbllkpSteelGrades[fy],MATCH(1,(Table84[[#This Row],[Grade]]=tbllkpSteelGrades[Grade])*(Table84[[#This Row],[tw]]&lt;=tbllkpSteelGrades[Thickness]),0))</f>
        <v>320000000</v>
      </c>
      <c r="Q7" s="17">
        <f t="array" ref="Q7">INDEX(tbllkpSteelGrades[fy],MATCH(1,(Table84[[#This Row],[Grade]]=tbllkpSteelGrades[Grade])*(Table84[[#This Row],[tf]]&lt;=tbllkpSteelGrades[Thickness]),0))</f>
        <v>280000000</v>
      </c>
      <c r="R7" s="17">
        <f>MIN(Table84[[#This Row],[fy_web]],Table84[[#This Row],[fy_flange]])</f>
        <v>280000000</v>
      </c>
      <c r="S7" s="17">
        <f t="array" ref="S7">INDEX(tbllkpSteelGrades[fu],MATCH(1,(Table84[[#This Row],[Grade]]=tbllkpSteelGrades[Grade])*(Table84[[#This Row],[tw]]&lt;=tbllkpSteelGrades[Thickness]),0))</f>
        <v>440000000</v>
      </c>
      <c r="T7" s="18">
        <f>IF(Table84[[#This Row],[Fabrication Type]]="Welded",Table84[[#This Row],[d1]],Table84[[#This Row],[d]])*Table84[[#This Row],[tw]]*2</f>
        <v>1.9199999999999998E-2</v>
      </c>
      <c r="U7" s="11">
        <f>Table84[[#This Row],[Aw]]*Table84[[#This Row],[fy_web]]*0.6</f>
        <v>3686399.9999999995</v>
      </c>
      <c r="V7" s="35">
        <f>82/SQRT(Table84[[#This Row],[fy_web]]/250000000)</f>
        <v>72.478445071621124</v>
      </c>
      <c r="W7" s="36">
        <f>IF((Table84[[#This Row],[d1]]/Table84[[#This Row],[tw]])&gt;Table84[[#This Row],[limiting web slenderness]],(82/((Table84[[#This Row],[d1]]/Table84[[#This Row],[tw]])*SQRT(Table84[[#This Row],[fy_web]]/250000000)))^2,1)</f>
        <v>0.57000054253472221</v>
      </c>
      <c r="X7" s="38">
        <f>IF(Table84[[#This Row],[Fabrication Type]]="Welded",IF(Table84[[#This Row],[tw]]&gt;0.016,0.016*Table84[[#This Row],[fu]],Table84[[#This Row],[tw]]*Table84[[#This Row],[fu]]),"")*2</f>
        <v>8800000</v>
      </c>
      <c r="Y7" s="13">
        <f>Table84[[#This Row],[d]]-Table84[[#This Row],[tf]]</f>
        <v>0.98</v>
      </c>
      <c r="Z7" s="39">
        <f>Table84[[#This Row],[bf]]*Table84[[#This Row],[tf]]*(Table84[[#This Row],[df]]/2)</f>
        <v>1.6326800000000002E-2</v>
      </c>
      <c r="AA7" s="11">
        <f>IF(Table84[[#This Row],[Fabrication Type]]="Welded",Table84[[#This Row],[vw]]*Table84[[#This Row],[Ix]]/Table84[[#This Row],[Qflange]],"")</f>
        <v>9419972.0051285774</v>
      </c>
      <c r="AB7" s="11">
        <f>2*Table84[[#This Row],[tw]]*MIN(Table84[[#This Row],[fy_web]], Table84[[#This Row],[fy_flange]])*0.6*Table84[[#This Row],[Ix]]/Table84[[#This Row],[Qflange]]</f>
        <v>3596716.5837763664</v>
      </c>
      <c r="AC7" s="50">
        <f ca="1">INDEX(tbllkpkt[kt],MATCH(RANDBETWEEN(1,4),tbllkpkt[Index],0))</f>
        <v>0.85</v>
      </c>
      <c r="AD7" s="48">
        <f t="shared" ca="1" si="0"/>
        <v>1</v>
      </c>
      <c r="AE7" s="43">
        <f ca="1">Table84[[#This Row],[Ag]]*Table84[[#This Row],[Deduction_for_An]]</f>
        <v>8.5840000000000138E-2</v>
      </c>
      <c r="AF7" s="11">
        <f>Table84[[#This Row],[fy]]*Table84[[#This Row],[Ag]]</f>
        <v>24035200.000000037</v>
      </c>
      <c r="AG7" s="11">
        <f ca="1">Table84[[#This Row],[αu]]*Table84[[#This Row],[kt]]*Table84[[#This Row],[An]]*Table84[[#This Row],[fu]]</f>
        <v>27288536.000000041</v>
      </c>
      <c r="AH7" s="11">
        <f ca="1">MIN(Table84[[#This Row],[Nty]],Table84[[#This Row],[Ntu]])</f>
        <v>24035200.000000037</v>
      </c>
    </row>
    <row r="8" spans="2:34" x14ac:dyDescent="0.25">
      <c r="B8" s="14" t="str">
        <f>Table84[[#This Row],[Section]]&amp;"-"&amp;TEXT(Table84[[#This Row],[Grade]],"0")</f>
        <v>500x333x20Fx10W-300HR</v>
      </c>
      <c r="C8" s="3" t="str">
        <f>Table84[[#This Row],[d]]*1000&amp;"x"&amp;Table84[[#This Row],[bf]]*1000&amp;"x"&amp;Table84[[#This Row],[tf]]*1000&amp;"Fx"&amp;Table84[[#This Row],[tw]]*1000&amp;"W"</f>
        <v>500x333x20Fx10W</v>
      </c>
      <c r="D8" s="3" t="s">
        <v>106</v>
      </c>
      <c r="E8" s="3" t="s">
        <v>14</v>
      </c>
      <c r="F8" s="5">
        <v>0.5</v>
      </c>
      <c r="G8" s="5">
        <v>0.33300000000000002</v>
      </c>
      <c r="H8" s="5">
        <v>0.02</v>
      </c>
      <c r="I8" s="5">
        <v>0.01</v>
      </c>
      <c r="J8" s="45">
        <v>0.85</v>
      </c>
      <c r="K8" s="41">
        <f>Table84[[#This Row],[d]]-Table84[[#This Row],[tf]]*2</f>
        <v>0.46</v>
      </c>
      <c r="L8" s="41">
        <f>Table84[[#This Row],[bf]]-2*Table84[[#This Row],[tw]]</f>
        <v>0.313</v>
      </c>
      <c r="M8" s="42">
        <f>Table84[[#This Row],[d1]]/Table84[[#This Row],[tw]]</f>
        <v>46</v>
      </c>
      <c r="N8" s="43">
        <f>Table84[[#This Row],[d]]*Table84[[#This Row],[bf]]-Table84[[#This Row],[d1]]*Table84[[#This Row],[b1]]</f>
        <v>2.2520000000000012E-2</v>
      </c>
      <c r="O8" s="44">
        <f>(Table84[[#This Row],[bf]]*Table84[[#This Row],[d]]^3-Table84[[#This Row],[b1]]*Table84[[#This Row],[d1]]^3)/12</f>
        <v>9.2990266666666667E-4</v>
      </c>
      <c r="P8" s="17">
        <f t="array" ref="P8">INDEX(tbllkpSteelGrades[fy],MATCH(1,(Table84[[#This Row],[Grade]]=tbllkpSteelGrades[Grade])*(Table84[[#This Row],[tw]]&lt;=tbllkpSteelGrades[Thickness]),0))</f>
        <v>320000000</v>
      </c>
      <c r="Q8" s="17">
        <f t="array" ref="Q8">INDEX(tbllkpSteelGrades[fy],MATCH(1,(Table84[[#This Row],[Grade]]=tbllkpSteelGrades[Grade])*(Table84[[#This Row],[tf]]&lt;=tbllkpSteelGrades[Thickness]),0))</f>
        <v>280000000</v>
      </c>
      <c r="R8" s="17">
        <f>MIN(Table84[[#This Row],[fy_web]],Table84[[#This Row],[fy_flange]])</f>
        <v>280000000</v>
      </c>
      <c r="S8" s="17">
        <f t="array" ref="S8">INDEX(tbllkpSteelGrades[fu],MATCH(1,(Table84[[#This Row],[Grade]]=tbllkpSteelGrades[Grade])*(Table84[[#This Row],[tw]]&lt;=tbllkpSteelGrades[Thickness]),0))</f>
        <v>440000000</v>
      </c>
      <c r="T8" s="18">
        <f>IF(Table84[[#This Row],[Fabrication Type]]="Welded",Table84[[#This Row],[d1]],Table84[[#This Row],[d]])*Table84[[#This Row],[tw]]*2</f>
        <v>9.1999999999999998E-3</v>
      </c>
      <c r="U8" s="11">
        <f>Table84[[#This Row],[Aw]]*Table84[[#This Row],[fy_web]]*0.6</f>
        <v>1766400</v>
      </c>
      <c r="V8" s="35">
        <f>82/SQRT(Table84[[#This Row],[fy_web]]/250000000)</f>
        <v>72.478445071621124</v>
      </c>
      <c r="W8" s="36">
        <f>IF((Table84[[#This Row],[d1]]/Table84[[#This Row],[tw]])&gt;Table84[[#This Row],[limiting web slenderness]],(82/((Table84[[#This Row],[d1]]/Table84[[#This Row],[tw]])*SQRT(Table84[[#This Row],[fy_web]]/250000000)))^2,1)</f>
        <v>1</v>
      </c>
      <c r="X8" s="38">
        <f>IF(Table84[[#This Row],[Fabrication Type]]="Welded",IF(Table84[[#This Row],[tw]]&gt;0.016,0.016*Table84[[#This Row],[fu]],Table84[[#This Row],[tw]]*Table84[[#This Row],[fu]]),"")*2</f>
        <v>8800000</v>
      </c>
      <c r="Y8" s="13">
        <f>Table84[[#This Row],[d]]-Table84[[#This Row],[tf]]</f>
        <v>0.48</v>
      </c>
      <c r="Z8" s="39">
        <f>Table84[[#This Row],[bf]]*Table84[[#This Row],[tf]]*(Table84[[#This Row],[df]]/2)</f>
        <v>1.5984E-3</v>
      </c>
      <c r="AA8" s="11">
        <f>IF(Table84[[#This Row],[Fabrication Type]]="Welded",Table84[[#This Row],[vw]]*Table84[[#This Row],[Ix]]/Table84[[#This Row],[Qflange]],"")</f>
        <v>5119584.2509175837</v>
      </c>
      <c r="AB8" s="11">
        <f>2*Table84[[#This Row],[tw]]*MIN(Table84[[#This Row],[fy_web]], Table84[[#This Row],[fy_flange]])*0.6*Table84[[#This Row],[Ix]]/Table84[[#This Row],[Qflange]]</f>
        <v>1954750.3503503504</v>
      </c>
      <c r="AC8" s="50">
        <f ca="1">INDEX(tbllkpkt[kt],MATCH(RANDBETWEEN(1,4),tbllkpkt[Index],0))</f>
        <v>0.75</v>
      </c>
      <c r="AD8" s="48">
        <f t="shared" ca="1" si="0"/>
        <v>1</v>
      </c>
      <c r="AE8" s="43">
        <f ca="1">Table84[[#This Row],[Ag]]*Table84[[#This Row],[Deduction_for_An]]</f>
        <v>2.2520000000000012E-2</v>
      </c>
      <c r="AF8" s="11">
        <f>Table84[[#This Row],[fy]]*Table84[[#This Row],[Ag]]</f>
        <v>6305600.0000000037</v>
      </c>
      <c r="AG8" s="11">
        <f ca="1">Table84[[#This Row],[αu]]*Table84[[#This Row],[kt]]*Table84[[#This Row],[An]]*Table84[[#This Row],[fu]]</f>
        <v>6316860.0000000028</v>
      </c>
      <c r="AH8" s="11">
        <f ca="1">MIN(Table84[[#This Row],[Nty]],Table84[[#This Row],[Ntu]])</f>
        <v>6305600.0000000037</v>
      </c>
    </row>
    <row r="9" spans="2:34" x14ac:dyDescent="0.25">
      <c r="B9" s="14" t="str">
        <f>Table84[[#This Row],[Section]]&amp;"-"&amp;TEXT(Table84[[#This Row],[Grade]],"0")</f>
        <v>500x666x20Fx10W-300HR</v>
      </c>
      <c r="C9" s="3" t="str">
        <f>Table84[[#This Row],[d]]*1000&amp;"x"&amp;Table84[[#This Row],[bf]]*1000&amp;"x"&amp;Table84[[#This Row],[tf]]*1000&amp;"Fx"&amp;Table84[[#This Row],[tw]]*1000&amp;"W"</f>
        <v>500x666x20Fx10W</v>
      </c>
      <c r="D9" s="3" t="s">
        <v>106</v>
      </c>
      <c r="E9" s="3" t="s">
        <v>14</v>
      </c>
      <c r="F9" s="5">
        <v>0.5</v>
      </c>
      <c r="G9" s="5">
        <v>0.66600000000000004</v>
      </c>
      <c r="H9" s="5">
        <v>0.02</v>
      </c>
      <c r="I9" s="5">
        <v>0.01</v>
      </c>
      <c r="J9" s="45">
        <v>0.85</v>
      </c>
      <c r="K9" s="41">
        <f>Table84[[#This Row],[d]]-Table84[[#This Row],[tf]]*2</f>
        <v>0.46</v>
      </c>
      <c r="L9" s="41">
        <f>Table84[[#This Row],[bf]]-2*Table84[[#This Row],[tw]]</f>
        <v>0.64600000000000002</v>
      </c>
      <c r="M9" s="42">
        <f>Table84[[#This Row],[d1]]/Table84[[#This Row],[tw]]</f>
        <v>46</v>
      </c>
      <c r="N9" s="43">
        <f>Table84[[#This Row],[d]]*Table84[[#This Row],[bf]]-Table84[[#This Row],[d1]]*Table84[[#This Row],[b1]]</f>
        <v>3.5839999999999983E-2</v>
      </c>
      <c r="O9" s="44">
        <f>(Table84[[#This Row],[bf]]*Table84[[#This Row],[d]]^3-Table84[[#This Row],[b1]]*Table84[[#This Row],[d1]]^3)/12</f>
        <v>1.6975786666666669E-3</v>
      </c>
      <c r="P9" s="17">
        <f t="array" ref="P9">INDEX(tbllkpSteelGrades[fy],MATCH(1,(Table84[[#This Row],[Grade]]=tbllkpSteelGrades[Grade])*(Table84[[#This Row],[tw]]&lt;=tbllkpSteelGrades[Thickness]),0))</f>
        <v>320000000</v>
      </c>
      <c r="Q9" s="17">
        <f t="array" ref="Q9">INDEX(tbllkpSteelGrades[fy],MATCH(1,(Table84[[#This Row],[Grade]]=tbllkpSteelGrades[Grade])*(Table84[[#This Row],[tf]]&lt;=tbllkpSteelGrades[Thickness]),0))</f>
        <v>280000000</v>
      </c>
      <c r="R9" s="17">
        <f>MIN(Table84[[#This Row],[fy_web]],Table84[[#This Row],[fy_flange]])</f>
        <v>280000000</v>
      </c>
      <c r="S9" s="17">
        <f t="array" ref="S9">INDEX(tbllkpSteelGrades[fu],MATCH(1,(Table84[[#This Row],[Grade]]=tbllkpSteelGrades[Grade])*(Table84[[#This Row],[tw]]&lt;=tbllkpSteelGrades[Thickness]),0))</f>
        <v>440000000</v>
      </c>
      <c r="T9" s="18">
        <f>IF(Table84[[#This Row],[Fabrication Type]]="Welded",Table84[[#This Row],[d1]],Table84[[#This Row],[d]])*Table84[[#This Row],[tw]]*2</f>
        <v>9.1999999999999998E-3</v>
      </c>
      <c r="U9" s="11">
        <f>Table84[[#This Row],[Aw]]*Table84[[#This Row],[fy_web]]*0.6</f>
        <v>1766400</v>
      </c>
      <c r="V9" s="35">
        <f>82/SQRT(Table84[[#This Row],[fy_web]]/250000000)</f>
        <v>72.478445071621124</v>
      </c>
      <c r="W9" s="36">
        <f>IF((Table84[[#This Row],[d1]]/Table84[[#This Row],[tw]])&gt;Table84[[#This Row],[limiting web slenderness]],(82/((Table84[[#This Row],[d1]]/Table84[[#This Row],[tw]])*SQRT(Table84[[#This Row],[fy_web]]/250000000)))^2,1)</f>
        <v>1</v>
      </c>
      <c r="X9" s="38">
        <f>IF(Table84[[#This Row],[Fabrication Type]]="Welded",IF(Table84[[#This Row],[tw]]&gt;0.016,0.016*Table84[[#This Row],[fu]],Table84[[#This Row],[tw]]*Table84[[#This Row],[fu]]),"")*2</f>
        <v>8800000</v>
      </c>
      <c r="Y9" s="13">
        <f>Table84[[#This Row],[d]]-Table84[[#This Row],[tf]]</f>
        <v>0.48</v>
      </c>
      <c r="Z9" s="39">
        <f>Table84[[#This Row],[bf]]*Table84[[#This Row],[tf]]*(Table84[[#This Row],[df]]/2)</f>
        <v>3.1968000000000001E-3</v>
      </c>
      <c r="AA9" s="11">
        <f>IF(Table84[[#This Row],[Fabrication Type]]="Welded",Table84[[#This Row],[vw]]*Table84[[#This Row],[Ix]]/Table84[[#This Row],[Qflange]],"")</f>
        <v>4673014.3476810148</v>
      </c>
      <c r="AB9" s="11">
        <f>2*Table84[[#This Row],[tw]]*MIN(Table84[[#This Row],[fy_web]], Table84[[#This Row],[fy_flange]])*0.6*Table84[[#This Row],[Ix]]/Table84[[#This Row],[Qflange]]</f>
        <v>1784241.841841842</v>
      </c>
      <c r="AC9" s="50">
        <f ca="1">INDEX(tbllkpkt[kt],MATCH(RANDBETWEEN(1,4),tbllkpkt[Index],0))</f>
        <v>0.75</v>
      </c>
      <c r="AD9" s="48">
        <f t="shared" ca="1" si="0"/>
        <v>0.9</v>
      </c>
      <c r="AE9" s="43">
        <f ca="1">Table84[[#This Row],[Ag]]*Table84[[#This Row],[Deduction_for_An]]</f>
        <v>3.2255999999999986E-2</v>
      </c>
      <c r="AF9" s="11">
        <f>Table84[[#This Row],[fy]]*Table84[[#This Row],[Ag]]</f>
        <v>10035199.999999994</v>
      </c>
      <c r="AG9" s="11">
        <f ca="1">Table84[[#This Row],[αu]]*Table84[[#This Row],[kt]]*Table84[[#This Row],[An]]*Table84[[#This Row],[fu]]</f>
        <v>9047807.9999999963</v>
      </c>
      <c r="AH9" s="11">
        <f ca="1">MIN(Table84[[#This Row],[Nty]],Table84[[#This Row],[Ntu]])</f>
        <v>9047807.9999999963</v>
      </c>
    </row>
    <row r="10" spans="2:34" x14ac:dyDescent="0.25">
      <c r="B10" s="14" t="str">
        <f>Table84[[#This Row],[Section]]&amp;"-"&amp;TEXT(Table84[[#This Row],[Grade]],"0")</f>
        <v>500x1000x20Fx10W-300HR</v>
      </c>
      <c r="C10" s="3" t="str">
        <f>Table84[[#This Row],[d]]*1000&amp;"x"&amp;Table84[[#This Row],[bf]]*1000&amp;"x"&amp;Table84[[#This Row],[tf]]*1000&amp;"Fx"&amp;Table84[[#This Row],[tw]]*1000&amp;"W"</f>
        <v>500x1000x20Fx10W</v>
      </c>
      <c r="D10" s="3" t="s">
        <v>106</v>
      </c>
      <c r="E10" s="3" t="s">
        <v>14</v>
      </c>
      <c r="F10" s="5">
        <v>0.5</v>
      </c>
      <c r="G10" s="5">
        <v>1</v>
      </c>
      <c r="H10" s="5">
        <v>0.02</v>
      </c>
      <c r="I10" s="5">
        <v>0.01</v>
      </c>
      <c r="J10" s="45">
        <v>0.85</v>
      </c>
      <c r="K10" s="41">
        <f>Table84[[#This Row],[d]]-Table84[[#This Row],[tf]]*2</f>
        <v>0.46</v>
      </c>
      <c r="L10" s="41">
        <f>Table84[[#This Row],[bf]]-2*Table84[[#This Row],[tw]]</f>
        <v>0.98</v>
      </c>
      <c r="M10" s="42">
        <f>Table84[[#This Row],[d1]]/Table84[[#This Row],[tw]]</f>
        <v>46</v>
      </c>
      <c r="N10" s="43">
        <f>Table84[[#This Row],[d]]*Table84[[#This Row],[bf]]-Table84[[#This Row],[d1]]*Table84[[#This Row],[b1]]</f>
        <v>4.9199999999999966E-2</v>
      </c>
      <c r="O10" s="44">
        <f>(Table84[[#This Row],[bf]]*Table84[[#This Row],[d]]^3-Table84[[#This Row],[b1]]*Table84[[#This Row],[d1]]^3)/12</f>
        <v>2.4675599999999993E-3</v>
      </c>
      <c r="P10" s="17">
        <f t="array" ref="P10">INDEX(tbllkpSteelGrades[fy],MATCH(1,(Table84[[#This Row],[Grade]]=tbllkpSteelGrades[Grade])*(Table84[[#This Row],[tw]]&lt;=tbllkpSteelGrades[Thickness]),0))</f>
        <v>320000000</v>
      </c>
      <c r="Q10" s="17">
        <f t="array" ref="Q10">INDEX(tbllkpSteelGrades[fy],MATCH(1,(Table84[[#This Row],[Grade]]=tbllkpSteelGrades[Grade])*(Table84[[#This Row],[tf]]&lt;=tbllkpSteelGrades[Thickness]),0))</f>
        <v>280000000</v>
      </c>
      <c r="R10" s="17">
        <f>MIN(Table84[[#This Row],[fy_web]],Table84[[#This Row],[fy_flange]])</f>
        <v>280000000</v>
      </c>
      <c r="S10" s="17">
        <f t="array" ref="S10">INDEX(tbllkpSteelGrades[fu],MATCH(1,(Table84[[#This Row],[Grade]]=tbllkpSteelGrades[Grade])*(Table84[[#This Row],[tw]]&lt;=tbllkpSteelGrades[Thickness]),0))</f>
        <v>440000000</v>
      </c>
      <c r="T10" s="18">
        <f>IF(Table84[[#This Row],[Fabrication Type]]="Welded",Table84[[#This Row],[d1]],Table84[[#This Row],[d]])*Table84[[#This Row],[tw]]*2</f>
        <v>9.1999999999999998E-3</v>
      </c>
      <c r="U10" s="11">
        <f>Table84[[#This Row],[Aw]]*Table84[[#This Row],[fy_web]]*0.6</f>
        <v>1766400</v>
      </c>
      <c r="V10" s="35">
        <f>82/SQRT(Table84[[#This Row],[fy_web]]/250000000)</f>
        <v>72.478445071621124</v>
      </c>
      <c r="W10" s="36">
        <f>IF((Table84[[#This Row],[d1]]/Table84[[#This Row],[tw]])&gt;Table84[[#This Row],[limiting web slenderness]],(82/((Table84[[#This Row],[d1]]/Table84[[#This Row],[tw]])*SQRT(Table84[[#This Row],[fy_web]]/250000000)))^2,1)</f>
        <v>1</v>
      </c>
      <c r="X10" s="38">
        <f>IF(Table84[[#This Row],[Fabrication Type]]="Welded",IF(Table84[[#This Row],[tw]]&gt;0.016,0.016*Table84[[#This Row],[fu]],Table84[[#This Row],[tw]]*Table84[[#This Row],[fu]]),"")*2</f>
        <v>8800000</v>
      </c>
      <c r="Y10" s="13">
        <f>Table84[[#This Row],[d]]-Table84[[#This Row],[tf]]</f>
        <v>0.48</v>
      </c>
      <c r="Z10" s="39">
        <f>Table84[[#This Row],[bf]]*Table84[[#This Row],[tf]]*(Table84[[#This Row],[df]]/2)</f>
        <v>4.7999999999999996E-3</v>
      </c>
      <c r="AA10" s="11">
        <f>IF(Table84[[#This Row],[Fabrication Type]]="Welded",Table84[[#This Row],[vw]]*Table84[[#This Row],[Ix]]/Table84[[#This Row],[Qflange]],"")</f>
        <v>4523859.9999999991</v>
      </c>
      <c r="AB10" s="11">
        <f>2*Table84[[#This Row],[tw]]*MIN(Table84[[#This Row],[fy_web]], Table84[[#This Row],[fy_flange]])*0.6*Table84[[#This Row],[Ix]]/Table84[[#This Row],[Qflange]]</f>
        <v>1727291.9999999998</v>
      </c>
      <c r="AC10" s="50">
        <f ca="1">INDEX(tbllkpkt[kt],MATCH(RANDBETWEEN(1,4),tbllkpkt[Index],0))</f>
        <v>0.9</v>
      </c>
      <c r="AD10" s="48">
        <f t="shared" ca="1" si="0"/>
        <v>1</v>
      </c>
      <c r="AE10" s="43">
        <f ca="1">Table84[[#This Row],[Ag]]*Table84[[#This Row],[Deduction_for_An]]</f>
        <v>4.9199999999999966E-2</v>
      </c>
      <c r="AF10" s="11">
        <f>Table84[[#This Row],[fy]]*Table84[[#This Row],[Ag]]</f>
        <v>13775999.999999991</v>
      </c>
      <c r="AG10" s="11">
        <f ca="1">Table84[[#This Row],[αu]]*Table84[[#This Row],[kt]]*Table84[[#This Row],[An]]*Table84[[#This Row],[fu]]</f>
        <v>16560719.999999991</v>
      </c>
      <c r="AH10" s="11">
        <f ca="1">MIN(Table84[[#This Row],[Nty]],Table84[[#This Row],[Ntu]])</f>
        <v>13775999.999999991</v>
      </c>
    </row>
    <row r="11" spans="2:34" x14ac:dyDescent="0.25">
      <c r="B11" s="14" t="str">
        <f>Table84[[#This Row],[Section]]&amp;"-"&amp;TEXT(Table84[[#This Row],[Grade]],"0")</f>
        <v>500x1333x20Fx10W-300HR</v>
      </c>
      <c r="C11" s="3" t="str">
        <f>Table84[[#This Row],[d]]*1000&amp;"x"&amp;Table84[[#This Row],[bf]]*1000&amp;"x"&amp;Table84[[#This Row],[tf]]*1000&amp;"Fx"&amp;Table84[[#This Row],[tw]]*1000&amp;"W"</f>
        <v>500x1333x20Fx10W</v>
      </c>
      <c r="D11" s="3" t="s">
        <v>106</v>
      </c>
      <c r="E11" s="3" t="s">
        <v>14</v>
      </c>
      <c r="F11" s="5">
        <v>0.5</v>
      </c>
      <c r="G11" s="5">
        <v>1.333</v>
      </c>
      <c r="H11" s="5">
        <v>0.02</v>
      </c>
      <c r="I11" s="5">
        <v>0.01</v>
      </c>
      <c r="J11" s="45">
        <v>0.85</v>
      </c>
      <c r="K11" s="41">
        <f>Table84[[#This Row],[d]]-Table84[[#This Row],[tf]]*2</f>
        <v>0.46</v>
      </c>
      <c r="L11" s="41">
        <f>Table84[[#This Row],[bf]]-2*Table84[[#This Row],[tw]]</f>
        <v>1.3129999999999999</v>
      </c>
      <c r="M11" s="42">
        <f>Table84[[#This Row],[d1]]/Table84[[#This Row],[tw]]</f>
        <v>46</v>
      </c>
      <c r="N11" s="43">
        <f>Table84[[#This Row],[d]]*Table84[[#This Row],[bf]]-Table84[[#This Row],[d1]]*Table84[[#This Row],[b1]]</f>
        <v>6.252000000000002E-2</v>
      </c>
      <c r="O11" s="44">
        <f>(Table84[[#This Row],[bf]]*Table84[[#This Row],[d]]^3-Table84[[#This Row],[b1]]*Table84[[#This Row],[d1]]^3)/12</f>
        <v>3.2352360000000003E-3</v>
      </c>
      <c r="P11" s="17">
        <f t="array" ref="P11">INDEX(tbllkpSteelGrades[fy],MATCH(1,(Table84[[#This Row],[Grade]]=tbllkpSteelGrades[Grade])*(Table84[[#This Row],[tw]]&lt;=tbllkpSteelGrades[Thickness]),0))</f>
        <v>320000000</v>
      </c>
      <c r="Q11" s="17">
        <f t="array" ref="Q11">INDEX(tbllkpSteelGrades[fy],MATCH(1,(Table84[[#This Row],[Grade]]=tbllkpSteelGrades[Grade])*(Table84[[#This Row],[tf]]&lt;=tbllkpSteelGrades[Thickness]),0))</f>
        <v>280000000</v>
      </c>
      <c r="R11" s="17">
        <f>MIN(Table84[[#This Row],[fy_web]],Table84[[#This Row],[fy_flange]])</f>
        <v>280000000</v>
      </c>
      <c r="S11" s="17">
        <f t="array" ref="S11">INDEX(tbllkpSteelGrades[fu],MATCH(1,(Table84[[#This Row],[Grade]]=tbllkpSteelGrades[Grade])*(Table84[[#This Row],[tw]]&lt;=tbllkpSteelGrades[Thickness]),0))</f>
        <v>440000000</v>
      </c>
      <c r="T11" s="18">
        <f>IF(Table84[[#This Row],[Fabrication Type]]="Welded",Table84[[#This Row],[d1]],Table84[[#This Row],[d]])*Table84[[#This Row],[tw]]*2</f>
        <v>9.1999999999999998E-3</v>
      </c>
      <c r="U11" s="11">
        <f>Table84[[#This Row],[Aw]]*Table84[[#This Row],[fy_web]]*0.6</f>
        <v>1766400</v>
      </c>
      <c r="V11" s="35">
        <f>82/SQRT(Table84[[#This Row],[fy_web]]/250000000)</f>
        <v>72.478445071621124</v>
      </c>
      <c r="W11" s="36">
        <f>IF((Table84[[#This Row],[d1]]/Table84[[#This Row],[tw]])&gt;Table84[[#This Row],[limiting web slenderness]],(82/((Table84[[#This Row],[d1]]/Table84[[#This Row],[tw]])*SQRT(Table84[[#This Row],[fy_web]]/250000000)))^2,1)</f>
        <v>1</v>
      </c>
      <c r="X11" s="38">
        <f>IF(Table84[[#This Row],[Fabrication Type]]="Welded",IF(Table84[[#This Row],[tw]]&gt;0.016,0.016*Table84[[#This Row],[fu]],Table84[[#This Row],[tw]]*Table84[[#This Row],[fu]]),"")*2</f>
        <v>8800000</v>
      </c>
      <c r="Y11" s="13">
        <f>Table84[[#This Row],[d]]-Table84[[#This Row],[tf]]</f>
        <v>0.48</v>
      </c>
      <c r="Z11" s="39">
        <f>Table84[[#This Row],[bf]]*Table84[[#This Row],[tf]]*(Table84[[#This Row],[df]]/2)</f>
        <v>6.3983999999999994E-3</v>
      </c>
      <c r="AA11" s="11">
        <f>IF(Table84[[#This Row],[Fabrication Type]]="Welded",Table84[[#This Row],[vw]]*Table84[[#This Row],[Ix]]/Table84[[#This Row],[Qflange]],"")</f>
        <v>4449561.8904726189</v>
      </c>
      <c r="AB11" s="11">
        <f>2*Table84[[#This Row],[tw]]*MIN(Table84[[#This Row],[fy_web]], Table84[[#This Row],[fy_flange]])*0.6*Table84[[#This Row],[Ix]]/Table84[[#This Row],[Qflange]]</f>
        <v>1698923.6309077272</v>
      </c>
      <c r="AC11" s="50">
        <f ca="1">INDEX(tbllkpkt[kt],MATCH(RANDBETWEEN(1,4),tbllkpkt[Index],0))</f>
        <v>0.9</v>
      </c>
      <c r="AD11" s="48">
        <f t="shared" ca="1" si="0"/>
        <v>1</v>
      </c>
      <c r="AE11" s="43">
        <f ca="1">Table84[[#This Row],[Ag]]*Table84[[#This Row],[Deduction_for_An]]</f>
        <v>6.252000000000002E-2</v>
      </c>
      <c r="AF11" s="11">
        <f>Table84[[#This Row],[fy]]*Table84[[#This Row],[Ag]]</f>
        <v>17505600.000000007</v>
      </c>
      <c r="AG11" s="11">
        <f ca="1">Table84[[#This Row],[αu]]*Table84[[#This Row],[kt]]*Table84[[#This Row],[An]]*Table84[[#This Row],[fu]]</f>
        <v>21044232.000000007</v>
      </c>
      <c r="AH11" s="11">
        <f ca="1">MIN(Table84[[#This Row],[Nty]],Table84[[#This Row],[Ntu]])</f>
        <v>17505600.000000007</v>
      </c>
    </row>
    <row r="12" spans="2:34" x14ac:dyDescent="0.25">
      <c r="B12" s="14" t="str">
        <f>Table84[[#This Row],[Section]]&amp;"-"&amp;TEXT(Table84[[#This Row],[Grade]],"0")</f>
        <v>500x1660x20Fx10W-300HR</v>
      </c>
      <c r="C12" s="3" t="str">
        <f>Table84[[#This Row],[d]]*1000&amp;"x"&amp;Table84[[#This Row],[bf]]*1000&amp;"x"&amp;Table84[[#This Row],[tf]]*1000&amp;"Fx"&amp;Table84[[#This Row],[tw]]*1000&amp;"W"</f>
        <v>500x1660x20Fx10W</v>
      </c>
      <c r="D12" s="3" t="s">
        <v>106</v>
      </c>
      <c r="E12" s="3" t="s">
        <v>14</v>
      </c>
      <c r="F12" s="5">
        <v>0.5</v>
      </c>
      <c r="G12" s="5">
        <v>1.66</v>
      </c>
      <c r="H12" s="5">
        <v>0.02</v>
      </c>
      <c r="I12" s="5">
        <v>0.01</v>
      </c>
      <c r="J12" s="45">
        <v>0.85</v>
      </c>
      <c r="K12" s="41">
        <f>Table84[[#This Row],[d]]-Table84[[#This Row],[tf]]*2</f>
        <v>0.46</v>
      </c>
      <c r="L12" s="41">
        <f>Table84[[#This Row],[bf]]-2*Table84[[#This Row],[tw]]</f>
        <v>1.64</v>
      </c>
      <c r="M12" s="42">
        <f>Table84[[#This Row],[d1]]/Table84[[#This Row],[tw]]</f>
        <v>46</v>
      </c>
      <c r="N12" s="43">
        <f>Table84[[#This Row],[d]]*Table84[[#This Row],[bf]]-Table84[[#This Row],[d1]]*Table84[[#This Row],[b1]]</f>
        <v>7.5600000000000001E-2</v>
      </c>
      <c r="O12" s="44">
        <f>(Table84[[#This Row],[bf]]*Table84[[#This Row],[d]]^3-Table84[[#This Row],[b1]]*Table84[[#This Row],[d1]]^3)/12</f>
        <v>3.989079999999999E-3</v>
      </c>
      <c r="P12" s="17">
        <f t="array" ref="P12">INDEX(tbllkpSteelGrades[fy],MATCH(1,(Table84[[#This Row],[Grade]]=tbllkpSteelGrades[Grade])*(Table84[[#This Row],[tw]]&lt;=tbllkpSteelGrades[Thickness]),0))</f>
        <v>320000000</v>
      </c>
      <c r="Q12" s="17">
        <f t="array" ref="Q12">INDEX(tbllkpSteelGrades[fy],MATCH(1,(Table84[[#This Row],[Grade]]=tbllkpSteelGrades[Grade])*(Table84[[#This Row],[tf]]&lt;=tbllkpSteelGrades[Thickness]),0))</f>
        <v>280000000</v>
      </c>
      <c r="R12" s="17">
        <f>MIN(Table84[[#This Row],[fy_web]],Table84[[#This Row],[fy_flange]])</f>
        <v>280000000</v>
      </c>
      <c r="S12" s="17">
        <f t="array" ref="S12">INDEX(tbllkpSteelGrades[fu],MATCH(1,(Table84[[#This Row],[Grade]]=tbllkpSteelGrades[Grade])*(Table84[[#This Row],[tw]]&lt;=tbllkpSteelGrades[Thickness]),0))</f>
        <v>440000000</v>
      </c>
      <c r="T12" s="18">
        <f>IF(Table84[[#This Row],[Fabrication Type]]="Welded",Table84[[#This Row],[d1]],Table84[[#This Row],[d]])*Table84[[#This Row],[tw]]*2</f>
        <v>9.1999999999999998E-3</v>
      </c>
      <c r="U12" s="11">
        <f>Table84[[#This Row],[Aw]]*Table84[[#This Row],[fy_web]]*0.6</f>
        <v>1766400</v>
      </c>
      <c r="V12" s="35">
        <f>82/SQRT(Table84[[#This Row],[fy_web]]/250000000)</f>
        <v>72.478445071621124</v>
      </c>
      <c r="W12" s="36">
        <f>IF((Table84[[#This Row],[d1]]/Table84[[#This Row],[tw]])&gt;Table84[[#This Row],[limiting web slenderness]],(82/((Table84[[#This Row],[d1]]/Table84[[#This Row],[tw]])*SQRT(Table84[[#This Row],[fy_web]]/250000000)))^2,1)</f>
        <v>1</v>
      </c>
      <c r="X12" s="38">
        <f>IF(Table84[[#This Row],[Fabrication Type]]="Welded",IF(Table84[[#This Row],[tw]]&gt;0.016,0.016*Table84[[#This Row],[fu]],Table84[[#This Row],[tw]]*Table84[[#This Row],[fu]]),"")*2</f>
        <v>8800000</v>
      </c>
      <c r="Y12" s="13">
        <f>Table84[[#This Row],[d]]-Table84[[#This Row],[tf]]</f>
        <v>0.48</v>
      </c>
      <c r="Z12" s="39">
        <f>Table84[[#This Row],[bf]]*Table84[[#This Row],[tf]]*(Table84[[#This Row],[df]]/2)</f>
        <v>7.9679999999999994E-3</v>
      </c>
      <c r="AA12" s="11">
        <f>IF(Table84[[#This Row],[Fabrication Type]]="Welded",Table84[[#This Row],[vw]]*Table84[[#This Row],[Ix]]/Table84[[#This Row],[Qflange]],"")</f>
        <v>4405610.4417670667</v>
      </c>
      <c r="AB12" s="11">
        <f>2*Table84[[#This Row],[tw]]*MIN(Table84[[#This Row],[fy_web]], Table84[[#This Row],[fy_flange]])*0.6*Table84[[#This Row],[Ix]]/Table84[[#This Row],[Qflange]]</f>
        <v>1682142.1686746986</v>
      </c>
      <c r="AC12" s="50">
        <f ca="1">INDEX(tbllkpkt[kt],MATCH(RANDBETWEEN(1,4),tbllkpkt[Index],0))</f>
        <v>1</v>
      </c>
      <c r="AD12" s="48">
        <f t="shared" ca="1" si="0"/>
        <v>0.92</v>
      </c>
      <c r="AE12" s="43">
        <f ca="1">Table84[[#This Row],[Ag]]*Table84[[#This Row],[Deduction_for_An]]</f>
        <v>6.9552000000000003E-2</v>
      </c>
      <c r="AF12" s="11">
        <f>Table84[[#This Row],[fy]]*Table84[[#This Row],[Ag]]</f>
        <v>21168000</v>
      </c>
      <c r="AG12" s="11">
        <f ca="1">Table84[[#This Row],[αu]]*Table84[[#This Row],[kt]]*Table84[[#This Row],[An]]*Table84[[#This Row],[fu]]</f>
        <v>26012448</v>
      </c>
      <c r="AH12" s="11">
        <f ca="1">MIN(Table84[[#This Row],[Nty]],Table84[[#This Row],[Ntu]])</f>
        <v>21168000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FFD-D534-4711-893F-11708AF69116}">
  <dimension ref="B2:AU132"/>
  <sheetViews>
    <sheetView topLeftCell="Y1" zoomScale="85" zoomScaleNormal="85" workbookViewId="0">
      <selection activeCell="AS4" sqref="AS4"/>
    </sheetView>
  </sheetViews>
  <sheetFormatPr defaultRowHeight="15" x14ac:dyDescent="0.25"/>
  <cols>
    <col min="2" max="2" width="17.85546875" bestFit="1" customWidth="1"/>
    <col min="3" max="3" width="11.28515625" bestFit="1" customWidth="1"/>
    <col min="4" max="4" width="8.7109375" bestFit="1" customWidth="1"/>
    <col min="5" max="5" width="15.140625" bestFit="1" customWidth="1"/>
    <col min="6" max="6" width="9.28515625" bestFit="1" customWidth="1"/>
    <col min="7" max="7" width="14.140625" bestFit="1" customWidth="1"/>
    <col min="8" max="8" width="17" customWidth="1"/>
    <col min="9" max="14" width="7.85546875" bestFit="1" customWidth="1"/>
    <col min="15" max="15" width="9" bestFit="1" customWidth="1"/>
    <col min="16" max="16" width="17.140625" bestFit="1" customWidth="1"/>
    <col min="17" max="17" width="8.5703125" bestFit="1" customWidth="1"/>
    <col min="18" max="20" width="13.42578125" bestFit="1" customWidth="1"/>
    <col min="21" max="21" width="7.85546875" bestFit="1" customWidth="1"/>
    <col min="22" max="24" width="13.42578125" bestFit="1" customWidth="1"/>
    <col min="25" max="25" width="7.85546875" bestFit="1" customWidth="1"/>
    <col min="26" max="27" width="13.42578125" bestFit="1" customWidth="1"/>
    <col min="28" max="28" width="5.5703125" bestFit="1" customWidth="1"/>
    <col min="29" max="31" width="10.85546875" customWidth="1"/>
    <col min="32" max="32" width="10.85546875" bestFit="1" customWidth="1"/>
    <col min="33" max="33" width="13.42578125" bestFit="1" customWidth="1"/>
    <col min="34" max="34" width="12.5703125" bestFit="1" customWidth="1"/>
    <col min="35" max="35" width="27.85546875" bestFit="1" customWidth="1"/>
    <col min="36" max="36" width="5.7109375" bestFit="1" customWidth="1"/>
    <col min="37" max="37" width="13.140625" bestFit="1" customWidth="1"/>
    <col min="38" max="38" width="7.85546875" bestFit="1" customWidth="1"/>
    <col min="39" max="39" width="13.42578125" bestFit="1" customWidth="1"/>
    <col min="40" max="40" width="11.5703125" bestFit="1" customWidth="1"/>
    <col min="41" max="41" width="12.5703125" bestFit="1" customWidth="1"/>
    <col min="42" max="42" width="5.7109375" bestFit="1" customWidth="1"/>
    <col min="43" max="43" width="17" bestFit="1" customWidth="1"/>
    <col min="44" max="44" width="12.28515625" bestFit="1" customWidth="1"/>
    <col min="45" max="46" width="12.5703125" bestFit="1" customWidth="1"/>
    <col min="47" max="47" width="11.5703125" bestFit="1" customWidth="1"/>
  </cols>
  <sheetData>
    <row r="2" spans="2:47" ht="18" x14ac:dyDescent="0.35">
      <c r="B2" s="1" t="s">
        <v>54</v>
      </c>
      <c r="C2" s="1" t="s">
        <v>1</v>
      </c>
      <c r="D2" s="1" t="s">
        <v>55</v>
      </c>
      <c r="E2" s="2" t="s">
        <v>8</v>
      </c>
      <c r="F2" s="1" t="s">
        <v>9</v>
      </c>
      <c r="G2" s="1" t="s">
        <v>10</v>
      </c>
      <c r="H2" s="1" t="s">
        <v>11</v>
      </c>
      <c r="I2" s="1" t="s">
        <v>7</v>
      </c>
      <c r="J2" s="1" t="s">
        <v>37</v>
      </c>
      <c r="K2" s="1" t="s">
        <v>38</v>
      </c>
      <c r="L2" s="1" t="s">
        <v>39</v>
      </c>
      <c r="M2" s="1" t="s">
        <v>103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0</v>
      </c>
      <c r="AA2" s="1" t="s">
        <v>52</v>
      </c>
      <c r="AB2" s="34" t="s">
        <v>299</v>
      </c>
      <c r="AC2" s="1" t="s">
        <v>285</v>
      </c>
      <c r="AD2" s="1" t="s">
        <v>286</v>
      </c>
      <c r="AE2" s="1" t="s">
        <v>305</v>
      </c>
      <c r="AF2" s="1" t="s">
        <v>279</v>
      </c>
      <c r="AG2" t="s">
        <v>53</v>
      </c>
      <c r="AH2" t="s">
        <v>57</v>
      </c>
      <c r="AI2" t="s">
        <v>252</v>
      </c>
      <c r="AJ2" s="34" t="s">
        <v>251</v>
      </c>
      <c r="AK2" t="s">
        <v>284</v>
      </c>
      <c r="AL2" t="s">
        <v>281</v>
      </c>
      <c r="AM2" t="s">
        <v>280</v>
      </c>
      <c r="AN2" t="s">
        <v>282</v>
      </c>
      <c r="AO2" t="s">
        <v>283</v>
      </c>
      <c r="AP2" s="1" t="s">
        <v>298</v>
      </c>
      <c r="AQ2" s="1" t="s">
        <v>304</v>
      </c>
      <c r="AR2" s="1" t="s">
        <v>301</v>
      </c>
      <c r="AS2" s="40" t="s">
        <v>294</v>
      </c>
      <c r="AT2" s="40" t="s">
        <v>300</v>
      </c>
      <c r="AU2" t="s">
        <v>302</v>
      </c>
    </row>
    <row r="3" spans="2:47" x14ac:dyDescent="0.25">
      <c r="B3" s="14" t="str">
        <f>Table8[[#This Row],[Section]]&amp;"-"&amp;TEXT(Table8[[#This Row],[Grade]],"0")</f>
        <v>1200WB455-300</v>
      </c>
      <c r="C3" s="3" t="s">
        <v>2</v>
      </c>
      <c r="D3" s="3">
        <v>300</v>
      </c>
      <c r="E3" s="3" t="s">
        <v>12</v>
      </c>
      <c r="F3" s="4">
        <v>455</v>
      </c>
      <c r="G3" s="3" t="s">
        <v>13</v>
      </c>
      <c r="H3" s="3" t="s">
        <v>14</v>
      </c>
      <c r="I3" s="5">
        <v>1.2</v>
      </c>
      <c r="J3" s="5">
        <v>0.5</v>
      </c>
      <c r="K3" s="5">
        <v>0.04</v>
      </c>
      <c r="L3" s="5">
        <v>1.6E-2</v>
      </c>
      <c r="M3" s="5" t="s">
        <v>107</v>
      </c>
      <c r="N3" s="5">
        <v>1.1199999999999999</v>
      </c>
      <c r="O3" s="6">
        <v>69.999999999999986</v>
      </c>
      <c r="P3" s="6">
        <v>6.05</v>
      </c>
      <c r="Q3" s="7">
        <v>5.79E-2</v>
      </c>
      <c r="R3" s="8">
        <v>1.5299999999999999E-2</v>
      </c>
      <c r="S3" s="9">
        <v>2.5600000000000001E-2</v>
      </c>
      <c r="T3" s="9">
        <v>2.8199999999999999E-2</v>
      </c>
      <c r="U3" s="5">
        <v>0.51500000000000001</v>
      </c>
      <c r="V3" s="8">
        <v>8.34E-4</v>
      </c>
      <c r="W3" s="9">
        <v>3.3300000000000001E-3</v>
      </c>
      <c r="X3" s="9">
        <v>5.0699999999999999E-3</v>
      </c>
      <c r="Y3" s="5">
        <v>0.51500000000000001</v>
      </c>
      <c r="Z3" s="8">
        <v>2.1999999999999999E-5</v>
      </c>
      <c r="AA3" s="10">
        <v>2.7999999999999998E-4</v>
      </c>
      <c r="AB3" s="45">
        <v>0.85</v>
      </c>
      <c r="AC3" s="17">
        <f t="array" ref="AC3">INDEX(tbllkpSteelGrades[fy],MATCH(1,(Table8[[#This Row],[Grade]]=tbllkpSteelGrades[Grade])*(Table8[[#This Row],[tw]]&lt;=tbllkpSteelGrades[Thickness]),0))</f>
        <v>300000000</v>
      </c>
      <c r="AD3" s="17">
        <f t="array" ref="AD3">INDEX(tbllkpSteelGrades[fy],MATCH(1,(Table8[[#This Row],[Grade]]=tbllkpSteelGrades[Grade])*(Table8[[#This Row],[tf]]&lt;=tbllkpSteelGrades[Thickness]),0))</f>
        <v>280000000</v>
      </c>
      <c r="AE3" s="17">
        <f>MIN(Table8[[#This Row],[fy_web]],Table8[[#This Row],[fy_flange]])</f>
        <v>280000000</v>
      </c>
      <c r="AF3" s="17">
        <f t="array" ref="AF3">INDEX(tbllkpSteelGrades[fu],MATCH(1,(Table8[[#This Row],[Grade]]=tbllkpSteelGrades[Grade])*(Table8[[#This Row],[tw]]&lt;=tbllkpSteelGrades[Thickness]),0))</f>
        <v>430000000</v>
      </c>
      <c r="AG3" s="18">
        <f>IF(Table8[[#This Row],[Fabrication Type]]="Welded",Table8[[#This Row],[d1]],Table8[[#This Row],[d]])*Table8[[#This Row],[tw]]</f>
        <v>1.7919999999999998E-2</v>
      </c>
      <c r="AH3" s="11">
        <f>Table8[[#This Row],[Aw]]*Table8[[#This Row],[fy_web]]*0.6</f>
        <v>3225599.9999999995</v>
      </c>
      <c r="AI3" s="35">
        <f>82/SQRT(Table8[[#This Row],[fy_web]]/250000000)</f>
        <v>74.855416192372701</v>
      </c>
      <c r="AJ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3" s="38">
        <f>IF(Table8[[#This Row],[Fabrication Type]]="Welded",IF(Table8[[#This Row],[tw]]&gt;0.016,0.016*Table8[[#This Row],[fu]],Table8[[#This Row],[tw]]*Table8[[#This Row],[fu]]),"")</f>
        <v>6880000</v>
      </c>
      <c r="AL3" s="13">
        <f>Table8[[#This Row],[d]]-Table8[[#This Row],[tf]]</f>
        <v>1.1599999999999999</v>
      </c>
      <c r="AM3" s="39">
        <f>Table8[[#This Row],[bf]]*Table8[[#This Row],[tf]]*(Table8[[#This Row],[df]]/2)</f>
        <v>1.1599999999999999E-2</v>
      </c>
      <c r="AN3" s="11">
        <f>IF(Table8[[#This Row],[Fabrication Type]]="Welded",Table8[[#This Row],[vw]]*Table8[[#This Row],[Ix]]/Table8[[#This Row],[Qflange]],"")</f>
        <v>9074482.7586206906</v>
      </c>
      <c r="AO3" s="11">
        <f>Table8[[#This Row],[tw]]*MIN(Table8[[#This Row],[fy_web]], Table8[[#This Row],[fy_flange]])*0.6*Table8[[#This Row],[Ix]]/Table8[[#This Row],[Qflange]]</f>
        <v>3545379.3103448278</v>
      </c>
      <c r="AP3" s="50">
        <f ca="1">INDEX(tbllkpkt[kt],MATCH(RANDBETWEEN(1,4),tbllkpkt[Index],0))</f>
        <v>1</v>
      </c>
      <c r="AQ3" s="48">
        <f t="shared" ref="AQ3:AQ34" ca="1" si="0">1-RANDBETWEEN(0,10)/100</f>
        <v>0.95</v>
      </c>
      <c r="AR3" s="18">
        <f ca="1">Table8[[#This Row],[Ag]]*Table8[[#This Row],[Deduction_for_An]]</f>
        <v>5.5004999999999998E-2</v>
      </c>
      <c r="AS3" s="11">
        <f>Table8[[#This Row],[fy]]*Table8[[#This Row],[Ag]]</f>
        <v>16212000</v>
      </c>
      <c r="AT3" s="11">
        <f ca="1">Table8[[#This Row],[αu]]*Table8[[#This Row],[kt]]*Table8[[#This Row],[An]]*Table8[[#This Row],[fu]]</f>
        <v>20104327.5</v>
      </c>
      <c r="AU3" s="11">
        <f ca="1">MIN(Table8[[#This Row],[Nty]],Table8[[#This Row],[Ntu]])</f>
        <v>16212000</v>
      </c>
    </row>
    <row r="4" spans="2:47" x14ac:dyDescent="0.25">
      <c r="B4" s="14" t="str">
        <f>Table8[[#This Row],[Section]]&amp;"-"&amp;TEXT(Table8[[#This Row],[Grade]],"0")</f>
        <v>1200WB423-300</v>
      </c>
      <c r="C4" s="3" t="s">
        <v>15</v>
      </c>
      <c r="D4" s="3">
        <v>300</v>
      </c>
      <c r="E4" s="3" t="s">
        <v>12</v>
      </c>
      <c r="F4" s="4">
        <v>423</v>
      </c>
      <c r="G4" s="3" t="s">
        <v>13</v>
      </c>
      <c r="H4" s="3" t="s">
        <v>14</v>
      </c>
      <c r="I4" s="5">
        <v>1.1919999999999999</v>
      </c>
      <c r="J4" s="5">
        <v>0.5</v>
      </c>
      <c r="K4" s="5">
        <v>3.5999999999999997E-2</v>
      </c>
      <c r="L4" s="5">
        <v>1.6E-2</v>
      </c>
      <c r="M4" s="5" t="s">
        <v>107</v>
      </c>
      <c r="N4" s="5">
        <v>1.1199999999999999</v>
      </c>
      <c r="O4" s="6">
        <v>69.999999999999986</v>
      </c>
      <c r="P4" s="6">
        <v>6.7222222222222223</v>
      </c>
      <c r="Q4" s="7">
        <v>5.3900000000000003E-2</v>
      </c>
      <c r="R4" s="8">
        <v>1.3899999999999999E-2</v>
      </c>
      <c r="S4" s="9">
        <v>2.3300000000000001E-2</v>
      </c>
      <c r="T4" s="9">
        <v>2.58E-2</v>
      </c>
      <c r="U4" s="5">
        <v>0.50800000000000001</v>
      </c>
      <c r="V4" s="8">
        <v>7.5000000000000002E-4</v>
      </c>
      <c r="W4" s="9">
        <v>3.0000000000000001E-3</v>
      </c>
      <c r="X4" s="9">
        <v>4.5700000000000003E-3</v>
      </c>
      <c r="Y4" s="5">
        <v>0.50800000000000001</v>
      </c>
      <c r="Z4" s="8">
        <v>1.6500000000000001E-5</v>
      </c>
      <c r="AA4" s="10">
        <v>2.5099999999999998E-4</v>
      </c>
      <c r="AB4" s="45">
        <v>0.85</v>
      </c>
      <c r="AC4" s="17">
        <f t="array" ref="AC4">INDEX(tbllkpSteelGrades[fy],MATCH(1,(Table8[[#This Row],[Grade]]=tbllkpSteelGrades[Grade])*(Table8[[#This Row],[tw]]&lt;=tbllkpSteelGrades[Thickness]),0))</f>
        <v>300000000</v>
      </c>
      <c r="AD4" s="17">
        <f t="array" ref="AD4">INDEX(tbllkpSteelGrades[fy],MATCH(1,(Table8[[#This Row],[Grade]]=tbllkpSteelGrades[Grade])*(Table8[[#This Row],[tf]]&lt;=tbllkpSteelGrades[Thickness]),0))</f>
        <v>280000000</v>
      </c>
      <c r="AE4" s="17">
        <f>MIN(Table8[[#This Row],[fy_web]],Table8[[#This Row],[fy_flange]])</f>
        <v>280000000</v>
      </c>
      <c r="AF4" s="17">
        <f t="array" ref="AF4">INDEX(tbllkpSteelGrades[fu],MATCH(1,(Table8[[#This Row],[Grade]]=tbllkpSteelGrades[Grade])*(Table8[[#This Row],[tw]]&lt;=tbllkpSteelGrades[Thickness]),0))</f>
        <v>430000000</v>
      </c>
      <c r="AG4" s="18">
        <f>IF(Table8[[#This Row],[Fabrication Type]]="Welded",Table8[[#This Row],[d1]],Table8[[#This Row],[d]])*Table8[[#This Row],[tw]]</f>
        <v>1.7919999999999998E-2</v>
      </c>
      <c r="AH4" s="11">
        <f>Table8[[#This Row],[Aw]]*Table8[[#This Row],[fy_web]]*0.6</f>
        <v>3225599.9999999995</v>
      </c>
      <c r="AI4" s="35">
        <f>82/SQRT(Table8[[#This Row],[fy_web]]/250000000)</f>
        <v>74.855416192372701</v>
      </c>
      <c r="AJ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4" s="38">
        <f>IF(Table8[[#This Row],[Fabrication Type]]="Welded",IF(Table8[[#This Row],[tw]]&gt;0.016,0.016*Table8[[#This Row],[fu]],Table8[[#This Row],[tw]]*Table8[[#This Row],[fu]]),"")</f>
        <v>6880000</v>
      </c>
      <c r="AL4" s="13">
        <f>Table8[[#This Row],[d]]-Table8[[#This Row],[tf]]</f>
        <v>1.1559999999999999</v>
      </c>
      <c r="AM4" s="39">
        <f>Table8[[#This Row],[bf]]*Table8[[#This Row],[tf]]*(Table8[[#This Row],[df]]/2)</f>
        <v>1.0403999999999998E-2</v>
      </c>
      <c r="AN4" s="11">
        <f>IF(Table8[[#This Row],[Fabrication Type]]="Welded",Table8[[#This Row],[vw]]*Table8[[#This Row],[Ix]]/Table8[[#This Row],[Qflange]],"")</f>
        <v>9191849.2887351029</v>
      </c>
      <c r="AO4" s="11">
        <f>Table8[[#This Row],[tw]]*MIN(Table8[[#This Row],[fy_web]], Table8[[#This Row],[fy_flange]])*0.6*Table8[[#This Row],[Ix]]/Table8[[#This Row],[Qflange]]</f>
        <v>3591234.1407151097</v>
      </c>
      <c r="AP4" s="50">
        <f ca="1">INDEX(tbllkpkt[kt],MATCH(RANDBETWEEN(1,4),tbllkpkt[Index],0))</f>
        <v>0.85</v>
      </c>
      <c r="AQ4" s="48">
        <f t="shared" ca="1" si="0"/>
        <v>1</v>
      </c>
      <c r="AR4" s="18">
        <f ca="1">Table8[[#This Row],[Ag]]*Table8[[#This Row],[Deduction_for_An]]</f>
        <v>5.3900000000000003E-2</v>
      </c>
      <c r="AS4" s="11">
        <f>Table8[[#This Row],[fy]]*Table8[[#This Row],[Ag]]</f>
        <v>15092000.000000002</v>
      </c>
      <c r="AT4" s="11">
        <f ca="1">Table8[[#This Row],[αu]]*Table8[[#This Row],[kt]]*Table8[[#This Row],[An]]*Table8[[#This Row],[fu]]</f>
        <v>16745382.5</v>
      </c>
      <c r="AU4" s="11">
        <f ca="1">MIN(Table8[[#This Row],[Nty]],Table8[[#This Row],[Ntu]])</f>
        <v>15092000.000000002</v>
      </c>
    </row>
    <row r="5" spans="2:47" x14ac:dyDescent="0.25">
      <c r="B5" s="14" t="str">
        <f>Table8[[#This Row],[Section]]&amp;"-"&amp;TEXT(Table8[[#This Row],[Grade]],"0")</f>
        <v>1200WB392-300</v>
      </c>
      <c r="C5" s="3" t="s">
        <v>16</v>
      </c>
      <c r="D5" s="3">
        <v>300</v>
      </c>
      <c r="E5" s="3" t="s">
        <v>12</v>
      </c>
      <c r="F5" s="4">
        <v>392</v>
      </c>
      <c r="G5" s="3" t="s">
        <v>13</v>
      </c>
      <c r="H5" s="3" t="s">
        <v>14</v>
      </c>
      <c r="I5" s="5">
        <v>1.1839999999999999</v>
      </c>
      <c r="J5" s="5">
        <v>0.5</v>
      </c>
      <c r="K5" s="5">
        <v>3.2000000000000001E-2</v>
      </c>
      <c r="L5" s="5">
        <v>1.6E-2</v>
      </c>
      <c r="M5" s="5" t="s">
        <v>107</v>
      </c>
      <c r="N5" s="5">
        <v>1.1199999999999999</v>
      </c>
      <c r="O5" s="6">
        <v>69.999999999999986</v>
      </c>
      <c r="P5" s="6">
        <v>7.5625</v>
      </c>
      <c r="Q5" s="7">
        <v>4.99E-2</v>
      </c>
      <c r="R5" s="8">
        <v>1.2500000000000001E-2</v>
      </c>
      <c r="S5" s="9">
        <v>2.1100000000000001E-2</v>
      </c>
      <c r="T5" s="9">
        <v>2.3400000000000001E-2</v>
      </c>
      <c r="U5" s="5">
        <v>0.5</v>
      </c>
      <c r="V5" s="8">
        <v>6.6699999999999995E-4</v>
      </c>
      <c r="W5" s="9">
        <v>2.6700000000000001E-3</v>
      </c>
      <c r="X5" s="9">
        <v>4.0699999999999998E-3</v>
      </c>
      <c r="Y5" s="5">
        <v>0.5</v>
      </c>
      <c r="Z5" s="8">
        <v>1.2099999999999999E-5</v>
      </c>
      <c r="AA5" s="10">
        <v>2.2100000000000001E-4</v>
      </c>
      <c r="AB5" s="45">
        <v>0.85</v>
      </c>
      <c r="AC5" s="17">
        <f t="array" ref="AC5">INDEX(tbllkpSteelGrades[fy],MATCH(1,(Table8[[#This Row],[Grade]]=tbllkpSteelGrades[Grade])*(Table8[[#This Row],[tw]]&lt;=tbllkpSteelGrades[Thickness]),0))</f>
        <v>300000000</v>
      </c>
      <c r="AD5" s="17">
        <f t="array" ref="AD5">INDEX(tbllkpSteelGrades[fy],MATCH(1,(Table8[[#This Row],[Grade]]=tbllkpSteelGrades[Grade])*(Table8[[#This Row],[tf]]&lt;=tbllkpSteelGrades[Thickness]),0))</f>
        <v>280000000</v>
      </c>
      <c r="AE5" s="17">
        <f>MIN(Table8[[#This Row],[fy_web]],Table8[[#This Row],[fy_flange]])</f>
        <v>280000000</v>
      </c>
      <c r="AF5" s="17">
        <f t="array" ref="AF5">INDEX(tbllkpSteelGrades[fu],MATCH(1,(Table8[[#This Row],[Grade]]=tbllkpSteelGrades[Grade])*(Table8[[#This Row],[tw]]&lt;=tbllkpSteelGrades[Thickness]),0))</f>
        <v>430000000</v>
      </c>
      <c r="AG5" s="18">
        <f>IF(Table8[[#This Row],[Fabrication Type]]="Welded",Table8[[#This Row],[d1]],Table8[[#This Row],[d]])*Table8[[#This Row],[tw]]</f>
        <v>1.7919999999999998E-2</v>
      </c>
      <c r="AH5" s="11">
        <f>Table8[[#This Row],[Aw]]*Table8[[#This Row],[fy_web]]*0.6</f>
        <v>3225599.9999999995</v>
      </c>
      <c r="AI5" s="35">
        <f>82/SQRT(Table8[[#This Row],[fy_web]]/250000000)</f>
        <v>74.855416192372701</v>
      </c>
      <c r="AJ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5" s="38">
        <f>IF(Table8[[#This Row],[Fabrication Type]]="Welded",IF(Table8[[#This Row],[tw]]&gt;0.016,0.016*Table8[[#This Row],[fu]],Table8[[#This Row],[tw]]*Table8[[#This Row],[fu]]),"")</f>
        <v>6880000</v>
      </c>
      <c r="AL5" s="13">
        <f>Table8[[#This Row],[d]]-Table8[[#This Row],[tf]]</f>
        <v>1.1519999999999999</v>
      </c>
      <c r="AM5" s="39">
        <f>Table8[[#This Row],[bf]]*Table8[[#This Row],[tf]]*(Table8[[#This Row],[df]]/2)</f>
        <v>9.2160000000000002E-3</v>
      </c>
      <c r="AN5" s="11">
        <f>IF(Table8[[#This Row],[Fabrication Type]]="Welded",Table8[[#This Row],[vw]]*Table8[[#This Row],[Ix]]/Table8[[#This Row],[Qflange]],"")</f>
        <v>9331597.222222222</v>
      </c>
      <c r="AO5" s="11">
        <f>Table8[[#This Row],[tw]]*MIN(Table8[[#This Row],[fy_web]], Table8[[#This Row],[fy_flange]])*0.6*Table8[[#This Row],[Ix]]/Table8[[#This Row],[Qflange]]</f>
        <v>3645833.333333333</v>
      </c>
      <c r="AP5" s="50">
        <f ca="1">INDEX(tbllkpkt[kt],MATCH(RANDBETWEEN(1,4),tbllkpkt[Index],0))</f>
        <v>0.9</v>
      </c>
      <c r="AQ5" s="48">
        <f t="shared" ca="1" si="0"/>
        <v>0.96</v>
      </c>
      <c r="AR5" s="18">
        <f ca="1">Table8[[#This Row],[Ag]]*Table8[[#This Row],[Deduction_for_An]]</f>
        <v>4.7903999999999995E-2</v>
      </c>
      <c r="AS5" s="11">
        <f>Table8[[#This Row],[fy]]*Table8[[#This Row],[Ag]]</f>
        <v>13972000</v>
      </c>
      <c r="AT5" s="11">
        <f ca="1">Table8[[#This Row],[αu]]*Table8[[#This Row],[kt]]*Table8[[#This Row],[An]]*Table8[[#This Row],[fu]]</f>
        <v>15758020.799999997</v>
      </c>
      <c r="AU5" s="11">
        <f ca="1">MIN(Table8[[#This Row],[Nty]],Table8[[#This Row],[Ntu]])</f>
        <v>13972000</v>
      </c>
    </row>
    <row r="6" spans="2:47" x14ac:dyDescent="0.25">
      <c r="B6" s="14" t="str">
        <f>Table8[[#This Row],[Section]]&amp;"-"&amp;TEXT(Table8[[#This Row],[Grade]],"0")</f>
        <v>1200WB342-300</v>
      </c>
      <c r="C6" s="3" t="s">
        <v>17</v>
      </c>
      <c r="D6" s="3">
        <v>300</v>
      </c>
      <c r="E6" s="3" t="s">
        <v>12</v>
      </c>
      <c r="F6" s="4">
        <v>342</v>
      </c>
      <c r="G6" s="3" t="s">
        <v>13</v>
      </c>
      <c r="H6" s="3" t="s">
        <v>14</v>
      </c>
      <c r="I6" s="5">
        <v>1.1839999999999999</v>
      </c>
      <c r="J6" s="5">
        <v>0.4</v>
      </c>
      <c r="K6" s="5">
        <v>3.2000000000000001E-2</v>
      </c>
      <c r="L6" s="5">
        <v>1.6E-2</v>
      </c>
      <c r="M6" s="5" t="s">
        <v>107</v>
      </c>
      <c r="N6" s="5">
        <v>1.1199999999999999</v>
      </c>
      <c r="O6" s="6">
        <v>69.999999999999986</v>
      </c>
      <c r="P6" s="6">
        <v>6</v>
      </c>
      <c r="Q6" s="7">
        <v>4.3499999999999997E-2</v>
      </c>
      <c r="R6" s="8">
        <v>1.04E-2</v>
      </c>
      <c r="S6" s="9">
        <v>1.7500000000000002E-2</v>
      </c>
      <c r="T6" s="9">
        <v>1.9800000000000002E-2</v>
      </c>
      <c r="U6" s="5">
        <v>0.48799999999999999</v>
      </c>
      <c r="V6" s="8">
        <v>3.4200000000000002E-4</v>
      </c>
      <c r="W6" s="9">
        <v>1.7099999999999999E-3</v>
      </c>
      <c r="X6" s="9">
        <v>2.63E-3</v>
      </c>
      <c r="Y6" s="5">
        <v>0.48799999999999999</v>
      </c>
      <c r="Z6" s="8">
        <v>9.9599999999999995E-6</v>
      </c>
      <c r="AA6" s="10">
        <v>1.13E-4</v>
      </c>
      <c r="AB6" s="45">
        <v>0.85</v>
      </c>
      <c r="AC6" s="17">
        <f t="array" ref="AC6">INDEX(tbllkpSteelGrades[fy],MATCH(1,(Table8[[#This Row],[Grade]]=tbllkpSteelGrades[Grade])*(Table8[[#This Row],[tw]]&lt;=tbllkpSteelGrades[Thickness]),0))</f>
        <v>300000000</v>
      </c>
      <c r="AD6" s="17">
        <f t="array" ref="AD6">INDEX(tbllkpSteelGrades[fy],MATCH(1,(Table8[[#This Row],[Grade]]=tbllkpSteelGrades[Grade])*(Table8[[#This Row],[tf]]&lt;=tbllkpSteelGrades[Thickness]),0))</f>
        <v>280000000</v>
      </c>
      <c r="AE6" s="17">
        <f>MIN(Table8[[#This Row],[fy_web]],Table8[[#This Row],[fy_flange]])</f>
        <v>280000000</v>
      </c>
      <c r="AF6" s="17">
        <f t="array" ref="AF6">INDEX(tbllkpSteelGrades[fu],MATCH(1,(Table8[[#This Row],[Grade]]=tbllkpSteelGrades[Grade])*(Table8[[#This Row],[tw]]&lt;=tbllkpSteelGrades[Thickness]),0))</f>
        <v>430000000</v>
      </c>
      <c r="AG6" s="18">
        <f>IF(Table8[[#This Row],[Fabrication Type]]="Welded",Table8[[#This Row],[d1]],Table8[[#This Row],[d]])*Table8[[#This Row],[tw]]</f>
        <v>1.7919999999999998E-2</v>
      </c>
      <c r="AH6" s="11">
        <f>Table8[[#This Row],[Aw]]*Table8[[#This Row],[fy_web]]*0.6</f>
        <v>3225599.9999999995</v>
      </c>
      <c r="AI6" s="35">
        <f>82/SQRT(Table8[[#This Row],[fy_web]]/250000000)</f>
        <v>74.855416192372701</v>
      </c>
      <c r="AJ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6" s="38">
        <f>IF(Table8[[#This Row],[Fabrication Type]]="Welded",IF(Table8[[#This Row],[tw]]&gt;0.016,0.016*Table8[[#This Row],[fu]],Table8[[#This Row],[tw]]*Table8[[#This Row],[fu]]),"")</f>
        <v>6880000</v>
      </c>
      <c r="AL6" s="13">
        <f>Table8[[#This Row],[d]]-Table8[[#This Row],[tf]]</f>
        <v>1.1519999999999999</v>
      </c>
      <c r="AM6" s="39">
        <f>Table8[[#This Row],[bf]]*Table8[[#This Row],[tf]]*(Table8[[#This Row],[df]]/2)</f>
        <v>7.3727999999999997E-3</v>
      </c>
      <c r="AN6" s="11">
        <f>IF(Table8[[#This Row],[Fabrication Type]]="Welded",Table8[[#This Row],[vw]]*Table8[[#This Row],[Ix]]/Table8[[#This Row],[Qflange]],"")</f>
        <v>9704861.1111111119</v>
      </c>
      <c r="AO6" s="11">
        <f>Table8[[#This Row],[tw]]*MIN(Table8[[#This Row],[fy_web]], Table8[[#This Row],[fy_flange]])*0.6*Table8[[#This Row],[Ix]]/Table8[[#This Row],[Qflange]]</f>
        <v>3791666.6666666665</v>
      </c>
      <c r="AP6" s="50">
        <f ca="1">INDEX(tbllkpkt[kt],MATCH(RANDBETWEEN(1,4),tbllkpkt[Index],0))</f>
        <v>1</v>
      </c>
      <c r="AQ6" s="48">
        <f t="shared" ca="1" si="0"/>
        <v>0.91</v>
      </c>
      <c r="AR6" s="18">
        <f ca="1">Table8[[#This Row],[Ag]]*Table8[[#This Row],[Deduction_for_An]]</f>
        <v>3.9584999999999995E-2</v>
      </c>
      <c r="AS6" s="11">
        <f>Table8[[#This Row],[fy]]*Table8[[#This Row],[Ag]]</f>
        <v>12180000</v>
      </c>
      <c r="AT6" s="11">
        <f ca="1">Table8[[#This Row],[αu]]*Table8[[#This Row],[kt]]*Table8[[#This Row],[An]]*Table8[[#This Row],[fu]]</f>
        <v>14468317.499999998</v>
      </c>
      <c r="AU6" s="11">
        <f ca="1">MIN(Table8[[#This Row],[Nty]],Table8[[#This Row],[Ntu]])</f>
        <v>12180000</v>
      </c>
    </row>
    <row r="7" spans="2:47" x14ac:dyDescent="0.25">
      <c r="B7" s="14" t="str">
        <f>Table8[[#This Row],[Section]]&amp;"-"&amp;TEXT(Table8[[#This Row],[Grade]],"0")</f>
        <v>1200WB317-300</v>
      </c>
      <c r="C7" s="3" t="s">
        <v>18</v>
      </c>
      <c r="D7" s="3">
        <v>300</v>
      </c>
      <c r="E7" s="3" t="s">
        <v>12</v>
      </c>
      <c r="F7" s="4">
        <v>317</v>
      </c>
      <c r="G7" s="3" t="s">
        <v>13</v>
      </c>
      <c r="H7" s="3" t="s">
        <v>14</v>
      </c>
      <c r="I7" s="5">
        <v>1.1759999999999999</v>
      </c>
      <c r="J7" s="5">
        <v>0.4</v>
      </c>
      <c r="K7" s="5">
        <v>2.8000000000000001E-2</v>
      </c>
      <c r="L7" s="5">
        <v>1.6E-2</v>
      </c>
      <c r="M7" s="5" t="s">
        <v>107</v>
      </c>
      <c r="N7" s="5">
        <v>1.1199999999999999</v>
      </c>
      <c r="O7" s="6">
        <v>69.999999999999986</v>
      </c>
      <c r="P7" s="6">
        <v>6.8571428571428568</v>
      </c>
      <c r="Q7" s="7">
        <v>4.0300000000000002E-2</v>
      </c>
      <c r="R7" s="8">
        <v>9.2499999999999995E-3</v>
      </c>
      <c r="S7" s="9">
        <v>1.5699999999999999E-2</v>
      </c>
      <c r="T7" s="9">
        <v>1.7899999999999999E-2</v>
      </c>
      <c r="U7" s="5">
        <v>0.47899999999999998</v>
      </c>
      <c r="V7" s="8">
        <v>2.99E-4</v>
      </c>
      <c r="W7" s="9">
        <v>1.5E-3</v>
      </c>
      <c r="X7" s="9">
        <v>2.31E-3</v>
      </c>
      <c r="Y7" s="5">
        <v>0.47899999999999998</v>
      </c>
      <c r="Z7" s="8">
        <v>7.2300000000000002E-6</v>
      </c>
      <c r="AA7" s="10">
        <v>9.8499999999999995E-5</v>
      </c>
      <c r="AB7" s="45">
        <v>0.85</v>
      </c>
      <c r="AC7" s="17">
        <f t="array" ref="AC7">INDEX(tbllkpSteelGrades[fy],MATCH(1,(Table8[[#This Row],[Grade]]=tbllkpSteelGrades[Grade])*(Table8[[#This Row],[tw]]&lt;=tbllkpSteelGrades[Thickness]),0))</f>
        <v>300000000</v>
      </c>
      <c r="AD7" s="17">
        <f t="array" ref="AD7">INDEX(tbllkpSteelGrades[fy],MATCH(1,(Table8[[#This Row],[Grade]]=tbllkpSteelGrades[Grade])*(Table8[[#This Row],[tf]]&lt;=tbllkpSteelGrades[Thickness]),0))</f>
        <v>280000000</v>
      </c>
      <c r="AE7" s="17">
        <f>MIN(Table8[[#This Row],[fy_web]],Table8[[#This Row],[fy_flange]])</f>
        <v>280000000</v>
      </c>
      <c r="AF7" s="17">
        <f t="array" ref="AF7">INDEX(tbllkpSteelGrades[fu],MATCH(1,(Table8[[#This Row],[Grade]]=tbllkpSteelGrades[Grade])*(Table8[[#This Row],[tw]]&lt;=tbllkpSteelGrades[Thickness]),0))</f>
        <v>430000000</v>
      </c>
      <c r="AG7" s="18">
        <f>IF(Table8[[#This Row],[Fabrication Type]]="Welded",Table8[[#This Row],[d1]],Table8[[#This Row],[d]])*Table8[[#This Row],[tw]]</f>
        <v>1.7919999999999998E-2</v>
      </c>
      <c r="AH7" s="11">
        <f>Table8[[#This Row],[Aw]]*Table8[[#This Row],[fy_web]]*0.6</f>
        <v>3225599.9999999995</v>
      </c>
      <c r="AI7" s="35">
        <f>82/SQRT(Table8[[#This Row],[fy_web]]/250000000)</f>
        <v>74.855416192372701</v>
      </c>
      <c r="AJ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7" s="38">
        <f>IF(Table8[[#This Row],[Fabrication Type]]="Welded",IF(Table8[[#This Row],[tw]]&gt;0.016,0.016*Table8[[#This Row],[fu]],Table8[[#This Row],[tw]]*Table8[[#This Row],[fu]]),"")</f>
        <v>6880000</v>
      </c>
      <c r="AL7" s="13">
        <f>Table8[[#This Row],[d]]-Table8[[#This Row],[tf]]</f>
        <v>1.1479999999999999</v>
      </c>
      <c r="AM7" s="39">
        <f>Table8[[#This Row],[bf]]*Table8[[#This Row],[tf]]*(Table8[[#This Row],[df]]/2)</f>
        <v>6.4288000000000001E-3</v>
      </c>
      <c r="AN7" s="11">
        <f>IF(Table8[[#This Row],[Fabrication Type]]="Welded",Table8[[#This Row],[vw]]*Table8[[#This Row],[Ix]]/Table8[[#This Row],[Qflange]],"")</f>
        <v>9899203.5838725735</v>
      </c>
      <c r="AO7" s="11">
        <f>Table8[[#This Row],[tw]]*MIN(Table8[[#This Row],[fy_web]], Table8[[#This Row],[fy_flange]])*0.6*Table8[[#This Row],[Ix]]/Table8[[#This Row],[Qflange]]</f>
        <v>3867595.818815331</v>
      </c>
      <c r="AP7" s="50">
        <f ca="1">INDEX(tbllkpkt[kt],MATCH(RANDBETWEEN(1,4),tbllkpkt[Index],0))</f>
        <v>1</v>
      </c>
      <c r="AQ7" s="48">
        <f t="shared" ca="1" si="0"/>
        <v>0.96</v>
      </c>
      <c r="AR7" s="18">
        <f ca="1">Table8[[#This Row],[Ag]]*Table8[[#This Row],[Deduction_for_An]]</f>
        <v>3.8688E-2</v>
      </c>
      <c r="AS7" s="11">
        <f>Table8[[#This Row],[fy]]*Table8[[#This Row],[Ag]]</f>
        <v>11284000</v>
      </c>
      <c r="AT7" s="11">
        <f ca="1">Table8[[#This Row],[αu]]*Table8[[#This Row],[kt]]*Table8[[#This Row],[An]]*Table8[[#This Row],[fu]]</f>
        <v>14140464</v>
      </c>
      <c r="AU7" s="11">
        <f ca="1">MIN(Table8[[#This Row],[Nty]],Table8[[#This Row],[Ntu]])</f>
        <v>11284000</v>
      </c>
    </row>
    <row r="8" spans="2:47" x14ac:dyDescent="0.25">
      <c r="B8" s="14" t="str">
        <f>Table8[[#This Row],[Section]]&amp;"-"&amp;TEXT(Table8[[#This Row],[Grade]],"0")</f>
        <v>1200WB278-300</v>
      </c>
      <c r="C8" s="3" t="s">
        <v>19</v>
      </c>
      <c r="D8" s="3">
        <v>300</v>
      </c>
      <c r="E8" s="3" t="s">
        <v>12</v>
      </c>
      <c r="F8" s="4">
        <v>278</v>
      </c>
      <c r="G8" s="3" t="s">
        <v>13</v>
      </c>
      <c r="H8" s="3" t="s">
        <v>14</v>
      </c>
      <c r="I8" s="5">
        <v>1.17</v>
      </c>
      <c r="J8" s="5">
        <v>0.35</v>
      </c>
      <c r="K8" s="5">
        <v>2.5000000000000001E-2</v>
      </c>
      <c r="L8" s="5">
        <v>1.6E-2</v>
      </c>
      <c r="M8" s="5" t="s">
        <v>107</v>
      </c>
      <c r="N8" s="5">
        <v>1.1199999999999999</v>
      </c>
      <c r="O8" s="6">
        <v>69.999999999999986</v>
      </c>
      <c r="P8" s="6">
        <v>6.6799999999999988</v>
      </c>
      <c r="Q8" s="7">
        <v>3.5400000000000001E-2</v>
      </c>
      <c r="R8" s="8">
        <v>7.6099999999999996E-3</v>
      </c>
      <c r="S8" s="9">
        <v>1.2999999999999999E-2</v>
      </c>
      <c r="T8" s="9">
        <v>1.4999999999999999E-2</v>
      </c>
      <c r="U8" s="5">
        <v>0.46400000000000002</v>
      </c>
      <c r="V8" s="8">
        <v>1.7899999999999999E-4</v>
      </c>
      <c r="W8" s="9">
        <v>1.0200000000000001E-3</v>
      </c>
      <c r="X8" s="9">
        <v>1.6000000000000001E-3</v>
      </c>
      <c r="Y8" s="5">
        <v>0.46400000000000002</v>
      </c>
      <c r="Z8" s="8">
        <v>5.0900000000000004E-6</v>
      </c>
      <c r="AA8" s="10">
        <v>5.8699999999999997E-5</v>
      </c>
      <c r="AB8" s="45">
        <v>0.85</v>
      </c>
      <c r="AC8" s="17">
        <f t="array" ref="AC8">INDEX(tbllkpSteelGrades[fy],MATCH(1,(Table8[[#This Row],[Grade]]=tbllkpSteelGrades[Grade])*(Table8[[#This Row],[tw]]&lt;=tbllkpSteelGrades[Thickness]),0))</f>
        <v>300000000</v>
      </c>
      <c r="AD8" s="17">
        <f t="array" ref="AD8">INDEX(tbllkpSteelGrades[fy],MATCH(1,(Table8[[#This Row],[Grade]]=tbllkpSteelGrades[Grade])*(Table8[[#This Row],[tf]]&lt;=tbllkpSteelGrades[Thickness]),0))</f>
        <v>280000000</v>
      </c>
      <c r="AE8" s="17">
        <f>MIN(Table8[[#This Row],[fy_web]],Table8[[#This Row],[fy_flange]])</f>
        <v>280000000</v>
      </c>
      <c r="AF8" s="17">
        <f t="array" ref="AF8">INDEX(tbllkpSteelGrades[fu],MATCH(1,(Table8[[#This Row],[Grade]]=tbllkpSteelGrades[Grade])*(Table8[[#This Row],[tw]]&lt;=tbllkpSteelGrades[Thickness]),0))</f>
        <v>430000000</v>
      </c>
      <c r="AG8" s="18">
        <f>IF(Table8[[#This Row],[Fabrication Type]]="Welded",Table8[[#This Row],[d1]],Table8[[#This Row],[d]])*Table8[[#This Row],[tw]]</f>
        <v>1.7919999999999998E-2</v>
      </c>
      <c r="AH8" s="11">
        <f>Table8[[#This Row],[Aw]]*Table8[[#This Row],[fy_web]]*0.6</f>
        <v>3225599.9999999995</v>
      </c>
      <c r="AI8" s="35">
        <f>82/SQRT(Table8[[#This Row],[fy_web]]/250000000)</f>
        <v>74.855416192372701</v>
      </c>
      <c r="AJ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8" s="38">
        <f>IF(Table8[[#This Row],[Fabrication Type]]="Welded",IF(Table8[[#This Row],[tw]]&gt;0.016,0.016*Table8[[#This Row],[fu]],Table8[[#This Row],[tw]]*Table8[[#This Row],[fu]]),"")</f>
        <v>6880000</v>
      </c>
      <c r="AL8" s="13">
        <f>Table8[[#This Row],[d]]-Table8[[#This Row],[tf]]</f>
        <v>1.145</v>
      </c>
      <c r="AM8" s="39">
        <f>Table8[[#This Row],[bf]]*Table8[[#This Row],[tf]]*(Table8[[#This Row],[df]]/2)</f>
        <v>5.0093749999999999E-3</v>
      </c>
      <c r="AN8" s="11">
        <f>IF(Table8[[#This Row],[Fabrication Type]]="Welded",Table8[[#This Row],[vw]]*Table8[[#This Row],[Ix]]/Table8[[#This Row],[Qflange]],"")</f>
        <v>10451762.9444791</v>
      </c>
      <c r="AO8" s="11">
        <f>Table8[[#This Row],[tw]]*MIN(Table8[[#This Row],[fy_web]], Table8[[#This Row],[fy_flange]])*0.6*Table8[[#This Row],[Ix]]/Table8[[#This Row],[Qflange]]</f>
        <v>4083479.4759825328</v>
      </c>
      <c r="AP8" s="50">
        <f ca="1">INDEX(tbllkpkt[kt],MATCH(RANDBETWEEN(1,4),tbllkpkt[Index],0))</f>
        <v>0.75</v>
      </c>
      <c r="AQ8" s="48">
        <f t="shared" ca="1" si="0"/>
        <v>0.91</v>
      </c>
      <c r="AR8" s="18">
        <f ca="1">Table8[[#This Row],[Ag]]*Table8[[#This Row],[Deduction_for_An]]</f>
        <v>3.2214E-2</v>
      </c>
      <c r="AS8" s="11">
        <f>Table8[[#This Row],[fy]]*Table8[[#This Row],[Ag]]</f>
        <v>9912000</v>
      </c>
      <c r="AT8" s="11">
        <f ca="1">Table8[[#This Row],[αu]]*Table8[[#This Row],[kt]]*Table8[[#This Row],[An]]*Table8[[#This Row],[fu]]</f>
        <v>8830662.7499999981</v>
      </c>
      <c r="AU8" s="11">
        <f ca="1">MIN(Table8[[#This Row],[Nty]],Table8[[#This Row],[Ntu]])</f>
        <v>8830662.7499999981</v>
      </c>
    </row>
    <row r="9" spans="2:47" x14ac:dyDescent="0.25">
      <c r="B9" s="14" t="str">
        <f>Table8[[#This Row],[Section]]&amp;"-"&amp;TEXT(Table8[[#This Row],[Grade]],"0")</f>
        <v>1200WB249-300</v>
      </c>
      <c r="C9" s="3" t="s">
        <v>20</v>
      </c>
      <c r="D9" s="3">
        <v>300</v>
      </c>
      <c r="E9" s="3" t="s">
        <v>12</v>
      </c>
      <c r="F9" s="4">
        <v>249</v>
      </c>
      <c r="G9" s="3" t="s">
        <v>13</v>
      </c>
      <c r="H9" s="3" t="s">
        <v>14</v>
      </c>
      <c r="I9" s="5">
        <v>1.17</v>
      </c>
      <c r="J9" s="5">
        <v>0.27500000000000002</v>
      </c>
      <c r="K9" s="5">
        <v>2.5000000000000001E-2</v>
      </c>
      <c r="L9" s="5">
        <v>1.6E-2</v>
      </c>
      <c r="M9" s="5" t="s">
        <v>107</v>
      </c>
      <c r="N9" s="5">
        <v>1.1199999999999999</v>
      </c>
      <c r="O9" s="6">
        <v>69.999999999999986</v>
      </c>
      <c r="P9" s="6">
        <v>5.18</v>
      </c>
      <c r="Q9" s="7">
        <v>3.1699999999999999E-2</v>
      </c>
      <c r="R9" s="8">
        <v>6.3800000000000003E-3</v>
      </c>
      <c r="S9" s="9">
        <v>1.09E-2</v>
      </c>
      <c r="T9" s="9">
        <v>1.29E-2</v>
      </c>
      <c r="U9" s="5">
        <v>0.44900000000000001</v>
      </c>
      <c r="V9" s="8">
        <v>8.7000000000000001E-5</v>
      </c>
      <c r="W9" s="9">
        <v>6.3299999999999999E-4</v>
      </c>
      <c r="X9" s="9">
        <v>1.0200000000000001E-3</v>
      </c>
      <c r="Y9" s="5">
        <v>0.44900000000000001</v>
      </c>
      <c r="Z9" s="8">
        <v>4.3100000000000002E-6</v>
      </c>
      <c r="AA9" s="10">
        <v>2.8500000000000002E-5</v>
      </c>
      <c r="AB9" s="45">
        <v>0.85</v>
      </c>
      <c r="AC9" s="17">
        <f t="array" ref="AC9">INDEX(tbllkpSteelGrades[fy],MATCH(1,(Table8[[#This Row],[Grade]]=tbllkpSteelGrades[Grade])*(Table8[[#This Row],[tw]]&lt;=tbllkpSteelGrades[Thickness]),0))</f>
        <v>300000000</v>
      </c>
      <c r="AD9" s="17">
        <f t="array" ref="AD9">INDEX(tbllkpSteelGrades[fy],MATCH(1,(Table8[[#This Row],[Grade]]=tbllkpSteelGrades[Grade])*(Table8[[#This Row],[tf]]&lt;=tbllkpSteelGrades[Thickness]),0))</f>
        <v>280000000</v>
      </c>
      <c r="AE9" s="17">
        <f>MIN(Table8[[#This Row],[fy_web]],Table8[[#This Row],[fy_flange]])</f>
        <v>280000000</v>
      </c>
      <c r="AF9" s="17">
        <f t="array" ref="AF9">INDEX(tbllkpSteelGrades[fu],MATCH(1,(Table8[[#This Row],[Grade]]=tbllkpSteelGrades[Grade])*(Table8[[#This Row],[tw]]&lt;=tbllkpSteelGrades[Thickness]),0))</f>
        <v>430000000</v>
      </c>
      <c r="AG9" s="18">
        <f>IF(Table8[[#This Row],[Fabrication Type]]="Welded",Table8[[#This Row],[d1]],Table8[[#This Row],[d]])*Table8[[#This Row],[tw]]</f>
        <v>1.7919999999999998E-2</v>
      </c>
      <c r="AH9" s="11">
        <f>Table8[[#This Row],[Aw]]*Table8[[#This Row],[fy_web]]*0.6</f>
        <v>3225599.9999999995</v>
      </c>
      <c r="AI9" s="35">
        <f>82/SQRT(Table8[[#This Row],[fy_web]]/250000000)</f>
        <v>74.855416192372701</v>
      </c>
      <c r="AJ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9" s="38">
        <f>IF(Table8[[#This Row],[Fabrication Type]]="Welded",IF(Table8[[#This Row],[tw]]&gt;0.016,0.016*Table8[[#This Row],[fu]],Table8[[#This Row],[tw]]*Table8[[#This Row],[fu]]),"")</f>
        <v>6880000</v>
      </c>
      <c r="AL9" s="13">
        <f>Table8[[#This Row],[d]]-Table8[[#This Row],[tf]]</f>
        <v>1.145</v>
      </c>
      <c r="AM9" s="39">
        <f>Table8[[#This Row],[bf]]*Table8[[#This Row],[tf]]*(Table8[[#This Row],[df]]/2)</f>
        <v>3.9359375000000002E-3</v>
      </c>
      <c r="AN9" s="11">
        <f>IF(Table8[[#This Row],[Fabrication Type]]="Welded",Table8[[#This Row],[vw]]*Table8[[#This Row],[Ix]]/Table8[[#This Row],[Qflange]],"")</f>
        <v>11152209.606986899</v>
      </c>
      <c r="AO9" s="11">
        <f>Table8[[#This Row],[tw]]*MIN(Table8[[#This Row],[fy_web]], Table8[[#This Row],[fy_flange]])*0.6*Table8[[#This Row],[Ix]]/Table8[[#This Row],[Qflange]]</f>
        <v>4357142.3580786027</v>
      </c>
      <c r="AP9" s="50">
        <f ca="1">INDEX(tbllkpkt[kt],MATCH(RANDBETWEEN(1,4),tbllkpkt[Index],0))</f>
        <v>0.85</v>
      </c>
      <c r="AQ9" s="48">
        <f t="shared" ca="1" si="0"/>
        <v>0.98</v>
      </c>
      <c r="AR9" s="18">
        <f ca="1">Table8[[#This Row],[Ag]]*Table8[[#This Row],[Deduction_for_An]]</f>
        <v>3.1066E-2</v>
      </c>
      <c r="AS9" s="11">
        <f>Table8[[#This Row],[fy]]*Table8[[#This Row],[Ag]]</f>
        <v>8876000</v>
      </c>
      <c r="AT9" s="11">
        <f ca="1">Table8[[#This Row],[αu]]*Table8[[#This Row],[kt]]*Table8[[#This Row],[An]]*Table8[[#This Row],[fu]]</f>
        <v>9651429.5499999989</v>
      </c>
      <c r="AU9" s="11">
        <f ca="1">MIN(Table8[[#This Row],[Nty]],Table8[[#This Row],[Ntu]])</f>
        <v>8876000</v>
      </c>
    </row>
    <row r="10" spans="2:47" x14ac:dyDescent="0.25">
      <c r="B10" s="14" t="str">
        <f>Table8[[#This Row],[Section]]&amp;"-"&amp;TEXT(Table8[[#This Row],[Grade]],"0")</f>
        <v>1000WB322-300</v>
      </c>
      <c r="C10" s="3" t="s">
        <v>21</v>
      </c>
      <c r="D10" s="3">
        <v>300</v>
      </c>
      <c r="E10" s="3" t="s">
        <v>12</v>
      </c>
      <c r="F10" s="4">
        <v>322</v>
      </c>
      <c r="G10" s="3" t="s">
        <v>13</v>
      </c>
      <c r="H10" s="3" t="s">
        <v>14</v>
      </c>
      <c r="I10" s="5">
        <v>1.024</v>
      </c>
      <c r="J10" s="5">
        <v>0.4</v>
      </c>
      <c r="K10" s="5">
        <v>3.2000000000000001E-2</v>
      </c>
      <c r="L10" s="5">
        <v>1.6E-2</v>
      </c>
      <c r="M10" s="5" t="s">
        <v>107</v>
      </c>
      <c r="N10" s="5">
        <v>0.96</v>
      </c>
      <c r="O10" s="6">
        <v>60</v>
      </c>
      <c r="P10" s="6">
        <v>6</v>
      </c>
      <c r="Q10" s="7">
        <v>4.1000000000000002E-2</v>
      </c>
      <c r="R10" s="8">
        <v>7.4799999999999997E-3</v>
      </c>
      <c r="S10" s="9">
        <v>1.46E-2</v>
      </c>
      <c r="T10" s="9">
        <v>1.6400000000000001E-2</v>
      </c>
      <c r="U10" s="5">
        <v>0.42699999999999999</v>
      </c>
      <c r="V10" s="8">
        <v>3.4200000000000002E-4</v>
      </c>
      <c r="W10" s="9">
        <v>1.7099999999999999E-3</v>
      </c>
      <c r="X10" s="9">
        <v>2.6199999999999999E-3</v>
      </c>
      <c r="Y10" s="5">
        <v>0.42699999999999999</v>
      </c>
      <c r="Z10" s="8">
        <v>9.7399999999999999E-6</v>
      </c>
      <c r="AA10" s="10">
        <v>8.4099999999999998E-5</v>
      </c>
      <c r="AB10" s="45">
        <v>0.85</v>
      </c>
      <c r="AC10" s="17">
        <f t="array" ref="AC10">INDEX(tbllkpSteelGrades[fy],MATCH(1,(Table8[[#This Row],[Grade]]=tbllkpSteelGrades[Grade])*(Table8[[#This Row],[tw]]&lt;=tbllkpSteelGrades[Thickness]),0))</f>
        <v>300000000</v>
      </c>
      <c r="AD10" s="17">
        <f t="array" ref="AD10">INDEX(tbllkpSteelGrades[fy],MATCH(1,(Table8[[#This Row],[Grade]]=tbllkpSteelGrades[Grade])*(Table8[[#This Row],[tf]]&lt;=tbllkpSteelGrades[Thickness]),0))</f>
        <v>280000000</v>
      </c>
      <c r="AE10" s="17">
        <f>MIN(Table8[[#This Row],[fy_web]],Table8[[#This Row],[fy_flange]])</f>
        <v>280000000</v>
      </c>
      <c r="AF10" s="17">
        <f t="array" ref="AF10">INDEX(tbllkpSteelGrades[fu],MATCH(1,(Table8[[#This Row],[Grade]]=tbllkpSteelGrades[Grade])*(Table8[[#This Row],[tw]]&lt;=tbllkpSteelGrades[Thickness]),0))</f>
        <v>430000000</v>
      </c>
      <c r="AG10" s="18">
        <f>IF(Table8[[#This Row],[Fabrication Type]]="Welded",Table8[[#This Row],[d1]],Table8[[#This Row],[d]])*Table8[[#This Row],[tw]]</f>
        <v>1.536E-2</v>
      </c>
      <c r="AH10" s="11">
        <f>Table8[[#This Row],[Aw]]*Table8[[#This Row],[fy_web]]*0.6</f>
        <v>2764800</v>
      </c>
      <c r="AI10" s="35">
        <f>82/SQRT(Table8[[#This Row],[fy_web]]/250000000)</f>
        <v>74.855416192372701</v>
      </c>
      <c r="AJ1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0" s="38">
        <f>IF(Table8[[#This Row],[Fabrication Type]]="Welded",IF(Table8[[#This Row],[tw]]&gt;0.016,0.016*Table8[[#This Row],[fu]],Table8[[#This Row],[tw]]*Table8[[#This Row],[fu]]),"")</f>
        <v>6880000</v>
      </c>
      <c r="AL10" s="13">
        <f>Table8[[#This Row],[d]]-Table8[[#This Row],[tf]]</f>
        <v>0.99199999999999999</v>
      </c>
      <c r="AM10" s="39">
        <f>Table8[[#This Row],[bf]]*Table8[[#This Row],[tf]]*(Table8[[#This Row],[df]]/2)</f>
        <v>6.3487999999999999E-3</v>
      </c>
      <c r="AN10" s="11">
        <f>IF(Table8[[#This Row],[Fabrication Type]]="Welded",Table8[[#This Row],[vw]]*Table8[[#This Row],[Ix]]/Table8[[#This Row],[Qflange]],"")</f>
        <v>8105846.7741935477</v>
      </c>
      <c r="AO10" s="11">
        <f>Table8[[#This Row],[tw]]*MIN(Table8[[#This Row],[fy_web]], Table8[[#This Row],[fy_flange]])*0.6*Table8[[#This Row],[Ix]]/Table8[[#This Row],[Qflange]]</f>
        <v>3166935.4838709673</v>
      </c>
      <c r="AP10" s="50">
        <f ca="1">INDEX(tbllkpkt[kt],MATCH(RANDBETWEEN(1,4),tbllkpkt[Index],0))</f>
        <v>0.75</v>
      </c>
      <c r="AQ10" s="48">
        <f t="shared" ca="1" si="0"/>
        <v>0.94</v>
      </c>
      <c r="AR10" s="18">
        <f ca="1">Table8[[#This Row],[Ag]]*Table8[[#This Row],[Deduction_for_An]]</f>
        <v>3.8539999999999998E-2</v>
      </c>
      <c r="AS10" s="11">
        <f>Table8[[#This Row],[fy]]*Table8[[#This Row],[Ag]]</f>
        <v>11480000</v>
      </c>
      <c r="AT10" s="11">
        <f ca="1">Table8[[#This Row],[αu]]*Table8[[#This Row],[kt]]*Table8[[#This Row],[An]]*Table8[[#This Row],[fu]]</f>
        <v>10564777.499999998</v>
      </c>
      <c r="AU10" s="11">
        <f ca="1">MIN(Table8[[#This Row],[Nty]],Table8[[#This Row],[Ntu]])</f>
        <v>10564777.499999998</v>
      </c>
    </row>
    <row r="11" spans="2:47" x14ac:dyDescent="0.25">
      <c r="B11" s="14" t="str">
        <f>Table8[[#This Row],[Section]]&amp;"-"&amp;TEXT(Table8[[#This Row],[Grade]],"0")</f>
        <v>1000WB296-300</v>
      </c>
      <c r="C11" s="3" t="s">
        <v>22</v>
      </c>
      <c r="D11" s="3">
        <v>300</v>
      </c>
      <c r="E11" s="3" t="s">
        <v>12</v>
      </c>
      <c r="F11" s="4">
        <v>296</v>
      </c>
      <c r="G11" s="3" t="s">
        <v>13</v>
      </c>
      <c r="H11" s="3" t="s">
        <v>14</v>
      </c>
      <c r="I11" s="5">
        <v>1.016</v>
      </c>
      <c r="J11" s="5">
        <v>0.4</v>
      </c>
      <c r="K11" s="5">
        <v>2.8000000000000001E-2</v>
      </c>
      <c r="L11" s="5">
        <v>1.6E-2</v>
      </c>
      <c r="M11" s="5" t="s">
        <v>107</v>
      </c>
      <c r="N11" s="5">
        <v>0.96</v>
      </c>
      <c r="O11" s="6">
        <v>60</v>
      </c>
      <c r="P11" s="6">
        <v>6.8571428571428568</v>
      </c>
      <c r="Q11" s="7">
        <v>3.78E-2</v>
      </c>
      <c r="R11" s="8">
        <v>6.6499999999999997E-3</v>
      </c>
      <c r="S11" s="9">
        <v>1.3100000000000001E-2</v>
      </c>
      <c r="T11" s="9">
        <v>1.4800000000000001E-2</v>
      </c>
      <c r="U11" s="5">
        <v>0.42</v>
      </c>
      <c r="V11" s="8">
        <v>2.99E-4</v>
      </c>
      <c r="W11" s="9">
        <v>1.49E-3</v>
      </c>
      <c r="X11" s="9">
        <v>2.3E-3</v>
      </c>
      <c r="Y11" s="5">
        <v>0.42</v>
      </c>
      <c r="Z11" s="8">
        <v>7.0099999999999998E-6</v>
      </c>
      <c r="AA11" s="10">
        <v>7.2999999999999999E-5</v>
      </c>
      <c r="AB11" s="45">
        <v>0.85</v>
      </c>
      <c r="AC11" s="17">
        <f t="array" ref="AC11">INDEX(tbllkpSteelGrades[fy],MATCH(1,(Table8[[#This Row],[Grade]]=tbllkpSteelGrades[Grade])*(Table8[[#This Row],[tw]]&lt;=tbllkpSteelGrades[Thickness]),0))</f>
        <v>300000000</v>
      </c>
      <c r="AD11" s="17">
        <f t="array" ref="AD11">INDEX(tbllkpSteelGrades[fy],MATCH(1,(Table8[[#This Row],[Grade]]=tbllkpSteelGrades[Grade])*(Table8[[#This Row],[tf]]&lt;=tbllkpSteelGrades[Thickness]),0))</f>
        <v>280000000</v>
      </c>
      <c r="AE11" s="17">
        <f>MIN(Table8[[#This Row],[fy_web]],Table8[[#This Row],[fy_flange]])</f>
        <v>280000000</v>
      </c>
      <c r="AF11" s="17">
        <f t="array" ref="AF11">INDEX(tbllkpSteelGrades[fu],MATCH(1,(Table8[[#This Row],[Grade]]=tbllkpSteelGrades[Grade])*(Table8[[#This Row],[tw]]&lt;=tbllkpSteelGrades[Thickness]),0))</f>
        <v>430000000</v>
      </c>
      <c r="AG11" s="18">
        <f>IF(Table8[[#This Row],[Fabrication Type]]="Welded",Table8[[#This Row],[d1]],Table8[[#This Row],[d]])*Table8[[#This Row],[tw]]</f>
        <v>1.536E-2</v>
      </c>
      <c r="AH11" s="11">
        <f>Table8[[#This Row],[Aw]]*Table8[[#This Row],[fy_web]]*0.6</f>
        <v>2764800</v>
      </c>
      <c r="AI11" s="35">
        <f>82/SQRT(Table8[[#This Row],[fy_web]]/250000000)</f>
        <v>74.855416192372701</v>
      </c>
      <c r="AJ1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1" s="38">
        <f>IF(Table8[[#This Row],[Fabrication Type]]="Welded",IF(Table8[[#This Row],[tw]]&gt;0.016,0.016*Table8[[#This Row],[fu]],Table8[[#This Row],[tw]]*Table8[[#This Row],[fu]]),"")</f>
        <v>6880000</v>
      </c>
      <c r="AL11" s="13">
        <f>Table8[[#This Row],[d]]-Table8[[#This Row],[tf]]</f>
        <v>0.98799999999999999</v>
      </c>
      <c r="AM11" s="39">
        <f>Table8[[#This Row],[bf]]*Table8[[#This Row],[tf]]*(Table8[[#This Row],[df]]/2)</f>
        <v>5.5328000000000009E-3</v>
      </c>
      <c r="AN11" s="11">
        <f>IF(Table8[[#This Row],[Fabrication Type]]="Welded",Table8[[#This Row],[vw]]*Table8[[#This Row],[Ix]]/Table8[[#This Row],[Qflange]],"")</f>
        <v>8269230.7692307681</v>
      </c>
      <c r="AO11" s="11">
        <f>Table8[[#This Row],[tw]]*MIN(Table8[[#This Row],[fy_web]], Table8[[#This Row],[fy_flange]])*0.6*Table8[[#This Row],[Ix]]/Table8[[#This Row],[Qflange]]</f>
        <v>3230769.2307692305</v>
      </c>
      <c r="AP11" s="50">
        <f ca="1">INDEX(tbllkpkt[kt],MATCH(RANDBETWEEN(1,4),tbllkpkt[Index],0))</f>
        <v>1</v>
      </c>
      <c r="AQ11" s="48">
        <f t="shared" ca="1" si="0"/>
        <v>0.92</v>
      </c>
      <c r="AR11" s="18">
        <f ca="1">Table8[[#This Row],[Ag]]*Table8[[#This Row],[Deduction_for_An]]</f>
        <v>3.4776000000000001E-2</v>
      </c>
      <c r="AS11" s="11">
        <f>Table8[[#This Row],[fy]]*Table8[[#This Row],[Ag]]</f>
        <v>10584000</v>
      </c>
      <c r="AT11" s="11">
        <f ca="1">Table8[[#This Row],[αu]]*Table8[[#This Row],[kt]]*Table8[[#This Row],[An]]*Table8[[#This Row],[fu]]</f>
        <v>12710628</v>
      </c>
      <c r="AU11" s="11">
        <f ca="1">MIN(Table8[[#This Row],[Nty]],Table8[[#This Row],[Ntu]])</f>
        <v>10584000</v>
      </c>
    </row>
    <row r="12" spans="2:47" x14ac:dyDescent="0.25">
      <c r="B12" s="14" t="str">
        <f>Table8[[#This Row],[Section]]&amp;"-"&amp;TEXT(Table8[[#This Row],[Grade]],"0")</f>
        <v>1000WB258-300</v>
      </c>
      <c r="C12" s="3" t="s">
        <v>23</v>
      </c>
      <c r="D12" s="3">
        <v>300</v>
      </c>
      <c r="E12" s="3" t="s">
        <v>12</v>
      </c>
      <c r="F12" s="4">
        <v>258</v>
      </c>
      <c r="G12" s="3" t="s">
        <v>13</v>
      </c>
      <c r="H12" s="3" t="s">
        <v>14</v>
      </c>
      <c r="I12" s="5">
        <v>1.01</v>
      </c>
      <c r="J12" s="5">
        <v>0.35</v>
      </c>
      <c r="K12" s="5">
        <v>2.5000000000000001E-2</v>
      </c>
      <c r="L12" s="5">
        <v>1.6E-2</v>
      </c>
      <c r="M12" s="5" t="s">
        <v>107</v>
      </c>
      <c r="N12" s="5">
        <v>0.96</v>
      </c>
      <c r="O12" s="6">
        <v>60</v>
      </c>
      <c r="P12" s="6">
        <v>6.6799999999999988</v>
      </c>
      <c r="Q12" s="7">
        <v>3.2899999999999999E-2</v>
      </c>
      <c r="R12" s="8">
        <v>5.4299999999999999E-3</v>
      </c>
      <c r="S12" s="9">
        <v>1.0699999999999999E-2</v>
      </c>
      <c r="T12" s="9">
        <v>1.23E-2</v>
      </c>
      <c r="U12" s="5">
        <v>0.40600000000000003</v>
      </c>
      <c r="V12" s="8">
        <v>1.7899999999999999E-4</v>
      </c>
      <c r="W12" s="9">
        <v>1.0200000000000001E-3</v>
      </c>
      <c r="X12" s="9">
        <v>1.5900000000000001E-3</v>
      </c>
      <c r="Y12" s="5">
        <v>0.40600000000000003</v>
      </c>
      <c r="Z12" s="8">
        <v>4.87E-6</v>
      </c>
      <c r="AA12" s="10">
        <v>4.3399999999999998E-5</v>
      </c>
      <c r="AB12" s="45">
        <v>0.85</v>
      </c>
      <c r="AC12" s="17">
        <f t="array" ref="AC12">INDEX(tbllkpSteelGrades[fy],MATCH(1,(Table8[[#This Row],[Grade]]=tbllkpSteelGrades[Grade])*(Table8[[#This Row],[tw]]&lt;=tbllkpSteelGrades[Thickness]),0))</f>
        <v>300000000</v>
      </c>
      <c r="AD12" s="17">
        <f t="array" ref="AD12">INDEX(tbllkpSteelGrades[fy],MATCH(1,(Table8[[#This Row],[Grade]]=tbllkpSteelGrades[Grade])*(Table8[[#This Row],[tf]]&lt;=tbllkpSteelGrades[Thickness]),0))</f>
        <v>280000000</v>
      </c>
      <c r="AE12" s="17">
        <f>MIN(Table8[[#This Row],[fy_web]],Table8[[#This Row],[fy_flange]])</f>
        <v>280000000</v>
      </c>
      <c r="AF12" s="17">
        <f t="array" ref="AF12">INDEX(tbllkpSteelGrades[fu],MATCH(1,(Table8[[#This Row],[Grade]]=tbllkpSteelGrades[Grade])*(Table8[[#This Row],[tw]]&lt;=tbllkpSteelGrades[Thickness]),0))</f>
        <v>430000000</v>
      </c>
      <c r="AG12" s="18">
        <f>IF(Table8[[#This Row],[Fabrication Type]]="Welded",Table8[[#This Row],[d1]],Table8[[#This Row],[d]])*Table8[[#This Row],[tw]]</f>
        <v>1.536E-2</v>
      </c>
      <c r="AH12" s="11">
        <f>Table8[[#This Row],[Aw]]*Table8[[#This Row],[fy_web]]*0.6</f>
        <v>2764800</v>
      </c>
      <c r="AI12" s="35">
        <f>82/SQRT(Table8[[#This Row],[fy_web]]/250000000)</f>
        <v>74.855416192372701</v>
      </c>
      <c r="AJ1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2" s="38">
        <f>IF(Table8[[#This Row],[Fabrication Type]]="Welded",IF(Table8[[#This Row],[tw]]&gt;0.016,0.016*Table8[[#This Row],[fu]],Table8[[#This Row],[tw]]*Table8[[#This Row],[fu]]),"")</f>
        <v>6880000</v>
      </c>
      <c r="AL12" s="13">
        <f>Table8[[#This Row],[d]]-Table8[[#This Row],[tf]]</f>
        <v>0.98499999999999999</v>
      </c>
      <c r="AM12" s="39">
        <f>Table8[[#This Row],[bf]]*Table8[[#This Row],[tf]]*(Table8[[#This Row],[df]]/2)</f>
        <v>4.3093749999999998E-3</v>
      </c>
      <c r="AN12" s="11">
        <f>IF(Table8[[#This Row],[Fabrication Type]]="Welded",Table8[[#This Row],[vw]]*Table8[[#This Row],[Ix]]/Table8[[#This Row],[Qflange]],"")</f>
        <v>8669099.3473531548</v>
      </c>
      <c r="AO12" s="11">
        <f>Table8[[#This Row],[tw]]*MIN(Table8[[#This Row],[fy_web]], Table8[[#This Row],[fy_flange]])*0.6*Table8[[#This Row],[Ix]]/Table8[[#This Row],[Qflange]]</f>
        <v>3386996.9543147208</v>
      </c>
      <c r="AP12" s="50">
        <f ca="1">INDEX(tbllkpkt[kt],MATCH(RANDBETWEEN(1,4),tbllkpkt[Index],0))</f>
        <v>0.75</v>
      </c>
      <c r="AQ12" s="48">
        <f t="shared" ca="1" si="0"/>
        <v>0.9</v>
      </c>
      <c r="AR12" s="18">
        <f ca="1">Table8[[#This Row],[Ag]]*Table8[[#This Row],[Deduction_for_An]]</f>
        <v>2.9610000000000001E-2</v>
      </c>
      <c r="AS12" s="11">
        <f>Table8[[#This Row],[fy]]*Table8[[#This Row],[Ag]]</f>
        <v>9212000</v>
      </c>
      <c r="AT12" s="11">
        <f ca="1">Table8[[#This Row],[αu]]*Table8[[#This Row],[kt]]*Table8[[#This Row],[An]]*Table8[[#This Row],[fu]]</f>
        <v>8116841.25</v>
      </c>
      <c r="AU12" s="11">
        <f ca="1">MIN(Table8[[#This Row],[Nty]],Table8[[#This Row],[Ntu]])</f>
        <v>8116841.25</v>
      </c>
    </row>
    <row r="13" spans="2:47" x14ac:dyDescent="0.25">
      <c r="B13" s="14" t="str">
        <f>Table8[[#This Row],[Section]]&amp;"-"&amp;TEXT(Table8[[#This Row],[Grade]],"0")</f>
        <v>1000WB215-300</v>
      </c>
      <c r="C13" s="3" t="s">
        <v>24</v>
      </c>
      <c r="D13" s="3">
        <v>300</v>
      </c>
      <c r="E13" s="3" t="s">
        <v>12</v>
      </c>
      <c r="F13" s="4">
        <v>215</v>
      </c>
      <c r="G13" s="3" t="s">
        <v>13</v>
      </c>
      <c r="H13" s="3" t="s">
        <v>14</v>
      </c>
      <c r="I13" s="5">
        <v>1</v>
      </c>
      <c r="J13" s="5">
        <v>0.3</v>
      </c>
      <c r="K13" s="5">
        <v>0.02</v>
      </c>
      <c r="L13" s="5">
        <v>1.6E-2</v>
      </c>
      <c r="M13" s="5" t="s">
        <v>107</v>
      </c>
      <c r="N13" s="5">
        <v>0.96</v>
      </c>
      <c r="O13" s="6">
        <v>60</v>
      </c>
      <c r="P13" s="6">
        <v>7.1</v>
      </c>
      <c r="Q13" s="7">
        <v>2.7400000000000001E-2</v>
      </c>
      <c r="R13" s="8">
        <v>4.0600000000000002E-3</v>
      </c>
      <c r="S13" s="9">
        <v>8.1200000000000005E-3</v>
      </c>
      <c r="T13" s="9">
        <v>9.5700000000000004E-3</v>
      </c>
      <c r="U13" s="5">
        <v>0.38500000000000001</v>
      </c>
      <c r="V13" s="8">
        <v>9.0299999999999999E-5</v>
      </c>
      <c r="W13" s="9">
        <v>6.02E-4</v>
      </c>
      <c r="X13" s="9">
        <v>9.6100000000000005E-4</v>
      </c>
      <c r="Y13" s="5">
        <v>0.38500000000000001</v>
      </c>
      <c r="Z13" s="8">
        <v>2.8899999999999999E-6</v>
      </c>
      <c r="AA13" s="10">
        <v>2.1699999999999999E-5</v>
      </c>
      <c r="AB13" s="45">
        <v>0.85</v>
      </c>
      <c r="AC13" s="17">
        <f t="array" ref="AC13">INDEX(tbllkpSteelGrades[fy],MATCH(1,(Table8[[#This Row],[Grade]]=tbllkpSteelGrades[Grade])*(Table8[[#This Row],[tw]]&lt;=tbllkpSteelGrades[Thickness]),0))</f>
        <v>300000000</v>
      </c>
      <c r="AD13" s="17">
        <f t="array" ref="AD13">INDEX(tbllkpSteelGrades[fy],MATCH(1,(Table8[[#This Row],[Grade]]=tbllkpSteelGrades[Grade])*(Table8[[#This Row],[tf]]&lt;=tbllkpSteelGrades[Thickness]),0))</f>
        <v>300000000</v>
      </c>
      <c r="AE13" s="17">
        <f>MIN(Table8[[#This Row],[fy_web]],Table8[[#This Row],[fy_flange]])</f>
        <v>300000000</v>
      </c>
      <c r="AF13" s="17">
        <f t="array" ref="AF13">INDEX(tbllkpSteelGrades[fu],MATCH(1,(Table8[[#This Row],[Grade]]=tbllkpSteelGrades[Grade])*(Table8[[#This Row],[tw]]&lt;=tbllkpSteelGrades[Thickness]),0))</f>
        <v>430000000</v>
      </c>
      <c r="AG13" s="18">
        <f>IF(Table8[[#This Row],[Fabrication Type]]="Welded",Table8[[#This Row],[d1]],Table8[[#This Row],[d]])*Table8[[#This Row],[tw]]</f>
        <v>1.536E-2</v>
      </c>
      <c r="AH13" s="11">
        <f>Table8[[#This Row],[Aw]]*Table8[[#This Row],[fy_web]]*0.6</f>
        <v>2764800</v>
      </c>
      <c r="AI13" s="35">
        <f>82/SQRT(Table8[[#This Row],[fy_web]]/250000000)</f>
        <v>74.855416192372701</v>
      </c>
      <c r="AJ1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3" s="38">
        <f>IF(Table8[[#This Row],[Fabrication Type]]="Welded",IF(Table8[[#This Row],[tw]]&gt;0.016,0.016*Table8[[#This Row],[fu]],Table8[[#This Row],[tw]]*Table8[[#This Row],[fu]]),"")</f>
        <v>6880000</v>
      </c>
      <c r="AL13" s="13">
        <f>Table8[[#This Row],[d]]-Table8[[#This Row],[tf]]</f>
        <v>0.98</v>
      </c>
      <c r="AM13" s="39">
        <f>Table8[[#This Row],[bf]]*Table8[[#This Row],[tf]]*(Table8[[#This Row],[df]]/2)</f>
        <v>2.9399999999999999E-3</v>
      </c>
      <c r="AN13" s="11">
        <f>IF(Table8[[#This Row],[Fabrication Type]]="Welded",Table8[[#This Row],[vw]]*Table8[[#This Row],[Ix]]/Table8[[#This Row],[Qflange]],"")</f>
        <v>9500952.3809523825</v>
      </c>
      <c r="AO13" s="11">
        <f>Table8[[#This Row],[tw]]*MIN(Table8[[#This Row],[fy_web]], Table8[[#This Row],[fy_flange]])*0.6*Table8[[#This Row],[Ix]]/Table8[[#This Row],[Qflange]]</f>
        <v>3977142.8571428577</v>
      </c>
      <c r="AP13" s="50">
        <f ca="1">INDEX(tbllkpkt[kt],MATCH(RANDBETWEEN(1,4),tbllkpkt[Index],0))</f>
        <v>0.9</v>
      </c>
      <c r="AQ13" s="48">
        <f t="shared" ca="1" si="0"/>
        <v>0.91</v>
      </c>
      <c r="AR13" s="18">
        <f ca="1">Table8[[#This Row],[Ag]]*Table8[[#This Row],[Deduction_for_An]]</f>
        <v>2.4934000000000001E-2</v>
      </c>
      <c r="AS13" s="11">
        <f>Table8[[#This Row],[fy]]*Table8[[#This Row],[Ag]]</f>
        <v>8220000</v>
      </c>
      <c r="AT13" s="11">
        <f ca="1">Table8[[#This Row],[αu]]*Table8[[#This Row],[kt]]*Table8[[#This Row],[An]]*Table8[[#This Row],[fu]]</f>
        <v>8202039.3000000017</v>
      </c>
      <c r="AU13" s="11">
        <f ca="1">MIN(Table8[[#This Row],[Nty]],Table8[[#This Row],[Ntu]])</f>
        <v>8202039.3000000017</v>
      </c>
    </row>
    <row r="14" spans="2:47" x14ac:dyDescent="0.25">
      <c r="B14" s="14" t="str">
        <f>Table8[[#This Row],[Section]]&amp;"-"&amp;TEXT(Table8[[#This Row],[Grade]],"0")</f>
        <v>900WB282-300</v>
      </c>
      <c r="C14" s="3" t="s">
        <v>25</v>
      </c>
      <c r="D14" s="3">
        <v>300</v>
      </c>
      <c r="E14" s="3" t="s">
        <v>12</v>
      </c>
      <c r="F14" s="4">
        <v>282</v>
      </c>
      <c r="G14" s="3" t="s">
        <v>13</v>
      </c>
      <c r="H14" s="3" t="s">
        <v>14</v>
      </c>
      <c r="I14" s="5">
        <v>0.92400000000000004</v>
      </c>
      <c r="J14" s="5">
        <v>0.4</v>
      </c>
      <c r="K14" s="5">
        <v>3.2000000000000001E-2</v>
      </c>
      <c r="L14" s="5">
        <v>1.2E-2</v>
      </c>
      <c r="M14" s="5" t="s">
        <v>107</v>
      </c>
      <c r="N14" s="5">
        <v>0.8600000000000001</v>
      </c>
      <c r="O14" s="6">
        <v>71.666666666666671</v>
      </c>
      <c r="P14" s="6">
        <v>6.0625</v>
      </c>
      <c r="Q14" s="7">
        <v>3.5900000000000001E-2</v>
      </c>
      <c r="R14" s="8">
        <v>5.7299999999999999E-3</v>
      </c>
      <c r="S14" s="9">
        <v>1.24E-2</v>
      </c>
      <c r="T14" s="9">
        <v>1.3599999999999999E-2</v>
      </c>
      <c r="U14" s="5">
        <v>0.39900000000000002</v>
      </c>
      <c r="V14" s="8">
        <v>3.4099999999999999E-4</v>
      </c>
      <c r="W14" s="9">
        <v>1.7099999999999999E-3</v>
      </c>
      <c r="X14" s="9">
        <v>2.5899999999999999E-3</v>
      </c>
      <c r="Y14" s="5">
        <v>0.39900000000000002</v>
      </c>
      <c r="Z14" s="8">
        <v>8.8699999999999998E-6</v>
      </c>
      <c r="AA14" s="10">
        <v>6.7899999999999997E-5</v>
      </c>
      <c r="AB14" s="45">
        <v>0.85</v>
      </c>
      <c r="AC14" s="17">
        <f t="array" ref="AC14">INDEX(tbllkpSteelGrades[fy],MATCH(1,(Table8[[#This Row],[Grade]]=tbllkpSteelGrades[Grade])*(Table8[[#This Row],[tw]]&lt;=tbllkpSteelGrades[Thickness]),0))</f>
        <v>310000000</v>
      </c>
      <c r="AD14" s="17">
        <f t="array" ref="AD14">INDEX(tbllkpSteelGrades[fy],MATCH(1,(Table8[[#This Row],[Grade]]=tbllkpSteelGrades[Grade])*(Table8[[#This Row],[tf]]&lt;=tbllkpSteelGrades[Thickness]),0))</f>
        <v>280000000</v>
      </c>
      <c r="AE14" s="17">
        <f>MIN(Table8[[#This Row],[fy_web]],Table8[[#This Row],[fy_flange]])</f>
        <v>280000000</v>
      </c>
      <c r="AF14" s="17">
        <f t="array" ref="AF14">INDEX(tbllkpSteelGrades[fu],MATCH(1,(Table8[[#This Row],[Grade]]=tbllkpSteelGrades[Grade])*(Table8[[#This Row],[tw]]&lt;=tbllkpSteelGrades[Thickness]),0))</f>
        <v>430000000</v>
      </c>
      <c r="AG14" s="18">
        <f>IF(Table8[[#This Row],[Fabrication Type]]="Welded",Table8[[#This Row],[d1]],Table8[[#This Row],[d]])*Table8[[#This Row],[tw]]</f>
        <v>1.0320000000000001E-2</v>
      </c>
      <c r="AH14" s="11">
        <f>Table8[[#This Row],[Aw]]*Table8[[#This Row],[fy_web]]*0.6</f>
        <v>1919520.0000000002</v>
      </c>
      <c r="AI14" s="35">
        <f>82/SQRT(Table8[[#This Row],[fy_web]]/250000000)</f>
        <v>73.638173830977706</v>
      </c>
      <c r="AJ1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4" s="38">
        <f>IF(Table8[[#This Row],[Fabrication Type]]="Welded",IF(Table8[[#This Row],[tw]]&gt;0.016,0.016*Table8[[#This Row],[fu]],Table8[[#This Row],[tw]]*Table8[[#This Row],[fu]]),"")</f>
        <v>5160000</v>
      </c>
      <c r="AL14" s="13">
        <f>Table8[[#This Row],[d]]-Table8[[#This Row],[tf]]</f>
        <v>0.89200000000000002</v>
      </c>
      <c r="AM14" s="39">
        <f>Table8[[#This Row],[bf]]*Table8[[#This Row],[tf]]*(Table8[[#This Row],[df]]/2)</f>
        <v>5.7088E-3</v>
      </c>
      <c r="AN14" s="11">
        <f>IF(Table8[[#This Row],[Fabrication Type]]="Welded",Table8[[#This Row],[vw]]*Table8[[#This Row],[Ix]]/Table8[[#This Row],[Qflange]],"")</f>
        <v>5179161.9955156948</v>
      </c>
      <c r="AO14" s="11">
        <f>Table8[[#This Row],[tw]]*MIN(Table8[[#This Row],[fy_web]], Table8[[#This Row],[fy_flange]])*0.6*Table8[[#This Row],[Ix]]/Table8[[#This Row],[Qflange]]</f>
        <v>2023486.5470852018</v>
      </c>
      <c r="AP14" s="50">
        <f ca="1">INDEX(tbllkpkt[kt],MATCH(RANDBETWEEN(1,4),tbllkpkt[Index],0))</f>
        <v>0.85</v>
      </c>
      <c r="AQ14" s="48">
        <f t="shared" ca="1" si="0"/>
        <v>0.95</v>
      </c>
      <c r="AR14" s="18">
        <f ca="1">Table8[[#This Row],[Ag]]*Table8[[#This Row],[Deduction_for_An]]</f>
        <v>3.4104999999999996E-2</v>
      </c>
      <c r="AS14" s="11">
        <f>Table8[[#This Row],[fy]]*Table8[[#This Row],[Ag]]</f>
        <v>10052000</v>
      </c>
      <c r="AT14" s="11">
        <f ca="1">Table8[[#This Row],[αu]]*Table8[[#This Row],[kt]]*Table8[[#This Row],[An]]*Table8[[#This Row],[fu]]</f>
        <v>10595570.874999998</v>
      </c>
      <c r="AU14" s="11">
        <f ca="1">MIN(Table8[[#This Row],[Nty]],Table8[[#This Row],[Ntu]])</f>
        <v>10052000</v>
      </c>
    </row>
    <row r="15" spans="2:47" x14ac:dyDescent="0.25">
      <c r="B15" s="14" t="str">
        <f>Table8[[#This Row],[Section]]&amp;"-"&amp;TEXT(Table8[[#This Row],[Grade]],"0")</f>
        <v>900WB257-300</v>
      </c>
      <c r="C15" s="3" t="s">
        <v>26</v>
      </c>
      <c r="D15" s="3">
        <v>300</v>
      </c>
      <c r="E15" s="3" t="s">
        <v>12</v>
      </c>
      <c r="F15" s="4">
        <v>257</v>
      </c>
      <c r="G15" s="3" t="s">
        <v>13</v>
      </c>
      <c r="H15" s="3" t="s">
        <v>14</v>
      </c>
      <c r="I15" s="5">
        <v>0.91600000000000004</v>
      </c>
      <c r="J15" s="5">
        <v>0.4</v>
      </c>
      <c r="K15" s="5">
        <v>2.8000000000000001E-2</v>
      </c>
      <c r="L15" s="5">
        <v>1.2E-2</v>
      </c>
      <c r="M15" s="5" t="s">
        <v>107</v>
      </c>
      <c r="N15" s="5">
        <v>0.86</v>
      </c>
      <c r="O15" s="6">
        <v>71.666666666666657</v>
      </c>
      <c r="P15" s="6">
        <v>6.9285714285714288</v>
      </c>
      <c r="Q15" s="7">
        <v>3.27E-2</v>
      </c>
      <c r="R15" s="8">
        <v>5.0499999999999998E-3</v>
      </c>
      <c r="S15" s="9">
        <v>1.0999999999999999E-2</v>
      </c>
      <c r="T15" s="9">
        <v>1.2200000000000001E-2</v>
      </c>
      <c r="U15" s="5">
        <v>0.39300000000000002</v>
      </c>
      <c r="V15" s="8">
        <v>2.99E-4</v>
      </c>
      <c r="W15" s="9">
        <v>1.49E-3</v>
      </c>
      <c r="X15" s="9">
        <v>2.2699999999999999E-3</v>
      </c>
      <c r="Y15" s="5">
        <v>0.39300000000000002</v>
      </c>
      <c r="Z15" s="8">
        <v>6.1500000000000004E-6</v>
      </c>
      <c r="AA15" s="10">
        <v>5.8900000000000002E-5</v>
      </c>
      <c r="AB15" s="45">
        <v>0.85</v>
      </c>
      <c r="AC15" s="17">
        <f t="array" ref="AC15">INDEX(tbllkpSteelGrades[fy],MATCH(1,(Table8[[#This Row],[Grade]]=tbllkpSteelGrades[Grade])*(Table8[[#This Row],[tw]]&lt;=tbllkpSteelGrades[Thickness]),0))</f>
        <v>310000000</v>
      </c>
      <c r="AD15" s="17">
        <f t="array" ref="AD15">INDEX(tbllkpSteelGrades[fy],MATCH(1,(Table8[[#This Row],[Grade]]=tbllkpSteelGrades[Grade])*(Table8[[#This Row],[tf]]&lt;=tbllkpSteelGrades[Thickness]),0))</f>
        <v>280000000</v>
      </c>
      <c r="AE15" s="17">
        <f>MIN(Table8[[#This Row],[fy_web]],Table8[[#This Row],[fy_flange]])</f>
        <v>280000000</v>
      </c>
      <c r="AF15" s="17">
        <f t="array" ref="AF15">INDEX(tbllkpSteelGrades[fu],MATCH(1,(Table8[[#This Row],[Grade]]=tbllkpSteelGrades[Grade])*(Table8[[#This Row],[tw]]&lt;=tbllkpSteelGrades[Thickness]),0))</f>
        <v>430000000</v>
      </c>
      <c r="AG15" s="18">
        <f>IF(Table8[[#This Row],[Fabrication Type]]="Welded",Table8[[#This Row],[d1]],Table8[[#This Row],[d]])*Table8[[#This Row],[tw]]</f>
        <v>1.0319999999999999E-2</v>
      </c>
      <c r="AH15" s="11">
        <f>Table8[[#This Row],[Aw]]*Table8[[#This Row],[fy_web]]*0.6</f>
        <v>1919520</v>
      </c>
      <c r="AI15" s="35">
        <f>82/SQRT(Table8[[#This Row],[fy_web]]/250000000)</f>
        <v>73.638173830977706</v>
      </c>
      <c r="AJ1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5" s="38">
        <f>IF(Table8[[#This Row],[Fabrication Type]]="Welded",IF(Table8[[#This Row],[tw]]&gt;0.016,0.016*Table8[[#This Row],[fu]],Table8[[#This Row],[tw]]*Table8[[#This Row],[fu]]),"")</f>
        <v>5160000</v>
      </c>
      <c r="AL15" s="13">
        <f>Table8[[#This Row],[d]]-Table8[[#This Row],[tf]]</f>
        <v>0.88800000000000001</v>
      </c>
      <c r="AM15" s="39">
        <f>Table8[[#This Row],[bf]]*Table8[[#This Row],[tf]]*(Table8[[#This Row],[df]]/2)</f>
        <v>4.9728000000000012E-3</v>
      </c>
      <c r="AN15" s="11">
        <f>IF(Table8[[#This Row],[Fabrication Type]]="Welded",Table8[[#This Row],[vw]]*Table8[[#This Row],[Ix]]/Table8[[#This Row],[Qflange]],"")</f>
        <v>5240106.1776061766</v>
      </c>
      <c r="AO15" s="11">
        <f>Table8[[#This Row],[tw]]*MIN(Table8[[#This Row],[fy_web]], Table8[[#This Row],[fy_flange]])*0.6*Table8[[#This Row],[Ix]]/Table8[[#This Row],[Qflange]]</f>
        <v>2047297.2972972966</v>
      </c>
      <c r="AP15" s="50">
        <f ca="1">INDEX(tbllkpkt[kt],MATCH(RANDBETWEEN(1,4),tbllkpkt[Index],0))</f>
        <v>0.75</v>
      </c>
      <c r="AQ15" s="48">
        <f t="shared" ca="1" si="0"/>
        <v>0.98</v>
      </c>
      <c r="AR15" s="18">
        <f ca="1">Table8[[#This Row],[Ag]]*Table8[[#This Row],[Deduction_for_An]]</f>
        <v>3.2045999999999998E-2</v>
      </c>
      <c r="AS15" s="11">
        <f>Table8[[#This Row],[fy]]*Table8[[#This Row],[Ag]]</f>
        <v>9156000</v>
      </c>
      <c r="AT15" s="11">
        <f ca="1">Table8[[#This Row],[αu]]*Table8[[#This Row],[kt]]*Table8[[#This Row],[An]]*Table8[[#This Row],[fu]]</f>
        <v>8784609.75</v>
      </c>
      <c r="AU15" s="11">
        <f ca="1">MIN(Table8[[#This Row],[Nty]],Table8[[#This Row],[Ntu]])</f>
        <v>8784609.75</v>
      </c>
    </row>
    <row r="16" spans="2:47" x14ac:dyDescent="0.25">
      <c r="B16" s="14" t="str">
        <f>Table8[[#This Row],[Section]]&amp;"-"&amp;TEXT(Table8[[#This Row],[Grade]],"0")</f>
        <v>900WB218-300</v>
      </c>
      <c r="C16" s="3" t="s">
        <v>27</v>
      </c>
      <c r="D16" s="3">
        <v>300</v>
      </c>
      <c r="E16" s="3" t="s">
        <v>12</v>
      </c>
      <c r="F16" s="4">
        <v>218</v>
      </c>
      <c r="G16" s="3" t="s">
        <v>13</v>
      </c>
      <c r="H16" s="3" t="s">
        <v>14</v>
      </c>
      <c r="I16" s="5">
        <v>0.91</v>
      </c>
      <c r="J16" s="5">
        <v>0.35</v>
      </c>
      <c r="K16" s="5">
        <v>2.5000000000000001E-2</v>
      </c>
      <c r="L16" s="5">
        <v>1.2E-2</v>
      </c>
      <c r="M16" s="5" t="s">
        <v>107</v>
      </c>
      <c r="N16" s="5">
        <v>0.86</v>
      </c>
      <c r="O16" s="6">
        <v>71.666666666666657</v>
      </c>
      <c r="P16" s="6">
        <v>6.7599999999999989</v>
      </c>
      <c r="Q16" s="7">
        <v>2.7799999999999998E-2</v>
      </c>
      <c r="R16" s="8">
        <v>4.0600000000000002E-3</v>
      </c>
      <c r="S16" s="9">
        <v>8.9300000000000004E-3</v>
      </c>
      <c r="T16" s="9">
        <v>9.9600000000000001E-3</v>
      </c>
      <c r="U16" s="5">
        <v>0.38200000000000001</v>
      </c>
      <c r="V16" s="8">
        <v>1.7899999999999999E-4</v>
      </c>
      <c r="W16" s="9">
        <v>1.0200000000000001E-3</v>
      </c>
      <c r="X16" s="9">
        <v>1.56E-3</v>
      </c>
      <c r="Y16" s="5">
        <v>0.38200000000000001</v>
      </c>
      <c r="Z16" s="8">
        <v>4.0199999999999996E-6</v>
      </c>
      <c r="AA16" s="10">
        <v>3.4999999999999997E-5</v>
      </c>
      <c r="AB16" s="45">
        <v>0.85</v>
      </c>
      <c r="AC16" s="17">
        <f t="array" ref="AC16">INDEX(tbllkpSteelGrades[fy],MATCH(1,(Table8[[#This Row],[Grade]]=tbllkpSteelGrades[Grade])*(Table8[[#This Row],[tw]]&lt;=tbllkpSteelGrades[Thickness]),0))</f>
        <v>310000000</v>
      </c>
      <c r="AD16" s="17">
        <f t="array" ref="AD16">INDEX(tbllkpSteelGrades[fy],MATCH(1,(Table8[[#This Row],[Grade]]=tbllkpSteelGrades[Grade])*(Table8[[#This Row],[tf]]&lt;=tbllkpSteelGrades[Thickness]),0))</f>
        <v>280000000</v>
      </c>
      <c r="AE16" s="17">
        <f>MIN(Table8[[#This Row],[fy_web]],Table8[[#This Row],[fy_flange]])</f>
        <v>280000000</v>
      </c>
      <c r="AF16" s="17">
        <f t="array" ref="AF16">INDEX(tbllkpSteelGrades[fu],MATCH(1,(Table8[[#This Row],[Grade]]=tbllkpSteelGrades[Grade])*(Table8[[#This Row],[tw]]&lt;=tbllkpSteelGrades[Thickness]),0))</f>
        <v>430000000</v>
      </c>
      <c r="AG16" s="18">
        <f>IF(Table8[[#This Row],[Fabrication Type]]="Welded",Table8[[#This Row],[d1]],Table8[[#This Row],[d]])*Table8[[#This Row],[tw]]</f>
        <v>1.0319999999999999E-2</v>
      </c>
      <c r="AH16" s="11">
        <f>Table8[[#This Row],[Aw]]*Table8[[#This Row],[fy_web]]*0.6</f>
        <v>1919520</v>
      </c>
      <c r="AI16" s="35">
        <f>82/SQRT(Table8[[#This Row],[fy_web]]/250000000)</f>
        <v>73.638173830977706</v>
      </c>
      <c r="AJ1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6" s="38">
        <f>IF(Table8[[#This Row],[Fabrication Type]]="Welded",IF(Table8[[#This Row],[tw]]&gt;0.016,0.016*Table8[[#This Row],[fu]],Table8[[#This Row],[tw]]*Table8[[#This Row],[fu]]),"")</f>
        <v>5160000</v>
      </c>
      <c r="AL16" s="13">
        <f>Table8[[#This Row],[d]]-Table8[[#This Row],[tf]]</f>
        <v>0.88500000000000001</v>
      </c>
      <c r="AM16" s="39">
        <f>Table8[[#This Row],[bf]]*Table8[[#This Row],[tf]]*(Table8[[#This Row],[df]]/2)</f>
        <v>3.8718749999999994E-3</v>
      </c>
      <c r="AN16" s="11">
        <f>IF(Table8[[#This Row],[Fabrication Type]]="Welded",Table8[[#This Row],[vw]]*Table8[[#This Row],[Ix]]/Table8[[#This Row],[Qflange]],"")</f>
        <v>5410711.8644067813</v>
      </c>
      <c r="AO16" s="11">
        <f>Table8[[#This Row],[tw]]*MIN(Table8[[#This Row],[fy_web]], Table8[[#This Row],[fy_flange]])*0.6*Table8[[#This Row],[Ix]]/Table8[[#This Row],[Qflange]]</f>
        <v>2113952.5423728814</v>
      </c>
      <c r="AP16" s="50">
        <f ca="1">INDEX(tbllkpkt[kt],MATCH(RANDBETWEEN(1,4),tbllkpkt[Index],0))</f>
        <v>0.75</v>
      </c>
      <c r="AQ16" s="48">
        <f t="shared" ca="1" si="0"/>
        <v>0.96</v>
      </c>
      <c r="AR16" s="18">
        <f ca="1">Table8[[#This Row],[Ag]]*Table8[[#This Row],[Deduction_for_An]]</f>
        <v>2.6687999999999996E-2</v>
      </c>
      <c r="AS16" s="11">
        <f>Table8[[#This Row],[fy]]*Table8[[#This Row],[Ag]]</f>
        <v>7783999.9999999991</v>
      </c>
      <c r="AT16" s="11">
        <f ca="1">Table8[[#This Row],[αu]]*Table8[[#This Row],[kt]]*Table8[[#This Row],[An]]*Table8[[#This Row],[fu]]</f>
        <v>7315847.9999999991</v>
      </c>
      <c r="AU16" s="11">
        <f ca="1">MIN(Table8[[#This Row],[Nty]],Table8[[#This Row],[Ntu]])</f>
        <v>7315847.9999999991</v>
      </c>
    </row>
    <row r="17" spans="2:47" x14ac:dyDescent="0.25">
      <c r="B17" s="14" t="str">
        <f>Table8[[#This Row],[Section]]&amp;"-"&amp;TEXT(Table8[[#This Row],[Grade]],"0")</f>
        <v>900WB175-300</v>
      </c>
      <c r="C17" s="3" t="s">
        <v>28</v>
      </c>
      <c r="D17" s="3">
        <v>300</v>
      </c>
      <c r="E17" s="3" t="s">
        <v>12</v>
      </c>
      <c r="F17" s="4">
        <v>175</v>
      </c>
      <c r="G17" s="3" t="s">
        <v>13</v>
      </c>
      <c r="H17" s="3" t="s">
        <v>14</v>
      </c>
      <c r="I17" s="5">
        <v>0.9</v>
      </c>
      <c r="J17" s="5">
        <v>0.3</v>
      </c>
      <c r="K17" s="5">
        <v>0.02</v>
      </c>
      <c r="L17" s="5">
        <v>1.2E-2</v>
      </c>
      <c r="M17" s="5" t="s">
        <v>107</v>
      </c>
      <c r="N17" s="5">
        <v>0.86</v>
      </c>
      <c r="O17" s="6">
        <v>71.666666666666657</v>
      </c>
      <c r="P17" s="6">
        <v>7.1999999999999993</v>
      </c>
      <c r="Q17" s="7">
        <v>2.23E-2</v>
      </c>
      <c r="R17" s="8">
        <v>2.96E-3</v>
      </c>
      <c r="S17" s="9">
        <v>6.5799999999999999E-3</v>
      </c>
      <c r="T17" s="9">
        <v>7.4999999999999997E-3</v>
      </c>
      <c r="U17" s="5">
        <v>0.36399999999999999</v>
      </c>
      <c r="V17" s="8">
        <v>9.0099999999999995E-5</v>
      </c>
      <c r="W17" s="9">
        <v>6.0099999999999997E-4</v>
      </c>
      <c r="X17" s="9">
        <v>9.3099999999999997E-4</v>
      </c>
      <c r="Y17" s="5">
        <v>0.36399999999999999</v>
      </c>
      <c r="Z17" s="8">
        <v>2.0600000000000002E-6</v>
      </c>
      <c r="AA17" s="10">
        <v>1.7399999999999999E-5</v>
      </c>
      <c r="AB17" s="45">
        <v>0.85</v>
      </c>
      <c r="AC17" s="17">
        <f t="array" ref="AC17">INDEX(tbllkpSteelGrades[fy],MATCH(1,(Table8[[#This Row],[Grade]]=tbllkpSteelGrades[Grade])*(Table8[[#This Row],[tw]]&lt;=tbllkpSteelGrades[Thickness]),0))</f>
        <v>310000000</v>
      </c>
      <c r="AD17" s="17">
        <f t="array" ref="AD17">INDEX(tbllkpSteelGrades[fy],MATCH(1,(Table8[[#This Row],[Grade]]=tbllkpSteelGrades[Grade])*(Table8[[#This Row],[tf]]&lt;=tbllkpSteelGrades[Thickness]),0))</f>
        <v>300000000</v>
      </c>
      <c r="AE17" s="17">
        <f>MIN(Table8[[#This Row],[fy_web]],Table8[[#This Row],[fy_flange]])</f>
        <v>300000000</v>
      </c>
      <c r="AF17" s="17">
        <f t="array" ref="AF17">INDEX(tbllkpSteelGrades[fu],MATCH(1,(Table8[[#This Row],[Grade]]=tbllkpSteelGrades[Grade])*(Table8[[#This Row],[tw]]&lt;=tbllkpSteelGrades[Thickness]),0))</f>
        <v>430000000</v>
      </c>
      <c r="AG17" s="18">
        <f>IF(Table8[[#This Row],[Fabrication Type]]="Welded",Table8[[#This Row],[d1]],Table8[[#This Row],[d]])*Table8[[#This Row],[tw]]</f>
        <v>1.0319999999999999E-2</v>
      </c>
      <c r="AH17" s="11">
        <f>Table8[[#This Row],[Aw]]*Table8[[#This Row],[fy_web]]*0.6</f>
        <v>1919520</v>
      </c>
      <c r="AI17" s="35">
        <f>82/SQRT(Table8[[#This Row],[fy_web]]/250000000)</f>
        <v>73.638173830977706</v>
      </c>
      <c r="AJ1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7" s="38">
        <f>IF(Table8[[#This Row],[Fabrication Type]]="Welded",IF(Table8[[#This Row],[tw]]&gt;0.016,0.016*Table8[[#This Row],[fu]],Table8[[#This Row],[tw]]*Table8[[#This Row],[fu]]),"")</f>
        <v>5160000</v>
      </c>
      <c r="AL17" s="13">
        <f>Table8[[#This Row],[d]]-Table8[[#This Row],[tf]]</f>
        <v>0.88</v>
      </c>
      <c r="AM17" s="39">
        <f>Table8[[#This Row],[bf]]*Table8[[#This Row],[tf]]*(Table8[[#This Row],[df]]/2)</f>
        <v>2.64E-3</v>
      </c>
      <c r="AN17" s="11">
        <f>IF(Table8[[#This Row],[Fabrication Type]]="Welded",Table8[[#This Row],[vw]]*Table8[[#This Row],[Ix]]/Table8[[#This Row],[Qflange]],"")</f>
        <v>5785454.5454545459</v>
      </c>
      <c r="AO17" s="11">
        <f>Table8[[#This Row],[tw]]*MIN(Table8[[#This Row],[fy_web]], Table8[[#This Row],[fy_flange]])*0.6*Table8[[#This Row],[Ix]]/Table8[[#This Row],[Qflange]]</f>
        <v>2421818.1818181816</v>
      </c>
      <c r="AP17" s="50">
        <f ca="1">INDEX(tbllkpkt[kt],MATCH(RANDBETWEEN(1,4),tbllkpkt[Index],0))</f>
        <v>1</v>
      </c>
      <c r="AQ17" s="48">
        <f t="shared" ca="1" si="0"/>
        <v>0.92</v>
      </c>
      <c r="AR17" s="18">
        <f ca="1">Table8[[#This Row],[Ag]]*Table8[[#This Row],[Deduction_for_An]]</f>
        <v>2.0516E-2</v>
      </c>
      <c r="AS17" s="11">
        <f>Table8[[#This Row],[fy]]*Table8[[#This Row],[Ag]]</f>
        <v>6690000</v>
      </c>
      <c r="AT17" s="11">
        <f ca="1">Table8[[#This Row],[αu]]*Table8[[#This Row],[kt]]*Table8[[#This Row],[An]]*Table8[[#This Row],[fu]]</f>
        <v>7498597.9999999991</v>
      </c>
      <c r="AU17" s="11">
        <f ca="1">MIN(Table8[[#This Row],[Nty]],Table8[[#This Row],[Ntu]])</f>
        <v>6690000</v>
      </c>
    </row>
    <row r="18" spans="2:47" x14ac:dyDescent="0.25">
      <c r="B18" s="14" t="str">
        <f>Table8[[#This Row],[Section]]&amp;"-"&amp;TEXT(Table8[[#This Row],[Grade]],"0")</f>
        <v>800WB192-300</v>
      </c>
      <c r="C18" s="3" t="s">
        <v>29</v>
      </c>
      <c r="D18" s="3">
        <v>300</v>
      </c>
      <c r="E18" s="3" t="s">
        <v>12</v>
      </c>
      <c r="F18" s="4">
        <v>192</v>
      </c>
      <c r="G18" s="3" t="s">
        <v>13</v>
      </c>
      <c r="H18" s="3" t="s">
        <v>14</v>
      </c>
      <c r="I18" s="5">
        <v>0.81599999999999995</v>
      </c>
      <c r="J18" s="5">
        <v>0.3</v>
      </c>
      <c r="K18" s="5">
        <v>2.8000000000000001E-2</v>
      </c>
      <c r="L18" s="5">
        <v>0.01</v>
      </c>
      <c r="M18" s="5" t="s">
        <v>107</v>
      </c>
      <c r="N18" s="5">
        <v>0.7599999999999999</v>
      </c>
      <c r="O18" s="6">
        <v>75.999999999999986</v>
      </c>
      <c r="P18" s="6">
        <v>5.1785714285714279</v>
      </c>
      <c r="Q18" s="7">
        <v>2.4400000000000002E-2</v>
      </c>
      <c r="R18" s="8">
        <v>2.97E-3</v>
      </c>
      <c r="S18" s="9">
        <v>7.2899999999999996E-3</v>
      </c>
      <c r="T18" s="9">
        <v>8.0599999999999995E-3</v>
      </c>
      <c r="U18" s="5">
        <v>0.34899999999999998</v>
      </c>
      <c r="V18" s="8">
        <v>1.26E-4</v>
      </c>
      <c r="W18" s="9">
        <v>8.4000000000000003E-4</v>
      </c>
      <c r="X18" s="9">
        <v>1.2800000000000001E-3</v>
      </c>
      <c r="Y18" s="5">
        <v>0.34899999999999998</v>
      </c>
      <c r="Z18" s="8">
        <v>4.42E-6</v>
      </c>
      <c r="AA18" s="10">
        <v>1.9599999999999999E-5</v>
      </c>
      <c r="AB18" s="45">
        <v>0.85</v>
      </c>
      <c r="AC18" s="17">
        <f t="array" ref="AC18">INDEX(tbllkpSteelGrades[fy],MATCH(1,(Table8[[#This Row],[Grade]]=tbllkpSteelGrades[Grade])*(Table8[[#This Row],[tw]]&lt;=tbllkpSteelGrades[Thickness]),0))</f>
        <v>310000000</v>
      </c>
      <c r="AD18" s="17">
        <f t="array" ref="AD18">INDEX(tbllkpSteelGrades[fy],MATCH(1,(Table8[[#This Row],[Grade]]=tbllkpSteelGrades[Grade])*(Table8[[#This Row],[tf]]&lt;=tbllkpSteelGrades[Thickness]),0))</f>
        <v>280000000</v>
      </c>
      <c r="AE18" s="17">
        <f>MIN(Table8[[#This Row],[fy_web]],Table8[[#This Row],[fy_flange]])</f>
        <v>280000000</v>
      </c>
      <c r="AF18" s="17">
        <f t="array" ref="AF18">INDEX(tbllkpSteelGrades[fu],MATCH(1,(Table8[[#This Row],[Grade]]=tbllkpSteelGrades[Grade])*(Table8[[#This Row],[tw]]&lt;=tbllkpSteelGrades[Thickness]),0))</f>
        <v>430000000</v>
      </c>
      <c r="AG18" s="18">
        <f>IF(Table8[[#This Row],[Fabrication Type]]="Welded",Table8[[#This Row],[d1]],Table8[[#This Row],[d]])*Table8[[#This Row],[tw]]</f>
        <v>7.5999999999999991E-3</v>
      </c>
      <c r="AH18" s="11">
        <f>Table8[[#This Row],[Aw]]*Table8[[#This Row],[fy_web]]*0.6</f>
        <v>1413599.9999999998</v>
      </c>
      <c r="AI18" s="35">
        <f>82/SQRT(Table8[[#This Row],[fy_web]]/250000000)</f>
        <v>73.638173830977706</v>
      </c>
      <c r="AJ18" s="36">
        <f>IF((Table8[[#This Row],[d1]]/Table8[[#This Row],[tw]])&gt;Table8[[#This Row],[limiting web slenderness]],(82/((Table8[[#This Row],[d1]]/Table8[[#This Row],[tw]])*SQRT(Table8[[#This Row],[fy_web]]/250000000)))^2,1)</f>
        <v>0.93881243856670582</v>
      </c>
      <c r="AK18" s="38">
        <f>IF(Table8[[#This Row],[Fabrication Type]]="Welded",IF(Table8[[#This Row],[tw]]&gt;0.016,0.016*Table8[[#This Row],[fu]],Table8[[#This Row],[tw]]*Table8[[#This Row],[fu]]),"")</f>
        <v>4300000</v>
      </c>
      <c r="AL18" s="13">
        <f>Table8[[#This Row],[d]]-Table8[[#This Row],[tf]]</f>
        <v>0.78799999999999992</v>
      </c>
      <c r="AM18" s="39">
        <f>Table8[[#This Row],[bf]]*Table8[[#This Row],[tf]]*(Table8[[#This Row],[df]]/2)</f>
        <v>3.3095999999999993E-3</v>
      </c>
      <c r="AN18" s="11">
        <f>IF(Table8[[#This Row],[Fabrication Type]]="Welded",Table8[[#This Row],[vw]]*Table8[[#This Row],[Ix]]/Table8[[#This Row],[Qflange]],"")</f>
        <v>3858774.4742567083</v>
      </c>
      <c r="AO18" s="11">
        <f>Table8[[#This Row],[tw]]*MIN(Table8[[#This Row],[fy_web]], Table8[[#This Row],[fy_flange]])*0.6*Table8[[#This Row],[Ix]]/Table8[[#This Row],[Qflange]]</f>
        <v>1507614.2131979701</v>
      </c>
      <c r="AP18" s="50">
        <f ca="1">INDEX(tbllkpkt[kt],MATCH(RANDBETWEEN(1,4),tbllkpkt[Index],0))</f>
        <v>0.75</v>
      </c>
      <c r="AQ18" s="48">
        <f t="shared" ca="1" si="0"/>
        <v>0.92999999999999994</v>
      </c>
      <c r="AR18" s="18">
        <f ca="1">Table8[[#This Row],[Ag]]*Table8[[#This Row],[Deduction_for_An]]</f>
        <v>2.2692E-2</v>
      </c>
      <c r="AS18" s="11">
        <f>Table8[[#This Row],[fy]]*Table8[[#This Row],[Ag]]</f>
        <v>6832000</v>
      </c>
      <c r="AT18" s="11">
        <f ca="1">Table8[[#This Row],[αu]]*Table8[[#This Row],[kt]]*Table8[[#This Row],[An]]*Table8[[#This Row],[fu]]</f>
        <v>6220444.4999999991</v>
      </c>
      <c r="AU18" s="11">
        <f ca="1">MIN(Table8[[#This Row],[Nty]],Table8[[#This Row],[Ntu]])</f>
        <v>6220444.4999999991</v>
      </c>
    </row>
    <row r="19" spans="2:47" x14ac:dyDescent="0.25">
      <c r="B19" s="14" t="str">
        <f>Table8[[#This Row],[Section]]&amp;"-"&amp;TEXT(Table8[[#This Row],[Grade]],"0")</f>
        <v>800WB168-300</v>
      </c>
      <c r="C19" s="3" t="s">
        <v>30</v>
      </c>
      <c r="D19" s="3">
        <v>300</v>
      </c>
      <c r="E19" s="3" t="s">
        <v>12</v>
      </c>
      <c r="F19" s="4">
        <v>168</v>
      </c>
      <c r="G19" s="3" t="s">
        <v>13</v>
      </c>
      <c r="H19" s="3" t="s">
        <v>14</v>
      </c>
      <c r="I19" s="5">
        <v>0.81</v>
      </c>
      <c r="J19" s="5">
        <v>0.27500000000000002</v>
      </c>
      <c r="K19" s="5">
        <v>2.5000000000000001E-2</v>
      </c>
      <c r="L19" s="5">
        <v>0.01</v>
      </c>
      <c r="M19" s="5" t="s">
        <v>107</v>
      </c>
      <c r="N19" s="5">
        <v>0.76</v>
      </c>
      <c r="O19" s="6">
        <v>76</v>
      </c>
      <c r="P19" s="6">
        <v>5.3</v>
      </c>
      <c r="Q19" s="7">
        <v>2.1399999999999999E-2</v>
      </c>
      <c r="R19" s="8">
        <v>2.48E-3</v>
      </c>
      <c r="S19" s="9">
        <v>6.1399999999999996E-3</v>
      </c>
      <c r="T19" s="9">
        <v>6.8399999999999997E-3</v>
      </c>
      <c r="U19" s="5">
        <v>0.34100000000000003</v>
      </c>
      <c r="V19" s="8">
        <v>8.6700000000000007E-5</v>
      </c>
      <c r="W19" s="9">
        <v>6.3100000000000005E-4</v>
      </c>
      <c r="X19" s="9">
        <v>9.6400000000000001E-4</v>
      </c>
      <c r="Y19" s="5">
        <v>0.34100000000000003</v>
      </c>
      <c r="Z19" s="8">
        <v>2.9900000000000002E-6</v>
      </c>
      <c r="AA19" s="10">
        <v>1.34E-5</v>
      </c>
      <c r="AB19" s="45">
        <v>0.85</v>
      </c>
      <c r="AC19" s="17">
        <f t="array" ref="AC19">INDEX(tbllkpSteelGrades[fy],MATCH(1,(Table8[[#This Row],[Grade]]=tbllkpSteelGrades[Grade])*(Table8[[#This Row],[tw]]&lt;=tbllkpSteelGrades[Thickness]),0))</f>
        <v>310000000</v>
      </c>
      <c r="AD19" s="17">
        <f t="array" ref="AD19">INDEX(tbllkpSteelGrades[fy],MATCH(1,(Table8[[#This Row],[Grade]]=tbllkpSteelGrades[Grade])*(Table8[[#This Row],[tf]]&lt;=tbllkpSteelGrades[Thickness]),0))</f>
        <v>280000000</v>
      </c>
      <c r="AE19" s="17">
        <f>MIN(Table8[[#This Row],[fy_web]],Table8[[#This Row],[fy_flange]])</f>
        <v>280000000</v>
      </c>
      <c r="AF19" s="17">
        <f t="array" ref="AF19">INDEX(tbllkpSteelGrades[fu],MATCH(1,(Table8[[#This Row],[Grade]]=tbllkpSteelGrades[Grade])*(Table8[[#This Row],[tw]]&lt;=tbllkpSteelGrades[Thickness]),0))</f>
        <v>430000000</v>
      </c>
      <c r="AG19" s="18">
        <f>IF(Table8[[#This Row],[Fabrication Type]]="Welded",Table8[[#This Row],[d1]],Table8[[#This Row],[d]])*Table8[[#This Row],[tw]]</f>
        <v>7.6E-3</v>
      </c>
      <c r="AH19" s="11">
        <f>Table8[[#This Row],[Aw]]*Table8[[#This Row],[fy_web]]*0.6</f>
        <v>1413600</v>
      </c>
      <c r="AI19" s="35">
        <f>82/SQRT(Table8[[#This Row],[fy_web]]/250000000)</f>
        <v>73.638173830977706</v>
      </c>
      <c r="AJ19" s="36">
        <f>IF((Table8[[#This Row],[d1]]/Table8[[#This Row],[tw]])&gt;Table8[[#This Row],[limiting web slenderness]],(82/((Table8[[#This Row],[d1]]/Table8[[#This Row],[tw]])*SQRT(Table8[[#This Row],[fy_web]]/250000000)))^2,1)</f>
        <v>0.93881243856670515</v>
      </c>
      <c r="AK19" s="38">
        <f>IF(Table8[[#This Row],[Fabrication Type]]="Welded",IF(Table8[[#This Row],[tw]]&gt;0.016,0.016*Table8[[#This Row],[fu]],Table8[[#This Row],[tw]]*Table8[[#This Row],[fu]]),"")</f>
        <v>4300000</v>
      </c>
      <c r="AL19" s="13">
        <f>Table8[[#This Row],[d]]-Table8[[#This Row],[tf]]</f>
        <v>0.78500000000000003</v>
      </c>
      <c r="AM19" s="39">
        <f>Table8[[#This Row],[bf]]*Table8[[#This Row],[tf]]*(Table8[[#This Row],[df]]/2)</f>
        <v>2.6984375000000003E-3</v>
      </c>
      <c r="AN19" s="11">
        <f>IF(Table8[[#This Row],[Fabrication Type]]="Welded",Table8[[#This Row],[vw]]*Table8[[#This Row],[Ix]]/Table8[[#This Row],[Qflange]],"")</f>
        <v>3951916.6184134334</v>
      </c>
      <c r="AO19" s="11">
        <f>Table8[[#This Row],[tw]]*MIN(Table8[[#This Row],[fy_web]], Table8[[#This Row],[fy_flange]])*0.6*Table8[[#This Row],[Ix]]/Table8[[#This Row],[Qflange]]</f>
        <v>1544004.6323103644</v>
      </c>
      <c r="AP19" s="50">
        <f ca="1">INDEX(tbllkpkt[kt],MATCH(RANDBETWEEN(1,4),tbllkpkt[Index],0))</f>
        <v>0.85</v>
      </c>
      <c r="AQ19" s="48">
        <f t="shared" ca="1" si="0"/>
        <v>0.99</v>
      </c>
      <c r="AR19" s="18">
        <f ca="1">Table8[[#This Row],[Ag]]*Table8[[#This Row],[Deduction_for_An]]</f>
        <v>2.1186E-2</v>
      </c>
      <c r="AS19" s="11">
        <f>Table8[[#This Row],[fy]]*Table8[[#This Row],[Ag]]</f>
        <v>5992000</v>
      </c>
      <c r="AT19" s="11">
        <f ca="1">Table8[[#This Row],[αu]]*Table8[[#This Row],[kt]]*Table8[[#This Row],[An]]*Table8[[#This Row],[fu]]</f>
        <v>6581960.5499999989</v>
      </c>
      <c r="AU19" s="11">
        <f ca="1">MIN(Table8[[#This Row],[Nty]],Table8[[#This Row],[Ntu]])</f>
        <v>5992000</v>
      </c>
    </row>
    <row r="20" spans="2:47" x14ac:dyDescent="0.25">
      <c r="B20" s="14" t="str">
        <f>Table8[[#This Row],[Section]]&amp;"-"&amp;TEXT(Table8[[#This Row],[Grade]],"0")</f>
        <v>800WB146-300</v>
      </c>
      <c r="C20" s="3" t="s">
        <v>31</v>
      </c>
      <c r="D20" s="3">
        <v>300</v>
      </c>
      <c r="E20" s="3" t="s">
        <v>12</v>
      </c>
      <c r="F20" s="4">
        <v>146</v>
      </c>
      <c r="G20" s="3" t="s">
        <v>13</v>
      </c>
      <c r="H20" s="3" t="s">
        <v>14</v>
      </c>
      <c r="I20" s="5">
        <v>0.8</v>
      </c>
      <c r="J20" s="5">
        <v>0.27500000000000002</v>
      </c>
      <c r="K20" s="5">
        <v>0.02</v>
      </c>
      <c r="L20" s="5">
        <v>0.01</v>
      </c>
      <c r="M20" s="5" t="s">
        <v>107</v>
      </c>
      <c r="N20" s="5">
        <v>0.76</v>
      </c>
      <c r="O20" s="6">
        <v>76</v>
      </c>
      <c r="P20" s="6">
        <v>6.625</v>
      </c>
      <c r="Q20" s="7">
        <v>1.8599999999999998E-2</v>
      </c>
      <c r="R20" s="8">
        <v>2.0400000000000001E-3</v>
      </c>
      <c r="S20" s="9">
        <v>5.1000000000000004E-3</v>
      </c>
      <c r="T20" s="9">
        <v>5.7299999999999999E-3</v>
      </c>
      <c r="U20" s="5">
        <v>0.33100000000000002</v>
      </c>
      <c r="V20" s="8">
        <v>6.9400000000000006E-5</v>
      </c>
      <c r="W20" s="9">
        <v>5.0500000000000002E-4</v>
      </c>
      <c r="X20" s="9">
        <v>7.7499999999999997E-4</v>
      </c>
      <c r="Y20" s="5">
        <v>0.33100000000000002</v>
      </c>
      <c r="Z20" s="8">
        <v>1.6700000000000001E-6</v>
      </c>
      <c r="AA20" s="10">
        <v>1.06E-5</v>
      </c>
      <c r="AB20" s="45">
        <v>0.85</v>
      </c>
      <c r="AC20" s="17">
        <f t="array" ref="AC20">INDEX(tbllkpSteelGrades[fy],MATCH(1,(Table8[[#This Row],[Grade]]=tbllkpSteelGrades[Grade])*(Table8[[#This Row],[tw]]&lt;=tbllkpSteelGrades[Thickness]),0))</f>
        <v>310000000</v>
      </c>
      <c r="AD20" s="17">
        <f t="array" ref="AD20">INDEX(tbllkpSteelGrades[fy],MATCH(1,(Table8[[#This Row],[Grade]]=tbllkpSteelGrades[Grade])*(Table8[[#This Row],[tf]]&lt;=tbllkpSteelGrades[Thickness]),0))</f>
        <v>300000000</v>
      </c>
      <c r="AE20" s="17">
        <f>MIN(Table8[[#This Row],[fy_web]],Table8[[#This Row],[fy_flange]])</f>
        <v>300000000</v>
      </c>
      <c r="AF20" s="17">
        <f t="array" ref="AF20">INDEX(tbllkpSteelGrades[fu],MATCH(1,(Table8[[#This Row],[Grade]]=tbllkpSteelGrades[Grade])*(Table8[[#This Row],[tw]]&lt;=tbllkpSteelGrades[Thickness]),0))</f>
        <v>430000000</v>
      </c>
      <c r="AG20" s="18">
        <f>IF(Table8[[#This Row],[Fabrication Type]]="Welded",Table8[[#This Row],[d1]],Table8[[#This Row],[d]])*Table8[[#This Row],[tw]]</f>
        <v>7.6E-3</v>
      </c>
      <c r="AH20" s="11">
        <f>Table8[[#This Row],[Aw]]*Table8[[#This Row],[fy_web]]*0.6</f>
        <v>1413600</v>
      </c>
      <c r="AI20" s="35">
        <f>82/SQRT(Table8[[#This Row],[fy_web]]/250000000)</f>
        <v>73.638173830977706</v>
      </c>
      <c r="AJ20" s="36">
        <f>IF((Table8[[#This Row],[d1]]/Table8[[#This Row],[tw]])&gt;Table8[[#This Row],[limiting web slenderness]],(82/((Table8[[#This Row],[d1]]/Table8[[#This Row],[tw]])*SQRT(Table8[[#This Row],[fy_web]]/250000000)))^2,1)</f>
        <v>0.93881243856670515</v>
      </c>
      <c r="AK20" s="38">
        <f>IF(Table8[[#This Row],[Fabrication Type]]="Welded",IF(Table8[[#This Row],[tw]]&gt;0.016,0.016*Table8[[#This Row],[fu]],Table8[[#This Row],[tw]]*Table8[[#This Row],[fu]]),"")</f>
        <v>4300000</v>
      </c>
      <c r="AL20" s="13">
        <f>Table8[[#This Row],[d]]-Table8[[#This Row],[tf]]</f>
        <v>0.78</v>
      </c>
      <c r="AM20" s="39">
        <f>Table8[[#This Row],[bf]]*Table8[[#This Row],[tf]]*(Table8[[#This Row],[df]]/2)</f>
        <v>2.1450000000000002E-3</v>
      </c>
      <c r="AN20" s="11">
        <f>IF(Table8[[#This Row],[Fabrication Type]]="Welded",Table8[[#This Row],[vw]]*Table8[[#This Row],[Ix]]/Table8[[#This Row],[Qflange]],"")</f>
        <v>4089510.4895104892</v>
      </c>
      <c r="AO20" s="11">
        <f>Table8[[#This Row],[tw]]*MIN(Table8[[#This Row],[fy_web]], Table8[[#This Row],[fy_flange]])*0.6*Table8[[#This Row],[Ix]]/Table8[[#This Row],[Qflange]]</f>
        <v>1711888.111888112</v>
      </c>
      <c r="AP20" s="50">
        <f ca="1">INDEX(tbllkpkt[kt],MATCH(RANDBETWEEN(1,4),tbllkpkt[Index],0))</f>
        <v>1</v>
      </c>
      <c r="AQ20" s="48">
        <f t="shared" ca="1" si="0"/>
        <v>0.97</v>
      </c>
      <c r="AR20" s="18">
        <f ca="1">Table8[[#This Row],[Ag]]*Table8[[#This Row],[Deduction_for_An]]</f>
        <v>1.8041999999999999E-2</v>
      </c>
      <c r="AS20" s="11">
        <f>Table8[[#This Row],[fy]]*Table8[[#This Row],[Ag]]</f>
        <v>5580000</v>
      </c>
      <c r="AT20" s="11">
        <f ca="1">Table8[[#This Row],[αu]]*Table8[[#This Row],[kt]]*Table8[[#This Row],[An]]*Table8[[#This Row],[fu]]</f>
        <v>6594351</v>
      </c>
      <c r="AU20" s="11">
        <f ca="1">MIN(Table8[[#This Row],[Nty]],Table8[[#This Row],[Ntu]])</f>
        <v>5580000</v>
      </c>
    </row>
    <row r="21" spans="2:47" x14ac:dyDescent="0.25">
      <c r="B21" s="14" t="str">
        <f>Table8[[#This Row],[Section]]&amp;"-"&amp;TEXT(Table8[[#This Row],[Grade]],"0")</f>
        <v>800WB122-300</v>
      </c>
      <c r="C21" s="3" t="s">
        <v>32</v>
      </c>
      <c r="D21" s="3">
        <v>300</v>
      </c>
      <c r="E21" s="3" t="s">
        <v>12</v>
      </c>
      <c r="F21" s="4">
        <v>122</v>
      </c>
      <c r="G21" s="3" t="s">
        <v>13</v>
      </c>
      <c r="H21" s="3" t="s">
        <v>14</v>
      </c>
      <c r="I21" s="5">
        <v>0.79200000000000004</v>
      </c>
      <c r="J21" s="5">
        <v>0.25</v>
      </c>
      <c r="K21" s="5">
        <v>1.6E-2</v>
      </c>
      <c r="L21" s="5">
        <v>0.01</v>
      </c>
      <c r="M21" s="5" t="s">
        <v>107</v>
      </c>
      <c r="N21" s="5">
        <v>0.76</v>
      </c>
      <c r="O21" s="6">
        <v>76</v>
      </c>
      <c r="P21" s="6">
        <v>7.5</v>
      </c>
      <c r="Q21" s="7">
        <v>1.5599999999999999E-2</v>
      </c>
      <c r="R21" s="8">
        <v>1.57E-3</v>
      </c>
      <c r="S21" s="9">
        <v>3.9699999999999996E-3</v>
      </c>
      <c r="T21" s="9">
        <v>4.5500000000000002E-3</v>
      </c>
      <c r="U21" s="5">
        <v>0.317</v>
      </c>
      <c r="V21" s="8">
        <v>4.1699999999999997E-5</v>
      </c>
      <c r="W21" s="9">
        <v>3.3399999999999999E-4</v>
      </c>
      <c r="X21" s="9">
        <v>5.1900000000000004E-4</v>
      </c>
      <c r="Y21" s="5">
        <v>0.317</v>
      </c>
      <c r="Z21" s="8">
        <v>9.2099999999999995E-7</v>
      </c>
      <c r="AA21" s="10">
        <v>6.28E-6</v>
      </c>
      <c r="AB21" s="45">
        <v>0.85</v>
      </c>
      <c r="AC21" s="17">
        <f t="array" ref="AC21">INDEX(tbllkpSteelGrades[fy],MATCH(1,(Table8[[#This Row],[Grade]]=tbllkpSteelGrades[Grade])*(Table8[[#This Row],[tw]]&lt;=tbllkpSteelGrades[Thickness]),0))</f>
        <v>310000000</v>
      </c>
      <c r="AD21" s="17">
        <f t="array" ref="AD21">INDEX(tbllkpSteelGrades[fy],MATCH(1,(Table8[[#This Row],[Grade]]=tbllkpSteelGrades[Grade])*(Table8[[#This Row],[tf]]&lt;=tbllkpSteelGrades[Thickness]),0))</f>
        <v>300000000</v>
      </c>
      <c r="AE21" s="17">
        <f>MIN(Table8[[#This Row],[fy_web]],Table8[[#This Row],[fy_flange]])</f>
        <v>300000000</v>
      </c>
      <c r="AF21" s="17">
        <f t="array" ref="AF21">INDEX(tbllkpSteelGrades[fu],MATCH(1,(Table8[[#This Row],[Grade]]=tbllkpSteelGrades[Grade])*(Table8[[#This Row],[tw]]&lt;=tbllkpSteelGrades[Thickness]),0))</f>
        <v>430000000</v>
      </c>
      <c r="AG21" s="18">
        <f>IF(Table8[[#This Row],[Fabrication Type]]="Welded",Table8[[#This Row],[d1]],Table8[[#This Row],[d]])*Table8[[#This Row],[tw]]</f>
        <v>7.6E-3</v>
      </c>
      <c r="AH21" s="11">
        <f>Table8[[#This Row],[Aw]]*Table8[[#This Row],[fy_web]]*0.6</f>
        <v>1413600</v>
      </c>
      <c r="AI21" s="35">
        <f>82/SQRT(Table8[[#This Row],[fy_web]]/250000000)</f>
        <v>73.638173830977706</v>
      </c>
      <c r="AJ21" s="36">
        <f>IF((Table8[[#This Row],[d1]]/Table8[[#This Row],[tw]])&gt;Table8[[#This Row],[limiting web slenderness]],(82/((Table8[[#This Row],[d1]]/Table8[[#This Row],[tw]])*SQRT(Table8[[#This Row],[fy_web]]/250000000)))^2,1)</f>
        <v>0.93881243856670515</v>
      </c>
      <c r="AK21" s="38">
        <f>IF(Table8[[#This Row],[Fabrication Type]]="Welded",IF(Table8[[#This Row],[tw]]&gt;0.016,0.016*Table8[[#This Row],[fu]],Table8[[#This Row],[tw]]*Table8[[#This Row],[fu]]),"")</f>
        <v>4300000</v>
      </c>
      <c r="AL21" s="13">
        <f>Table8[[#This Row],[d]]-Table8[[#This Row],[tf]]</f>
        <v>0.77600000000000002</v>
      </c>
      <c r="AM21" s="39">
        <f>Table8[[#This Row],[bf]]*Table8[[#This Row],[tf]]*(Table8[[#This Row],[df]]/2)</f>
        <v>1.552E-3</v>
      </c>
      <c r="AN21" s="11">
        <f>IF(Table8[[#This Row],[Fabrication Type]]="Welded",Table8[[#This Row],[vw]]*Table8[[#This Row],[Ix]]/Table8[[#This Row],[Qflange]],"")</f>
        <v>4349871.1340206182</v>
      </c>
      <c r="AO21" s="11">
        <f>Table8[[#This Row],[tw]]*MIN(Table8[[#This Row],[fy_web]], Table8[[#This Row],[fy_flange]])*0.6*Table8[[#This Row],[Ix]]/Table8[[#This Row],[Qflange]]</f>
        <v>1820876.2886597938</v>
      </c>
      <c r="AP21" s="50">
        <f ca="1">INDEX(tbllkpkt[kt],MATCH(RANDBETWEEN(1,4),tbllkpkt[Index],0))</f>
        <v>0.85</v>
      </c>
      <c r="AQ21" s="48">
        <f t="shared" ca="1" si="0"/>
        <v>0.92999999999999994</v>
      </c>
      <c r="AR21" s="18">
        <f ca="1">Table8[[#This Row],[Ag]]*Table8[[#This Row],[Deduction_for_An]]</f>
        <v>1.4507999999999998E-2</v>
      </c>
      <c r="AS21" s="11">
        <f>Table8[[#This Row],[fy]]*Table8[[#This Row],[Ag]]</f>
        <v>4680000</v>
      </c>
      <c r="AT21" s="11">
        <f ca="1">Table8[[#This Row],[αu]]*Table8[[#This Row],[kt]]*Table8[[#This Row],[An]]*Table8[[#This Row],[fu]]</f>
        <v>4507272.8999999994</v>
      </c>
      <c r="AU21" s="11">
        <f ca="1">MIN(Table8[[#This Row],[Nty]],Table8[[#This Row],[Ntu]])</f>
        <v>4507272.8999999994</v>
      </c>
    </row>
    <row r="22" spans="2:47" x14ac:dyDescent="0.25">
      <c r="B22" s="14" t="str">
        <f>Table8[[#This Row],[Section]]&amp;"-"&amp;TEXT(Table8[[#This Row],[Grade]],"0")</f>
        <v>700WB173-300</v>
      </c>
      <c r="C22" s="3" t="s">
        <v>33</v>
      </c>
      <c r="D22" s="3">
        <v>300</v>
      </c>
      <c r="E22" s="3" t="s">
        <v>12</v>
      </c>
      <c r="F22" s="4">
        <v>173</v>
      </c>
      <c r="G22" s="3" t="s">
        <v>13</v>
      </c>
      <c r="H22" s="3" t="s">
        <v>14</v>
      </c>
      <c r="I22" s="5">
        <v>0.71599999999999997</v>
      </c>
      <c r="J22" s="5">
        <v>0.27500000000000002</v>
      </c>
      <c r="K22" s="5">
        <v>2.8000000000000001E-2</v>
      </c>
      <c r="L22" s="5">
        <v>0.01</v>
      </c>
      <c r="M22" s="5" t="s">
        <v>107</v>
      </c>
      <c r="N22" s="5">
        <v>0.65999999999999992</v>
      </c>
      <c r="O22" s="6">
        <v>65.999999999999986</v>
      </c>
      <c r="P22" s="6">
        <v>4.7321428571428577</v>
      </c>
      <c r="Q22" s="7">
        <v>2.1999999999999999E-2</v>
      </c>
      <c r="R22" s="8">
        <v>2.0600000000000002E-3</v>
      </c>
      <c r="S22" s="9">
        <v>5.7600000000000004E-3</v>
      </c>
      <c r="T22" s="9">
        <v>6.3899999999999998E-3</v>
      </c>
      <c r="U22" s="5">
        <v>0.30599999999999999</v>
      </c>
      <c r="V22" s="8">
        <v>9.7100000000000002E-5</v>
      </c>
      <c r="W22" s="9">
        <v>7.0600000000000003E-4</v>
      </c>
      <c r="X22" s="9">
        <v>1.08E-3</v>
      </c>
      <c r="Y22" s="5">
        <v>0.30599999999999999</v>
      </c>
      <c r="Z22" s="8">
        <v>4.0199999999999996E-6</v>
      </c>
      <c r="AA22" s="10">
        <v>1.15E-5</v>
      </c>
      <c r="AB22" s="45">
        <v>0.85</v>
      </c>
      <c r="AC22" s="17">
        <f t="array" ref="AC22">INDEX(tbllkpSteelGrades[fy],MATCH(1,(Table8[[#This Row],[Grade]]=tbllkpSteelGrades[Grade])*(Table8[[#This Row],[tw]]&lt;=tbllkpSteelGrades[Thickness]),0))</f>
        <v>310000000</v>
      </c>
      <c r="AD22" s="17">
        <f t="array" ref="AD22">INDEX(tbllkpSteelGrades[fy],MATCH(1,(Table8[[#This Row],[Grade]]=tbllkpSteelGrades[Grade])*(Table8[[#This Row],[tf]]&lt;=tbllkpSteelGrades[Thickness]),0))</f>
        <v>280000000</v>
      </c>
      <c r="AE22" s="17">
        <f>MIN(Table8[[#This Row],[fy_web]],Table8[[#This Row],[fy_flange]])</f>
        <v>280000000</v>
      </c>
      <c r="AF22" s="17">
        <f t="array" ref="AF22">INDEX(tbllkpSteelGrades[fu],MATCH(1,(Table8[[#This Row],[Grade]]=tbllkpSteelGrades[Grade])*(Table8[[#This Row],[tw]]&lt;=tbllkpSteelGrades[Thickness]),0))</f>
        <v>430000000</v>
      </c>
      <c r="AG22" s="18">
        <f>IF(Table8[[#This Row],[Fabrication Type]]="Welded",Table8[[#This Row],[d1]],Table8[[#This Row],[d]])*Table8[[#This Row],[tw]]</f>
        <v>6.5999999999999991E-3</v>
      </c>
      <c r="AH22" s="11">
        <f>Table8[[#This Row],[Aw]]*Table8[[#This Row],[fy_web]]*0.6</f>
        <v>1227599.9999999998</v>
      </c>
      <c r="AI22" s="35">
        <f>82/SQRT(Table8[[#This Row],[fy_web]]/250000000)</f>
        <v>73.638173830977706</v>
      </c>
      <c r="AJ2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22" s="38">
        <f>IF(Table8[[#This Row],[Fabrication Type]]="Welded",IF(Table8[[#This Row],[tw]]&gt;0.016,0.016*Table8[[#This Row],[fu]],Table8[[#This Row],[tw]]*Table8[[#This Row],[fu]]),"")</f>
        <v>4300000</v>
      </c>
      <c r="AL22" s="13">
        <f>Table8[[#This Row],[d]]-Table8[[#This Row],[tf]]</f>
        <v>0.68799999999999994</v>
      </c>
      <c r="AM22" s="39">
        <f>Table8[[#This Row],[bf]]*Table8[[#This Row],[tf]]*(Table8[[#This Row],[df]]/2)</f>
        <v>2.6488000000000002E-3</v>
      </c>
      <c r="AN22" s="11">
        <f>IF(Table8[[#This Row],[Fabrication Type]]="Welded",Table8[[#This Row],[vw]]*Table8[[#This Row],[Ix]]/Table8[[#This Row],[Qflange]],"")</f>
        <v>3344155.8441558438</v>
      </c>
      <c r="AO22" s="11">
        <f>Table8[[#This Row],[tw]]*MIN(Table8[[#This Row],[fy_web]], Table8[[#This Row],[fy_flange]])*0.6*Table8[[#This Row],[Ix]]/Table8[[#This Row],[Qflange]]</f>
        <v>1306553.9112050741</v>
      </c>
      <c r="AP22" s="50">
        <f ca="1">INDEX(tbllkpkt[kt],MATCH(RANDBETWEEN(1,4),tbllkpkt[Index],0))</f>
        <v>1</v>
      </c>
      <c r="AQ22" s="48">
        <f t="shared" ca="1" si="0"/>
        <v>1</v>
      </c>
      <c r="AR22" s="18">
        <f ca="1">Table8[[#This Row],[Ag]]*Table8[[#This Row],[Deduction_for_An]]</f>
        <v>2.1999999999999999E-2</v>
      </c>
      <c r="AS22" s="11">
        <f>Table8[[#This Row],[fy]]*Table8[[#This Row],[Ag]]</f>
        <v>6160000</v>
      </c>
      <c r="AT22" s="11">
        <f ca="1">Table8[[#This Row],[αu]]*Table8[[#This Row],[kt]]*Table8[[#This Row],[An]]*Table8[[#This Row],[fu]]</f>
        <v>8040999.9999999991</v>
      </c>
      <c r="AU22" s="11">
        <f ca="1">MIN(Table8[[#This Row],[Nty]],Table8[[#This Row],[Ntu]])</f>
        <v>6160000</v>
      </c>
    </row>
    <row r="23" spans="2:47" x14ac:dyDescent="0.25">
      <c r="B23" s="14" t="str">
        <f>Table8[[#This Row],[Section]]&amp;"-"&amp;TEXT(Table8[[#This Row],[Grade]],"0")</f>
        <v>700WB150-300</v>
      </c>
      <c r="C23" s="3" t="s">
        <v>34</v>
      </c>
      <c r="D23" s="3">
        <v>300</v>
      </c>
      <c r="E23" s="3" t="s">
        <v>12</v>
      </c>
      <c r="F23" s="4">
        <v>150</v>
      </c>
      <c r="G23" s="3" t="s">
        <v>13</v>
      </c>
      <c r="H23" s="3" t="s">
        <v>14</v>
      </c>
      <c r="I23" s="5">
        <v>0.71</v>
      </c>
      <c r="J23" s="5">
        <v>0.25</v>
      </c>
      <c r="K23" s="5">
        <v>2.5000000000000001E-2</v>
      </c>
      <c r="L23" s="5">
        <v>0.01</v>
      </c>
      <c r="M23" s="5" t="s">
        <v>107</v>
      </c>
      <c r="N23" s="5">
        <v>0.65999999999999992</v>
      </c>
      <c r="O23" s="6">
        <v>65.999999999999986</v>
      </c>
      <c r="P23" s="6">
        <v>4.8</v>
      </c>
      <c r="Q23" s="7">
        <v>1.9099999999999999E-2</v>
      </c>
      <c r="R23" s="8">
        <v>1.7099999999999999E-3</v>
      </c>
      <c r="S23" s="9">
        <v>4.81E-3</v>
      </c>
      <c r="T23" s="9">
        <v>5.3699999999999998E-3</v>
      </c>
      <c r="U23" s="5">
        <v>0.29899999999999999</v>
      </c>
      <c r="V23" s="8">
        <v>6.5199999999999999E-5</v>
      </c>
      <c r="W23" s="9">
        <v>5.2099999999999998E-4</v>
      </c>
      <c r="X23" s="9">
        <v>7.9799999999999999E-4</v>
      </c>
      <c r="Y23" s="5">
        <v>0.29899999999999999</v>
      </c>
      <c r="Z23" s="8">
        <v>2.6900000000000001E-6</v>
      </c>
      <c r="AA23" s="10">
        <v>7.6399999999999997E-6</v>
      </c>
      <c r="AB23" s="45">
        <v>0.85</v>
      </c>
      <c r="AC23" s="17">
        <f t="array" ref="AC23">INDEX(tbllkpSteelGrades[fy],MATCH(1,(Table8[[#This Row],[Grade]]=tbllkpSteelGrades[Grade])*(Table8[[#This Row],[tw]]&lt;=tbllkpSteelGrades[Thickness]),0))</f>
        <v>310000000</v>
      </c>
      <c r="AD23" s="17">
        <f t="array" ref="AD23">INDEX(tbllkpSteelGrades[fy],MATCH(1,(Table8[[#This Row],[Grade]]=tbllkpSteelGrades[Grade])*(Table8[[#This Row],[tf]]&lt;=tbllkpSteelGrades[Thickness]),0))</f>
        <v>280000000</v>
      </c>
      <c r="AE23" s="17">
        <f>MIN(Table8[[#This Row],[fy_web]],Table8[[#This Row],[fy_flange]])</f>
        <v>280000000</v>
      </c>
      <c r="AF23" s="17">
        <f t="array" ref="AF23">INDEX(tbllkpSteelGrades[fu],MATCH(1,(Table8[[#This Row],[Grade]]=tbllkpSteelGrades[Grade])*(Table8[[#This Row],[tw]]&lt;=tbllkpSteelGrades[Thickness]),0))</f>
        <v>430000000</v>
      </c>
      <c r="AG23" s="18">
        <f>IF(Table8[[#This Row],[Fabrication Type]]="Welded",Table8[[#This Row],[d1]],Table8[[#This Row],[d]])*Table8[[#This Row],[tw]]</f>
        <v>6.5999999999999991E-3</v>
      </c>
      <c r="AH23" s="11">
        <f>Table8[[#This Row],[Aw]]*Table8[[#This Row],[fy_web]]*0.6</f>
        <v>1227599.9999999998</v>
      </c>
      <c r="AI23" s="35">
        <f>82/SQRT(Table8[[#This Row],[fy_web]]/250000000)</f>
        <v>73.638173830977706</v>
      </c>
      <c r="AJ2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23" s="38">
        <f>IF(Table8[[#This Row],[Fabrication Type]]="Welded",IF(Table8[[#This Row],[tw]]&gt;0.016,0.016*Table8[[#This Row],[fu]],Table8[[#This Row],[tw]]*Table8[[#This Row],[fu]]),"")</f>
        <v>4300000</v>
      </c>
      <c r="AL23" s="13">
        <f>Table8[[#This Row],[d]]-Table8[[#This Row],[tf]]</f>
        <v>0.68499999999999994</v>
      </c>
      <c r="AM23" s="39">
        <f>Table8[[#This Row],[bf]]*Table8[[#This Row],[tf]]*(Table8[[#This Row],[df]]/2)</f>
        <v>2.1406249999999997E-3</v>
      </c>
      <c r="AN23" s="11">
        <f>IF(Table8[[#This Row],[Fabrication Type]]="Welded",Table8[[#This Row],[vw]]*Table8[[#This Row],[Ix]]/Table8[[#This Row],[Qflange]],"")</f>
        <v>3434978.1021897816</v>
      </c>
      <c r="AO23" s="11">
        <f>Table8[[#This Row],[tw]]*MIN(Table8[[#This Row],[fy_web]], Table8[[#This Row],[fy_flange]])*0.6*Table8[[#This Row],[Ix]]/Table8[[#This Row],[Qflange]]</f>
        <v>1342037.9562043797</v>
      </c>
      <c r="AP23" s="50">
        <f ca="1">INDEX(tbllkpkt[kt],MATCH(RANDBETWEEN(1,4),tbllkpkt[Index],0))</f>
        <v>0.85</v>
      </c>
      <c r="AQ23" s="48">
        <f t="shared" ca="1" si="0"/>
        <v>0.92</v>
      </c>
      <c r="AR23" s="18">
        <f ca="1">Table8[[#This Row],[Ag]]*Table8[[#This Row],[Deduction_for_An]]</f>
        <v>1.7572000000000001E-2</v>
      </c>
      <c r="AS23" s="11">
        <f>Table8[[#This Row],[fy]]*Table8[[#This Row],[Ag]]</f>
        <v>5348000</v>
      </c>
      <c r="AT23" s="11">
        <f ca="1">Table8[[#This Row],[αu]]*Table8[[#This Row],[kt]]*Table8[[#This Row],[An]]*Table8[[#This Row],[fu]]</f>
        <v>5459181.0999999996</v>
      </c>
      <c r="AU23" s="11">
        <f ca="1">MIN(Table8[[#This Row],[Nty]],Table8[[#This Row],[Ntu]])</f>
        <v>5348000</v>
      </c>
    </row>
    <row r="24" spans="2:47" x14ac:dyDescent="0.25">
      <c r="B24" s="14" t="str">
        <f>Table8[[#This Row],[Section]]&amp;"-"&amp;TEXT(Table8[[#This Row],[Grade]],"0")</f>
        <v>700WB130-300</v>
      </c>
      <c r="C24" s="3" t="s">
        <v>35</v>
      </c>
      <c r="D24" s="3">
        <v>300</v>
      </c>
      <c r="E24" s="3" t="s">
        <v>12</v>
      </c>
      <c r="F24" s="4">
        <v>130</v>
      </c>
      <c r="G24" s="3" t="s">
        <v>13</v>
      </c>
      <c r="H24" s="3" t="s">
        <v>14</v>
      </c>
      <c r="I24" s="5">
        <v>0.7</v>
      </c>
      <c r="J24" s="5">
        <v>0.25</v>
      </c>
      <c r="K24" s="5">
        <v>0.02</v>
      </c>
      <c r="L24" s="5">
        <v>0.01</v>
      </c>
      <c r="M24" s="5" t="s">
        <v>107</v>
      </c>
      <c r="N24" s="5">
        <v>0.65999999999999992</v>
      </c>
      <c r="O24" s="6">
        <v>65.999999999999986</v>
      </c>
      <c r="P24" s="6">
        <v>6</v>
      </c>
      <c r="Q24" s="7">
        <v>1.66E-2</v>
      </c>
      <c r="R24" s="8">
        <v>1.4E-3</v>
      </c>
      <c r="S24" s="9">
        <v>3.9899999999999996E-3</v>
      </c>
      <c r="T24" s="9">
        <v>4.4900000000000001E-3</v>
      </c>
      <c r="U24" s="5">
        <v>0.28999999999999998</v>
      </c>
      <c r="V24" s="8">
        <v>5.2099999999999999E-5</v>
      </c>
      <c r="W24" s="9">
        <v>4.17E-4</v>
      </c>
      <c r="X24" s="9">
        <v>6.4199999999999999E-4</v>
      </c>
      <c r="Y24" s="5">
        <v>0.28999999999999998</v>
      </c>
      <c r="Z24" s="8">
        <v>1.5099999999999999E-6</v>
      </c>
      <c r="AA24" s="10">
        <v>6.0299999999999999E-6</v>
      </c>
      <c r="AB24" s="45">
        <v>0.85</v>
      </c>
      <c r="AC24" s="17">
        <f t="array" ref="AC24">INDEX(tbllkpSteelGrades[fy],MATCH(1,(Table8[[#This Row],[Grade]]=tbllkpSteelGrades[Grade])*(Table8[[#This Row],[tw]]&lt;=tbllkpSteelGrades[Thickness]),0))</f>
        <v>310000000</v>
      </c>
      <c r="AD24" s="17">
        <f t="array" ref="AD24">INDEX(tbllkpSteelGrades[fy],MATCH(1,(Table8[[#This Row],[Grade]]=tbllkpSteelGrades[Grade])*(Table8[[#This Row],[tf]]&lt;=tbllkpSteelGrades[Thickness]),0))</f>
        <v>300000000</v>
      </c>
      <c r="AE24" s="17">
        <f>MIN(Table8[[#This Row],[fy_web]],Table8[[#This Row],[fy_flange]])</f>
        <v>300000000</v>
      </c>
      <c r="AF24" s="17">
        <f t="array" ref="AF24">INDEX(tbllkpSteelGrades[fu],MATCH(1,(Table8[[#This Row],[Grade]]=tbllkpSteelGrades[Grade])*(Table8[[#This Row],[tw]]&lt;=tbllkpSteelGrades[Thickness]),0))</f>
        <v>430000000</v>
      </c>
      <c r="AG24" s="18">
        <f>IF(Table8[[#This Row],[Fabrication Type]]="Welded",Table8[[#This Row],[d1]],Table8[[#This Row],[d]])*Table8[[#This Row],[tw]]</f>
        <v>6.5999999999999991E-3</v>
      </c>
      <c r="AH24" s="11">
        <f>Table8[[#This Row],[Aw]]*Table8[[#This Row],[fy_web]]*0.6</f>
        <v>1227599.9999999998</v>
      </c>
      <c r="AI24" s="35">
        <f>82/SQRT(Table8[[#This Row],[fy_web]]/250000000)</f>
        <v>73.638173830977706</v>
      </c>
      <c r="AJ2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24" s="38">
        <f>IF(Table8[[#This Row],[Fabrication Type]]="Welded",IF(Table8[[#This Row],[tw]]&gt;0.016,0.016*Table8[[#This Row],[fu]],Table8[[#This Row],[tw]]*Table8[[#This Row],[fu]]),"")</f>
        <v>4300000</v>
      </c>
      <c r="AL24" s="13">
        <f>Table8[[#This Row],[d]]-Table8[[#This Row],[tf]]</f>
        <v>0.67999999999999994</v>
      </c>
      <c r="AM24" s="39">
        <f>Table8[[#This Row],[bf]]*Table8[[#This Row],[tf]]*(Table8[[#This Row],[df]]/2)</f>
        <v>1.6999999999999999E-3</v>
      </c>
      <c r="AN24" s="11">
        <f>IF(Table8[[#This Row],[Fabrication Type]]="Welded",Table8[[#This Row],[vw]]*Table8[[#This Row],[Ix]]/Table8[[#This Row],[Qflange]],"")</f>
        <v>3541176.4705882357</v>
      </c>
      <c r="AO24" s="11">
        <f>Table8[[#This Row],[tw]]*MIN(Table8[[#This Row],[fy_web]], Table8[[#This Row],[fy_flange]])*0.6*Table8[[#This Row],[Ix]]/Table8[[#This Row],[Qflange]]</f>
        <v>1482352.9411764706</v>
      </c>
      <c r="AP24" s="50">
        <f ca="1">INDEX(tbllkpkt[kt],MATCH(RANDBETWEEN(1,4),tbllkpkt[Index],0))</f>
        <v>0.75</v>
      </c>
      <c r="AQ24" s="48">
        <f t="shared" ca="1" si="0"/>
        <v>0.92</v>
      </c>
      <c r="AR24" s="18">
        <f ca="1">Table8[[#This Row],[Ag]]*Table8[[#This Row],[Deduction_for_An]]</f>
        <v>1.5272000000000001E-2</v>
      </c>
      <c r="AS24" s="11">
        <f>Table8[[#This Row],[fy]]*Table8[[#This Row],[Ag]]</f>
        <v>4980000</v>
      </c>
      <c r="AT24" s="11">
        <f ca="1">Table8[[#This Row],[αu]]*Table8[[#This Row],[kt]]*Table8[[#This Row],[An]]*Table8[[#This Row],[fu]]</f>
        <v>4186437</v>
      </c>
      <c r="AU24" s="11">
        <f ca="1">MIN(Table8[[#This Row],[Nty]],Table8[[#This Row],[Ntu]])</f>
        <v>4186437</v>
      </c>
    </row>
    <row r="25" spans="2:47" x14ac:dyDescent="0.25">
      <c r="B25" s="14" t="str">
        <f>Table8[[#This Row],[Section]]&amp;"-"&amp;TEXT(Table8[[#This Row],[Grade]],"0")</f>
        <v>700WB115-300</v>
      </c>
      <c r="C25" s="3" t="s">
        <v>36</v>
      </c>
      <c r="D25" s="3">
        <v>300</v>
      </c>
      <c r="E25" s="3" t="s">
        <v>12</v>
      </c>
      <c r="F25" s="4">
        <v>115</v>
      </c>
      <c r="G25" s="3" t="s">
        <v>13</v>
      </c>
      <c r="H25" s="3" t="s">
        <v>14</v>
      </c>
      <c r="I25" s="5">
        <v>0.69199999999999995</v>
      </c>
      <c r="J25" s="5">
        <v>0.25</v>
      </c>
      <c r="K25" s="5">
        <v>1.6E-2</v>
      </c>
      <c r="L25" s="5">
        <v>0.01</v>
      </c>
      <c r="M25" s="5" t="s">
        <v>107</v>
      </c>
      <c r="N25" s="5">
        <v>0.65999999999999992</v>
      </c>
      <c r="O25" s="6">
        <v>65.999999999999986</v>
      </c>
      <c r="P25" s="6">
        <v>7.5</v>
      </c>
      <c r="Q25" s="7">
        <v>1.46E-2</v>
      </c>
      <c r="R25" s="8">
        <v>1.15E-3</v>
      </c>
      <c r="S25" s="9">
        <v>3.3300000000000001E-3</v>
      </c>
      <c r="T25" s="9">
        <v>3.79E-3</v>
      </c>
      <c r="U25" s="5">
        <v>0.28100000000000003</v>
      </c>
      <c r="V25" s="8">
        <v>4.1699999999999997E-5</v>
      </c>
      <c r="W25" s="9">
        <v>3.3399999999999999E-4</v>
      </c>
      <c r="X25" s="9">
        <v>5.1599999999999997E-4</v>
      </c>
      <c r="Y25" s="5">
        <v>0.28100000000000003</v>
      </c>
      <c r="Z25" s="8">
        <v>8.8800000000000001E-7</v>
      </c>
      <c r="AA25" s="10">
        <v>4.7700000000000001E-6</v>
      </c>
      <c r="AB25" s="45">
        <v>0.85</v>
      </c>
      <c r="AC25" s="17">
        <f t="array" ref="AC25">INDEX(tbllkpSteelGrades[fy],MATCH(1,(Table8[[#This Row],[Grade]]=tbllkpSteelGrades[Grade])*(Table8[[#This Row],[tw]]&lt;=tbllkpSteelGrades[Thickness]),0))</f>
        <v>310000000</v>
      </c>
      <c r="AD25" s="17">
        <f t="array" ref="AD25">INDEX(tbllkpSteelGrades[fy],MATCH(1,(Table8[[#This Row],[Grade]]=tbllkpSteelGrades[Grade])*(Table8[[#This Row],[tf]]&lt;=tbllkpSteelGrades[Thickness]),0))</f>
        <v>300000000</v>
      </c>
      <c r="AE25" s="17">
        <f>MIN(Table8[[#This Row],[fy_web]],Table8[[#This Row],[fy_flange]])</f>
        <v>300000000</v>
      </c>
      <c r="AF25" s="17">
        <f t="array" ref="AF25">INDEX(tbllkpSteelGrades[fu],MATCH(1,(Table8[[#This Row],[Grade]]=tbllkpSteelGrades[Grade])*(Table8[[#This Row],[tw]]&lt;=tbllkpSteelGrades[Thickness]),0))</f>
        <v>430000000</v>
      </c>
      <c r="AG25" s="18">
        <f>IF(Table8[[#This Row],[Fabrication Type]]="Welded",Table8[[#This Row],[d1]],Table8[[#This Row],[d]])*Table8[[#This Row],[tw]]</f>
        <v>6.5999999999999991E-3</v>
      </c>
      <c r="AH25" s="11">
        <f>Table8[[#This Row],[Aw]]*Table8[[#This Row],[fy_web]]*0.6</f>
        <v>1227599.9999999998</v>
      </c>
      <c r="AI25" s="35">
        <f>82/SQRT(Table8[[#This Row],[fy_web]]/250000000)</f>
        <v>73.638173830977706</v>
      </c>
      <c r="AJ2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25" s="38">
        <f>IF(Table8[[#This Row],[Fabrication Type]]="Welded",IF(Table8[[#This Row],[tw]]&gt;0.016,0.016*Table8[[#This Row],[fu]],Table8[[#This Row],[tw]]*Table8[[#This Row],[fu]]),"")</f>
        <v>4300000</v>
      </c>
      <c r="AL25" s="13">
        <f>Table8[[#This Row],[d]]-Table8[[#This Row],[tf]]</f>
        <v>0.67599999999999993</v>
      </c>
      <c r="AM25" s="39">
        <f>Table8[[#This Row],[bf]]*Table8[[#This Row],[tf]]*(Table8[[#This Row],[df]]/2)</f>
        <v>1.3519999999999999E-3</v>
      </c>
      <c r="AN25" s="11">
        <f>IF(Table8[[#This Row],[Fabrication Type]]="Welded",Table8[[#This Row],[vw]]*Table8[[#This Row],[Ix]]/Table8[[#This Row],[Qflange]],"")</f>
        <v>3657544.3786982251</v>
      </c>
      <c r="AO25" s="11">
        <f>Table8[[#This Row],[tw]]*MIN(Table8[[#This Row],[fy_web]], Table8[[#This Row],[fy_flange]])*0.6*Table8[[#This Row],[Ix]]/Table8[[#This Row],[Qflange]]</f>
        <v>1531065.0887573967</v>
      </c>
      <c r="AP25" s="50">
        <f ca="1">INDEX(tbllkpkt[kt],MATCH(RANDBETWEEN(1,4),tbllkpkt[Index],0))</f>
        <v>0.9</v>
      </c>
      <c r="AQ25" s="48">
        <f t="shared" ca="1" si="0"/>
        <v>1</v>
      </c>
      <c r="AR25" s="18">
        <f ca="1">Table8[[#This Row],[Ag]]*Table8[[#This Row],[Deduction_for_An]]</f>
        <v>1.46E-2</v>
      </c>
      <c r="AS25" s="11">
        <f>Table8[[#This Row],[fy]]*Table8[[#This Row],[Ag]]</f>
        <v>4380000</v>
      </c>
      <c r="AT25" s="11">
        <f ca="1">Table8[[#This Row],[αu]]*Table8[[#This Row],[kt]]*Table8[[#This Row],[An]]*Table8[[#This Row],[fu]]</f>
        <v>4802670</v>
      </c>
      <c r="AU25" s="11">
        <f ca="1">MIN(Table8[[#This Row],[Nty]],Table8[[#This Row],[Ntu]])</f>
        <v>4380000</v>
      </c>
    </row>
    <row r="26" spans="2:47" x14ac:dyDescent="0.25">
      <c r="B26" s="15" t="str">
        <f>Table8[[#This Row],[Section]]&amp;"-"&amp;TEXT(Table8[[#This Row],[Grade]],"0")</f>
        <v>1200WB455-400</v>
      </c>
      <c r="C26" s="3" t="s">
        <v>2</v>
      </c>
      <c r="D26" s="3">
        <v>400</v>
      </c>
      <c r="E26" s="3" t="s">
        <v>12</v>
      </c>
      <c r="F26" s="4">
        <v>455</v>
      </c>
      <c r="G26" s="3" t="s">
        <v>13</v>
      </c>
      <c r="H26" s="3" t="s">
        <v>14</v>
      </c>
      <c r="I26" s="5">
        <v>1.2</v>
      </c>
      <c r="J26" s="5">
        <v>0.5</v>
      </c>
      <c r="K26" s="5">
        <v>0.04</v>
      </c>
      <c r="L26" s="5">
        <v>1.6E-2</v>
      </c>
      <c r="M26" s="5" t="s">
        <v>107</v>
      </c>
      <c r="N26" s="5">
        <v>1.1199999999999999</v>
      </c>
      <c r="O26" s="6">
        <v>69.999999999999986</v>
      </c>
      <c r="P26" s="6">
        <v>6.05</v>
      </c>
      <c r="Q26" s="7">
        <v>5.79E-2</v>
      </c>
      <c r="R26" s="8">
        <v>1.5299999999999999E-2</v>
      </c>
      <c r="S26" s="9">
        <v>2.5600000000000001E-2</v>
      </c>
      <c r="T26" s="9">
        <v>2.8199999999999999E-2</v>
      </c>
      <c r="U26" s="5">
        <v>0.51500000000000001</v>
      </c>
      <c r="V26" s="8">
        <v>8.34E-4</v>
      </c>
      <c r="W26" s="9">
        <v>3.3300000000000001E-3</v>
      </c>
      <c r="X26" s="9">
        <v>5.0699999999999999E-3</v>
      </c>
      <c r="Y26" s="5">
        <v>0.51500000000000001</v>
      </c>
      <c r="Z26" s="8">
        <v>2.1999999999999999E-5</v>
      </c>
      <c r="AA26" s="10">
        <v>2.7999999999999998E-4</v>
      </c>
      <c r="AB26" s="45">
        <v>0.85</v>
      </c>
      <c r="AC26" s="17">
        <f t="array" ref="AC26">INDEX(tbllkpSteelGrades[fy],MATCH(1,(Table8[[#This Row],[Grade]]=tbllkpSteelGrades[Grade])*(Table8[[#This Row],[tw]]&lt;=tbllkpSteelGrades[Thickness]),0))</f>
        <v>380000000</v>
      </c>
      <c r="AD26" s="17">
        <f t="array" ref="AD26">INDEX(tbllkpSteelGrades[fy],MATCH(1,(Table8[[#This Row],[Grade]]=tbllkpSteelGrades[Grade])*(Table8[[#This Row],[tf]]&lt;=tbllkpSteelGrades[Thickness]),0))</f>
        <v>360000000</v>
      </c>
      <c r="AE26" s="17">
        <f>MIN(Table8[[#This Row],[fy_web]],Table8[[#This Row],[fy_flange]])</f>
        <v>360000000</v>
      </c>
      <c r="AF26" s="17">
        <f t="array" ref="AF26">INDEX(tbllkpSteelGrades[fu],MATCH(1,(Table8[[#This Row],[Grade]]=tbllkpSteelGrades[Grade])*(Table8[[#This Row],[tw]]&lt;=tbllkpSteelGrades[Thickness]),0))</f>
        <v>480000000</v>
      </c>
      <c r="AG26" s="18">
        <f>IF(Table8[[#This Row],[Fabrication Type]]="Welded",Table8[[#This Row],[d1]],Table8[[#This Row],[d]])*Table8[[#This Row],[tw]]</f>
        <v>1.7919999999999998E-2</v>
      </c>
      <c r="AH26" s="11">
        <f>Table8[[#This Row],[Aw]]*Table8[[#This Row],[fy_web]]*0.6</f>
        <v>4085759.9999999991</v>
      </c>
      <c r="AI26" s="35">
        <f>82/SQRT(Table8[[#This Row],[fy_web]]/250000000)</f>
        <v>66.510782663612645</v>
      </c>
      <c r="AJ26" s="36">
        <f>IF((Table8[[#This Row],[d1]]/Table8[[#This Row],[tw]])&gt;Table8[[#This Row],[limiting web slenderness]],(82/((Table8[[#This Row],[d1]]/Table8[[#This Row],[tw]])*SQRT(Table8[[#This Row],[fy_web]]/250000000)))^2,1)</f>
        <v>0.90279269602577916</v>
      </c>
      <c r="AK26" s="38">
        <f>IF(Table8[[#This Row],[Fabrication Type]]="Welded",IF(Table8[[#This Row],[tw]]&gt;0.016,0.016*Table8[[#This Row],[fu]],Table8[[#This Row],[tw]]*Table8[[#This Row],[fu]]),"")</f>
        <v>7680000</v>
      </c>
      <c r="AL26" s="13">
        <f>Table8[[#This Row],[d]]-Table8[[#This Row],[tf]]</f>
        <v>1.1599999999999999</v>
      </c>
      <c r="AM26" s="39">
        <f>Table8[[#This Row],[bf]]*Table8[[#This Row],[tf]]*(Table8[[#This Row],[df]]/2)</f>
        <v>1.1599999999999999E-2</v>
      </c>
      <c r="AN26" s="11">
        <f>IF(Table8[[#This Row],[Fabrication Type]]="Welded",Table8[[#This Row],[vw]]*Table8[[#This Row],[Ix]]/Table8[[#This Row],[Qflange]],"")</f>
        <v>10129655.172413794</v>
      </c>
      <c r="AO26" s="11">
        <f>Table8[[#This Row],[tw]]*MIN(Table8[[#This Row],[fy_web]], Table8[[#This Row],[fy_flange]])*0.6*Table8[[#This Row],[Ix]]/Table8[[#This Row],[Qflange]]</f>
        <v>4558344.8275862066</v>
      </c>
      <c r="AP26" s="50">
        <f ca="1">INDEX(tbllkpkt[kt],MATCH(RANDBETWEEN(1,4),tbllkpkt[Index],0))</f>
        <v>0.9</v>
      </c>
      <c r="AQ26" s="48">
        <f t="shared" ca="1" si="0"/>
        <v>0.9</v>
      </c>
      <c r="AR26" s="18">
        <f ca="1">Table8[[#This Row],[Ag]]*Table8[[#This Row],[Deduction_for_An]]</f>
        <v>5.2110000000000004E-2</v>
      </c>
      <c r="AS26" s="11">
        <f>Table8[[#This Row],[fy]]*Table8[[#This Row],[Ag]]</f>
        <v>20844000</v>
      </c>
      <c r="AT26" s="11">
        <f ca="1">Table8[[#This Row],[αu]]*Table8[[#This Row],[kt]]*Table8[[#This Row],[An]]*Table8[[#This Row],[fu]]</f>
        <v>19134792</v>
      </c>
      <c r="AU26" s="11">
        <f ca="1">MIN(Table8[[#This Row],[Nty]],Table8[[#This Row],[Ntu]])</f>
        <v>19134792</v>
      </c>
    </row>
    <row r="27" spans="2:47" x14ac:dyDescent="0.25">
      <c r="B27" s="15" t="str">
        <f>Table8[[#This Row],[Section]]&amp;"-"&amp;TEXT(Table8[[#This Row],[Grade]],"0")</f>
        <v>1200WB423-400</v>
      </c>
      <c r="C27" s="3" t="s">
        <v>15</v>
      </c>
      <c r="D27" s="3">
        <v>400</v>
      </c>
      <c r="E27" s="3" t="s">
        <v>12</v>
      </c>
      <c r="F27" s="4">
        <v>423</v>
      </c>
      <c r="G27" s="3" t="s">
        <v>13</v>
      </c>
      <c r="H27" s="3" t="s">
        <v>14</v>
      </c>
      <c r="I27" s="5">
        <v>1.1919999999999999</v>
      </c>
      <c r="J27" s="5">
        <v>0.5</v>
      </c>
      <c r="K27" s="5">
        <v>3.5999999999999997E-2</v>
      </c>
      <c r="L27" s="5">
        <v>1.6E-2</v>
      </c>
      <c r="M27" s="5" t="s">
        <v>107</v>
      </c>
      <c r="N27" s="5">
        <v>1.1199999999999999</v>
      </c>
      <c r="O27" s="6">
        <v>69.999999999999986</v>
      </c>
      <c r="P27" s="6">
        <v>6.7222222222222223</v>
      </c>
      <c r="Q27" s="7">
        <v>5.3900000000000003E-2</v>
      </c>
      <c r="R27" s="8">
        <v>1.3899999999999999E-2</v>
      </c>
      <c r="S27" s="9">
        <v>2.3300000000000001E-2</v>
      </c>
      <c r="T27" s="9">
        <v>2.58E-2</v>
      </c>
      <c r="U27" s="5">
        <v>0.50800000000000001</v>
      </c>
      <c r="V27" s="8">
        <v>7.5000000000000002E-4</v>
      </c>
      <c r="W27" s="9">
        <v>3.0000000000000001E-3</v>
      </c>
      <c r="X27" s="9">
        <v>4.5700000000000003E-3</v>
      </c>
      <c r="Y27" s="5">
        <v>0.50800000000000001</v>
      </c>
      <c r="Z27" s="8">
        <v>1.6500000000000001E-5</v>
      </c>
      <c r="AA27" s="10">
        <v>2.5099999999999998E-4</v>
      </c>
      <c r="AB27" s="45">
        <v>0.85</v>
      </c>
      <c r="AC27" s="17">
        <f t="array" ref="AC27">INDEX(tbllkpSteelGrades[fy],MATCH(1,(Table8[[#This Row],[Grade]]=tbllkpSteelGrades[Grade])*(Table8[[#This Row],[tw]]&lt;=tbllkpSteelGrades[Thickness]),0))</f>
        <v>380000000</v>
      </c>
      <c r="AD27" s="17">
        <f t="array" ref="AD27">INDEX(tbllkpSteelGrades[fy],MATCH(1,(Table8[[#This Row],[Grade]]=tbllkpSteelGrades[Grade])*(Table8[[#This Row],[tf]]&lt;=tbllkpSteelGrades[Thickness]),0))</f>
        <v>360000000</v>
      </c>
      <c r="AE27" s="17">
        <f>MIN(Table8[[#This Row],[fy_web]],Table8[[#This Row],[fy_flange]])</f>
        <v>360000000</v>
      </c>
      <c r="AF27" s="17">
        <f t="array" ref="AF27">INDEX(tbllkpSteelGrades[fu],MATCH(1,(Table8[[#This Row],[Grade]]=tbllkpSteelGrades[Grade])*(Table8[[#This Row],[tw]]&lt;=tbllkpSteelGrades[Thickness]),0))</f>
        <v>480000000</v>
      </c>
      <c r="AG27" s="18">
        <f>IF(Table8[[#This Row],[Fabrication Type]]="Welded",Table8[[#This Row],[d1]],Table8[[#This Row],[d]])*Table8[[#This Row],[tw]]</f>
        <v>1.7919999999999998E-2</v>
      </c>
      <c r="AH27" s="11">
        <f>Table8[[#This Row],[Aw]]*Table8[[#This Row],[fy_web]]*0.6</f>
        <v>4085759.9999999991</v>
      </c>
      <c r="AI27" s="35">
        <f>82/SQRT(Table8[[#This Row],[fy_web]]/250000000)</f>
        <v>66.510782663612645</v>
      </c>
      <c r="AJ27" s="36">
        <f>IF((Table8[[#This Row],[d1]]/Table8[[#This Row],[tw]])&gt;Table8[[#This Row],[limiting web slenderness]],(82/((Table8[[#This Row],[d1]]/Table8[[#This Row],[tw]])*SQRT(Table8[[#This Row],[fy_web]]/250000000)))^2,1)</f>
        <v>0.90279269602577916</v>
      </c>
      <c r="AK27" s="38">
        <f>IF(Table8[[#This Row],[Fabrication Type]]="Welded",IF(Table8[[#This Row],[tw]]&gt;0.016,0.016*Table8[[#This Row],[fu]],Table8[[#This Row],[tw]]*Table8[[#This Row],[fu]]),"")</f>
        <v>7680000</v>
      </c>
      <c r="AL27" s="13">
        <f>Table8[[#This Row],[d]]-Table8[[#This Row],[tf]]</f>
        <v>1.1559999999999999</v>
      </c>
      <c r="AM27" s="39">
        <f>Table8[[#This Row],[bf]]*Table8[[#This Row],[tf]]*(Table8[[#This Row],[df]]/2)</f>
        <v>1.0403999999999998E-2</v>
      </c>
      <c r="AN27" s="11">
        <f>IF(Table8[[#This Row],[Fabrication Type]]="Welded",Table8[[#This Row],[vw]]*Table8[[#This Row],[Ix]]/Table8[[#This Row],[Qflange]],"")</f>
        <v>10260668.973471744</v>
      </c>
      <c r="AO27" s="11">
        <f>Table8[[#This Row],[tw]]*MIN(Table8[[#This Row],[fy_web]], Table8[[#This Row],[fy_flange]])*0.6*Table8[[#This Row],[Ix]]/Table8[[#This Row],[Qflange]]</f>
        <v>4617301.0380622838</v>
      </c>
      <c r="AP27" s="50">
        <f ca="1">INDEX(tbllkpkt[kt],MATCH(RANDBETWEEN(1,4),tbllkpkt[Index],0))</f>
        <v>1</v>
      </c>
      <c r="AQ27" s="48">
        <f t="shared" ca="1" si="0"/>
        <v>0.99</v>
      </c>
      <c r="AR27" s="18">
        <f ca="1">Table8[[#This Row],[Ag]]*Table8[[#This Row],[Deduction_for_An]]</f>
        <v>5.3361000000000006E-2</v>
      </c>
      <c r="AS27" s="11">
        <f>Table8[[#This Row],[fy]]*Table8[[#This Row],[Ag]]</f>
        <v>19404000</v>
      </c>
      <c r="AT27" s="11">
        <f ca="1">Table8[[#This Row],[αu]]*Table8[[#This Row],[kt]]*Table8[[#This Row],[An]]*Table8[[#This Row],[fu]]</f>
        <v>21771288.000000004</v>
      </c>
      <c r="AU27" s="11">
        <f ca="1">MIN(Table8[[#This Row],[Nty]],Table8[[#This Row],[Ntu]])</f>
        <v>19404000</v>
      </c>
    </row>
    <row r="28" spans="2:47" x14ac:dyDescent="0.25">
      <c r="B28" s="15" t="str">
        <f>Table8[[#This Row],[Section]]&amp;"-"&amp;TEXT(Table8[[#This Row],[Grade]],"0")</f>
        <v>1200WB392-400</v>
      </c>
      <c r="C28" s="3" t="s">
        <v>16</v>
      </c>
      <c r="D28" s="3">
        <v>400</v>
      </c>
      <c r="E28" s="3" t="s">
        <v>12</v>
      </c>
      <c r="F28" s="4">
        <v>392</v>
      </c>
      <c r="G28" s="3" t="s">
        <v>13</v>
      </c>
      <c r="H28" s="3" t="s">
        <v>14</v>
      </c>
      <c r="I28" s="5">
        <v>1.1839999999999999</v>
      </c>
      <c r="J28" s="5">
        <v>0.5</v>
      </c>
      <c r="K28" s="5">
        <v>3.2000000000000001E-2</v>
      </c>
      <c r="L28" s="5">
        <v>1.6E-2</v>
      </c>
      <c r="M28" s="5" t="s">
        <v>107</v>
      </c>
      <c r="N28" s="5">
        <v>1.1199999999999999</v>
      </c>
      <c r="O28" s="6">
        <v>69.999999999999986</v>
      </c>
      <c r="P28" s="6">
        <v>7.5625</v>
      </c>
      <c r="Q28" s="7">
        <v>4.99E-2</v>
      </c>
      <c r="R28" s="8">
        <v>1.2500000000000001E-2</v>
      </c>
      <c r="S28" s="9">
        <v>2.1100000000000001E-2</v>
      </c>
      <c r="T28" s="9">
        <v>2.3400000000000001E-2</v>
      </c>
      <c r="U28" s="5">
        <v>0.5</v>
      </c>
      <c r="V28" s="8">
        <v>6.6699999999999995E-4</v>
      </c>
      <c r="W28" s="9">
        <v>2.6700000000000001E-3</v>
      </c>
      <c r="X28" s="9">
        <v>4.0699999999999998E-3</v>
      </c>
      <c r="Y28" s="5">
        <v>0.5</v>
      </c>
      <c r="Z28" s="8">
        <v>1.2099999999999999E-5</v>
      </c>
      <c r="AA28" s="10">
        <v>2.2100000000000001E-4</v>
      </c>
      <c r="AB28" s="45">
        <v>0.85</v>
      </c>
      <c r="AC28" s="17">
        <f t="array" ref="AC28">INDEX(tbllkpSteelGrades[fy],MATCH(1,(Table8[[#This Row],[Grade]]=tbllkpSteelGrades[Grade])*(Table8[[#This Row],[tw]]&lt;=tbllkpSteelGrades[Thickness]),0))</f>
        <v>380000000</v>
      </c>
      <c r="AD28" s="17">
        <f t="array" ref="AD28">INDEX(tbllkpSteelGrades[fy],MATCH(1,(Table8[[#This Row],[Grade]]=tbllkpSteelGrades[Grade])*(Table8[[#This Row],[tf]]&lt;=tbllkpSteelGrades[Thickness]),0))</f>
        <v>360000000</v>
      </c>
      <c r="AE28" s="17">
        <f>MIN(Table8[[#This Row],[fy_web]],Table8[[#This Row],[fy_flange]])</f>
        <v>360000000</v>
      </c>
      <c r="AF28" s="17">
        <f t="array" ref="AF28">INDEX(tbllkpSteelGrades[fu],MATCH(1,(Table8[[#This Row],[Grade]]=tbllkpSteelGrades[Grade])*(Table8[[#This Row],[tw]]&lt;=tbllkpSteelGrades[Thickness]),0))</f>
        <v>480000000</v>
      </c>
      <c r="AG28" s="18">
        <f>IF(Table8[[#This Row],[Fabrication Type]]="Welded",Table8[[#This Row],[d1]],Table8[[#This Row],[d]])*Table8[[#This Row],[tw]]</f>
        <v>1.7919999999999998E-2</v>
      </c>
      <c r="AH28" s="11">
        <f>Table8[[#This Row],[Aw]]*Table8[[#This Row],[fy_web]]*0.6</f>
        <v>4085759.9999999991</v>
      </c>
      <c r="AI28" s="35">
        <f>82/SQRT(Table8[[#This Row],[fy_web]]/250000000)</f>
        <v>66.510782663612645</v>
      </c>
      <c r="AJ28" s="36">
        <f>IF((Table8[[#This Row],[d1]]/Table8[[#This Row],[tw]])&gt;Table8[[#This Row],[limiting web slenderness]],(82/((Table8[[#This Row],[d1]]/Table8[[#This Row],[tw]])*SQRT(Table8[[#This Row],[fy_web]]/250000000)))^2,1)</f>
        <v>0.90279269602577916</v>
      </c>
      <c r="AK28" s="38">
        <f>IF(Table8[[#This Row],[Fabrication Type]]="Welded",IF(Table8[[#This Row],[tw]]&gt;0.016,0.016*Table8[[#This Row],[fu]],Table8[[#This Row],[tw]]*Table8[[#This Row],[fu]]),"")</f>
        <v>7680000</v>
      </c>
      <c r="AL28" s="13">
        <f>Table8[[#This Row],[d]]-Table8[[#This Row],[tf]]</f>
        <v>1.1519999999999999</v>
      </c>
      <c r="AM28" s="39">
        <f>Table8[[#This Row],[bf]]*Table8[[#This Row],[tf]]*(Table8[[#This Row],[df]]/2)</f>
        <v>9.2160000000000002E-3</v>
      </c>
      <c r="AN28" s="11">
        <f>IF(Table8[[#This Row],[Fabrication Type]]="Welded",Table8[[#This Row],[vw]]*Table8[[#This Row],[Ix]]/Table8[[#This Row],[Qflange]],"")</f>
        <v>10416666.666666666</v>
      </c>
      <c r="AO28" s="11">
        <f>Table8[[#This Row],[tw]]*MIN(Table8[[#This Row],[fy_web]], Table8[[#This Row],[fy_flange]])*0.6*Table8[[#This Row],[Ix]]/Table8[[#This Row],[Qflange]]</f>
        <v>4687500</v>
      </c>
      <c r="AP28" s="50">
        <f ca="1">INDEX(tbllkpkt[kt],MATCH(RANDBETWEEN(1,4),tbllkpkt[Index],0))</f>
        <v>0.75</v>
      </c>
      <c r="AQ28" s="48">
        <f t="shared" ca="1" si="0"/>
        <v>0.95</v>
      </c>
      <c r="AR28" s="18">
        <f ca="1">Table8[[#This Row],[Ag]]*Table8[[#This Row],[Deduction_for_An]]</f>
        <v>4.7404999999999996E-2</v>
      </c>
      <c r="AS28" s="11">
        <f>Table8[[#This Row],[fy]]*Table8[[#This Row],[Ag]]</f>
        <v>17964000</v>
      </c>
      <c r="AT28" s="11">
        <f ca="1">Table8[[#This Row],[αu]]*Table8[[#This Row],[kt]]*Table8[[#This Row],[An]]*Table8[[#This Row],[fu]]</f>
        <v>14505929.999999998</v>
      </c>
      <c r="AU28" s="11">
        <f ca="1">MIN(Table8[[#This Row],[Nty]],Table8[[#This Row],[Ntu]])</f>
        <v>14505929.999999998</v>
      </c>
    </row>
    <row r="29" spans="2:47" x14ac:dyDescent="0.25">
      <c r="B29" s="15" t="str">
        <f>Table8[[#This Row],[Section]]&amp;"-"&amp;TEXT(Table8[[#This Row],[Grade]],"0")</f>
        <v>1200WB342-400</v>
      </c>
      <c r="C29" s="3" t="s">
        <v>17</v>
      </c>
      <c r="D29" s="3">
        <v>400</v>
      </c>
      <c r="E29" s="3" t="s">
        <v>12</v>
      </c>
      <c r="F29" s="4">
        <v>342</v>
      </c>
      <c r="G29" s="3" t="s">
        <v>13</v>
      </c>
      <c r="H29" s="3" t="s">
        <v>14</v>
      </c>
      <c r="I29" s="5">
        <v>1.1839999999999999</v>
      </c>
      <c r="J29" s="5">
        <v>0.4</v>
      </c>
      <c r="K29" s="5">
        <v>3.2000000000000001E-2</v>
      </c>
      <c r="L29" s="5">
        <v>1.6E-2</v>
      </c>
      <c r="M29" s="5" t="s">
        <v>107</v>
      </c>
      <c r="N29" s="5">
        <v>1.1199999999999999</v>
      </c>
      <c r="O29" s="6">
        <v>69.999999999999986</v>
      </c>
      <c r="P29" s="6">
        <v>6</v>
      </c>
      <c r="Q29" s="7">
        <v>4.3499999999999997E-2</v>
      </c>
      <c r="R29" s="8">
        <v>1.04E-2</v>
      </c>
      <c r="S29" s="9">
        <v>1.7500000000000002E-2</v>
      </c>
      <c r="T29" s="9">
        <v>1.9800000000000002E-2</v>
      </c>
      <c r="U29" s="5">
        <v>0.48799999999999999</v>
      </c>
      <c r="V29" s="8">
        <v>3.4200000000000002E-4</v>
      </c>
      <c r="W29" s="9">
        <v>1.7099999999999999E-3</v>
      </c>
      <c r="X29" s="9">
        <v>2.63E-3</v>
      </c>
      <c r="Y29" s="5">
        <v>0.48799999999999999</v>
      </c>
      <c r="Z29" s="8">
        <v>9.9599999999999995E-6</v>
      </c>
      <c r="AA29" s="10">
        <v>1.13E-4</v>
      </c>
      <c r="AB29" s="45">
        <v>0.85</v>
      </c>
      <c r="AC29" s="17">
        <f t="array" ref="AC29">INDEX(tbllkpSteelGrades[fy],MATCH(1,(Table8[[#This Row],[Grade]]=tbllkpSteelGrades[Grade])*(Table8[[#This Row],[tw]]&lt;=tbllkpSteelGrades[Thickness]),0))</f>
        <v>380000000</v>
      </c>
      <c r="AD29" s="17">
        <f t="array" ref="AD29">INDEX(tbllkpSteelGrades[fy],MATCH(1,(Table8[[#This Row],[Grade]]=tbllkpSteelGrades[Grade])*(Table8[[#This Row],[tf]]&lt;=tbllkpSteelGrades[Thickness]),0))</f>
        <v>360000000</v>
      </c>
      <c r="AE29" s="17">
        <f>MIN(Table8[[#This Row],[fy_web]],Table8[[#This Row],[fy_flange]])</f>
        <v>360000000</v>
      </c>
      <c r="AF29" s="17">
        <f t="array" ref="AF29">INDEX(tbllkpSteelGrades[fu],MATCH(1,(Table8[[#This Row],[Grade]]=tbllkpSteelGrades[Grade])*(Table8[[#This Row],[tw]]&lt;=tbllkpSteelGrades[Thickness]),0))</f>
        <v>480000000</v>
      </c>
      <c r="AG29" s="18">
        <f>IF(Table8[[#This Row],[Fabrication Type]]="Welded",Table8[[#This Row],[d1]],Table8[[#This Row],[d]])*Table8[[#This Row],[tw]]</f>
        <v>1.7919999999999998E-2</v>
      </c>
      <c r="AH29" s="11">
        <f>Table8[[#This Row],[Aw]]*Table8[[#This Row],[fy_web]]*0.6</f>
        <v>4085759.9999999991</v>
      </c>
      <c r="AI29" s="35">
        <f>82/SQRT(Table8[[#This Row],[fy_web]]/250000000)</f>
        <v>66.510782663612645</v>
      </c>
      <c r="AJ29" s="36">
        <f>IF((Table8[[#This Row],[d1]]/Table8[[#This Row],[tw]])&gt;Table8[[#This Row],[limiting web slenderness]],(82/((Table8[[#This Row],[d1]]/Table8[[#This Row],[tw]])*SQRT(Table8[[#This Row],[fy_web]]/250000000)))^2,1)</f>
        <v>0.90279269602577916</v>
      </c>
      <c r="AK29" s="38">
        <f>IF(Table8[[#This Row],[Fabrication Type]]="Welded",IF(Table8[[#This Row],[tw]]&gt;0.016,0.016*Table8[[#This Row],[fu]],Table8[[#This Row],[tw]]*Table8[[#This Row],[fu]]),"")</f>
        <v>7680000</v>
      </c>
      <c r="AL29" s="13">
        <f>Table8[[#This Row],[d]]-Table8[[#This Row],[tf]]</f>
        <v>1.1519999999999999</v>
      </c>
      <c r="AM29" s="39">
        <f>Table8[[#This Row],[bf]]*Table8[[#This Row],[tf]]*(Table8[[#This Row],[df]]/2)</f>
        <v>7.3727999999999997E-3</v>
      </c>
      <c r="AN29" s="11">
        <f>IF(Table8[[#This Row],[Fabrication Type]]="Welded",Table8[[#This Row],[vw]]*Table8[[#This Row],[Ix]]/Table8[[#This Row],[Qflange]],"")</f>
        <v>10833333.333333334</v>
      </c>
      <c r="AO29" s="11">
        <f>Table8[[#This Row],[tw]]*MIN(Table8[[#This Row],[fy_web]], Table8[[#This Row],[fy_flange]])*0.6*Table8[[#This Row],[Ix]]/Table8[[#This Row],[Qflange]]</f>
        <v>4875000</v>
      </c>
      <c r="AP29" s="50">
        <f ca="1">INDEX(tbllkpkt[kt],MATCH(RANDBETWEEN(1,4),tbllkpkt[Index],0))</f>
        <v>1</v>
      </c>
      <c r="AQ29" s="48">
        <f t="shared" ca="1" si="0"/>
        <v>1</v>
      </c>
      <c r="AR29" s="18">
        <f ca="1">Table8[[#This Row],[Ag]]*Table8[[#This Row],[Deduction_for_An]]</f>
        <v>4.3499999999999997E-2</v>
      </c>
      <c r="AS29" s="11">
        <f>Table8[[#This Row],[fy]]*Table8[[#This Row],[Ag]]</f>
        <v>15659999.999999998</v>
      </c>
      <c r="AT29" s="11">
        <f ca="1">Table8[[#This Row],[αu]]*Table8[[#This Row],[kt]]*Table8[[#This Row],[An]]*Table8[[#This Row],[fu]]</f>
        <v>17747999.999999996</v>
      </c>
      <c r="AU29" s="11">
        <f ca="1">MIN(Table8[[#This Row],[Nty]],Table8[[#This Row],[Ntu]])</f>
        <v>15659999.999999998</v>
      </c>
    </row>
    <row r="30" spans="2:47" x14ac:dyDescent="0.25">
      <c r="B30" s="15" t="str">
        <f>Table8[[#This Row],[Section]]&amp;"-"&amp;TEXT(Table8[[#This Row],[Grade]],"0")</f>
        <v>1200WB317-400</v>
      </c>
      <c r="C30" s="3" t="s">
        <v>18</v>
      </c>
      <c r="D30" s="3">
        <v>400</v>
      </c>
      <c r="E30" s="3" t="s">
        <v>12</v>
      </c>
      <c r="F30" s="4">
        <v>317</v>
      </c>
      <c r="G30" s="3" t="s">
        <v>13</v>
      </c>
      <c r="H30" s="3" t="s">
        <v>14</v>
      </c>
      <c r="I30" s="5">
        <v>1.1759999999999999</v>
      </c>
      <c r="J30" s="5">
        <v>0.4</v>
      </c>
      <c r="K30" s="5">
        <v>2.8000000000000001E-2</v>
      </c>
      <c r="L30" s="5">
        <v>1.6E-2</v>
      </c>
      <c r="M30" s="5" t="s">
        <v>107</v>
      </c>
      <c r="N30" s="5">
        <v>1.1199999999999999</v>
      </c>
      <c r="O30" s="6">
        <v>69.999999999999986</v>
      </c>
      <c r="P30" s="6">
        <v>6.8571428571428568</v>
      </c>
      <c r="Q30" s="7">
        <v>4.0300000000000002E-2</v>
      </c>
      <c r="R30" s="8">
        <v>9.2499999999999995E-3</v>
      </c>
      <c r="S30" s="9">
        <v>1.5699999999999999E-2</v>
      </c>
      <c r="T30" s="9">
        <v>1.7899999999999999E-2</v>
      </c>
      <c r="U30" s="5">
        <v>0.47899999999999998</v>
      </c>
      <c r="V30" s="8">
        <v>2.99E-4</v>
      </c>
      <c r="W30" s="9">
        <v>1.5E-3</v>
      </c>
      <c r="X30" s="9">
        <v>2.31E-3</v>
      </c>
      <c r="Y30" s="5">
        <v>0.47899999999999998</v>
      </c>
      <c r="Z30" s="8">
        <v>7.2300000000000002E-6</v>
      </c>
      <c r="AA30" s="10">
        <v>9.8499999999999995E-5</v>
      </c>
      <c r="AB30" s="45">
        <v>0.85</v>
      </c>
      <c r="AC30" s="17">
        <f t="array" ref="AC30">INDEX(tbllkpSteelGrades[fy],MATCH(1,(Table8[[#This Row],[Grade]]=tbllkpSteelGrades[Grade])*(Table8[[#This Row],[tw]]&lt;=tbllkpSteelGrades[Thickness]),0))</f>
        <v>380000000</v>
      </c>
      <c r="AD30" s="17">
        <f t="array" ref="AD30">INDEX(tbllkpSteelGrades[fy],MATCH(1,(Table8[[#This Row],[Grade]]=tbllkpSteelGrades[Grade])*(Table8[[#This Row],[tf]]&lt;=tbllkpSteelGrades[Thickness]),0))</f>
        <v>360000000</v>
      </c>
      <c r="AE30" s="17">
        <f>MIN(Table8[[#This Row],[fy_web]],Table8[[#This Row],[fy_flange]])</f>
        <v>360000000</v>
      </c>
      <c r="AF30" s="17">
        <f t="array" ref="AF30">INDEX(tbllkpSteelGrades[fu],MATCH(1,(Table8[[#This Row],[Grade]]=tbllkpSteelGrades[Grade])*(Table8[[#This Row],[tw]]&lt;=tbllkpSteelGrades[Thickness]),0))</f>
        <v>480000000</v>
      </c>
      <c r="AG30" s="18">
        <f>IF(Table8[[#This Row],[Fabrication Type]]="Welded",Table8[[#This Row],[d1]],Table8[[#This Row],[d]])*Table8[[#This Row],[tw]]</f>
        <v>1.7919999999999998E-2</v>
      </c>
      <c r="AH30" s="11">
        <f>Table8[[#This Row],[Aw]]*Table8[[#This Row],[fy_web]]*0.6</f>
        <v>4085759.9999999991</v>
      </c>
      <c r="AI30" s="35">
        <f>82/SQRT(Table8[[#This Row],[fy_web]]/250000000)</f>
        <v>66.510782663612645</v>
      </c>
      <c r="AJ30" s="36">
        <f>IF((Table8[[#This Row],[d1]]/Table8[[#This Row],[tw]])&gt;Table8[[#This Row],[limiting web slenderness]],(82/((Table8[[#This Row],[d1]]/Table8[[#This Row],[tw]])*SQRT(Table8[[#This Row],[fy_web]]/250000000)))^2,1)</f>
        <v>0.90279269602577916</v>
      </c>
      <c r="AK30" s="38">
        <f>IF(Table8[[#This Row],[Fabrication Type]]="Welded",IF(Table8[[#This Row],[tw]]&gt;0.016,0.016*Table8[[#This Row],[fu]],Table8[[#This Row],[tw]]*Table8[[#This Row],[fu]]),"")</f>
        <v>7680000</v>
      </c>
      <c r="AL30" s="13">
        <f>Table8[[#This Row],[d]]-Table8[[#This Row],[tf]]</f>
        <v>1.1479999999999999</v>
      </c>
      <c r="AM30" s="39">
        <f>Table8[[#This Row],[bf]]*Table8[[#This Row],[tf]]*(Table8[[#This Row],[df]]/2)</f>
        <v>6.4288000000000001E-3</v>
      </c>
      <c r="AN30" s="11">
        <f>IF(Table8[[#This Row],[Fabrication Type]]="Welded",Table8[[#This Row],[vw]]*Table8[[#This Row],[Ix]]/Table8[[#This Row],[Qflange]],"")</f>
        <v>11050273.768043803</v>
      </c>
      <c r="AO30" s="11">
        <f>Table8[[#This Row],[tw]]*MIN(Table8[[#This Row],[fy_web]], Table8[[#This Row],[fy_flange]])*0.6*Table8[[#This Row],[Ix]]/Table8[[#This Row],[Qflange]]</f>
        <v>4972623.1956197117</v>
      </c>
      <c r="AP30" s="50">
        <f ca="1">INDEX(tbllkpkt[kt],MATCH(RANDBETWEEN(1,4),tbllkpkt[Index],0))</f>
        <v>0.9</v>
      </c>
      <c r="AQ30" s="48">
        <f t="shared" ca="1" si="0"/>
        <v>0.94</v>
      </c>
      <c r="AR30" s="18">
        <f ca="1">Table8[[#This Row],[Ag]]*Table8[[#This Row],[Deduction_for_An]]</f>
        <v>3.7881999999999999E-2</v>
      </c>
      <c r="AS30" s="11">
        <f>Table8[[#This Row],[fy]]*Table8[[#This Row],[Ag]]</f>
        <v>14508000</v>
      </c>
      <c r="AT30" s="11">
        <f ca="1">Table8[[#This Row],[αu]]*Table8[[#This Row],[kt]]*Table8[[#This Row],[An]]*Table8[[#This Row],[fu]]</f>
        <v>13910270.399999999</v>
      </c>
      <c r="AU30" s="11">
        <f ca="1">MIN(Table8[[#This Row],[Nty]],Table8[[#This Row],[Ntu]])</f>
        <v>13910270.399999999</v>
      </c>
    </row>
    <row r="31" spans="2:47" x14ac:dyDescent="0.25">
      <c r="B31" s="15" t="str">
        <f>Table8[[#This Row],[Section]]&amp;"-"&amp;TEXT(Table8[[#This Row],[Grade]],"0")</f>
        <v>1200WB278-400</v>
      </c>
      <c r="C31" s="3" t="s">
        <v>19</v>
      </c>
      <c r="D31" s="3">
        <v>400</v>
      </c>
      <c r="E31" s="3" t="s">
        <v>12</v>
      </c>
      <c r="F31" s="4">
        <v>278</v>
      </c>
      <c r="G31" s="3" t="s">
        <v>13</v>
      </c>
      <c r="H31" s="3" t="s">
        <v>14</v>
      </c>
      <c r="I31" s="5">
        <v>1.17</v>
      </c>
      <c r="J31" s="5">
        <v>0.35</v>
      </c>
      <c r="K31" s="5">
        <v>2.5000000000000001E-2</v>
      </c>
      <c r="L31" s="5">
        <v>1.6E-2</v>
      </c>
      <c r="M31" s="5" t="s">
        <v>107</v>
      </c>
      <c r="N31" s="5">
        <v>1.1199999999999999</v>
      </c>
      <c r="O31" s="6">
        <v>69.999999999999986</v>
      </c>
      <c r="P31" s="6">
        <v>6.6799999999999988</v>
      </c>
      <c r="Q31" s="7">
        <v>3.5400000000000001E-2</v>
      </c>
      <c r="R31" s="8">
        <v>7.6099999999999996E-3</v>
      </c>
      <c r="S31" s="9">
        <v>1.2999999999999999E-2</v>
      </c>
      <c r="T31" s="9">
        <v>1.4999999999999999E-2</v>
      </c>
      <c r="U31" s="5">
        <v>0.46400000000000002</v>
      </c>
      <c r="V31" s="8">
        <v>1.7899999999999999E-4</v>
      </c>
      <c r="W31" s="9">
        <v>1.0200000000000001E-3</v>
      </c>
      <c r="X31" s="9">
        <v>1.6000000000000001E-3</v>
      </c>
      <c r="Y31" s="5">
        <v>0.46400000000000002</v>
      </c>
      <c r="Z31" s="8">
        <v>5.0900000000000004E-6</v>
      </c>
      <c r="AA31" s="10">
        <v>5.8699999999999997E-5</v>
      </c>
      <c r="AB31" s="45">
        <v>0.85</v>
      </c>
      <c r="AC31" s="17">
        <f t="array" ref="AC31">INDEX(tbllkpSteelGrades[fy],MATCH(1,(Table8[[#This Row],[Grade]]=tbllkpSteelGrades[Grade])*(Table8[[#This Row],[tw]]&lt;=tbllkpSteelGrades[Thickness]),0))</f>
        <v>380000000</v>
      </c>
      <c r="AD31" s="17">
        <f t="array" ref="AD31">INDEX(tbllkpSteelGrades[fy],MATCH(1,(Table8[[#This Row],[Grade]]=tbllkpSteelGrades[Grade])*(Table8[[#This Row],[tf]]&lt;=tbllkpSteelGrades[Thickness]),0))</f>
        <v>360000000</v>
      </c>
      <c r="AE31" s="17">
        <f>MIN(Table8[[#This Row],[fy_web]],Table8[[#This Row],[fy_flange]])</f>
        <v>360000000</v>
      </c>
      <c r="AF31" s="17">
        <f t="array" ref="AF31">INDEX(tbllkpSteelGrades[fu],MATCH(1,(Table8[[#This Row],[Grade]]=tbllkpSteelGrades[Grade])*(Table8[[#This Row],[tw]]&lt;=tbllkpSteelGrades[Thickness]),0))</f>
        <v>480000000</v>
      </c>
      <c r="AG31" s="18">
        <f>IF(Table8[[#This Row],[Fabrication Type]]="Welded",Table8[[#This Row],[d1]],Table8[[#This Row],[d]])*Table8[[#This Row],[tw]]</f>
        <v>1.7919999999999998E-2</v>
      </c>
      <c r="AH31" s="11">
        <f>Table8[[#This Row],[Aw]]*Table8[[#This Row],[fy_web]]*0.6</f>
        <v>4085759.9999999991</v>
      </c>
      <c r="AI31" s="35">
        <f>82/SQRT(Table8[[#This Row],[fy_web]]/250000000)</f>
        <v>66.510782663612645</v>
      </c>
      <c r="AJ31" s="36">
        <f>IF((Table8[[#This Row],[d1]]/Table8[[#This Row],[tw]])&gt;Table8[[#This Row],[limiting web slenderness]],(82/((Table8[[#This Row],[d1]]/Table8[[#This Row],[tw]])*SQRT(Table8[[#This Row],[fy_web]]/250000000)))^2,1)</f>
        <v>0.90279269602577916</v>
      </c>
      <c r="AK31" s="38">
        <f>IF(Table8[[#This Row],[Fabrication Type]]="Welded",IF(Table8[[#This Row],[tw]]&gt;0.016,0.016*Table8[[#This Row],[fu]],Table8[[#This Row],[tw]]*Table8[[#This Row],[fu]]),"")</f>
        <v>7680000</v>
      </c>
      <c r="AL31" s="13">
        <f>Table8[[#This Row],[d]]-Table8[[#This Row],[tf]]</f>
        <v>1.145</v>
      </c>
      <c r="AM31" s="39">
        <f>Table8[[#This Row],[bf]]*Table8[[#This Row],[tf]]*(Table8[[#This Row],[df]]/2)</f>
        <v>5.0093749999999999E-3</v>
      </c>
      <c r="AN31" s="11">
        <f>IF(Table8[[#This Row],[Fabrication Type]]="Welded",Table8[[#This Row],[vw]]*Table8[[#This Row],[Ix]]/Table8[[#This Row],[Qflange]],"")</f>
        <v>11667084.21709295</v>
      </c>
      <c r="AO31" s="11">
        <f>Table8[[#This Row],[tw]]*MIN(Table8[[#This Row],[fy_web]], Table8[[#This Row],[fy_flange]])*0.6*Table8[[#This Row],[Ix]]/Table8[[#This Row],[Qflange]]</f>
        <v>5250187.8976918282</v>
      </c>
      <c r="AP31" s="50">
        <f ca="1">INDEX(tbllkpkt[kt],MATCH(RANDBETWEEN(1,4),tbllkpkt[Index],0))</f>
        <v>0.9</v>
      </c>
      <c r="AQ31" s="48">
        <f t="shared" ca="1" si="0"/>
        <v>0.97</v>
      </c>
      <c r="AR31" s="18">
        <f ca="1">Table8[[#This Row],[Ag]]*Table8[[#This Row],[Deduction_for_An]]</f>
        <v>3.4338E-2</v>
      </c>
      <c r="AS31" s="11">
        <f>Table8[[#This Row],[fy]]*Table8[[#This Row],[Ag]]</f>
        <v>12744000</v>
      </c>
      <c r="AT31" s="11">
        <f ca="1">Table8[[#This Row],[αu]]*Table8[[#This Row],[kt]]*Table8[[#This Row],[An]]*Table8[[#This Row],[fu]]</f>
        <v>12608913.600000001</v>
      </c>
      <c r="AU31" s="11">
        <f ca="1">MIN(Table8[[#This Row],[Nty]],Table8[[#This Row],[Ntu]])</f>
        <v>12608913.600000001</v>
      </c>
    </row>
    <row r="32" spans="2:47" x14ac:dyDescent="0.25">
      <c r="B32" s="15" t="str">
        <f>Table8[[#This Row],[Section]]&amp;"-"&amp;TEXT(Table8[[#This Row],[Grade]],"0")</f>
        <v>1200WB249-400</v>
      </c>
      <c r="C32" s="3" t="s">
        <v>20</v>
      </c>
      <c r="D32" s="3">
        <v>400</v>
      </c>
      <c r="E32" s="3" t="s">
        <v>12</v>
      </c>
      <c r="F32" s="4">
        <v>249</v>
      </c>
      <c r="G32" s="3" t="s">
        <v>13</v>
      </c>
      <c r="H32" s="3" t="s">
        <v>14</v>
      </c>
      <c r="I32" s="5">
        <v>1.17</v>
      </c>
      <c r="J32" s="5">
        <v>0.27500000000000002</v>
      </c>
      <c r="K32" s="5">
        <v>2.5000000000000001E-2</v>
      </c>
      <c r="L32" s="5">
        <v>1.6E-2</v>
      </c>
      <c r="M32" s="5" t="s">
        <v>107</v>
      </c>
      <c r="N32" s="5">
        <v>1.1199999999999999</v>
      </c>
      <c r="O32" s="6">
        <v>69.999999999999986</v>
      </c>
      <c r="P32" s="6">
        <v>5.18</v>
      </c>
      <c r="Q32" s="7">
        <v>3.1699999999999999E-2</v>
      </c>
      <c r="R32" s="8">
        <v>6.3800000000000003E-3</v>
      </c>
      <c r="S32" s="9">
        <v>1.09E-2</v>
      </c>
      <c r="T32" s="9">
        <v>1.29E-2</v>
      </c>
      <c r="U32" s="5">
        <v>0.44900000000000001</v>
      </c>
      <c r="V32" s="8">
        <v>8.7000000000000001E-5</v>
      </c>
      <c r="W32" s="9">
        <v>6.3299999999999999E-4</v>
      </c>
      <c r="X32" s="9">
        <v>1.0200000000000001E-3</v>
      </c>
      <c r="Y32" s="5">
        <v>0.44900000000000001</v>
      </c>
      <c r="Z32" s="8">
        <v>4.3100000000000002E-6</v>
      </c>
      <c r="AA32" s="10">
        <v>2.8500000000000002E-5</v>
      </c>
      <c r="AB32" s="45">
        <v>0.85</v>
      </c>
      <c r="AC32" s="17">
        <f t="array" ref="AC32">INDEX(tbllkpSteelGrades[fy],MATCH(1,(Table8[[#This Row],[Grade]]=tbllkpSteelGrades[Grade])*(Table8[[#This Row],[tw]]&lt;=tbllkpSteelGrades[Thickness]),0))</f>
        <v>380000000</v>
      </c>
      <c r="AD32" s="17">
        <f t="array" ref="AD32">INDEX(tbllkpSteelGrades[fy],MATCH(1,(Table8[[#This Row],[Grade]]=tbllkpSteelGrades[Grade])*(Table8[[#This Row],[tf]]&lt;=tbllkpSteelGrades[Thickness]),0))</f>
        <v>360000000</v>
      </c>
      <c r="AE32" s="17">
        <f>MIN(Table8[[#This Row],[fy_web]],Table8[[#This Row],[fy_flange]])</f>
        <v>360000000</v>
      </c>
      <c r="AF32" s="17">
        <f t="array" ref="AF32">INDEX(tbllkpSteelGrades[fu],MATCH(1,(Table8[[#This Row],[Grade]]=tbllkpSteelGrades[Grade])*(Table8[[#This Row],[tw]]&lt;=tbllkpSteelGrades[Thickness]),0))</f>
        <v>480000000</v>
      </c>
      <c r="AG32" s="18">
        <f>IF(Table8[[#This Row],[Fabrication Type]]="Welded",Table8[[#This Row],[d1]],Table8[[#This Row],[d]])*Table8[[#This Row],[tw]]</f>
        <v>1.7919999999999998E-2</v>
      </c>
      <c r="AH32" s="11">
        <f>Table8[[#This Row],[Aw]]*Table8[[#This Row],[fy_web]]*0.6</f>
        <v>4085759.9999999991</v>
      </c>
      <c r="AI32" s="35">
        <f>82/SQRT(Table8[[#This Row],[fy_web]]/250000000)</f>
        <v>66.510782663612645</v>
      </c>
      <c r="AJ32" s="36">
        <f>IF((Table8[[#This Row],[d1]]/Table8[[#This Row],[tw]])&gt;Table8[[#This Row],[limiting web slenderness]],(82/((Table8[[#This Row],[d1]]/Table8[[#This Row],[tw]])*SQRT(Table8[[#This Row],[fy_web]]/250000000)))^2,1)</f>
        <v>0.90279269602577916</v>
      </c>
      <c r="AK32" s="38">
        <f>IF(Table8[[#This Row],[Fabrication Type]]="Welded",IF(Table8[[#This Row],[tw]]&gt;0.016,0.016*Table8[[#This Row],[fu]],Table8[[#This Row],[tw]]*Table8[[#This Row],[fu]]),"")</f>
        <v>7680000</v>
      </c>
      <c r="AL32" s="13">
        <f>Table8[[#This Row],[d]]-Table8[[#This Row],[tf]]</f>
        <v>1.145</v>
      </c>
      <c r="AM32" s="39">
        <f>Table8[[#This Row],[bf]]*Table8[[#This Row],[tf]]*(Table8[[#This Row],[df]]/2)</f>
        <v>3.9359375000000002E-3</v>
      </c>
      <c r="AN32" s="11">
        <f>IF(Table8[[#This Row],[Fabrication Type]]="Welded",Table8[[#This Row],[vw]]*Table8[[#This Row],[Ix]]/Table8[[#This Row],[Qflange]],"")</f>
        <v>12448978.165938864</v>
      </c>
      <c r="AO32" s="11">
        <f>Table8[[#This Row],[tw]]*MIN(Table8[[#This Row],[fy_web]], Table8[[#This Row],[fy_flange]])*0.6*Table8[[#This Row],[Ix]]/Table8[[#This Row],[Qflange]]</f>
        <v>5602040.1746724891</v>
      </c>
      <c r="AP32" s="50">
        <f ca="1">INDEX(tbllkpkt[kt],MATCH(RANDBETWEEN(1,4),tbllkpkt[Index],0))</f>
        <v>0.75</v>
      </c>
      <c r="AQ32" s="48">
        <f t="shared" ca="1" si="0"/>
        <v>0.92</v>
      </c>
      <c r="AR32" s="18">
        <f ca="1">Table8[[#This Row],[Ag]]*Table8[[#This Row],[Deduction_for_An]]</f>
        <v>2.9163999999999999E-2</v>
      </c>
      <c r="AS32" s="11">
        <f>Table8[[#This Row],[fy]]*Table8[[#This Row],[Ag]]</f>
        <v>11412000</v>
      </c>
      <c r="AT32" s="11">
        <f ca="1">Table8[[#This Row],[αu]]*Table8[[#This Row],[kt]]*Table8[[#This Row],[An]]*Table8[[#This Row],[fu]]</f>
        <v>8924184</v>
      </c>
      <c r="AU32" s="11">
        <f ca="1">MIN(Table8[[#This Row],[Nty]],Table8[[#This Row],[Ntu]])</f>
        <v>8924184</v>
      </c>
    </row>
    <row r="33" spans="2:47" x14ac:dyDescent="0.25">
      <c r="B33" s="15" t="str">
        <f>Table8[[#This Row],[Section]]&amp;"-"&amp;TEXT(Table8[[#This Row],[Grade]],"0")</f>
        <v>1000WB322-400</v>
      </c>
      <c r="C33" s="3" t="s">
        <v>21</v>
      </c>
      <c r="D33" s="3">
        <v>400</v>
      </c>
      <c r="E33" s="3" t="s">
        <v>12</v>
      </c>
      <c r="F33" s="4">
        <v>322</v>
      </c>
      <c r="G33" s="3" t="s">
        <v>13</v>
      </c>
      <c r="H33" s="3" t="s">
        <v>14</v>
      </c>
      <c r="I33" s="5">
        <v>1.024</v>
      </c>
      <c r="J33" s="5">
        <v>0.4</v>
      </c>
      <c r="K33" s="5">
        <v>3.2000000000000001E-2</v>
      </c>
      <c r="L33" s="5">
        <v>1.6E-2</v>
      </c>
      <c r="M33" s="5" t="s">
        <v>107</v>
      </c>
      <c r="N33" s="5">
        <v>0.96</v>
      </c>
      <c r="O33" s="6">
        <v>60</v>
      </c>
      <c r="P33" s="6">
        <v>6</v>
      </c>
      <c r="Q33" s="7">
        <v>4.1000000000000002E-2</v>
      </c>
      <c r="R33" s="8">
        <v>7.4799999999999997E-3</v>
      </c>
      <c r="S33" s="9">
        <v>1.46E-2</v>
      </c>
      <c r="T33" s="9">
        <v>1.6400000000000001E-2</v>
      </c>
      <c r="U33" s="5">
        <v>0.42699999999999999</v>
      </c>
      <c r="V33" s="8">
        <v>3.4200000000000002E-4</v>
      </c>
      <c r="W33" s="9">
        <v>1.7099999999999999E-3</v>
      </c>
      <c r="X33" s="9">
        <v>2.6199999999999999E-3</v>
      </c>
      <c r="Y33" s="5">
        <v>0.42699999999999999</v>
      </c>
      <c r="Z33" s="8">
        <v>9.7399999999999999E-6</v>
      </c>
      <c r="AA33" s="10">
        <v>8.4099999999999998E-5</v>
      </c>
      <c r="AB33" s="45">
        <v>0.85</v>
      </c>
      <c r="AC33" s="17">
        <f t="array" ref="AC33">INDEX(tbllkpSteelGrades[fy],MATCH(1,(Table8[[#This Row],[Grade]]=tbllkpSteelGrades[Grade])*(Table8[[#This Row],[tw]]&lt;=tbllkpSteelGrades[Thickness]),0))</f>
        <v>380000000</v>
      </c>
      <c r="AD33" s="17">
        <f t="array" ref="AD33">INDEX(tbllkpSteelGrades[fy],MATCH(1,(Table8[[#This Row],[Grade]]=tbllkpSteelGrades[Grade])*(Table8[[#This Row],[tf]]&lt;=tbllkpSteelGrades[Thickness]),0))</f>
        <v>360000000</v>
      </c>
      <c r="AE33" s="17">
        <f>MIN(Table8[[#This Row],[fy_web]],Table8[[#This Row],[fy_flange]])</f>
        <v>360000000</v>
      </c>
      <c r="AF33" s="17">
        <f t="array" ref="AF33">INDEX(tbllkpSteelGrades[fu],MATCH(1,(Table8[[#This Row],[Grade]]=tbllkpSteelGrades[Grade])*(Table8[[#This Row],[tw]]&lt;=tbllkpSteelGrades[Thickness]),0))</f>
        <v>480000000</v>
      </c>
      <c r="AG33" s="18">
        <f>IF(Table8[[#This Row],[Fabrication Type]]="Welded",Table8[[#This Row],[d1]],Table8[[#This Row],[d]])*Table8[[#This Row],[tw]]</f>
        <v>1.536E-2</v>
      </c>
      <c r="AH33" s="11">
        <f>Table8[[#This Row],[Aw]]*Table8[[#This Row],[fy_web]]*0.6</f>
        <v>3502080</v>
      </c>
      <c r="AI33" s="35">
        <f>82/SQRT(Table8[[#This Row],[fy_web]]/250000000)</f>
        <v>66.510782663612645</v>
      </c>
      <c r="AJ3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33" s="38">
        <f>IF(Table8[[#This Row],[Fabrication Type]]="Welded",IF(Table8[[#This Row],[tw]]&gt;0.016,0.016*Table8[[#This Row],[fu]],Table8[[#This Row],[tw]]*Table8[[#This Row],[fu]]),"")</f>
        <v>7680000</v>
      </c>
      <c r="AL33" s="13">
        <f>Table8[[#This Row],[d]]-Table8[[#This Row],[tf]]</f>
        <v>0.99199999999999999</v>
      </c>
      <c r="AM33" s="39">
        <f>Table8[[#This Row],[bf]]*Table8[[#This Row],[tf]]*(Table8[[#This Row],[df]]/2)</f>
        <v>6.3487999999999999E-3</v>
      </c>
      <c r="AN33" s="11">
        <f>IF(Table8[[#This Row],[Fabrication Type]]="Welded",Table8[[#This Row],[vw]]*Table8[[#This Row],[Ix]]/Table8[[#This Row],[Qflange]],"")</f>
        <v>9048387.0967741925</v>
      </c>
      <c r="AO33" s="11">
        <f>Table8[[#This Row],[tw]]*MIN(Table8[[#This Row],[fy_web]], Table8[[#This Row],[fy_flange]])*0.6*Table8[[#This Row],[Ix]]/Table8[[#This Row],[Qflange]]</f>
        <v>4071774.1935483869</v>
      </c>
      <c r="AP33" s="50">
        <f ca="1">INDEX(tbllkpkt[kt],MATCH(RANDBETWEEN(1,4),tbllkpkt[Index],0))</f>
        <v>0.9</v>
      </c>
      <c r="AQ33" s="48">
        <f t="shared" ca="1" si="0"/>
        <v>0.99</v>
      </c>
      <c r="AR33" s="18">
        <f ca="1">Table8[[#This Row],[Ag]]*Table8[[#This Row],[Deduction_for_An]]</f>
        <v>4.0590000000000001E-2</v>
      </c>
      <c r="AS33" s="11">
        <f>Table8[[#This Row],[fy]]*Table8[[#This Row],[Ag]]</f>
        <v>14760000</v>
      </c>
      <c r="AT33" s="11">
        <f ca="1">Table8[[#This Row],[αu]]*Table8[[#This Row],[kt]]*Table8[[#This Row],[An]]*Table8[[#This Row],[fu]]</f>
        <v>14904648</v>
      </c>
      <c r="AU33" s="11">
        <f ca="1">MIN(Table8[[#This Row],[Nty]],Table8[[#This Row],[Ntu]])</f>
        <v>14760000</v>
      </c>
    </row>
    <row r="34" spans="2:47" x14ac:dyDescent="0.25">
      <c r="B34" s="15" t="str">
        <f>Table8[[#This Row],[Section]]&amp;"-"&amp;TEXT(Table8[[#This Row],[Grade]],"0")</f>
        <v>1000WB296-400</v>
      </c>
      <c r="C34" s="3" t="s">
        <v>22</v>
      </c>
      <c r="D34" s="3">
        <v>400</v>
      </c>
      <c r="E34" s="3" t="s">
        <v>12</v>
      </c>
      <c r="F34" s="4">
        <v>296</v>
      </c>
      <c r="G34" s="3" t="s">
        <v>13</v>
      </c>
      <c r="H34" s="3" t="s">
        <v>14</v>
      </c>
      <c r="I34" s="5">
        <v>1.016</v>
      </c>
      <c r="J34" s="5">
        <v>0.4</v>
      </c>
      <c r="K34" s="5">
        <v>2.8000000000000001E-2</v>
      </c>
      <c r="L34" s="5">
        <v>1.6E-2</v>
      </c>
      <c r="M34" s="5" t="s">
        <v>107</v>
      </c>
      <c r="N34" s="5">
        <v>0.96</v>
      </c>
      <c r="O34" s="6">
        <v>60</v>
      </c>
      <c r="P34" s="6">
        <v>6.8571428571428568</v>
      </c>
      <c r="Q34" s="7">
        <v>3.78E-2</v>
      </c>
      <c r="R34" s="8">
        <v>6.6499999999999997E-3</v>
      </c>
      <c r="S34" s="9">
        <v>1.3100000000000001E-2</v>
      </c>
      <c r="T34" s="9">
        <v>1.4800000000000001E-2</v>
      </c>
      <c r="U34" s="5">
        <v>0.42</v>
      </c>
      <c r="V34" s="8">
        <v>2.99E-4</v>
      </c>
      <c r="W34" s="9">
        <v>1.49E-3</v>
      </c>
      <c r="X34" s="9">
        <v>2.3E-3</v>
      </c>
      <c r="Y34" s="5">
        <v>0.42</v>
      </c>
      <c r="Z34" s="8">
        <v>7.0099999999999998E-6</v>
      </c>
      <c r="AA34" s="10">
        <v>7.2999999999999999E-5</v>
      </c>
      <c r="AB34" s="45">
        <v>0.85</v>
      </c>
      <c r="AC34" s="17">
        <f t="array" ref="AC34">INDEX(tbllkpSteelGrades[fy],MATCH(1,(Table8[[#This Row],[Grade]]=tbllkpSteelGrades[Grade])*(Table8[[#This Row],[tw]]&lt;=tbllkpSteelGrades[Thickness]),0))</f>
        <v>380000000</v>
      </c>
      <c r="AD34" s="17">
        <f t="array" ref="AD34">INDEX(tbllkpSteelGrades[fy],MATCH(1,(Table8[[#This Row],[Grade]]=tbllkpSteelGrades[Grade])*(Table8[[#This Row],[tf]]&lt;=tbllkpSteelGrades[Thickness]),0))</f>
        <v>360000000</v>
      </c>
      <c r="AE34" s="17">
        <f>MIN(Table8[[#This Row],[fy_web]],Table8[[#This Row],[fy_flange]])</f>
        <v>360000000</v>
      </c>
      <c r="AF34" s="17">
        <f t="array" ref="AF34">INDEX(tbllkpSteelGrades[fu],MATCH(1,(Table8[[#This Row],[Grade]]=tbllkpSteelGrades[Grade])*(Table8[[#This Row],[tw]]&lt;=tbllkpSteelGrades[Thickness]),0))</f>
        <v>480000000</v>
      </c>
      <c r="AG34" s="18">
        <f>IF(Table8[[#This Row],[Fabrication Type]]="Welded",Table8[[#This Row],[d1]],Table8[[#This Row],[d]])*Table8[[#This Row],[tw]]</f>
        <v>1.536E-2</v>
      </c>
      <c r="AH34" s="11">
        <f>Table8[[#This Row],[Aw]]*Table8[[#This Row],[fy_web]]*0.6</f>
        <v>3502080</v>
      </c>
      <c r="AI34" s="35">
        <f>82/SQRT(Table8[[#This Row],[fy_web]]/250000000)</f>
        <v>66.510782663612645</v>
      </c>
      <c r="AJ3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34" s="38">
        <f>IF(Table8[[#This Row],[Fabrication Type]]="Welded",IF(Table8[[#This Row],[tw]]&gt;0.016,0.016*Table8[[#This Row],[fu]],Table8[[#This Row],[tw]]*Table8[[#This Row],[fu]]),"")</f>
        <v>7680000</v>
      </c>
      <c r="AL34" s="13">
        <f>Table8[[#This Row],[d]]-Table8[[#This Row],[tf]]</f>
        <v>0.98799999999999999</v>
      </c>
      <c r="AM34" s="39">
        <f>Table8[[#This Row],[bf]]*Table8[[#This Row],[tf]]*(Table8[[#This Row],[df]]/2)</f>
        <v>5.5328000000000009E-3</v>
      </c>
      <c r="AN34" s="11">
        <f>IF(Table8[[#This Row],[Fabrication Type]]="Welded",Table8[[#This Row],[vw]]*Table8[[#This Row],[Ix]]/Table8[[#This Row],[Qflange]],"")</f>
        <v>9230769.2307692301</v>
      </c>
      <c r="AO34" s="11">
        <f>Table8[[#This Row],[tw]]*MIN(Table8[[#This Row],[fy_web]], Table8[[#This Row],[fy_flange]])*0.6*Table8[[#This Row],[Ix]]/Table8[[#This Row],[Qflange]]</f>
        <v>4153846.1538461526</v>
      </c>
      <c r="AP34" s="50">
        <f ca="1">INDEX(tbllkpkt[kt],MATCH(RANDBETWEEN(1,4),tbllkpkt[Index],0))</f>
        <v>0.75</v>
      </c>
      <c r="AQ34" s="48">
        <f t="shared" ca="1" si="0"/>
        <v>0.98</v>
      </c>
      <c r="AR34" s="18">
        <f ca="1">Table8[[#This Row],[Ag]]*Table8[[#This Row],[Deduction_for_An]]</f>
        <v>3.7044000000000001E-2</v>
      </c>
      <c r="AS34" s="11">
        <f>Table8[[#This Row],[fy]]*Table8[[#This Row],[Ag]]</f>
        <v>13608000</v>
      </c>
      <c r="AT34" s="11">
        <f ca="1">Table8[[#This Row],[αu]]*Table8[[#This Row],[kt]]*Table8[[#This Row],[An]]*Table8[[#This Row],[fu]]</f>
        <v>11335464</v>
      </c>
      <c r="AU34" s="11">
        <f ca="1">MIN(Table8[[#This Row],[Nty]],Table8[[#This Row],[Ntu]])</f>
        <v>11335464</v>
      </c>
    </row>
    <row r="35" spans="2:47" x14ac:dyDescent="0.25">
      <c r="B35" s="15" t="str">
        <f>Table8[[#This Row],[Section]]&amp;"-"&amp;TEXT(Table8[[#This Row],[Grade]],"0")</f>
        <v>1000WB258-400</v>
      </c>
      <c r="C35" s="3" t="s">
        <v>23</v>
      </c>
      <c r="D35" s="3">
        <v>400</v>
      </c>
      <c r="E35" s="3" t="s">
        <v>12</v>
      </c>
      <c r="F35" s="4">
        <v>258</v>
      </c>
      <c r="G35" s="3" t="s">
        <v>13</v>
      </c>
      <c r="H35" s="3" t="s">
        <v>14</v>
      </c>
      <c r="I35" s="5">
        <v>1.01</v>
      </c>
      <c r="J35" s="5">
        <v>0.35</v>
      </c>
      <c r="K35" s="5">
        <v>2.5000000000000001E-2</v>
      </c>
      <c r="L35" s="5">
        <v>1.6E-2</v>
      </c>
      <c r="M35" s="5" t="s">
        <v>107</v>
      </c>
      <c r="N35" s="5">
        <v>0.96</v>
      </c>
      <c r="O35" s="6">
        <v>60</v>
      </c>
      <c r="P35" s="6">
        <v>6.6799999999999988</v>
      </c>
      <c r="Q35" s="7">
        <v>3.2899999999999999E-2</v>
      </c>
      <c r="R35" s="8">
        <v>5.4299999999999999E-3</v>
      </c>
      <c r="S35" s="9">
        <v>1.0699999999999999E-2</v>
      </c>
      <c r="T35" s="9">
        <v>1.23E-2</v>
      </c>
      <c r="U35" s="5">
        <v>0.40600000000000003</v>
      </c>
      <c r="V35" s="8">
        <v>1.7899999999999999E-4</v>
      </c>
      <c r="W35" s="9">
        <v>1.0200000000000001E-3</v>
      </c>
      <c r="X35" s="9">
        <v>1.5900000000000001E-3</v>
      </c>
      <c r="Y35" s="5">
        <v>0.40600000000000003</v>
      </c>
      <c r="Z35" s="8">
        <v>4.87E-6</v>
      </c>
      <c r="AA35" s="10">
        <v>4.3399999999999998E-5</v>
      </c>
      <c r="AB35" s="45">
        <v>0.85</v>
      </c>
      <c r="AC35" s="17">
        <f t="array" ref="AC35">INDEX(tbllkpSteelGrades[fy],MATCH(1,(Table8[[#This Row],[Grade]]=tbllkpSteelGrades[Grade])*(Table8[[#This Row],[tw]]&lt;=tbllkpSteelGrades[Thickness]),0))</f>
        <v>380000000</v>
      </c>
      <c r="AD35" s="17">
        <f t="array" ref="AD35">INDEX(tbllkpSteelGrades[fy],MATCH(1,(Table8[[#This Row],[Grade]]=tbllkpSteelGrades[Grade])*(Table8[[#This Row],[tf]]&lt;=tbllkpSteelGrades[Thickness]),0))</f>
        <v>360000000</v>
      </c>
      <c r="AE35" s="17">
        <f>MIN(Table8[[#This Row],[fy_web]],Table8[[#This Row],[fy_flange]])</f>
        <v>360000000</v>
      </c>
      <c r="AF35" s="17">
        <f t="array" ref="AF35">INDEX(tbllkpSteelGrades[fu],MATCH(1,(Table8[[#This Row],[Grade]]=tbllkpSteelGrades[Grade])*(Table8[[#This Row],[tw]]&lt;=tbllkpSteelGrades[Thickness]),0))</f>
        <v>480000000</v>
      </c>
      <c r="AG35" s="18">
        <f>IF(Table8[[#This Row],[Fabrication Type]]="Welded",Table8[[#This Row],[d1]],Table8[[#This Row],[d]])*Table8[[#This Row],[tw]]</f>
        <v>1.536E-2</v>
      </c>
      <c r="AH35" s="11">
        <f>Table8[[#This Row],[Aw]]*Table8[[#This Row],[fy_web]]*0.6</f>
        <v>3502080</v>
      </c>
      <c r="AI35" s="35">
        <f>82/SQRT(Table8[[#This Row],[fy_web]]/250000000)</f>
        <v>66.510782663612645</v>
      </c>
      <c r="AJ3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35" s="38">
        <f>IF(Table8[[#This Row],[Fabrication Type]]="Welded",IF(Table8[[#This Row],[tw]]&gt;0.016,0.016*Table8[[#This Row],[fu]],Table8[[#This Row],[tw]]*Table8[[#This Row],[fu]]),"")</f>
        <v>7680000</v>
      </c>
      <c r="AL35" s="13">
        <f>Table8[[#This Row],[d]]-Table8[[#This Row],[tf]]</f>
        <v>0.98499999999999999</v>
      </c>
      <c r="AM35" s="39">
        <f>Table8[[#This Row],[bf]]*Table8[[#This Row],[tf]]*(Table8[[#This Row],[df]]/2)</f>
        <v>4.3093749999999998E-3</v>
      </c>
      <c r="AN35" s="11">
        <f>IF(Table8[[#This Row],[Fabrication Type]]="Welded",Table8[[#This Row],[vw]]*Table8[[#This Row],[Ix]]/Table8[[#This Row],[Qflange]],"")</f>
        <v>9677134.1551849172</v>
      </c>
      <c r="AO35" s="11">
        <f>Table8[[#This Row],[tw]]*MIN(Table8[[#This Row],[fy_web]], Table8[[#This Row],[fy_flange]])*0.6*Table8[[#This Row],[Ix]]/Table8[[#This Row],[Qflange]]</f>
        <v>4354710.3698332123</v>
      </c>
      <c r="AP35" s="50">
        <f ca="1">INDEX(tbllkpkt[kt],MATCH(RANDBETWEEN(1,4),tbllkpkt[Index],0))</f>
        <v>0.85</v>
      </c>
      <c r="AQ35" s="48">
        <f t="shared" ref="AQ35:AQ66" ca="1" si="1">1-RANDBETWEEN(0,10)/100</f>
        <v>0.96</v>
      </c>
      <c r="AR35" s="18">
        <f ca="1">Table8[[#This Row],[Ag]]*Table8[[#This Row],[Deduction_for_An]]</f>
        <v>3.1584000000000001E-2</v>
      </c>
      <c r="AS35" s="11">
        <f>Table8[[#This Row],[fy]]*Table8[[#This Row],[Ag]]</f>
        <v>11844000</v>
      </c>
      <c r="AT35" s="11">
        <f ca="1">Table8[[#This Row],[αu]]*Table8[[#This Row],[kt]]*Table8[[#This Row],[An]]*Table8[[#This Row],[fu]]</f>
        <v>10953331.199999999</v>
      </c>
      <c r="AU35" s="11">
        <f ca="1">MIN(Table8[[#This Row],[Nty]],Table8[[#This Row],[Ntu]])</f>
        <v>10953331.199999999</v>
      </c>
    </row>
    <row r="36" spans="2:47" x14ac:dyDescent="0.25">
      <c r="B36" s="15" t="str">
        <f>Table8[[#This Row],[Section]]&amp;"-"&amp;TEXT(Table8[[#This Row],[Grade]],"0")</f>
        <v>1000WB215-400</v>
      </c>
      <c r="C36" s="3" t="s">
        <v>24</v>
      </c>
      <c r="D36" s="3">
        <v>400</v>
      </c>
      <c r="E36" s="3" t="s">
        <v>12</v>
      </c>
      <c r="F36" s="4">
        <v>215</v>
      </c>
      <c r="G36" s="3" t="s">
        <v>13</v>
      </c>
      <c r="H36" s="3" t="s">
        <v>14</v>
      </c>
      <c r="I36" s="5">
        <v>1</v>
      </c>
      <c r="J36" s="5">
        <v>0.3</v>
      </c>
      <c r="K36" s="5">
        <v>0.02</v>
      </c>
      <c r="L36" s="5">
        <v>1.6E-2</v>
      </c>
      <c r="M36" s="5" t="s">
        <v>107</v>
      </c>
      <c r="N36" s="5">
        <v>0.96</v>
      </c>
      <c r="O36" s="6">
        <v>60</v>
      </c>
      <c r="P36" s="6">
        <v>7.1</v>
      </c>
      <c r="Q36" s="7">
        <v>2.7400000000000001E-2</v>
      </c>
      <c r="R36" s="8">
        <v>4.0600000000000002E-3</v>
      </c>
      <c r="S36" s="9">
        <v>8.1200000000000005E-3</v>
      </c>
      <c r="T36" s="9">
        <v>9.5700000000000004E-3</v>
      </c>
      <c r="U36" s="5">
        <v>0.38500000000000001</v>
      </c>
      <c r="V36" s="8">
        <v>9.0299999999999999E-5</v>
      </c>
      <c r="W36" s="9">
        <v>6.02E-4</v>
      </c>
      <c r="X36" s="9">
        <v>9.6100000000000005E-4</v>
      </c>
      <c r="Y36" s="5">
        <v>0.38500000000000001</v>
      </c>
      <c r="Z36" s="8">
        <v>2.8899999999999999E-6</v>
      </c>
      <c r="AA36" s="10">
        <v>2.1699999999999999E-5</v>
      </c>
      <c r="AB36" s="45">
        <v>0.85</v>
      </c>
      <c r="AC36" s="17">
        <f t="array" ref="AC36">INDEX(tbllkpSteelGrades[fy],MATCH(1,(Table8[[#This Row],[Grade]]=tbllkpSteelGrades[Grade])*(Table8[[#This Row],[tw]]&lt;=tbllkpSteelGrades[Thickness]),0))</f>
        <v>380000000</v>
      </c>
      <c r="AD36" s="17">
        <f t="array" ref="AD36">INDEX(tbllkpSteelGrades[fy],MATCH(1,(Table8[[#This Row],[Grade]]=tbllkpSteelGrades[Grade])*(Table8[[#This Row],[tf]]&lt;=tbllkpSteelGrades[Thickness]),0))</f>
        <v>380000000</v>
      </c>
      <c r="AE36" s="17">
        <f>MIN(Table8[[#This Row],[fy_web]],Table8[[#This Row],[fy_flange]])</f>
        <v>380000000</v>
      </c>
      <c r="AF36" s="17">
        <f t="array" ref="AF36">INDEX(tbllkpSteelGrades[fu],MATCH(1,(Table8[[#This Row],[Grade]]=tbllkpSteelGrades[Grade])*(Table8[[#This Row],[tw]]&lt;=tbllkpSteelGrades[Thickness]),0))</f>
        <v>480000000</v>
      </c>
      <c r="AG36" s="18">
        <f>IF(Table8[[#This Row],[Fabrication Type]]="Welded",Table8[[#This Row],[d1]],Table8[[#This Row],[d]])*Table8[[#This Row],[tw]]</f>
        <v>1.536E-2</v>
      </c>
      <c r="AH36" s="11">
        <f>Table8[[#This Row],[Aw]]*Table8[[#This Row],[fy_web]]*0.6</f>
        <v>3502080</v>
      </c>
      <c r="AI36" s="35">
        <f>82/SQRT(Table8[[#This Row],[fy_web]]/250000000)</f>
        <v>66.510782663612645</v>
      </c>
      <c r="AJ3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36" s="38">
        <f>IF(Table8[[#This Row],[Fabrication Type]]="Welded",IF(Table8[[#This Row],[tw]]&gt;0.016,0.016*Table8[[#This Row],[fu]],Table8[[#This Row],[tw]]*Table8[[#This Row],[fu]]),"")</f>
        <v>7680000</v>
      </c>
      <c r="AL36" s="13">
        <f>Table8[[#This Row],[d]]-Table8[[#This Row],[tf]]</f>
        <v>0.98</v>
      </c>
      <c r="AM36" s="39">
        <f>Table8[[#This Row],[bf]]*Table8[[#This Row],[tf]]*(Table8[[#This Row],[df]]/2)</f>
        <v>2.9399999999999999E-3</v>
      </c>
      <c r="AN36" s="11">
        <f>IF(Table8[[#This Row],[Fabrication Type]]="Welded",Table8[[#This Row],[vw]]*Table8[[#This Row],[Ix]]/Table8[[#This Row],[Qflange]],"")</f>
        <v>10605714.285714287</v>
      </c>
      <c r="AO36" s="11">
        <f>Table8[[#This Row],[tw]]*MIN(Table8[[#This Row],[fy_web]], Table8[[#This Row],[fy_flange]])*0.6*Table8[[#This Row],[Ix]]/Table8[[#This Row],[Qflange]]</f>
        <v>5037714.2857142864</v>
      </c>
      <c r="AP36" s="50">
        <f ca="1">INDEX(tbllkpkt[kt],MATCH(RANDBETWEEN(1,4),tbllkpkt[Index],0))</f>
        <v>1</v>
      </c>
      <c r="AQ36" s="48">
        <f t="shared" ca="1" si="1"/>
        <v>0.91</v>
      </c>
      <c r="AR36" s="18">
        <f ca="1">Table8[[#This Row],[Ag]]*Table8[[#This Row],[Deduction_for_An]]</f>
        <v>2.4934000000000001E-2</v>
      </c>
      <c r="AS36" s="11">
        <f>Table8[[#This Row],[fy]]*Table8[[#This Row],[Ag]]</f>
        <v>10412000</v>
      </c>
      <c r="AT36" s="11">
        <f ca="1">Table8[[#This Row],[αu]]*Table8[[#This Row],[kt]]*Table8[[#This Row],[An]]*Table8[[#This Row],[fu]]</f>
        <v>10173072</v>
      </c>
      <c r="AU36" s="11">
        <f ca="1">MIN(Table8[[#This Row],[Nty]],Table8[[#This Row],[Ntu]])</f>
        <v>10173072</v>
      </c>
    </row>
    <row r="37" spans="2:47" x14ac:dyDescent="0.25">
      <c r="B37" s="15" t="str">
        <f>Table8[[#This Row],[Section]]&amp;"-"&amp;TEXT(Table8[[#This Row],[Grade]],"0")</f>
        <v>900WB282-400</v>
      </c>
      <c r="C37" s="3" t="s">
        <v>25</v>
      </c>
      <c r="D37" s="3">
        <v>400</v>
      </c>
      <c r="E37" s="3" t="s">
        <v>12</v>
      </c>
      <c r="F37" s="4">
        <v>282</v>
      </c>
      <c r="G37" s="3" t="s">
        <v>13</v>
      </c>
      <c r="H37" s="3" t="s">
        <v>14</v>
      </c>
      <c r="I37" s="5">
        <v>0.92400000000000004</v>
      </c>
      <c r="J37" s="5">
        <v>0.4</v>
      </c>
      <c r="K37" s="5">
        <v>3.2000000000000001E-2</v>
      </c>
      <c r="L37" s="5">
        <v>1.2E-2</v>
      </c>
      <c r="M37" s="5" t="s">
        <v>107</v>
      </c>
      <c r="N37" s="5">
        <v>0.8600000000000001</v>
      </c>
      <c r="O37" s="6">
        <v>71.666666666666671</v>
      </c>
      <c r="P37" s="6">
        <v>6.0625</v>
      </c>
      <c r="Q37" s="7">
        <v>3.5900000000000001E-2</v>
      </c>
      <c r="R37" s="8">
        <v>5.7299999999999999E-3</v>
      </c>
      <c r="S37" s="9">
        <v>1.24E-2</v>
      </c>
      <c r="T37" s="9">
        <v>1.3599999999999999E-2</v>
      </c>
      <c r="U37" s="5">
        <v>0.39900000000000002</v>
      </c>
      <c r="V37" s="8">
        <v>3.4099999999999999E-4</v>
      </c>
      <c r="W37" s="9">
        <v>1.7099999999999999E-3</v>
      </c>
      <c r="X37" s="9">
        <v>2.5899999999999999E-3</v>
      </c>
      <c r="Y37" s="5">
        <v>0.39900000000000002</v>
      </c>
      <c r="Z37" s="8">
        <v>8.8699999999999998E-6</v>
      </c>
      <c r="AA37" s="10">
        <v>6.7899999999999997E-5</v>
      </c>
      <c r="AB37" s="45">
        <v>0.85</v>
      </c>
      <c r="AC37" s="17">
        <f t="array" ref="AC37">INDEX(tbllkpSteelGrades[fy],MATCH(1,(Table8[[#This Row],[Grade]]=tbllkpSteelGrades[Grade])*(Table8[[#This Row],[tw]]&lt;=tbllkpSteelGrades[Thickness]),0))</f>
        <v>400000000</v>
      </c>
      <c r="AD37" s="17">
        <f t="array" ref="AD37">INDEX(tbllkpSteelGrades[fy],MATCH(1,(Table8[[#This Row],[Grade]]=tbllkpSteelGrades[Grade])*(Table8[[#This Row],[tf]]&lt;=tbllkpSteelGrades[Thickness]),0))</f>
        <v>360000000</v>
      </c>
      <c r="AE37" s="17">
        <f>MIN(Table8[[#This Row],[fy_web]],Table8[[#This Row],[fy_flange]])</f>
        <v>360000000</v>
      </c>
      <c r="AF37" s="17">
        <f t="array" ref="AF37">INDEX(tbllkpSteelGrades[fu],MATCH(1,(Table8[[#This Row],[Grade]]=tbllkpSteelGrades[Grade])*(Table8[[#This Row],[tw]]&lt;=tbllkpSteelGrades[Thickness]),0))</f>
        <v>480000000</v>
      </c>
      <c r="AG37" s="18">
        <f>IF(Table8[[#This Row],[Fabrication Type]]="Welded",Table8[[#This Row],[d1]],Table8[[#This Row],[d]])*Table8[[#This Row],[tw]]</f>
        <v>1.0320000000000001E-2</v>
      </c>
      <c r="AH37" s="11">
        <f>Table8[[#This Row],[Aw]]*Table8[[#This Row],[fy_web]]*0.6</f>
        <v>2476800</v>
      </c>
      <c r="AI37" s="35">
        <f>82/SQRT(Table8[[#This Row],[fy_web]]/250000000)</f>
        <v>64.826692033451778</v>
      </c>
      <c r="AJ37" s="36">
        <f>IF((Table8[[#This Row],[d1]]/Table8[[#This Row],[tw]])&gt;Table8[[#This Row],[limiting web slenderness]],(82/((Table8[[#This Row],[d1]]/Table8[[#This Row],[tw]])*SQRT(Table8[[#This Row],[fy_web]]/250000000)))^2,1)</f>
        <v>0.81822606814494303</v>
      </c>
      <c r="AK37" s="38">
        <f>IF(Table8[[#This Row],[Fabrication Type]]="Welded",IF(Table8[[#This Row],[tw]]&gt;0.016,0.016*Table8[[#This Row],[fu]],Table8[[#This Row],[tw]]*Table8[[#This Row],[fu]]),"")</f>
        <v>5760000</v>
      </c>
      <c r="AL37" s="13">
        <f>Table8[[#This Row],[d]]-Table8[[#This Row],[tf]]</f>
        <v>0.89200000000000002</v>
      </c>
      <c r="AM37" s="39">
        <f>Table8[[#This Row],[bf]]*Table8[[#This Row],[tf]]*(Table8[[#This Row],[df]]/2)</f>
        <v>5.7088E-3</v>
      </c>
      <c r="AN37" s="11">
        <f>IF(Table8[[#This Row],[Fabrication Type]]="Welded",Table8[[#This Row],[vw]]*Table8[[#This Row],[Ix]]/Table8[[#This Row],[Qflange]],"")</f>
        <v>5781390.1345291473</v>
      </c>
      <c r="AO37" s="11">
        <f>Table8[[#This Row],[tw]]*MIN(Table8[[#This Row],[fy_web]], Table8[[#This Row],[fy_flange]])*0.6*Table8[[#This Row],[Ix]]/Table8[[#This Row],[Qflange]]</f>
        <v>2601625.5605381164</v>
      </c>
      <c r="AP37" s="50">
        <f ca="1">INDEX(tbllkpkt[kt],MATCH(RANDBETWEEN(1,4),tbllkpkt[Index],0))</f>
        <v>1</v>
      </c>
      <c r="AQ37" s="48">
        <f t="shared" ca="1" si="1"/>
        <v>0.98</v>
      </c>
      <c r="AR37" s="18">
        <f ca="1">Table8[[#This Row],[Ag]]*Table8[[#This Row],[Deduction_for_An]]</f>
        <v>3.5181999999999998E-2</v>
      </c>
      <c r="AS37" s="11">
        <f>Table8[[#This Row],[fy]]*Table8[[#This Row],[Ag]]</f>
        <v>12924000</v>
      </c>
      <c r="AT37" s="11">
        <f ca="1">Table8[[#This Row],[αu]]*Table8[[#This Row],[kt]]*Table8[[#This Row],[An]]*Table8[[#This Row],[fu]]</f>
        <v>14354255.999999998</v>
      </c>
      <c r="AU37" s="11">
        <f ca="1">MIN(Table8[[#This Row],[Nty]],Table8[[#This Row],[Ntu]])</f>
        <v>12924000</v>
      </c>
    </row>
    <row r="38" spans="2:47" x14ac:dyDescent="0.25">
      <c r="B38" s="15" t="str">
        <f>Table8[[#This Row],[Section]]&amp;"-"&amp;TEXT(Table8[[#This Row],[Grade]],"0")</f>
        <v>900WB257-400</v>
      </c>
      <c r="C38" s="3" t="s">
        <v>26</v>
      </c>
      <c r="D38" s="3">
        <v>400</v>
      </c>
      <c r="E38" s="3" t="s">
        <v>12</v>
      </c>
      <c r="F38" s="4">
        <v>257</v>
      </c>
      <c r="G38" s="3" t="s">
        <v>13</v>
      </c>
      <c r="H38" s="3" t="s">
        <v>14</v>
      </c>
      <c r="I38" s="5">
        <v>0.91600000000000004</v>
      </c>
      <c r="J38" s="5">
        <v>0.4</v>
      </c>
      <c r="K38" s="5">
        <v>2.8000000000000001E-2</v>
      </c>
      <c r="L38" s="5">
        <v>1.2E-2</v>
      </c>
      <c r="M38" s="5" t="s">
        <v>107</v>
      </c>
      <c r="N38" s="5">
        <v>0.86</v>
      </c>
      <c r="O38" s="6">
        <v>71.666666666666657</v>
      </c>
      <c r="P38" s="6">
        <v>6.9285714285714288</v>
      </c>
      <c r="Q38" s="7">
        <v>3.27E-2</v>
      </c>
      <c r="R38" s="8">
        <v>5.0499999999999998E-3</v>
      </c>
      <c r="S38" s="9">
        <v>1.0999999999999999E-2</v>
      </c>
      <c r="T38" s="9">
        <v>1.2200000000000001E-2</v>
      </c>
      <c r="U38" s="5">
        <v>0.39300000000000002</v>
      </c>
      <c r="V38" s="8">
        <v>2.99E-4</v>
      </c>
      <c r="W38" s="9">
        <v>1.49E-3</v>
      </c>
      <c r="X38" s="9">
        <v>2.2699999999999999E-3</v>
      </c>
      <c r="Y38" s="5">
        <v>0.39300000000000002</v>
      </c>
      <c r="Z38" s="8">
        <v>6.1500000000000004E-6</v>
      </c>
      <c r="AA38" s="10">
        <v>5.8900000000000002E-5</v>
      </c>
      <c r="AB38" s="45">
        <v>0.85</v>
      </c>
      <c r="AC38" s="17">
        <f t="array" ref="AC38">INDEX(tbllkpSteelGrades[fy],MATCH(1,(Table8[[#This Row],[Grade]]=tbllkpSteelGrades[Grade])*(Table8[[#This Row],[tw]]&lt;=tbllkpSteelGrades[Thickness]),0))</f>
        <v>400000000</v>
      </c>
      <c r="AD38" s="17">
        <f t="array" ref="AD38">INDEX(tbllkpSteelGrades[fy],MATCH(1,(Table8[[#This Row],[Grade]]=tbllkpSteelGrades[Grade])*(Table8[[#This Row],[tf]]&lt;=tbllkpSteelGrades[Thickness]),0))</f>
        <v>360000000</v>
      </c>
      <c r="AE38" s="17">
        <f>MIN(Table8[[#This Row],[fy_web]],Table8[[#This Row],[fy_flange]])</f>
        <v>360000000</v>
      </c>
      <c r="AF38" s="17">
        <f t="array" ref="AF38">INDEX(tbllkpSteelGrades[fu],MATCH(1,(Table8[[#This Row],[Grade]]=tbllkpSteelGrades[Grade])*(Table8[[#This Row],[tw]]&lt;=tbllkpSteelGrades[Thickness]),0))</f>
        <v>480000000</v>
      </c>
      <c r="AG38" s="18">
        <f>IF(Table8[[#This Row],[Fabrication Type]]="Welded",Table8[[#This Row],[d1]],Table8[[#This Row],[d]])*Table8[[#This Row],[tw]]</f>
        <v>1.0319999999999999E-2</v>
      </c>
      <c r="AH38" s="11">
        <f>Table8[[#This Row],[Aw]]*Table8[[#This Row],[fy_web]]*0.6</f>
        <v>2476799.9999999995</v>
      </c>
      <c r="AI38" s="35">
        <f>82/SQRT(Table8[[#This Row],[fy_web]]/250000000)</f>
        <v>64.826692033451778</v>
      </c>
      <c r="AJ38" s="36">
        <f>IF((Table8[[#This Row],[d1]]/Table8[[#This Row],[tw]])&gt;Table8[[#This Row],[limiting web slenderness]],(82/((Table8[[#This Row],[d1]]/Table8[[#This Row],[tw]])*SQRT(Table8[[#This Row],[fy_web]]/250000000)))^2,1)</f>
        <v>0.81822606814494325</v>
      </c>
      <c r="AK38" s="38">
        <f>IF(Table8[[#This Row],[Fabrication Type]]="Welded",IF(Table8[[#This Row],[tw]]&gt;0.016,0.016*Table8[[#This Row],[fu]],Table8[[#This Row],[tw]]*Table8[[#This Row],[fu]]),"")</f>
        <v>5760000</v>
      </c>
      <c r="AL38" s="13">
        <f>Table8[[#This Row],[d]]-Table8[[#This Row],[tf]]</f>
        <v>0.88800000000000001</v>
      </c>
      <c r="AM38" s="39">
        <f>Table8[[#This Row],[bf]]*Table8[[#This Row],[tf]]*(Table8[[#This Row],[df]]/2)</f>
        <v>4.9728000000000012E-3</v>
      </c>
      <c r="AN38" s="11">
        <f>IF(Table8[[#This Row],[Fabrication Type]]="Welded",Table8[[#This Row],[vw]]*Table8[[#This Row],[Ix]]/Table8[[#This Row],[Qflange]],"")</f>
        <v>5849420.8494208483</v>
      </c>
      <c r="AO38" s="11">
        <f>Table8[[#This Row],[tw]]*MIN(Table8[[#This Row],[fy_web]], Table8[[#This Row],[fy_flange]])*0.6*Table8[[#This Row],[Ix]]/Table8[[#This Row],[Qflange]]</f>
        <v>2632239.3822393818</v>
      </c>
      <c r="AP38" s="50">
        <f ca="1">INDEX(tbllkpkt[kt],MATCH(RANDBETWEEN(1,4),tbllkpkt[Index],0))</f>
        <v>0.75</v>
      </c>
      <c r="AQ38" s="48">
        <f t="shared" ca="1" si="1"/>
        <v>0.9</v>
      </c>
      <c r="AR38" s="18">
        <f ca="1">Table8[[#This Row],[Ag]]*Table8[[#This Row],[Deduction_for_An]]</f>
        <v>2.9430000000000001E-2</v>
      </c>
      <c r="AS38" s="11">
        <f>Table8[[#This Row],[fy]]*Table8[[#This Row],[Ag]]</f>
        <v>11772000</v>
      </c>
      <c r="AT38" s="11">
        <f ca="1">Table8[[#This Row],[αu]]*Table8[[#This Row],[kt]]*Table8[[#This Row],[An]]*Table8[[#This Row],[fu]]</f>
        <v>9005580</v>
      </c>
      <c r="AU38" s="11">
        <f ca="1">MIN(Table8[[#This Row],[Nty]],Table8[[#This Row],[Ntu]])</f>
        <v>9005580</v>
      </c>
    </row>
    <row r="39" spans="2:47" x14ac:dyDescent="0.25">
      <c r="B39" s="15" t="str">
        <f>Table8[[#This Row],[Section]]&amp;"-"&amp;TEXT(Table8[[#This Row],[Grade]],"0")</f>
        <v>900WB218-400</v>
      </c>
      <c r="C39" s="3" t="s">
        <v>27</v>
      </c>
      <c r="D39" s="3">
        <v>400</v>
      </c>
      <c r="E39" s="3" t="s">
        <v>12</v>
      </c>
      <c r="F39" s="4">
        <v>218</v>
      </c>
      <c r="G39" s="3" t="s">
        <v>13</v>
      </c>
      <c r="H39" s="3" t="s">
        <v>14</v>
      </c>
      <c r="I39" s="5">
        <v>0.91</v>
      </c>
      <c r="J39" s="5">
        <v>0.35</v>
      </c>
      <c r="K39" s="5">
        <v>2.5000000000000001E-2</v>
      </c>
      <c r="L39" s="5">
        <v>1.2E-2</v>
      </c>
      <c r="M39" s="5" t="s">
        <v>107</v>
      </c>
      <c r="N39" s="5">
        <v>0.86</v>
      </c>
      <c r="O39" s="6">
        <v>71.666666666666657</v>
      </c>
      <c r="P39" s="6">
        <v>6.7599999999999989</v>
      </c>
      <c r="Q39" s="7">
        <v>2.7799999999999998E-2</v>
      </c>
      <c r="R39" s="8">
        <v>4.0600000000000002E-3</v>
      </c>
      <c r="S39" s="9">
        <v>8.9300000000000004E-3</v>
      </c>
      <c r="T39" s="9">
        <v>9.9600000000000001E-3</v>
      </c>
      <c r="U39" s="5">
        <v>0.38200000000000001</v>
      </c>
      <c r="V39" s="8">
        <v>1.7899999999999999E-4</v>
      </c>
      <c r="W39" s="9">
        <v>1.0200000000000001E-3</v>
      </c>
      <c r="X39" s="9">
        <v>1.56E-3</v>
      </c>
      <c r="Y39" s="5">
        <v>0.38200000000000001</v>
      </c>
      <c r="Z39" s="8">
        <v>4.0199999999999996E-6</v>
      </c>
      <c r="AA39" s="10">
        <v>3.4999999999999997E-5</v>
      </c>
      <c r="AB39" s="45">
        <v>0.85</v>
      </c>
      <c r="AC39" s="17">
        <f t="array" ref="AC39">INDEX(tbllkpSteelGrades[fy],MATCH(1,(Table8[[#This Row],[Grade]]=tbllkpSteelGrades[Grade])*(Table8[[#This Row],[tw]]&lt;=tbllkpSteelGrades[Thickness]),0))</f>
        <v>400000000</v>
      </c>
      <c r="AD39" s="17">
        <f t="array" ref="AD39">INDEX(tbllkpSteelGrades[fy],MATCH(1,(Table8[[#This Row],[Grade]]=tbllkpSteelGrades[Grade])*(Table8[[#This Row],[tf]]&lt;=tbllkpSteelGrades[Thickness]),0))</f>
        <v>360000000</v>
      </c>
      <c r="AE39" s="17">
        <f>MIN(Table8[[#This Row],[fy_web]],Table8[[#This Row],[fy_flange]])</f>
        <v>360000000</v>
      </c>
      <c r="AF39" s="17">
        <f t="array" ref="AF39">INDEX(tbllkpSteelGrades[fu],MATCH(1,(Table8[[#This Row],[Grade]]=tbllkpSteelGrades[Grade])*(Table8[[#This Row],[tw]]&lt;=tbllkpSteelGrades[Thickness]),0))</f>
        <v>480000000</v>
      </c>
      <c r="AG39" s="18">
        <f>IF(Table8[[#This Row],[Fabrication Type]]="Welded",Table8[[#This Row],[d1]],Table8[[#This Row],[d]])*Table8[[#This Row],[tw]]</f>
        <v>1.0319999999999999E-2</v>
      </c>
      <c r="AH39" s="11">
        <f>Table8[[#This Row],[Aw]]*Table8[[#This Row],[fy_web]]*0.6</f>
        <v>2476799.9999999995</v>
      </c>
      <c r="AI39" s="35">
        <f>82/SQRT(Table8[[#This Row],[fy_web]]/250000000)</f>
        <v>64.826692033451778</v>
      </c>
      <c r="AJ39" s="36">
        <f>IF((Table8[[#This Row],[d1]]/Table8[[#This Row],[tw]])&gt;Table8[[#This Row],[limiting web slenderness]],(82/((Table8[[#This Row],[d1]]/Table8[[#This Row],[tw]])*SQRT(Table8[[#This Row],[fy_web]]/250000000)))^2,1)</f>
        <v>0.81822606814494325</v>
      </c>
      <c r="AK39" s="38">
        <f>IF(Table8[[#This Row],[Fabrication Type]]="Welded",IF(Table8[[#This Row],[tw]]&gt;0.016,0.016*Table8[[#This Row],[fu]],Table8[[#This Row],[tw]]*Table8[[#This Row],[fu]]),"")</f>
        <v>5760000</v>
      </c>
      <c r="AL39" s="13">
        <f>Table8[[#This Row],[d]]-Table8[[#This Row],[tf]]</f>
        <v>0.88500000000000001</v>
      </c>
      <c r="AM39" s="39">
        <f>Table8[[#This Row],[bf]]*Table8[[#This Row],[tf]]*(Table8[[#This Row],[df]]/2)</f>
        <v>3.8718749999999994E-3</v>
      </c>
      <c r="AN39" s="11">
        <f>IF(Table8[[#This Row],[Fabrication Type]]="Welded",Table8[[#This Row],[vw]]*Table8[[#This Row],[Ix]]/Table8[[#This Row],[Qflange]],"")</f>
        <v>6039864.4067796627</v>
      </c>
      <c r="AO39" s="11">
        <f>Table8[[#This Row],[tw]]*MIN(Table8[[#This Row],[fy_web]], Table8[[#This Row],[fy_flange]])*0.6*Table8[[#This Row],[Ix]]/Table8[[#This Row],[Qflange]]</f>
        <v>2717938.9830508479</v>
      </c>
      <c r="AP39" s="50">
        <f ca="1">INDEX(tbllkpkt[kt],MATCH(RANDBETWEEN(1,4),tbllkpkt[Index],0))</f>
        <v>0.9</v>
      </c>
      <c r="AQ39" s="48">
        <f t="shared" ca="1" si="1"/>
        <v>0.9</v>
      </c>
      <c r="AR39" s="18">
        <f ca="1">Table8[[#This Row],[Ag]]*Table8[[#This Row],[Deduction_for_An]]</f>
        <v>2.5020000000000001E-2</v>
      </c>
      <c r="AS39" s="11">
        <f>Table8[[#This Row],[fy]]*Table8[[#This Row],[Ag]]</f>
        <v>10008000</v>
      </c>
      <c r="AT39" s="11">
        <f ca="1">Table8[[#This Row],[αu]]*Table8[[#This Row],[kt]]*Table8[[#This Row],[An]]*Table8[[#This Row],[fu]]</f>
        <v>9187344.0000000019</v>
      </c>
      <c r="AU39" s="11">
        <f ca="1">MIN(Table8[[#This Row],[Nty]],Table8[[#This Row],[Ntu]])</f>
        <v>9187344.0000000019</v>
      </c>
    </row>
    <row r="40" spans="2:47" x14ac:dyDescent="0.25">
      <c r="B40" s="15" t="str">
        <f>Table8[[#This Row],[Section]]&amp;"-"&amp;TEXT(Table8[[#This Row],[Grade]],"0")</f>
        <v>900WB175-400</v>
      </c>
      <c r="C40" s="3" t="s">
        <v>28</v>
      </c>
      <c r="D40" s="3">
        <v>400</v>
      </c>
      <c r="E40" s="3" t="s">
        <v>12</v>
      </c>
      <c r="F40" s="4">
        <v>175</v>
      </c>
      <c r="G40" s="3" t="s">
        <v>13</v>
      </c>
      <c r="H40" s="3" t="s">
        <v>14</v>
      </c>
      <c r="I40" s="5">
        <v>0.9</v>
      </c>
      <c r="J40" s="5">
        <v>0.3</v>
      </c>
      <c r="K40" s="5">
        <v>0.02</v>
      </c>
      <c r="L40" s="5">
        <v>1.2E-2</v>
      </c>
      <c r="M40" s="5" t="s">
        <v>107</v>
      </c>
      <c r="N40" s="5">
        <v>0.86</v>
      </c>
      <c r="O40" s="6">
        <v>71.666666666666657</v>
      </c>
      <c r="P40" s="6">
        <v>7.1999999999999993</v>
      </c>
      <c r="Q40" s="7">
        <v>2.23E-2</v>
      </c>
      <c r="R40" s="8">
        <v>2.96E-3</v>
      </c>
      <c r="S40" s="9">
        <v>6.5799999999999999E-3</v>
      </c>
      <c r="T40" s="9">
        <v>7.4999999999999997E-3</v>
      </c>
      <c r="U40" s="5">
        <v>0.36399999999999999</v>
      </c>
      <c r="V40" s="8">
        <v>9.0099999999999995E-5</v>
      </c>
      <c r="W40" s="9">
        <v>6.0099999999999997E-4</v>
      </c>
      <c r="X40" s="9">
        <v>9.3099999999999997E-4</v>
      </c>
      <c r="Y40" s="5">
        <v>0.36399999999999999</v>
      </c>
      <c r="Z40" s="8">
        <v>2.0600000000000002E-6</v>
      </c>
      <c r="AA40" s="10">
        <v>1.7399999999999999E-5</v>
      </c>
      <c r="AB40" s="45">
        <v>0.85</v>
      </c>
      <c r="AC40" s="17">
        <f t="array" ref="AC40">INDEX(tbllkpSteelGrades[fy],MATCH(1,(Table8[[#This Row],[Grade]]=tbllkpSteelGrades[Grade])*(Table8[[#This Row],[tw]]&lt;=tbllkpSteelGrades[Thickness]),0))</f>
        <v>400000000</v>
      </c>
      <c r="AD40" s="17">
        <f t="array" ref="AD40">INDEX(tbllkpSteelGrades[fy],MATCH(1,(Table8[[#This Row],[Grade]]=tbllkpSteelGrades[Grade])*(Table8[[#This Row],[tf]]&lt;=tbllkpSteelGrades[Thickness]),0))</f>
        <v>380000000</v>
      </c>
      <c r="AE40" s="17">
        <f>MIN(Table8[[#This Row],[fy_web]],Table8[[#This Row],[fy_flange]])</f>
        <v>380000000</v>
      </c>
      <c r="AF40" s="17">
        <f t="array" ref="AF40">INDEX(tbllkpSteelGrades[fu],MATCH(1,(Table8[[#This Row],[Grade]]=tbllkpSteelGrades[Grade])*(Table8[[#This Row],[tw]]&lt;=tbllkpSteelGrades[Thickness]),0))</f>
        <v>480000000</v>
      </c>
      <c r="AG40" s="18">
        <f>IF(Table8[[#This Row],[Fabrication Type]]="Welded",Table8[[#This Row],[d1]],Table8[[#This Row],[d]])*Table8[[#This Row],[tw]]</f>
        <v>1.0319999999999999E-2</v>
      </c>
      <c r="AH40" s="11">
        <f>Table8[[#This Row],[Aw]]*Table8[[#This Row],[fy_web]]*0.6</f>
        <v>2476799.9999999995</v>
      </c>
      <c r="AI40" s="35">
        <f>82/SQRT(Table8[[#This Row],[fy_web]]/250000000)</f>
        <v>64.826692033451778</v>
      </c>
      <c r="AJ40" s="36">
        <f>IF((Table8[[#This Row],[d1]]/Table8[[#This Row],[tw]])&gt;Table8[[#This Row],[limiting web slenderness]],(82/((Table8[[#This Row],[d1]]/Table8[[#This Row],[tw]])*SQRT(Table8[[#This Row],[fy_web]]/250000000)))^2,1)</f>
        <v>0.81822606814494325</v>
      </c>
      <c r="AK40" s="38">
        <f>IF(Table8[[#This Row],[Fabrication Type]]="Welded",IF(Table8[[#This Row],[tw]]&gt;0.016,0.016*Table8[[#This Row],[fu]],Table8[[#This Row],[tw]]*Table8[[#This Row],[fu]]),"")</f>
        <v>5760000</v>
      </c>
      <c r="AL40" s="13">
        <f>Table8[[#This Row],[d]]-Table8[[#This Row],[tf]]</f>
        <v>0.88</v>
      </c>
      <c r="AM40" s="39">
        <f>Table8[[#This Row],[bf]]*Table8[[#This Row],[tf]]*(Table8[[#This Row],[df]]/2)</f>
        <v>2.64E-3</v>
      </c>
      <c r="AN40" s="11">
        <f>IF(Table8[[#This Row],[Fabrication Type]]="Welded",Table8[[#This Row],[vw]]*Table8[[#This Row],[Ix]]/Table8[[#This Row],[Qflange]],"")</f>
        <v>6458181.8181818174</v>
      </c>
      <c r="AO40" s="11">
        <f>Table8[[#This Row],[tw]]*MIN(Table8[[#This Row],[fy_web]], Table8[[#This Row],[fy_flange]])*0.6*Table8[[#This Row],[Ix]]/Table8[[#This Row],[Qflange]]</f>
        <v>3067636.3636363633</v>
      </c>
      <c r="AP40" s="50">
        <f ca="1">INDEX(tbllkpkt[kt],MATCH(RANDBETWEEN(1,4),tbllkpkt[Index],0))</f>
        <v>1</v>
      </c>
      <c r="AQ40" s="48">
        <f t="shared" ca="1" si="1"/>
        <v>0.92</v>
      </c>
      <c r="AR40" s="18">
        <f ca="1">Table8[[#This Row],[Ag]]*Table8[[#This Row],[Deduction_for_An]]</f>
        <v>2.0516E-2</v>
      </c>
      <c r="AS40" s="11">
        <f>Table8[[#This Row],[fy]]*Table8[[#This Row],[Ag]]</f>
        <v>8474000</v>
      </c>
      <c r="AT40" s="11">
        <f ca="1">Table8[[#This Row],[αu]]*Table8[[#This Row],[kt]]*Table8[[#This Row],[An]]*Table8[[#This Row],[fu]]</f>
        <v>8370527.9999999991</v>
      </c>
      <c r="AU40" s="11">
        <f ca="1">MIN(Table8[[#This Row],[Nty]],Table8[[#This Row],[Ntu]])</f>
        <v>8370527.9999999991</v>
      </c>
    </row>
    <row r="41" spans="2:47" x14ac:dyDescent="0.25">
      <c r="B41" s="15" t="str">
        <f>Table8[[#This Row],[Section]]&amp;"-"&amp;TEXT(Table8[[#This Row],[Grade]],"0")</f>
        <v>800WB192-400</v>
      </c>
      <c r="C41" s="3" t="s">
        <v>29</v>
      </c>
      <c r="D41" s="3">
        <v>400</v>
      </c>
      <c r="E41" s="3" t="s">
        <v>12</v>
      </c>
      <c r="F41" s="4">
        <v>192</v>
      </c>
      <c r="G41" s="3" t="s">
        <v>13</v>
      </c>
      <c r="H41" s="3" t="s">
        <v>14</v>
      </c>
      <c r="I41" s="5">
        <v>0.81599999999999995</v>
      </c>
      <c r="J41" s="5">
        <v>0.3</v>
      </c>
      <c r="K41" s="5">
        <v>2.8000000000000001E-2</v>
      </c>
      <c r="L41" s="5">
        <v>0.01</v>
      </c>
      <c r="M41" s="5" t="s">
        <v>107</v>
      </c>
      <c r="N41" s="5">
        <v>0.7599999999999999</v>
      </c>
      <c r="O41" s="6">
        <v>75.999999999999986</v>
      </c>
      <c r="P41" s="6">
        <v>5.1785714285714279</v>
      </c>
      <c r="Q41" s="7">
        <v>2.4400000000000002E-2</v>
      </c>
      <c r="R41" s="8">
        <v>2.97E-3</v>
      </c>
      <c r="S41" s="9">
        <v>7.2899999999999996E-3</v>
      </c>
      <c r="T41" s="9">
        <v>8.0599999999999995E-3</v>
      </c>
      <c r="U41" s="5">
        <v>0.34899999999999998</v>
      </c>
      <c r="V41" s="8">
        <v>1.26E-4</v>
      </c>
      <c r="W41" s="9">
        <v>8.4000000000000003E-4</v>
      </c>
      <c r="X41" s="9">
        <v>1.2800000000000001E-3</v>
      </c>
      <c r="Y41" s="5">
        <v>0.34899999999999998</v>
      </c>
      <c r="Z41" s="8">
        <v>4.42E-6</v>
      </c>
      <c r="AA41" s="10">
        <v>1.9599999999999999E-5</v>
      </c>
      <c r="AB41" s="45">
        <v>0.85</v>
      </c>
      <c r="AC41" s="17">
        <f t="array" ref="AC41">INDEX(tbllkpSteelGrades[fy],MATCH(1,(Table8[[#This Row],[Grade]]=tbllkpSteelGrades[Grade])*(Table8[[#This Row],[tw]]&lt;=tbllkpSteelGrades[Thickness]),0))</f>
        <v>400000000</v>
      </c>
      <c r="AD41" s="17">
        <f t="array" ref="AD41">INDEX(tbllkpSteelGrades[fy],MATCH(1,(Table8[[#This Row],[Grade]]=tbllkpSteelGrades[Grade])*(Table8[[#This Row],[tf]]&lt;=tbllkpSteelGrades[Thickness]),0))</f>
        <v>360000000</v>
      </c>
      <c r="AE41" s="17">
        <f>MIN(Table8[[#This Row],[fy_web]],Table8[[#This Row],[fy_flange]])</f>
        <v>360000000</v>
      </c>
      <c r="AF41" s="17">
        <f t="array" ref="AF41">INDEX(tbllkpSteelGrades[fu],MATCH(1,(Table8[[#This Row],[Grade]]=tbllkpSteelGrades[Grade])*(Table8[[#This Row],[tw]]&lt;=tbllkpSteelGrades[Thickness]),0))</f>
        <v>480000000</v>
      </c>
      <c r="AG41" s="18">
        <f>IF(Table8[[#This Row],[Fabrication Type]]="Welded",Table8[[#This Row],[d1]],Table8[[#This Row],[d]])*Table8[[#This Row],[tw]]</f>
        <v>7.5999999999999991E-3</v>
      </c>
      <c r="AH41" s="11">
        <f>Table8[[#This Row],[Aw]]*Table8[[#This Row],[fy_web]]*0.6</f>
        <v>1823999.9999999998</v>
      </c>
      <c r="AI41" s="35">
        <f>82/SQRT(Table8[[#This Row],[fy_web]]/250000000)</f>
        <v>64.826692033451778</v>
      </c>
      <c r="AJ41" s="36">
        <f>IF((Table8[[#This Row],[d1]]/Table8[[#This Row],[tw]])&gt;Table8[[#This Row],[limiting web slenderness]],(82/((Table8[[#This Row],[d1]]/Table8[[#This Row],[tw]])*SQRT(Table8[[#This Row],[fy_web]]/250000000)))^2,1)</f>
        <v>0.72757963988919683</v>
      </c>
      <c r="AK41" s="38">
        <f>IF(Table8[[#This Row],[Fabrication Type]]="Welded",IF(Table8[[#This Row],[tw]]&gt;0.016,0.016*Table8[[#This Row],[fu]],Table8[[#This Row],[tw]]*Table8[[#This Row],[fu]]),"")</f>
        <v>4800000</v>
      </c>
      <c r="AL41" s="13">
        <f>Table8[[#This Row],[d]]-Table8[[#This Row],[tf]]</f>
        <v>0.78799999999999992</v>
      </c>
      <c r="AM41" s="39">
        <f>Table8[[#This Row],[bf]]*Table8[[#This Row],[tf]]*(Table8[[#This Row],[df]]/2)</f>
        <v>3.3095999999999993E-3</v>
      </c>
      <c r="AN41" s="11">
        <f>IF(Table8[[#This Row],[Fabrication Type]]="Welded",Table8[[#This Row],[vw]]*Table8[[#This Row],[Ix]]/Table8[[#This Row],[Qflange]],"")</f>
        <v>4307469.1805656282</v>
      </c>
      <c r="AO41" s="11">
        <f>Table8[[#This Row],[tw]]*MIN(Table8[[#This Row],[fy_web]], Table8[[#This Row],[fy_flange]])*0.6*Table8[[#This Row],[Ix]]/Table8[[#This Row],[Qflange]]</f>
        <v>1938361.1312545326</v>
      </c>
      <c r="AP41" s="50">
        <f ca="1">INDEX(tbllkpkt[kt],MATCH(RANDBETWEEN(1,4),tbllkpkt[Index],0))</f>
        <v>0.75</v>
      </c>
      <c r="AQ41" s="48">
        <f t="shared" ca="1" si="1"/>
        <v>0.98</v>
      </c>
      <c r="AR41" s="18">
        <f ca="1">Table8[[#This Row],[Ag]]*Table8[[#This Row],[Deduction_for_An]]</f>
        <v>2.3912000000000003E-2</v>
      </c>
      <c r="AS41" s="11">
        <f>Table8[[#This Row],[fy]]*Table8[[#This Row],[Ag]]</f>
        <v>8784000</v>
      </c>
      <c r="AT41" s="11">
        <f ca="1">Table8[[#This Row],[αu]]*Table8[[#This Row],[kt]]*Table8[[#This Row],[An]]*Table8[[#This Row],[fu]]</f>
        <v>7317072.0000000009</v>
      </c>
      <c r="AU41" s="11">
        <f ca="1">MIN(Table8[[#This Row],[Nty]],Table8[[#This Row],[Ntu]])</f>
        <v>7317072.0000000009</v>
      </c>
    </row>
    <row r="42" spans="2:47" x14ac:dyDescent="0.25">
      <c r="B42" s="15" t="str">
        <f>Table8[[#This Row],[Section]]&amp;"-"&amp;TEXT(Table8[[#This Row],[Grade]],"0")</f>
        <v>800WB168-400</v>
      </c>
      <c r="C42" s="3" t="s">
        <v>30</v>
      </c>
      <c r="D42" s="3">
        <v>400</v>
      </c>
      <c r="E42" s="3" t="s">
        <v>12</v>
      </c>
      <c r="F42" s="4">
        <v>168</v>
      </c>
      <c r="G42" s="3" t="s">
        <v>13</v>
      </c>
      <c r="H42" s="3" t="s">
        <v>14</v>
      </c>
      <c r="I42" s="5">
        <v>0.81</v>
      </c>
      <c r="J42" s="5">
        <v>0.27500000000000002</v>
      </c>
      <c r="K42" s="5">
        <v>2.5000000000000001E-2</v>
      </c>
      <c r="L42" s="5">
        <v>0.01</v>
      </c>
      <c r="M42" s="5" t="s">
        <v>107</v>
      </c>
      <c r="N42" s="5">
        <v>0.76</v>
      </c>
      <c r="O42" s="6">
        <v>76</v>
      </c>
      <c r="P42" s="6">
        <v>5.3</v>
      </c>
      <c r="Q42" s="7">
        <v>2.1399999999999999E-2</v>
      </c>
      <c r="R42" s="8">
        <v>2.48E-3</v>
      </c>
      <c r="S42" s="9">
        <v>6.1399999999999996E-3</v>
      </c>
      <c r="T42" s="9">
        <v>6.8399999999999997E-3</v>
      </c>
      <c r="U42" s="5">
        <v>0.34100000000000003</v>
      </c>
      <c r="V42" s="8">
        <v>8.6700000000000007E-5</v>
      </c>
      <c r="W42" s="9">
        <v>6.3100000000000005E-4</v>
      </c>
      <c r="X42" s="9">
        <v>9.6400000000000001E-4</v>
      </c>
      <c r="Y42" s="5">
        <v>0.34100000000000003</v>
      </c>
      <c r="Z42" s="8">
        <v>2.9900000000000002E-6</v>
      </c>
      <c r="AA42" s="10">
        <v>1.34E-5</v>
      </c>
      <c r="AB42" s="45">
        <v>0.85</v>
      </c>
      <c r="AC42" s="17">
        <f t="array" ref="AC42">INDEX(tbllkpSteelGrades[fy],MATCH(1,(Table8[[#This Row],[Grade]]=tbllkpSteelGrades[Grade])*(Table8[[#This Row],[tw]]&lt;=tbllkpSteelGrades[Thickness]),0))</f>
        <v>400000000</v>
      </c>
      <c r="AD42" s="17">
        <f t="array" ref="AD42">INDEX(tbllkpSteelGrades[fy],MATCH(1,(Table8[[#This Row],[Grade]]=tbllkpSteelGrades[Grade])*(Table8[[#This Row],[tf]]&lt;=tbllkpSteelGrades[Thickness]),0))</f>
        <v>360000000</v>
      </c>
      <c r="AE42" s="17">
        <f>MIN(Table8[[#This Row],[fy_web]],Table8[[#This Row],[fy_flange]])</f>
        <v>360000000</v>
      </c>
      <c r="AF42" s="17">
        <f t="array" ref="AF42">INDEX(tbllkpSteelGrades[fu],MATCH(1,(Table8[[#This Row],[Grade]]=tbllkpSteelGrades[Grade])*(Table8[[#This Row],[tw]]&lt;=tbllkpSteelGrades[Thickness]),0))</f>
        <v>480000000</v>
      </c>
      <c r="AG42" s="18">
        <f>IF(Table8[[#This Row],[Fabrication Type]]="Welded",Table8[[#This Row],[d1]],Table8[[#This Row],[d]])*Table8[[#This Row],[tw]]</f>
        <v>7.6E-3</v>
      </c>
      <c r="AH42" s="11">
        <f>Table8[[#This Row],[Aw]]*Table8[[#This Row],[fy_web]]*0.6</f>
        <v>1824000</v>
      </c>
      <c r="AI42" s="35">
        <f>82/SQRT(Table8[[#This Row],[fy_web]]/250000000)</f>
        <v>64.826692033451778</v>
      </c>
      <c r="AJ42" s="36">
        <f>IF((Table8[[#This Row],[d1]]/Table8[[#This Row],[tw]])&gt;Table8[[#This Row],[limiting web slenderness]],(82/((Table8[[#This Row],[d1]]/Table8[[#This Row],[tw]])*SQRT(Table8[[#This Row],[fy_web]]/250000000)))^2,1)</f>
        <v>0.72757963988919661</v>
      </c>
      <c r="AK42" s="38">
        <f>IF(Table8[[#This Row],[Fabrication Type]]="Welded",IF(Table8[[#This Row],[tw]]&gt;0.016,0.016*Table8[[#This Row],[fu]],Table8[[#This Row],[tw]]*Table8[[#This Row],[fu]]),"")</f>
        <v>4800000</v>
      </c>
      <c r="AL42" s="13">
        <f>Table8[[#This Row],[d]]-Table8[[#This Row],[tf]]</f>
        <v>0.78500000000000003</v>
      </c>
      <c r="AM42" s="39">
        <f>Table8[[#This Row],[bf]]*Table8[[#This Row],[tf]]*(Table8[[#This Row],[df]]/2)</f>
        <v>2.6984375000000003E-3</v>
      </c>
      <c r="AN42" s="11">
        <f>IF(Table8[[#This Row],[Fabrication Type]]="Welded",Table8[[#This Row],[vw]]*Table8[[#This Row],[Ix]]/Table8[[#This Row],[Qflange]],"")</f>
        <v>4411441.8066010419</v>
      </c>
      <c r="AO42" s="11">
        <f>Table8[[#This Row],[tw]]*MIN(Table8[[#This Row],[fy_web]], Table8[[#This Row],[fy_flange]])*0.6*Table8[[#This Row],[Ix]]/Table8[[#This Row],[Qflange]]</f>
        <v>1985148.8129704688</v>
      </c>
      <c r="AP42" s="50">
        <f ca="1">INDEX(tbllkpkt[kt],MATCH(RANDBETWEEN(1,4),tbllkpkt[Index],0))</f>
        <v>0.9</v>
      </c>
      <c r="AQ42" s="48">
        <f t="shared" ca="1" si="1"/>
        <v>0.9</v>
      </c>
      <c r="AR42" s="18">
        <f ca="1">Table8[[#This Row],[Ag]]*Table8[[#This Row],[Deduction_for_An]]</f>
        <v>1.9259999999999999E-2</v>
      </c>
      <c r="AS42" s="11">
        <f>Table8[[#This Row],[fy]]*Table8[[#This Row],[Ag]]</f>
        <v>7704000</v>
      </c>
      <c r="AT42" s="11">
        <f ca="1">Table8[[#This Row],[αu]]*Table8[[#This Row],[kt]]*Table8[[#This Row],[An]]*Table8[[#This Row],[fu]]</f>
        <v>7072272</v>
      </c>
      <c r="AU42" s="11">
        <f ca="1">MIN(Table8[[#This Row],[Nty]],Table8[[#This Row],[Ntu]])</f>
        <v>7072272</v>
      </c>
    </row>
    <row r="43" spans="2:47" x14ac:dyDescent="0.25">
      <c r="B43" s="15" t="str">
        <f>Table8[[#This Row],[Section]]&amp;"-"&amp;TEXT(Table8[[#This Row],[Grade]],"0")</f>
        <v>800WB146-400</v>
      </c>
      <c r="C43" s="3" t="s">
        <v>31</v>
      </c>
      <c r="D43" s="3">
        <v>400</v>
      </c>
      <c r="E43" s="3" t="s">
        <v>12</v>
      </c>
      <c r="F43" s="4">
        <v>146</v>
      </c>
      <c r="G43" s="3" t="s">
        <v>13</v>
      </c>
      <c r="H43" s="3" t="s">
        <v>14</v>
      </c>
      <c r="I43" s="5">
        <v>0.8</v>
      </c>
      <c r="J43" s="5">
        <v>0.27500000000000002</v>
      </c>
      <c r="K43" s="5">
        <v>0.02</v>
      </c>
      <c r="L43" s="5">
        <v>0.01</v>
      </c>
      <c r="M43" s="5" t="s">
        <v>107</v>
      </c>
      <c r="N43" s="5">
        <v>0.76</v>
      </c>
      <c r="O43" s="6">
        <v>76</v>
      </c>
      <c r="P43" s="6">
        <v>6.625</v>
      </c>
      <c r="Q43" s="7">
        <v>1.8599999999999998E-2</v>
      </c>
      <c r="R43" s="8">
        <v>2.0400000000000001E-3</v>
      </c>
      <c r="S43" s="9">
        <v>5.1000000000000004E-3</v>
      </c>
      <c r="T43" s="9">
        <v>5.7299999999999999E-3</v>
      </c>
      <c r="U43" s="5">
        <v>0.33100000000000002</v>
      </c>
      <c r="V43" s="8">
        <v>6.9400000000000006E-5</v>
      </c>
      <c r="W43" s="9">
        <v>5.0500000000000002E-4</v>
      </c>
      <c r="X43" s="9">
        <v>7.7499999999999997E-4</v>
      </c>
      <c r="Y43" s="5">
        <v>0.33100000000000002</v>
      </c>
      <c r="Z43" s="8">
        <v>1.6700000000000001E-6</v>
      </c>
      <c r="AA43" s="10">
        <v>1.06E-5</v>
      </c>
      <c r="AB43" s="45">
        <v>0.85</v>
      </c>
      <c r="AC43" s="17">
        <f t="array" ref="AC43">INDEX(tbllkpSteelGrades[fy],MATCH(1,(Table8[[#This Row],[Grade]]=tbllkpSteelGrades[Grade])*(Table8[[#This Row],[tw]]&lt;=tbllkpSteelGrades[Thickness]),0))</f>
        <v>400000000</v>
      </c>
      <c r="AD43" s="17">
        <f t="array" ref="AD43">INDEX(tbllkpSteelGrades[fy],MATCH(1,(Table8[[#This Row],[Grade]]=tbllkpSteelGrades[Grade])*(Table8[[#This Row],[tf]]&lt;=tbllkpSteelGrades[Thickness]),0))</f>
        <v>380000000</v>
      </c>
      <c r="AE43" s="17">
        <f>MIN(Table8[[#This Row],[fy_web]],Table8[[#This Row],[fy_flange]])</f>
        <v>380000000</v>
      </c>
      <c r="AF43" s="17">
        <f t="array" ref="AF43">INDEX(tbllkpSteelGrades[fu],MATCH(1,(Table8[[#This Row],[Grade]]=tbllkpSteelGrades[Grade])*(Table8[[#This Row],[tw]]&lt;=tbllkpSteelGrades[Thickness]),0))</f>
        <v>480000000</v>
      </c>
      <c r="AG43" s="18">
        <f>IF(Table8[[#This Row],[Fabrication Type]]="Welded",Table8[[#This Row],[d1]],Table8[[#This Row],[d]])*Table8[[#This Row],[tw]]</f>
        <v>7.6E-3</v>
      </c>
      <c r="AH43" s="11">
        <f>Table8[[#This Row],[Aw]]*Table8[[#This Row],[fy_web]]*0.6</f>
        <v>1824000</v>
      </c>
      <c r="AI43" s="35">
        <f>82/SQRT(Table8[[#This Row],[fy_web]]/250000000)</f>
        <v>64.826692033451778</v>
      </c>
      <c r="AJ43" s="36">
        <f>IF((Table8[[#This Row],[d1]]/Table8[[#This Row],[tw]])&gt;Table8[[#This Row],[limiting web slenderness]],(82/((Table8[[#This Row],[d1]]/Table8[[#This Row],[tw]])*SQRT(Table8[[#This Row],[fy_web]]/250000000)))^2,1)</f>
        <v>0.72757963988919661</v>
      </c>
      <c r="AK43" s="38">
        <f>IF(Table8[[#This Row],[Fabrication Type]]="Welded",IF(Table8[[#This Row],[tw]]&gt;0.016,0.016*Table8[[#This Row],[fu]],Table8[[#This Row],[tw]]*Table8[[#This Row],[fu]]),"")</f>
        <v>4800000</v>
      </c>
      <c r="AL43" s="13">
        <f>Table8[[#This Row],[d]]-Table8[[#This Row],[tf]]</f>
        <v>0.78</v>
      </c>
      <c r="AM43" s="39">
        <f>Table8[[#This Row],[bf]]*Table8[[#This Row],[tf]]*(Table8[[#This Row],[df]]/2)</f>
        <v>2.1450000000000002E-3</v>
      </c>
      <c r="AN43" s="11">
        <f>IF(Table8[[#This Row],[Fabrication Type]]="Welded",Table8[[#This Row],[vw]]*Table8[[#This Row],[Ix]]/Table8[[#This Row],[Qflange]],"")</f>
        <v>4565034.9650349645</v>
      </c>
      <c r="AO43" s="11">
        <f>Table8[[#This Row],[tw]]*MIN(Table8[[#This Row],[fy_web]], Table8[[#This Row],[fy_flange]])*0.6*Table8[[#This Row],[Ix]]/Table8[[#This Row],[Qflange]]</f>
        <v>2168391.6083916086</v>
      </c>
      <c r="AP43" s="50">
        <f ca="1">INDEX(tbllkpkt[kt],MATCH(RANDBETWEEN(1,4),tbllkpkt[Index],0))</f>
        <v>0.9</v>
      </c>
      <c r="AQ43" s="48">
        <f t="shared" ca="1" si="1"/>
        <v>0.97</v>
      </c>
      <c r="AR43" s="18">
        <f ca="1">Table8[[#This Row],[Ag]]*Table8[[#This Row],[Deduction_for_An]]</f>
        <v>1.8041999999999999E-2</v>
      </c>
      <c r="AS43" s="11">
        <f>Table8[[#This Row],[fy]]*Table8[[#This Row],[Ag]]</f>
        <v>7067999.9999999991</v>
      </c>
      <c r="AT43" s="11">
        <f ca="1">Table8[[#This Row],[αu]]*Table8[[#This Row],[kt]]*Table8[[#This Row],[An]]*Table8[[#This Row],[fu]]</f>
        <v>6625022.3999999994</v>
      </c>
      <c r="AU43" s="11">
        <f ca="1">MIN(Table8[[#This Row],[Nty]],Table8[[#This Row],[Ntu]])</f>
        <v>6625022.3999999994</v>
      </c>
    </row>
    <row r="44" spans="2:47" x14ac:dyDescent="0.25">
      <c r="B44" s="15" t="str">
        <f>Table8[[#This Row],[Section]]&amp;"-"&amp;TEXT(Table8[[#This Row],[Grade]],"0")</f>
        <v>800WB122-400</v>
      </c>
      <c r="C44" s="3" t="s">
        <v>32</v>
      </c>
      <c r="D44" s="3">
        <v>400</v>
      </c>
      <c r="E44" s="3" t="s">
        <v>12</v>
      </c>
      <c r="F44" s="4">
        <v>122</v>
      </c>
      <c r="G44" s="3" t="s">
        <v>13</v>
      </c>
      <c r="H44" s="3" t="s">
        <v>14</v>
      </c>
      <c r="I44" s="5">
        <v>0.79200000000000004</v>
      </c>
      <c r="J44" s="5">
        <v>0.25</v>
      </c>
      <c r="K44" s="5">
        <v>1.6E-2</v>
      </c>
      <c r="L44" s="5">
        <v>0.01</v>
      </c>
      <c r="M44" s="5" t="s">
        <v>107</v>
      </c>
      <c r="N44" s="5">
        <v>0.76</v>
      </c>
      <c r="O44" s="6">
        <v>76</v>
      </c>
      <c r="P44" s="6">
        <v>7.5</v>
      </c>
      <c r="Q44" s="7">
        <v>1.5599999999999999E-2</v>
      </c>
      <c r="R44" s="8">
        <v>1.57E-3</v>
      </c>
      <c r="S44" s="9">
        <v>3.9699999999999996E-3</v>
      </c>
      <c r="T44" s="9">
        <v>4.5500000000000002E-3</v>
      </c>
      <c r="U44" s="5">
        <v>0.317</v>
      </c>
      <c r="V44" s="8">
        <v>4.1699999999999997E-5</v>
      </c>
      <c r="W44" s="9">
        <v>3.3399999999999999E-4</v>
      </c>
      <c r="X44" s="9">
        <v>5.1900000000000004E-4</v>
      </c>
      <c r="Y44" s="5">
        <v>0.317</v>
      </c>
      <c r="Z44" s="8">
        <v>9.2099999999999995E-7</v>
      </c>
      <c r="AA44" s="10">
        <v>6.28E-6</v>
      </c>
      <c r="AB44" s="45">
        <v>0.85</v>
      </c>
      <c r="AC44" s="17">
        <f t="array" ref="AC44">INDEX(tbllkpSteelGrades[fy],MATCH(1,(Table8[[#This Row],[Grade]]=tbllkpSteelGrades[Grade])*(Table8[[#This Row],[tw]]&lt;=tbllkpSteelGrades[Thickness]),0))</f>
        <v>400000000</v>
      </c>
      <c r="AD44" s="17">
        <f t="array" ref="AD44">INDEX(tbllkpSteelGrades[fy],MATCH(1,(Table8[[#This Row],[Grade]]=tbllkpSteelGrades[Grade])*(Table8[[#This Row],[tf]]&lt;=tbllkpSteelGrades[Thickness]),0))</f>
        <v>380000000</v>
      </c>
      <c r="AE44" s="17">
        <f>MIN(Table8[[#This Row],[fy_web]],Table8[[#This Row],[fy_flange]])</f>
        <v>380000000</v>
      </c>
      <c r="AF44" s="17">
        <f t="array" ref="AF44">INDEX(tbllkpSteelGrades[fu],MATCH(1,(Table8[[#This Row],[Grade]]=tbllkpSteelGrades[Grade])*(Table8[[#This Row],[tw]]&lt;=tbllkpSteelGrades[Thickness]),0))</f>
        <v>480000000</v>
      </c>
      <c r="AG44" s="18">
        <f>IF(Table8[[#This Row],[Fabrication Type]]="Welded",Table8[[#This Row],[d1]],Table8[[#This Row],[d]])*Table8[[#This Row],[tw]]</f>
        <v>7.6E-3</v>
      </c>
      <c r="AH44" s="11">
        <f>Table8[[#This Row],[Aw]]*Table8[[#This Row],[fy_web]]*0.6</f>
        <v>1824000</v>
      </c>
      <c r="AI44" s="35">
        <f>82/SQRT(Table8[[#This Row],[fy_web]]/250000000)</f>
        <v>64.826692033451778</v>
      </c>
      <c r="AJ44" s="36">
        <f>IF((Table8[[#This Row],[d1]]/Table8[[#This Row],[tw]])&gt;Table8[[#This Row],[limiting web slenderness]],(82/((Table8[[#This Row],[d1]]/Table8[[#This Row],[tw]])*SQRT(Table8[[#This Row],[fy_web]]/250000000)))^2,1)</f>
        <v>0.72757963988919661</v>
      </c>
      <c r="AK44" s="38">
        <f>IF(Table8[[#This Row],[Fabrication Type]]="Welded",IF(Table8[[#This Row],[tw]]&gt;0.016,0.016*Table8[[#This Row],[fu]],Table8[[#This Row],[tw]]*Table8[[#This Row],[fu]]),"")</f>
        <v>4800000</v>
      </c>
      <c r="AL44" s="13">
        <f>Table8[[#This Row],[d]]-Table8[[#This Row],[tf]]</f>
        <v>0.77600000000000002</v>
      </c>
      <c r="AM44" s="39">
        <f>Table8[[#This Row],[bf]]*Table8[[#This Row],[tf]]*(Table8[[#This Row],[df]]/2)</f>
        <v>1.552E-3</v>
      </c>
      <c r="AN44" s="11">
        <f>IF(Table8[[#This Row],[Fabrication Type]]="Welded",Table8[[#This Row],[vw]]*Table8[[#This Row],[Ix]]/Table8[[#This Row],[Qflange]],"")</f>
        <v>4855670.1030927831</v>
      </c>
      <c r="AO44" s="11">
        <f>Table8[[#This Row],[tw]]*MIN(Table8[[#This Row],[fy_web]], Table8[[#This Row],[fy_flange]])*0.6*Table8[[#This Row],[Ix]]/Table8[[#This Row],[Qflange]]</f>
        <v>2306443.2989690723</v>
      </c>
      <c r="AP44" s="50">
        <f ca="1">INDEX(tbllkpkt[kt],MATCH(RANDBETWEEN(1,4),tbllkpkt[Index],0))</f>
        <v>1</v>
      </c>
      <c r="AQ44" s="48">
        <f t="shared" ca="1" si="1"/>
        <v>0.92</v>
      </c>
      <c r="AR44" s="18">
        <f ca="1">Table8[[#This Row],[Ag]]*Table8[[#This Row],[Deduction_for_An]]</f>
        <v>1.4352E-2</v>
      </c>
      <c r="AS44" s="11">
        <f>Table8[[#This Row],[fy]]*Table8[[#This Row],[Ag]]</f>
        <v>5928000</v>
      </c>
      <c r="AT44" s="11">
        <f ca="1">Table8[[#This Row],[αu]]*Table8[[#This Row],[kt]]*Table8[[#This Row],[An]]*Table8[[#This Row],[fu]]</f>
        <v>5855616</v>
      </c>
      <c r="AU44" s="11">
        <f ca="1">MIN(Table8[[#This Row],[Nty]],Table8[[#This Row],[Ntu]])</f>
        <v>5855616</v>
      </c>
    </row>
    <row r="45" spans="2:47" x14ac:dyDescent="0.25">
      <c r="B45" s="15" t="str">
        <f>Table8[[#This Row],[Section]]&amp;"-"&amp;TEXT(Table8[[#This Row],[Grade]],"0")</f>
        <v>700WB173-400</v>
      </c>
      <c r="C45" s="3" t="s">
        <v>33</v>
      </c>
      <c r="D45" s="3">
        <v>400</v>
      </c>
      <c r="E45" s="3" t="s">
        <v>12</v>
      </c>
      <c r="F45" s="4">
        <v>173</v>
      </c>
      <c r="G45" s="3" t="s">
        <v>13</v>
      </c>
      <c r="H45" s="3" t="s">
        <v>14</v>
      </c>
      <c r="I45" s="5">
        <v>0.71599999999999997</v>
      </c>
      <c r="J45" s="5">
        <v>0.27500000000000002</v>
      </c>
      <c r="K45" s="5">
        <v>2.8000000000000001E-2</v>
      </c>
      <c r="L45" s="5">
        <v>0.01</v>
      </c>
      <c r="M45" s="5" t="s">
        <v>107</v>
      </c>
      <c r="N45" s="5">
        <v>0.65999999999999992</v>
      </c>
      <c r="O45" s="6">
        <v>65.999999999999986</v>
      </c>
      <c r="P45" s="6">
        <v>4.7321428571428577</v>
      </c>
      <c r="Q45" s="7">
        <v>2.1999999999999999E-2</v>
      </c>
      <c r="R45" s="8">
        <v>2.0600000000000002E-3</v>
      </c>
      <c r="S45" s="9">
        <v>5.7600000000000004E-3</v>
      </c>
      <c r="T45" s="9">
        <v>6.3899999999999998E-3</v>
      </c>
      <c r="U45" s="5">
        <v>0.30599999999999999</v>
      </c>
      <c r="V45" s="8">
        <v>9.7100000000000002E-5</v>
      </c>
      <c r="W45" s="9">
        <v>7.0600000000000003E-4</v>
      </c>
      <c r="X45" s="9">
        <v>1.08E-3</v>
      </c>
      <c r="Y45" s="5">
        <v>0.30599999999999999</v>
      </c>
      <c r="Z45" s="8">
        <v>4.0199999999999996E-6</v>
      </c>
      <c r="AA45" s="10">
        <v>1.15E-5</v>
      </c>
      <c r="AB45" s="45">
        <v>0.85</v>
      </c>
      <c r="AC45" s="17">
        <f t="array" ref="AC45">INDEX(tbllkpSteelGrades[fy],MATCH(1,(Table8[[#This Row],[Grade]]=tbllkpSteelGrades[Grade])*(Table8[[#This Row],[tw]]&lt;=tbllkpSteelGrades[Thickness]),0))</f>
        <v>400000000</v>
      </c>
      <c r="AD45" s="17">
        <f t="array" ref="AD45">INDEX(tbllkpSteelGrades[fy],MATCH(1,(Table8[[#This Row],[Grade]]=tbllkpSteelGrades[Grade])*(Table8[[#This Row],[tf]]&lt;=tbllkpSteelGrades[Thickness]),0))</f>
        <v>360000000</v>
      </c>
      <c r="AE45" s="17">
        <f>MIN(Table8[[#This Row],[fy_web]],Table8[[#This Row],[fy_flange]])</f>
        <v>360000000</v>
      </c>
      <c r="AF45" s="17">
        <f t="array" ref="AF45">INDEX(tbllkpSteelGrades[fu],MATCH(1,(Table8[[#This Row],[Grade]]=tbllkpSteelGrades[Grade])*(Table8[[#This Row],[tw]]&lt;=tbllkpSteelGrades[Thickness]),0))</f>
        <v>480000000</v>
      </c>
      <c r="AG45" s="18">
        <f>IF(Table8[[#This Row],[Fabrication Type]]="Welded",Table8[[#This Row],[d1]],Table8[[#This Row],[d]])*Table8[[#This Row],[tw]]</f>
        <v>6.5999999999999991E-3</v>
      </c>
      <c r="AH45" s="11">
        <f>Table8[[#This Row],[Aw]]*Table8[[#This Row],[fy_web]]*0.6</f>
        <v>1583999.9999999998</v>
      </c>
      <c r="AI45" s="35">
        <f>82/SQRT(Table8[[#This Row],[fy_web]]/250000000)</f>
        <v>64.826692033451778</v>
      </c>
      <c r="AJ45" s="36">
        <f>IF((Table8[[#This Row],[d1]]/Table8[[#This Row],[tw]])&gt;Table8[[#This Row],[limiting web slenderness]],(82/((Table8[[#This Row],[d1]]/Table8[[#This Row],[tw]])*SQRT(Table8[[#This Row],[fy_web]]/250000000)))^2,1)</f>
        <v>0.96476124885215842</v>
      </c>
      <c r="AK45" s="38">
        <f>IF(Table8[[#This Row],[Fabrication Type]]="Welded",IF(Table8[[#This Row],[tw]]&gt;0.016,0.016*Table8[[#This Row],[fu]],Table8[[#This Row],[tw]]*Table8[[#This Row],[fu]]),"")</f>
        <v>4800000</v>
      </c>
      <c r="AL45" s="13">
        <f>Table8[[#This Row],[d]]-Table8[[#This Row],[tf]]</f>
        <v>0.68799999999999994</v>
      </c>
      <c r="AM45" s="39">
        <f>Table8[[#This Row],[bf]]*Table8[[#This Row],[tf]]*(Table8[[#This Row],[df]]/2)</f>
        <v>2.6488000000000002E-3</v>
      </c>
      <c r="AN45" s="11">
        <f>IF(Table8[[#This Row],[Fabrication Type]]="Welded",Table8[[#This Row],[vw]]*Table8[[#This Row],[Ix]]/Table8[[#This Row],[Qflange]],"")</f>
        <v>3733011.1748716403</v>
      </c>
      <c r="AO45" s="11">
        <f>Table8[[#This Row],[tw]]*MIN(Table8[[#This Row],[fy_web]], Table8[[#This Row],[fy_flange]])*0.6*Table8[[#This Row],[Ix]]/Table8[[#This Row],[Qflange]]</f>
        <v>1679855.028692238</v>
      </c>
      <c r="AP45" s="50">
        <f ca="1">INDEX(tbllkpkt[kt],MATCH(RANDBETWEEN(1,4),tbllkpkt[Index],0))</f>
        <v>0.9</v>
      </c>
      <c r="AQ45" s="48">
        <f t="shared" ca="1" si="1"/>
        <v>0.9</v>
      </c>
      <c r="AR45" s="18">
        <f ca="1">Table8[[#This Row],[Ag]]*Table8[[#This Row],[Deduction_for_An]]</f>
        <v>1.9799999999999998E-2</v>
      </c>
      <c r="AS45" s="11">
        <f>Table8[[#This Row],[fy]]*Table8[[#This Row],[Ag]]</f>
        <v>7920000</v>
      </c>
      <c r="AT45" s="11">
        <f ca="1">Table8[[#This Row],[αu]]*Table8[[#This Row],[kt]]*Table8[[#This Row],[An]]*Table8[[#This Row],[fu]]</f>
        <v>7270559.9999999991</v>
      </c>
      <c r="AU45" s="11">
        <f ca="1">MIN(Table8[[#This Row],[Nty]],Table8[[#This Row],[Ntu]])</f>
        <v>7270559.9999999991</v>
      </c>
    </row>
    <row r="46" spans="2:47" x14ac:dyDescent="0.25">
      <c r="B46" s="15" t="str">
        <f>Table8[[#This Row],[Section]]&amp;"-"&amp;TEXT(Table8[[#This Row],[Grade]],"0")</f>
        <v>700WB150-400</v>
      </c>
      <c r="C46" s="3" t="s">
        <v>34</v>
      </c>
      <c r="D46" s="3">
        <v>400</v>
      </c>
      <c r="E46" s="3" t="s">
        <v>12</v>
      </c>
      <c r="F46" s="4">
        <v>150</v>
      </c>
      <c r="G46" s="3" t="s">
        <v>13</v>
      </c>
      <c r="H46" s="3" t="s">
        <v>14</v>
      </c>
      <c r="I46" s="5">
        <v>0.71</v>
      </c>
      <c r="J46" s="5">
        <v>0.25</v>
      </c>
      <c r="K46" s="5">
        <v>2.5000000000000001E-2</v>
      </c>
      <c r="L46" s="5">
        <v>0.01</v>
      </c>
      <c r="M46" s="5" t="s">
        <v>107</v>
      </c>
      <c r="N46" s="5">
        <v>0.65999999999999992</v>
      </c>
      <c r="O46" s="6">
        <v>65.999999999999986</v>
      </c>
      <c r="P46" s="6">
        <v>4.8</v>
      </c>
      <c r="Q46" s="7">
        <v>1.9099999999999999E-2</v>
      </c>
      <c r="R46" s="8">
        <v>1.7099999999999999E-3</v>
      </c>
      <c r="S46" s="9">
        <v>4.81E-3</v>
      </c>
      <c r="T46" s="9">
        <v>5.3699999999999998E-3</v>
      </c>
      <c r="U46" s="5">
        <v>0.29899999999999999</v>
      </c>
      <c r="V46" s="8">
        <v>6.5199999999999999E-5</v>
      </c>
      <c r="W46" s="9">
        <v>5.2099999999999998E-4</v>
      </c>
      <c r="X46" s="9">
        <v>7.9799999999999999E-4</v>
      </c>
      <c r="Y46" s="5">
        <v>0.29899999999999999</v>
      </c>
      <c r="Z46" s="8">
        <v>2.6900000000000001E-6</v>
      </c>
      <c r="AA46" s="10">
        <v>7.6399999999999997E-6</v>
      </c>
      <c r="AB46" s="45">
        <v>0.85</v>
      </c>
      <c r="AC46" s="17">
        <f t="array" ref="AC46">INDEX(tbllkpSteelGrades[fy],MATCH(1,(Table8[[#This Row],[Grade]]=tbllkpSteelGrades[Grade])*(Table8[[#This Row],[tw]]&lt;=tbllkpSteelGrades[Thickness]),0))</f>
        <v>400000000</v>
      </c>
      <c r="AD46" s="17">
        <f t="array" ref="AD46">INDEX(tbllkpSteelGrades[fy],MATCH(1,(Table8[[#This Row],[Grade]]=tbllkpSteelGrades[Grade])*(Table8[[#This Row],[tf]]&lt;=tbllkpSteelGrades[Thickness]),0))</f>
        <v>360000000</v>
      </c>
      <c r="AE46" s="17">
        <f>MIN(Table8[[#This Row],[fy_web]],Table8[[#This Row],[fy_flange]])</f>
        <v>360000000</v>
      </c>
      <c r="AF46" s="17">
        <f t="array" ref="AF46">INDEX(tbllkpSteelGrades[fu],MATCH(1,(Table8[[#This Row],[Grade]]=tbllkpSteelGrades[Grade])*(Table8[[#This Row],[tw]]&lt;=tbllkpSteelGrades[Thickness]),0))</f>
        <v>480000000</v>
      </c>
      <c r="AG46" s="18">
        <f>IF(Table8[[#This Row],[Fabrication Type]]="Welded",Table8[[#This Row],[d1]],Table8[[#This Row],[d]])*Table8[[#This Row],[tw]]</f>
        <v>6.5999999999999991E-3</v>
      </c>
      <c r="AH46" s="11">
        <f>Table8[[#This Row],[Aw]]*Table8[[#This Row],[fy_web]]*0.6</f>
        <v>1583999.9999999998</v>
      </c>
      <c r="AI46" s="35">
        <f>82/SQRT(Table8[[#This Row],[fy_web]]/250000000)</f>
        <v>64.826692033451778</v>
      </c>
      <c r="AJ46" s="36">
        <f>IF((Table8[[#This Row],[d1]]/Table8[[#This Row],[tw]])&gt;Table8[[#This Row],[limiting web slenderness]],(82/((Table8[[#This Row],[d1]]/Table8[[#This Row],[tw]])*SQRT(Table8[[#This Row],[fy_web]]/250000000)))^2,1)</f>
        <v>0.96476124885215842</v>
      </c>
      <c r="AK46" s="38">
        <f>IF(Table8[[#This Row],[Fabrication Type]]="Welded",IF(Table8[[#This Row],[tw]]&gt;0.016,0.016*Table8[[#This Row],[fu]],Table8[[#This Row],[tw]]*Table8[[#This Row],[fu]]),"")</f>
        <v>4800000</v>
      </c>
      <c r="AL46" s="13">
        <f>Table8[[#This Row],[d]]-Table8[[#This Row],[tf]]</f>
        <v>0.68499999999999994</v>
      </c>
      <c r="AM46" s="39">
        <f>Table8[[#This Row],[bf]]*Table8[[#This Row],[tf]]*(Table8[[#This Row],[df]]/2)</f>
        <v>2.1406249999999997E-3</v>
      </c>
      <c r="AN46" s="11">
        <f>IF(Table8[[#This Row],[Fabrication Type]]="Welded",Table8[[#This Row],[vw]]*Table8[[#This Row],[Ix]]/Table8[[#This Row],[Qflange]],"")</f>
        <v>3834394.1605839422</v>
      </c>
      <c r="AO46" s="11">
        <f>Table8[[#This Row],[tw]]*MIN(Table8[[#This Row],[fy_web]], Table8[[#This Row],[fy_flange]])*0.6*Table8[[#This Row],[Ix]]/Table8[[#This Row],[Qflange]]</f>
        <v>1725477.3722627738</v>
      </c>
      <c r="AP46" s="50">
        <f ca="1">INDEX(tbllkpkt[kt],MATCH(RANDBETWEEN(1,4),tbllkpkt[Index],0))</f>
        <v>1</v>
      </c>
      <c r="AQ46" s="48">
        <f t="shared" ca="1" si="1"/>
        <v>0.92999999999999994</v>
      </c>
      <c r="AR46" s="18">
        <f ca="1">Table8[[#This Row],[Ag]]*Table8[[#This Row],[Deduction_for_An]]</f>
        <v>1.7762999999999998E-2</v>
      </c>
      <c r="AS46" s="11">
        <f>Table8[[#This Row],[fy]]*Table8[[#This Row],[Ag]]</f>
        <v>6876000</v>
      </c>
      <c r="AT46" s="11">
        <f ca="1">Table8[[#This Row],[αu]]*Table8[[#This Row],[kt]]*Table8[[#This Row],[An]]*Table8[[#This Row],[fu]]</f>
        <v>7247303.9999999981</v>
      </c>
      <c r="AU46" s="11">
        <f ca="1">MIN(Table8[[#This Row],[Nty]],Table8[[#This Row],[Ntu]])</f>
        <v>6876000</v>
      </c>
    </row>
    <row r="47" spans="2:47" x14ac:dyDescent="0.25">
      <c r="B47" s="15" t="str">
        <f>Table8[[#This Row],[Section]]&amp;"-"&amp;TEXT(Table8[[#This Row],[Grade]],"0")</f>
        <v>700WB130-400</v>
      </c>
      <c r="C47" s="3" t="s">
        <v>35</v>
      </c>
      <c r="D47" s="3">
        <v>400</v>
      </c>
      <c r="E47" s="3" t="s">
        <v>12</v>
      </c>
      <c r="F47" s="4">
        <v>130</v>
      </c>
      <c r="G47" s="3" t="s">
        <v>13</v>
      </c>
      <c r="H47" s="3" t="s">
        <v>14</v>
      </c>
      <c r="I47" s="5">
        <v>0.7</v>
      </c>
      <c r="J47" s="5">
        <v>0.25</v>
      </c>
      <c r="K47" s="5">
        <v>0.02</v>
      </c>
      <c r="L47" s="5">
        <v>0.01</v>
      </c>
      <c r="M47" s="5" t="s">
        <v>107</v>
      </c>
      <c r="N47" s="5">
        <v>0.65999999999999992</v>
      </c>
      <c r="O47" s="6">
        <v>65.999999999999986</v>
      </c>
      <c r="P47" s="6">
        <v>6</v>
      </c>
      <c r="Q47" s="7">
        <v>1.66E-2</v>
      </c>
      <c r="R47" s="8">
        <v>1.4E-3</v>
      </c>
      <c r="S47" s="9">
        <v>3.9899999999999996E-3</v>
      </c>
      <c r="T47" s="9">
        <v>4.4900000000000001E-3</v>
      </c>
      <c r="U47" s="5">
        <v>0.28999999999999998</v>
      </c>
      <c r="V47" s="8">
        <v>5.2099999999999999E-5</v>
      </c>
      <c r="W47" s="9">
        <v>4.17E-4</v>
      </c>
      <c r="X47" s="9">
        <v>6.4199999999999999E-4</v>
      </c>
      <c r="Y47" s="5">
        <v>0.28999999999999998</v>
      </c>
      <c r="Z47" s="8">
        <v>1.5099999999999999E-6</v>
      </c>
      <c r="AA47" s="10">
        <v>6.0299999999999999E-6</v>
      </c>
      <c r="AB47" s="45">
        <v>0.85</v>
      </c>
      <c r="AC47" s="17">
        <f t="array" ref="AC47">INDEX(tbllkpSteelGrades[fy],MATCH(1,(Table8[[#This Row],[Grade]]=tbllkpSteelGrades[Grade])*(Table8[[#This Row],[tw]]&lt;=tbllkpSteelGrades[Thickness]),0))</f>
        <v>400000000</v>
      </c>
      <c r="AD47" s="17">
        <f t="array" ref="AD47">INDEX(tbllkpSteelGrades[fy],MATCH(1,(Table8[[#This Row],[Grade]]=tbllkpSteelGrades[Grade])*(Table8[[#This Row],[tf]]&lt;=tbllkpSteelGrades[Thickness]),0))</f>
        <v>380000000</v>
      </c>
      <c r="AE47" s="17">
        <f>MIN(Table8[[#This Row],[fy_web]],Table8[[#This Row],[fy_flange]])</f>
        <v>380000000</v>
      </c>
      <c r="AF47" s="17">
        <f t="array" ref="AF47">INDEX(tbllkpSteelGrades[fu],MATCH(1,(Table8[[#This Row],[Grade]]=tbllkpSteelGrades[Grade])*(Table8[[#This Row],[tw]]&lt;=tbllkpSteelGrades[Thickness]),0))</f>
        <v>480000000</v>
      </c>
      <c r="AG47" s="18">
        <f>IF(Table8[[#This Row],[Fabrication Type]]="Welded",Table8[[#This Row],[d1]],Table8[[#This Row],[d]])*Table8[[#This Row],[tw]]</f>
        <v>6.5999999999999991E-3</v>
      </c>
      <c r="AH47" s="11">
        <f>Table8[[#This Row],[Aw]]*Table8[[#This Row],[fy_web]]*0.6</f>
        <v>1583999.9999999998</v>
      </c>
      <c r="AI47" s="35">
        <f>82/SQRT(Table8[[#This Row],[fy_web]]/250000000)</f>
        <v>64.826692033451778</v>
      </c>
      <c r="AJ47" s="36">
        <f>IF((Table8[[#This Row],[d1]]/Table8[[#This Row],[tw]])&gt;Table8[[#This Row],[limiting web slenderness]],(82/((Table8[[#This Row],[d1]]/Table8[[#This Row],[tw]])*SQRT(Table8[[#This Row],[fy_web]]/250000000)))^2,1)</f>
        <v>0.96476124885215842</v>
      </c>
      <c r="AK47" s="38">
        <f>IF(Table8[[#This Row],[Fabrication Type]]="Welded",IF(Table8[[#This Row],[tw]]&gt;0.016,0.016*Table8[[#This Row],[fu]],Table8[[#This Row],[tw]]*Table8[[#This Row],[fu]]),"")</f>
        <v>4800000</v>
      </c>
      <c r="AL47" s="13">
        <f>Table8[[#This Row],[d]]-Table8[[#This Row],[tf]]</f>
        <v>0.67999999999999994</v>
      </c>
      <c r="AM47" s="39">
        <f>Table8[[#This Row],[bf]]*Table8[[#This Row],[tf]]*(Table8[[#This Row],[df]]/2)</f>
        <v>1.6999999999999999E-3</v>
      </c>
      <c r="AN47" s="11">
        <f>IF(Table8[[#This Row],[Fabrication Type]]="Welded",Table8[[#This Row],[vw]]*Table8[[#This Row],[Ix]]/Table8[[#This Row],[Qflange]],"")</f>
        <v>3952941.1764705884</v>
      </c>
      <c r="AO47" s="11">
        <f>Table8[[#This Row],[tw]]*MIN(Table8[[#This Row],[fy_web]], Table8[[#This Row],[fy_flange]])*0.6*Table8[[#This Row],[Ix]]/Table8[[#This Row],[Qflange]]</f>
        <v>1877647.0588235296</v>
      </c>
      <c r="AP47" s="50">
        <f ca="1">INDEX(tbllkpkt[kt],MATCH(RANDBETWEEN(1,4),tbllkpkt[Index],0))</f>
        <v>0.85</v>
      </c>
      <c r="AQ47" s="48">
        <f t="shared" ca="1" si="1"/>
        <v>1</v>
      </c>
      <c r="AR47" s="18">
        <f ca="1">Table8[[#This Row],[Ag]]*Table8[[#This Row],[Deduction_for_An]]</f>
        <v>1.66E-2</v>
      </c>
      <c r="AS47" s="11">
        <f>Table8[[#This Row],[fy]]*Table8[[#This Row],[Ag]]</f>
        <v>6308000</v>
      </c>
      <c r="AT47" s="11">
        <f ca="1">Table8[[#This Row],[αu]]*Table8[[#This Row],[kt]]*Table8[[#This Row],[An]]*Table8[[#This Row],[fu]]</f>
        <v>5756879.9999999991</v>
      </c>
      <c r="AU47" s="11">
        <f ca="1">MIN(Table8[[#This Row],[Nty]],Table8[[#This Row],[Ntu]])</f>
        <v>5756879.9999999991</v>
      </c>
    </row>
    <row r="48" spans="2:47" x14ac:dyDescent="0.25">
      <c r="B48" s="15" t="str">
        <f>Table8[[#This Row],[Section]]&amp;"-"&amp;TEXT(Table8[[#This Row],[Grade]],"0")</f>
        <v>700WB115-400</v>
      </c>
      <c r="C48" s="3" t="s">
        <v>36</v>
      </c>
      <c r="D48" s="3">
        <v>400</v>
      </c>
      <c r="E48" s="3" t="s">
        <v>12</v>
      </c>
      <c r="F48" s="4">
        <v>115</v>
      </c>
      <c r="G48" s="3" t="s">
        <v>13</v>
      </c>
      <c r="H48" s="3" t="s">
        <v>14</v>
      </c>
      <c r="I48" s="5">
        <v>0.69199999999999995</v>
      </c>
      <c r="J48" s="5">
        <v>0.25</v>
      </c>
      <c r="K48" s="5">
        <v>1.6E-2</v>
      </c>
      <c r="L48" s="5">
        <v>0.01</v>
      </c>
      <c r="M48" s="5" t="s">
        <v>107</v>
      </c>
      <c r="N48" s="5">
        <v>0.65999999999999992</v>
      </c>
      <c r="O48" s="6">
        <v>65.999999999999986</v>
      </c>
      <c r="P48" s="6">
        <v>7.5</v>
      </c>
      <c r="Q48" s="7">
        <v>1.46E-2</v>
      </c>
      <c r="R48" s="8">
        <v>1.15E-3</v>
      </c>
      <c r="S48" s="9">
        <v>3.3300000000000001E-3</v>
      </c>
      <c r="T48" s="9">
        <v>3.79E-3</v>
      </c>
      <c r="U48" s="5">
        <v>0.28100000000000003</v>
      </c>
      <c r="V48" s="8">
        <v>4.1699999999999997E-5</v>
      </c>
      <c r="W48" s="9">
        <v>3.3399999999999999E-4</v>
      </c>
      <c r="X48" s="9">
        <v>5.1599999999999997E-4</v>
      </c>
      <c r="Y48" s="5">
        <v>0.28100000000000003</v>
      </c>
      <c r="Z48" s="8">
        <v>8.8800000000000001E-7</v>
      </c>
      <c r="AA48" s="10">
        <v>4.7700000000000001E-6</v>
      </c>
      <c r="AB48" s="45">
        <v>0.85</v>
      </c>
      <c r="AC48" s="17">
        <f t="array" ref="AC48">INDEX(tbllkpSteelGrades[fy],MATCH(1,(Table8[[#This Row],[Grade]]=tbllkpSteelGrades[Grade])*(Table8[[#This Row],[tw]]&lt;=tbllkpSteelGrades[Thickness]),0))</f>
        <v>400000000</v>
      </c>
      <c r="AD48" s="17">
        <f t="array" ref="AD48">INDEX(tbllkpSteelGrades[fy],MATCH(1,(Table8[[#This Row],[Grade]]=tbllkpSteelGrades[Grade])*(Table8[[#This Row],[tf]]&lt;=tbllkpSteelGrades[Thickness]),0))</f>
        <v>380000000</v>
      </c>
      <c r="AE48" s="17">
        <f>MIN(Table8[[#This Row],[fy_web]],Table8[[#This Row],[fy_flange]])</f>
        <v>380000000</v>
      </c>
      <c r="AF48" s="17">
        <f t="array" ref="AF48">INDEX(tbllkpSteelGrades[fu],MATCH(1,(Table8[[#This Row],[Grade]]=tbllkpSteelGrades[Grade])*(Table8[[#This Row],[tw]]&lt;=tbllkpSteelGrades[Thickness]),0))</f>
        <v>480000000</v>
      </c>
      <c r="AG48" s="18">
        <f>IF(Table8[[#This Row],[Fabrication Type]]="Welded",Table8[[#This Row],[d1]],Table8[[#This Row],[d]])*Table8[[#This Row],[tw]]</f>
        <v>6.5999999999999991E-3</v>
      </c>
      <c r="AH48" s="11">
        <f>Table8[[#This Row],[Aw]]*Table8[[#This Row],[fy_web]]*0.6</f>
        <v>1583999.9999999998</v>
      </c>
      <c r="AI48" s="35">
        <f>82/SQRT(Table8[[#This Row],[fy_web]]/250000000)</f>
        <v>64.826692033451778</v>
      </c>
      <c r="AJ48" s="36">
        <f>IF((Table8[[#This Row],[d1]]/Table8[[#This Row],[tw]])&gt;Table8[[#This Row],[limiting web slenderness]],(82/((Table8[[#This Row],[d1]]/Table8[[#This Row],[tw]])*SQRT(Table8[[#This Row],[fy_web]]/250000000)))^2,1)</f>
        <v>0.96476124885215842</v>
      </c>
      <c r="AK48" s="38">
        <f>IF(Table8[[#This Row],[Fabrication Type]]="Welded",IF(Table8[[#This Row],[tw]]&gt;0.016,0.016*Table8[[#This Row],[fu]],Table8[[#This Row],[tw]]*Table8[[#This Row],[fu]]),"")</f>
        <v>4800000</v>
      </c>
      <c r="AL48" s="13">
        <f>Table8[[#This Row],[d]]-Table8[[#This Row],[tf]]</f>
        <v>0.67599999999999993</v>
      </c>
      <c r="AM48" s="39">
        <f>Table8[[#This Row],[bf]]*Table8[[#This Row],[tf]]*(Table8[[#This Row],[df]]/2)</f>
        <v>1.3519999999999999E-3</v>
      </c>
      <c r="AN48" s="11">
        <f>IF(Table8[[#This Row],[Fabrication Type]]="Welded",Table8[[#This Row],[vw]]*Table8[[#This Row],[Ix]]/Table8[[#This Row],[Qflange]],"")</f>
        <v>4082840.2366863908</v>
      </c>
      <c r="AO48" s="11">
        <f>Table8[[#This Row],[tw]]*MIN(Table8[[#This Row],[fy_web]], Table8[[#This Row],[fy_flange]])*0.6*Table8[[#This Row],[Ix]]/Table8[[#This Row],[Qflange]]</f>
        <v>1939349.1124260356</v>
      </c>
      <c r="AP48" s="50">
        <f ca="1">INDEX(tbllkpkt[kt],MATCH(RANDBETWEEN(1,4),tbllkpkt[Index],0))</f>
        <v>0.75</v>
      </c>
      <c r="AQ48" s="48">
        <f t="shared" ca="1" si="1"/>
        <v>0.96</v>
      </c>
      <c r="AR48" s="18">
        <f ca="1">Table8[[#This Row],[Ag]]*Table8[[#This Row],[Deduction_for_An]]</f>
        <v>1.4015999999999999E-2</v>
      </c>
      <c r="AS48" s="11">
        <f>Table8[[#This Row],[fy]]*Table8[[#This Row],[Ag]]</f>
        <v>5548000</v>
      </c>
      <c r="AT48" s="11">
        <f ca="1">Table8[[#This Row],[αu]]*Table8[[#This Row],[kt]]*Table8[[#This Row],[An]]*Table8[[#This Row],[fu]]</f>
        <v>4288896</v>
      </c>
      <c r="AU48" s="11">
        <f ca="1">MIN(Table8[[#This Row],[Nty]],Table8[[#This Row],[Ntu]])</f>
        <v>4288896</v>
      </c>
    </row>
    <row r="49" spans="2:47" x14ac:dyDescent="0.25">
      <c r="B49" s="15" t="str">
        <f>Table8[[#This Row],[Section]]&amp;"-"&amp;TEXT(Table8[[#This Row],[Grade]],"0")</f>
        <v>500WC440-300</v>
      </c>
      <c r="C49" s="3" t="s">
        <v>58</v>
      </c>
      <c r="D49" s="3">
        <v>300</v>
      </c>
      <c r="E49" s="3" t="s">
        <v>75</v>
      </c>
      <c r="F49" s="4">
        <v>440</v>
      </c>
      <c r="G49" s="3" t="s">
        <v>13</v>
      </c>
      <c r="H49" s="3" t="s">
        <v>14</v>
      </c>
      <c r="I49" s="5">
        <v>0.48</v>
      </c>
      <c r="J49" s="5">
        <v>0.5</v>
      </c>
      <c r="K49" s="5">
        <v>0.04</v>
      </c>
      <c r="L49" s="5">
        <v>0.04</v>
      </c>
      <c r="M49" s="5" t="s">
        <v>107</v>
      </c>
      <c r="N49" s="5">
        <v>0.39999999999999997</v>
      </c>
      <c r="O49" s="6">
        <v>9.9999999999999982</v>
      </c>
      <c r="P49" s="6">
        <v>5.75</v>
      </c>
      <c r="Q49" s="7">
        <v>5.6000000000000001E-2</v>
      </c>
      <c r="R49" s="8">
        <v>2.15E-3</v>
      </c>
      <c r="S49" s="9">
        <v>8.9800000000000001E-3</v>
      </c>
      <c r="T49" s="9">
        <v>1.04E-2</v>
      </c>
      <c r="U49" s="5">
        <v>0.19600000000000001</v>
      </c>
      <c r="V49" s="8">
        <v>8.3500000000000002E-4</v>
      </c>
      <c r="W49" s="9">
        <v>3.3400000000000001E-3</v>
      </c>
      <c r="X49" s="9">
        <v>5.1599999999999997E-3</v>
      </c>
      <c r="Y49" s="5">
        <v>0.19600000000000001</v>
      </c>
      <c r="Z49" s="8">
        <v>3.01E-5</v>
      </c>
      <c r="AA49" s="10">
        <v>4.0399999999999999E-5</v>
      </c>
      <c r="AB49" s="45">
        <v>0.85</v>
      </c>
      <c r="AC49" s="17">
        <f t="array" ref="AC49">INDEX(tbllkpSteelGrades[fy],MATCH(1,(Table8[[#This Row],[Grade]]=tbllkpSteelGrades[Grade])*(Table8[[#This Row],[tw]]&lt;=tbllkpSteelGrades[Thickness]),0))</f>
        <v>280000000</v>
      </c>
      <c r="AD49" s="17">
        <f t="array" ref="AD49">INDEX(tbllkpSteelGrades[fy],MATCH(1,(Table8[[#This Row],[Grade]]=tbllkpSteelGrades[Grade])*(Table8[[#This Row],[tf]]&lt;=tbllkpSteelGrades[Thickness]),0))</f>
        <v>280000000</v>
      </c>
      <c r="AE49" s="17">
        <f>MIN(Table8[[#This Row],[fy_web]],Table8[[#This Row],[fy_flange]])</f>
        <v>280000000</v>
      </c>
      <c r="AF49" s="17">
        <f t="array" ref="AF49">INDEX(tbllkpSteelGrades[fu],MATCH(1,(Table8[[#This Row],[Grade]]=tbllkpSteelGrades[Grade])*(Table8[[#This Row],[tw]]&lt;=tbllkpSteelGrades[Thickness]),0))</f>
        <v>430000000</v>
      </c>
      <c r="AG49" s="18">
        <f>IF(Table8[[#This Row],[Fabrication Type]]="Welded",Table8[[#This Row],[d1]],Table8[[#This Row],[d]])*Table8[[#This Row],[tw]]</f>
        <v>1.6E-2</v>
      </c>
      <c r="AH49" s="11">
        <f>Table8[[#This Row],[Aw]]*Table8[[#This Row],[fy_web]]*0.6</f>
        <v>2688000</v>
      </c>
      <c r="AI49" s="35">
        <f>82/SQRT(Table8[[#This Row],[fy_web]]/250000000)</f>
        <v>77.482716966891573</v>
      </c>
      <c r="AJ4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49" s="38">
        <f>IF(Table8[[#This Row],[Fabrication Type]]="Welded",IF(Table8[[#This Row],[tw]]&gt;0.016,0.016*Table8[[#This Row],[fu]],Table8[[#This Row],[tw]]*Table8[[#This Row],[fu]]),"")</f>
        <v>6880000</v>
      </c>
      <c r="AL49" s="13">
        <f>Table8[[#This Row],[d]]-Table8[[#This Row],[tf]]</f>
        <v>0.44</v>
      </c>
      <c r="AM49" s="39">
        <f>Table8[[#This Row],[bf]]*Table8[[#This Row],[tf]]*(Table8[[#This Row],[df]]/2)</f>
        <v>4.4000000000000003E-3</v>
      </c>
      <c r="AN49" s="11">
        <f>IF(Table8[[#This Row],[Fabrication Type]]="Welded",Table8[[#This Row],[vw]]*Table8[[#This Row],[Ix]]/Table8[[#This Row],[Qflange]],"")</f>
        <v>3361818.1818181816</v>
      </c>
      <c r="AO49" s="11">
        <f>Table8[[#This Row],[tw]]*MIN(Table8[[#This Row],[fy_web]], Table8[[#This Row],[fy_flange]])*0.6*Table8[[#This Row],[Ix]]/Table8[[#This Row],[Qflange]]</f>
        <v>3283636.3636363633</v>
      </c>
      <c r="AP49" s="50">
        <f ca="1">INDEX(tbllkpkt[kt],MATCH(RANDBETWEEN(1,4),tbllkpkt[Index],0))</f>
        <v>0.9</v>
      </c>
      <c r="AQ49" s="48">
        <f t="shared" ca="1" si="1"/>
        <v>0.95</v>
      </c>
      <c r="AR49" s="18">
        <f ca="1">Table8[[#This Row],[Ag]]*Table8[[#This Row],[Deduction_for_An]]</f>
        <v>5.3199999999999997E-2</v>
      </c>
      <c r="AS49" s="11">
        <f>Table8[[#This Row],[fy]]*Table8[[#This Row],[Ag]]</f>
        <v>15680000</v>
      </c>
      <c r="AT49" s="11">
        <f ca="1">Table8[[#This Row],[αu]]*Table8[[#This Row],[kt]]*Table8[[#This Row],[An]]*Table8[[#This Row],[fu]]</f>
        <v>17500140</v>
      </c>
      <c r="AU49" s="11">
        <f ca="1">MIN(Table8[[#This Row],[Nty]],Table8[[#This Row],[Ntu]])</f>
        <v>15680000</v>
      </c>
    </row>
    <row r="50" spans="2:47" x14ac:dyDescent="0.25">
      <c r="B50" s="15" t="str">
        <f>Table8[[#This Row],[Section]]&amp;"-"&amp;TEXT(Table8[[#This Row],[Grade]],"0")</f>
        <v>500WC414-300</v>
      </c>
      <c r="C50" s="3" t="s">
        <v>59</v>
      </c>
      <c r="D50" s="3">
        <v>300</v>
      </c>
      <c r="E50" s="3" t="s">
        <v>75</v>
      </c>
      <c r="F50" s="4">
        <v>414</v>
      </c>
      <c r="G50" s="3" t="s">
        <v>13</v>
      </c>
      <c r="H50" s="3" t="s">
        <v>14</v>
      </c>
      <c r="I50" s="5">
        <v>0.48</v>
      </c>
      <c r="J50" s="5">
        <v>0.5</v>
      </c>
      <c r="K50" s="5">
        <v>0.04</v>
      </c>
      <c r="L50" s="5">
        <v>3.2000000000000001E-2</v>
      </c>
      <c r="M50" s="5" t="s">
        <v>107</v>
      </c>
      <c r="N50" s="5">
        <v>0.39999999999999997</v>
      </c>
      <c r="O50" s="6">
        <v>12.499999999999998</v>
      </c>
      <c r="P50" s="6">
        <v>5.85</v>
      </c>
      <c r="Q50" s="7">
        <v>5.28E-2</v>
      </c>
      <c r="R50" s="8">
        <v>2.1099999999999999E-3</v>
      </c>
      <c r="S50" s="9">
        <v>8.8000000000000005E-3</v>
      </c>
      <c r="T50" s="9">
        <v>1.01E-2</v>
      </c>
      <c r="U50" s="5">
        <v>0.2</v>
      </c>
      <c r="V50" s="8">
        <v>8.34E-4</v>
      </c>
      <c r="W50" s="9">
        <v>3.3400000000000001E-3</v>
      </c>
      <c r="X50" s="9">
        <v>5.1000000000000004E-3</v>
      </c>
      <c r="Y50" s="5">
        <v>0.2</v>
      </c>
      <c r="Z50" s="8">
        <v>2.5400000000000001E-5</v>
      </c>
      <c r="AA50" s="10">
        <v>4.0399999999999999E-5</v>
      </c>
      <c r="AB50" s="45">
        <v>0.85</v>
      </c>
      <c r="AC50" s="17">
        <f t="array" ref="AC50">INDEX(tbllkpSteelGrades[fy],MATCH(1,(Table8[[#This Row],[Grade]]=tbllkpSteelGrades[Grade])*(Table8[[#This Row],[tw]]&lt;=tbllkpSteelGrades[Thickness]),0))</f>
        <v>280000000</v>
      </c>
      <c r="AD50" s="17">
        <f t="array" ref="AD50">INDEX(tbllkpSteelGrades[fy],MATCH(1,(Table8[[#This Row],[Grade]]=tbllkpSteelGrades[Grade])*(Table8[[#This Row],[tf]]&lt;=tbllkpSteelGrades[Thickness]),0))</f>
        <v>280000000</v>
      </c>
      <c r="AE50" s="17">
        <f>MIN(Table8[[#This Row],[fy_web]],Table8[[#This Row],[fy_flange]])</f>
        <v>280000000</v>
      </c>
      <c r="AF50" s="17">
        <f t="array" ref="AF50">INDEX(tbllkpSteelGrades[fu],MATCH(1,(Table8[[#This Row],[Grade]]=tbllkpSteelGrades[Grade])*(Table8[[#This Row],[tw]]&lt;=tbllkpSteelGrades[Thickness]),0))</f>
        <v>430000000</v>
      </c>
      <c r="AG50" s="18">
        <f>IF(Table8[[#This Row],[Fabrication Type]]="Welded",Table8[[#This Row],[d1]],Table8[[#This Row],[d]])*Table8[[#This Row],[tw]]</f>
        <v>1.2799999999999999E-2</v>
      </c>
      <c r="AH50" s="11">
        <f>Table8[[#This Row],[Aw]]*Table8[[#This Row],[fy_web]]*0.6</f>
        <v>2150399.9999999995</v>
      </c>
      <c r="AI50" s="35">
        <f>82/SQRT(Table8[[#This Row],[fy_web]]/250000000)</f>
        <v>77.482716966891573</v>
      </c>
      <c r="AJ5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50" s="38">
        <f>IF(Table8[[#This Row],[Fabrication Type]]="Welded",IF(Table8[[#This Row],[tw]]&gt;0.016,0.016*Table8[[#This Row],[fu]],Table8[[#This Row],[tw]]*Table8[[#This Row],[fu]]),"")</f>
        <v>6880000</v>
      </c>
      <c r="AL50" s="13">
        <f>Table8[[#This Row],[d]]-Table8[[#This Row],[tf]]</f>
        <v>0.44</v>
      </c>
      <c r="AM50" s="39">
        <f>Table8[[#This Row],[bf]]*Table8[[#This Row],[tf]]*(Table8[[#This Row],[df]]/2)</f>
        <v>4.4000000000000003E-3</v>
      </c>
      <c r="AN50" s="11">
        <f>IF(Table8[[#This Row],[Fabrication Type]]="Welded",Table8[[#This Row],[vw]]*Table8[[#This Row],[Ix]]/Table8[[#This Row],[Qflange]],"")</f>
        <v>3299272.7272727271</v>
      </c>
      <c r="AO50" s="11">
        <f>Table8[[#This Row],[tw]]*MIN(Table8[[#This Row],[fy_web]], Table8[[#This Row],[fy_flange]])*0.6*Table8[[#This Row],[Ix]]/Table8[[#This Row],[Qflange]]</f>
        <v>2578036.3636363633</v>
      </c>
      <c r="AP50" s="50">
        <f ca="1">INDEX(tbllkpkt[kt],MATCH(RANDBETWEEN(1,4),tbllkpkt[Index],0))</f>
        <v>0.9</v>
      </c>
      <c r="AQ50" s="48">
        <f t="shared" ca="1" si="1"/>
        <v>0.92</v>
      </c>
      <c r="AR50" s="18">
        <f ca="1">Table8[[#This Row],[Ag]]*Table8[[#This Row],[Deduction_for_An]]</f>
        <v>4.8576000000000001E-2</v>
      </c>
      <c r="AS50" s="11">
        <f>Table8[[#This Row],[fy]]*Table8[[#This Row],[Ag]]</f>
        <v>14784000</v>
      </c>
      <c r="AT50" s="11">
        <f ca="1">Table8[[#This Row],[αu]]*Table8[[#This Row],[kt]]*Table8[[#This Row],[An]]*Table8[[#This Row],[fu]]</f>
        <v>15979075.200000001</v>
      </c>
      <c r="AU50" s="11">
        <f ca="1">MIN(Table8[[#This Row],[Nty]],Table8[[#This Row],[Ntu]])</f>
        <v>14784000</v>
      </c>
    </row>
    <row r="51" spans="2:47" x14ac:dyDescent="0.25">
      <c r="B51" s="15" t="str">
        <f>Table8[[#This Row],[Section]]&amp;"-"&amp;TEXT(Table8[[#This Row],[Grade]],"0")</f>
        <v>500WC383-300</v>
      </c>
      <c r="C51" s="3" t="s">
        <v>60</v>
      </c>
      <c r="D51" s="3">
        <v>300</v>
      </c>
      <c r="E51" s="3" t="s">
        <v>75</v>
      </c>
      <c r="F51" s="4">
        <v>383</v>
      </c>
      <c r="G51" s="3" t="s">
        <v>13</v>
      </c>
      <c r="H51" s="3" t="s">
        <v>14</v>
      </c>
      <c r="I51" s="5">
        <v>0.47199999999999998</v>
      </c>
      <c r="J51" s="5">
        <v>0.5</v>
      </c>
      <c r="K51" s="5">
        <v>3.5999999999999997E-2</v>
      </c>
      <c r="L51" s="5">
        <v>3.2000000000000001E-2</v>
      </c>
      <c r="M51" s="5" t="s">
        <v>107</v>
      </c>
      <c r="N51" s="5">
        <v>0.39999999999999997</v>
      </c>
      <c r="O51" s="6">
        <v>12.499999999999998</v>
      </c>
      <c r="P51" s="6">
        <v>6.5</v>
      </c>
      <c r="Q51" s="7">
        <v>4.8800000000000003E-2</v>
      </c>
      <c r="R51" s="8">
        <v>1.89E-3</v>
      </c>
      <c r="S51" s="9">
        <v>7.9900000000000006E-3</v>
      </c>
      <c r="T51" s="9">
        <v>9.1299999999999992E-3</v>
      </c>
      <c r="U51" s="5">
        <v>0.19700000000000001</v>
      </c>
      <c r="V51" s="8">
        <v>7.5100000000000004E-4</v>
      </c>
      <c r="W51" s="9">
        <v>3.0000000000000001E-3</v>
      </c>
      <c r="X51" s="9">
        <v>4.5999999999999999E-3</v>
      </c>
      <c r="Y51" s="5">
        <v>0.19700000000000001</v>
      </c>
      <c r="Z51" s="8">
        <v>1.9899999999999999E-5</v>
      </c>
      <c r="AA51" s="10">
        <v>3.57E-5</v>
      </c>
      <c r="AB51" s="45">
        <v>0.85</v>
      </c>
      <c r="AC51" s="17">
        <f t="array" ref="AC51">INDEX(tbllkpSteelGrades[fy],MATCH(1,(Table8[[#This Row],[Grade]]=tbllkpSteelGrades[Grade])*(Table8[[#This Row],[tw]]&lt;=tbllkpSteelGrades[Thickness]),0))</f>
        <v>280000000</v>
      </c>
      <c r="AD51" s="17">
        <f t="array" ref="AD51">INDEX(tbllkpSteelGrades[fy],MATCH(1,(Table8[[#This Row],[Grade]]=tbllkpSteelGrades[Grade])*(Table8[[#This Row],[tf]]&lt;=tbllkpSteelGrades[Thickness]),0))</f>
        <v>280000000</v>
      </c>
      <c r="AE51" s="17">
        <f>MIN(Table8[[#This Row],[fy_web]],Table8[[#This Row],[fy_flange]])</f>
        <v>280000000</v>
      </c>
      <c r="AF51" s="17">
        <f t="array" ref="AF51">INDEX(tbllkpSteelGrades[fu],MATCH(1,(Table8[[#This Row],[Grade]]=tbllkpSteelGrades[Grade])*(Table8[[#This Row],[tw]]&lt;=tbllkpSteelGrades[Thickness]),0))</f>
        <v>430000000</v>
      </c>
      <c r="AG51" s="18">
        <f>IF(Table8[[#This Row],[Fabrication Type]]="Welded",Table8[[#This Row],[d1]],Table8[[#This Row],[d]])*Table8[[#This Row],[tw]]</f>
        <v>1.2799999999999999E-2</v>
      </c>
      <c r="AH51" s="11">
        <f>Table8[[#This Row],[Aw]]*Table8[[#This Row],[fy_web]]*0.6</f>
        <v>2150399.9999999995</v>
      </c>
      <c r="AI51" s="35">
        <f>82/SQRT(Table8[[#This Row],[fy_web]]/250000000)</f>
        <v>77.482716966891573</v>
      </c>
      <c r="AJ5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51" s="38">
        <f>IF(Table8[[#This Row],[Fabrication Type]]="Welded",IF(Table8[[#This Row],[tw]]&gt;0.016,0.016*Table8[[#This Row],[fu]],Table8[[#This Row],[tw]]*Table8[[#This Row],[fu]]),"")</f>
        <v>6880000</v>
      </c>
      <c r="AL51" s="13">
        <f>Table8[[#This Row],[d]]-Table8[[#This Row],[tf]]</f>
        <v>0.436</v>
      </c>
      <c r="AM51" s="39">
        <f>Table8[[#This Row],[bf]]*Table8[[#This Row],[tf]]*(Table8[[#This Row],[df]]/2)</f>
        <v>3.9239999999999995E-3</v>
      </c>
      <c r="AN51" s="11">
        <f>IF(Table8[[#This Row],[Fabrication Type]]="Welded",Table8[[#This Row],[vw]]*Table8[[#This Row],[Ix]]/Table8[[#This Row],[Qflange]],"")</f>
        <v>3313761.4678899082</v>
      </c>
      <c r="AO51" s="11">
        <f>Table8[[#This Row],[tw]]*MIN(Table8[[#This Row],[fy_web]], Table8[[#This Row],[fy_flange]])*0.6*Table8[[#This Row],[Ix]]/Table8[[#This Row],[Qflange]]</f>
        <v>2589357.7981651379</v>
      </c>
      <c r="AP51" s="50">
        <f ca="1">INDEX(tbllkpkt[kt],MATCH(RANDBETWEEN(1,4),tbllkpkt[Index],0))</f>
        <v>0.9</v>
      </c>
      <c r="AQ51" s="48">
        <f t="shared" ca="1" si="1"/>
        <v>0.98</v>
      </c>
      <c r="AR51" s="18">
        <f ca="1">Table8[[#This Row],[Ag]]*Table8[[#This Row],[Deduction_for_An]]</f>
        <v>4.7824000000000005E-2</v>
      </c>
      <c r="AS51" s="11">
        <f>Table8[[#This Row],[fy]]*Table8[[#This Row],[Ag]]</f>
        <v>13664000</v>
      </c>
      <c r="AT51" s="11">
        <f ca="1">Table8[[#This Row],[αu]]*Table8[[#This Row],[kt]]*Table8[[#This Row],[An]]*Table8[[#This Row],[fu]]</f>
        <v>15731704.800000003</v>
      </c>
      <c r="AU51" s="11">
        <f ca="1">MIN(Table8[[#This Row],[Nty]],Table8[[#This Row],[Ntu]])</f>
        <v>13664000</v>
      </c>
    </row>
    <row r="52" spans="2:47" x14ac:dyDescent="0.25">
      <c r="B52" s="15" t="str">
        <f>Table8[[#This Row],[Section]]&amp;"-"&amp;TEXT(Table8[[#This Row],[Grade]],"0")</f>
        <v>500WC340-300</v>
      </c>
      <c r="C52" s="3" t="s">
        <v>61</v>
      </c>
      <c r="D52" s="3">
        <v>300</v>
      </c>
      <c r="E52" s="3" t="s">
        <v>75</v>
      </c>
      <c r="F52" s="4">
        <v>340</v>
      </c>
      <c r="G52" s="3" t="s">
        <v>13</v>
      </c>
      <c r="H52" s="3" t="s">
        <v>14</v>
      </c>
      <c r="I52" s="5">
        <v>0.51400000000000001</v>
      </c>
      <c r="J52" s="5">
        <v>0.5</v>
      </c>
      <c r="K52" s="5">
        <v>3.2000000000000001E-2</v>
      </c>
      <c r="L52" s="5">
        <v>2.5000000000000001E-2</v>
      </c>
      <c r="M52" s="5" t="s">
        <v>107</v>
      </c>
      <c r="N52" s="5">
        <v>0.45</v>
      </c>
      <c r="O52" s="6">
        <v>18</v>
      </c>
      <c r="P52" s="6">
        <v>7.4218749999999991</v>
      </c>
      <c r="Q52" s="7">
        <v>4.3200000000000002E-2</v>
      </c>
      <c r="R52" s="8">
        <v>2.0500000000000002E-3</v>
      </c>
      <c r="S52" s="9">
        <v>7.9799999999999992E-3</v>
      </c>
      <c r="T52" s="9">
        <v>8.9800000000000001E-3</v>
      </c>
      <c r="U52" s="5">
        <v>0.218</v>
      </c>
      <c r="V52" s="8">
        <v>6.6699999999999995E-4</v>
      </c>
      <c r="W52" s="9">
        <v>2.6700000000000001E-3</v>
      </c>
      <c r="X52" s="9">
        <v>4.0699999999999998E-3</v>
      </c>
      <c r="Y52" s="5">
        <v>0.218</v>
      </c>
      <c r="Z52" s="8">
        <v>1.31E-5</v>
      </c>
      <c r="AA52" s="10">
        <v>3.8800000000000001E-5</v>
      </c>
      <c r="AB52" s="45">
        <v>0.85</v>
      </c>
      <c r="AC52" s="17">
        <f t="array" ref="AC52">INDEX(tbllkpSteelGrades[fy],MATCH(1,(Table8[[#This Row],[Grade]]=tbllkpSteelGrades[Grade])*(Table8[[#This Row],[tw]]&lt;=tbllkpSteelGrades[Thickness]),0))</f>
        <v>280000000</v>
      </c>
      <c r="AD52" s="17">
        <f t="array" ref="AD52">INDEX(tbllkpSteelGrades[fy],MATCH(1,(Table8[[#This Row],[Grade]]=tbllkpSteelGrades[Grade])*(Table8[[#This Row],[tf]]&lt;=tbllkpSteelGrades[Thickness]),0))</f>
        <v>280000000</v>
      </c>
      <c r="AE52" s="17">
        <f>MIN(Table8[[#This Row],[fy_web]],Table8[[#This Row],[fy_flange]])</f>
        <v>280000000</v>
      </c>
      <c r="AF52" s="17">
        <f t="array" ref="AF52">INDEX(tbllkpSteelGrades[fu],MATCH(1,(Table8[[#This Row],[Grade]]=tbllkpSteelGrades[Grade])*(Table8[[#This Row],[tw]]&lt;=tbllkpSteelGrades[Thickness]),0))</f>
        <v>430000000</v>
      </c>
      <c r="AG52" s="18">
        <f>IF(Table8[[#This Row],[Fabrication Type]]="Welded",Table8[[#This Row],[d1]],Table8[[#This Row],[d]])*Table8[[#This Row],[tw]]</f>
        <v>1.1250000000000001E-2</v>
      </c>
      <c r="AH52" s="11">
        <f>Table8[[#This Row],[Aw]]*Table8[[#This Row],[fy_web]]*0.6</f>
        <v>1890000.0000000002</v>
      </c>
      <c r="AI52" s="35">
        <f>82/SQRT(Table8[[#This Row],[fy_web]]/250000000)</f>
        <v>77.482716966891573</v>
      </c>
      <c r="AJ5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52" s="38">
        <f>IF(Table8[[#This Row],[Fabrication Type]]="Welded",IF(Table8[[#This Row],[tw]]&gt;0.016,0.016*Table8[[#This Row],[fu]],Table8[[#This Row],[tw]]*Table8[[#This Row],[fu]]),"")</f>
        <v>6880000</v>
      </c>
      <c r="AL52" s="13">
        <f>Table8[[#This Row],[d]]-Table8[[#This Row],[tf]]</f>
        <v>0.48199999999999998</v>
      </c>
      <c r="AM52" s="39">
        <f>Table8[[#This Row],[bf]]*Table8[[#This Row],[tf]]*(Table8[[#This Row],[df]]/2)</f>
        <v>3.8560000000000001E-3</v>
      </c>
      <c r="AN52" s="11">
        <f>IF(Table8[[#This Row],[Fabrication Type]]="Welded",Table8[[#This Row],[vw]]*Table8[[#This Row],[Ix]]/Table8[[#This Row],[Qflange]],"")</f>
        <v>3657676.3485477185</v>
      </c>
      <c r="AO52" s="11">
        <f>Table8[[#This Row],[tw]]*MIN(Table8[[#This Row],[fy_web]], Table8[[#This Row],[fy_flange]])*0.6*Table8[[#This Row],[Ix]]/Table8[[#This Row],[Qflange]]</f>
        <v>2232883.8174273861</v>
      </c>
      <c r="AP52" s="50">
        <f ca="1">INDEX(tbllkpkt[kt],MATCH(RANDBETWEEN(1,4),tbllkpkt[Index],0))</f>
        <v>0.9</v>
      </c>
      <c r="AQ52" s="48">
        <f t="shared" ca="1" si="1"/>
        <v>0.97</v>
      </c>
      <c r="AR52" s="18">
        <f ca="1">Table8[[#This Row],[Ag]]*Table8[[#This Row],[Deduction_for_An]]</f>
        <v>4.1904000000000004E-2</v>
      </c>
      <c r="AS52" s="11">
        <f>Table8[[#This Row],[fy]]*Table8[[#This Row],[Ag]]</f>
        <v>12096000</v>
      </c>
      <c r="AT52" s="11">
        <f ca="1">Table8[[#This Row],[αu]]*Table8[[#This Row],[kt]]*Table8[[#This Row],[An]]*Table8[[#This Row],[fu]]</f>
        <v>13784320.800000003</v>
      </c>
      <c r="AU52" s="11">
        <f ca="1">MIN(Table8[[#This Row],[Nty]],Table8[[#This Row],[Ntu]])</f>
        <v>12096000</v>
      </c>
    </row>
    <row r="53" spans="2:47" x14ac:dyDescent="0.25">
      <c r="B53" s="15" t="str">
        <f>Table8[[#This Row],[Section]]&amp;"-"&amp;TEXT(Table8[[#This Row],[Grade]],"0")</f>
        <v>500WC290-300</v>
      </c>
      <c r="C53" s="3" t="s">
        <v>62</v>
      </c>
      <c r="D53" s="3">
        <v>300</v>
      </c>
      <c r="E53" s="3" t="s">
        <v>75</v>
      </c>
      <c r="F53" s="4">
        <v>290</v>
      </c>
      <c r="G53" s="3" t="s">
        <v>13</v>
      </c>
      <c r="H53" s="3" t="s">
        <v>14</v>
      </c>
      <c r="I53" s="5">
        <v>0.50600000000000001</v>
      </c>
      <c r="J53" s="5">
        <v>0.5</v>
      </c>
      <c r="K53" s="5">
        <v>2.8000000000000001E-2</v>
      </c>
      <c r="L53" s="5">
        <v>0.02</v>
      </c>
      <c r="M53" s="5" t="s">
        <v>107</v>
      </c>
      <c r="N53" s="5">
        <v>0.45</v>
      </c>
      <c r="O53" s="6">
        <v>22.5</v>
      </c>
      <c r="P53" s="6">
        <v>8.5714285714285712</v>
      </c>
      <c r="Q53" s="7">
        <v>3.6999999999999998E-2</v>
      </c>
      <c r="R53" s="8">
        <v>1.75E-3</v>
      </c>
      <c r="S53" s="9">
        <v>6.9300000000000004E-3</v>
      </c>
      <c r="T53" s="9">
        <v>7.7000000000000002E-3</v>
      </c>
      <c r="U53" s="5">
        <v>0.218</v>
      </c>
      <c r="V53" s="8">
        <v>5.8399999999999999E-4</v>
      </c>
      <c r="W53" s="9">
        <v>2.33E-3</v>
      </c>
      <c r="X53" s="9">
        <v>3.5400000000000002E-3</v>
      </c>
      <c r="Y53" s="5">
        <v>0.218</v>
      </c>
      <c r="Z53" s="8">
        <v>8.4200000000000007E-6</v>
      </c>
      <c r="AA53" s="10">
        <v>3.3300000000000003E-5</v>
      </c>
      <c r="AB53" s="45">
        <v>0.85</v>
      </c>
      <c r="AC53" s="17">
        <f t="array" ref="AC53">INDEX(tbllkpSteelGrades[fy],MATCH(1,(Table8[[#This Row],[Grade]]=tbllkpSteelGrades[Grade])*(Table8[[#This Row],[tw]]&lt;=tbllkpSteelGrades[Thickness]),0))</f>
        <v>300000000</v>
      </c>
      <c r="AD53" s="17">
        <f t="array" ref="AD53">INDEX(tbllkpSteelGrades[fy],MATCH(1,(Table8[[#This Row],[Grade]]=tbllkpSteelGrades[Grade])*(Table8[[#This Row],[tf]]&lt;=tbllkpSteelGrades[Thickness]),0))</f>
        <v>280000000</v>
      </c>
      <c r="AE53" s="17">
        <f>MIN(Table8[[#This Row],[fy_web]],Table8[[#This Row],[fy_flange]])</f>
        <v>280000000</v>
      </c>
      <c r="AF53" s="17">
        <f t="array" ref="AF53">INDEX(tbllkpSteelGrades[fu],MATCH(1,(Table8[[#This Row],[Grade]]=tbllkpSteelGrades[Grade])*(Table8[[#This Row],[tw]]&lt;=tbllkpSteelGrades[Thickness]),0))</f>
        <v>430000000</v>
      </c>
      <c r="AG53" s="18">
        <f>IF(Table8[[#This Row],[Fabrication Type]]="Welded",Table8[[#This Row],[d1]],Table8[[#This Row],[d]])*Table8[[#This Row],[tw]]</f>
        <v>9.0000000000000011E-3</v>
      </c>
      <c r="AH53" s="11">
        <f>Table8[[#This Row],[Aw]]*Table8[[#This Row],[fy_web]]*0.6</f>
        <v>1620000.0000000002</v>
      </c>
      <c r="AI53" s="35">
        <f>82/SQRT(Table8[[#This Row],[fy_web]]/250000000)</f>
        <v>74.855416192372701</v>
      </c>
      <c r="AJ5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53" s="38">
        <f>IF(Table8[[#This Row],[Fabrication Type]]="Welded",IF(Table8[[#This Row],[tw]]&gt;0.016,0.016*Table8[[#This Row],[fu]],Table8[[#This Row],[tw]]*Table8[[#This Row],[fu]]),"")</f>
        <v>6880000</v>
      </c>
      <c r="AL53" s="13">
        <f>Table8[[#This Row],[d]]-Table8[[#This Row],[tf]]</f>
        <v>0.47799999999999998</v>
      </c>
      <c r="AM53" s="39">
        <f>Table8[[#This Row],[bf]]*Table8[[#This Row],[tf]]*(Table8[[#This Row],[df]]/2)</f>
        <v>3.346E-3</v>
      </c>
      <c r="AN53" s="11">
        <f>IF(Table8[[#This Row],[Fabrication Type]]="Welded",Table8[[#This Row],[vw]]*Table8[[#This Row],[Ix]]/Table8[[#This Row],[Qflange]],"")</f>
        <v>3598326.3598326361</v>
      </c>
      <c r="AO53" s="11">
        <f>Table8[[#This Row],[tw]]*MIN(Table8[[#This Row],[fy_web]], Table8[[#This Row],[fy_flange]])*0.6*Table8[[#This Row],[Ix]]/Table8[[#This Row],[Qflange]]</f>
        <v>1757322.1757322175</v>
      </c>
      <c r="AP53" s="50">
        <f ca="1">INDEX(tbllkpkt[kt],MATCH(RANDBETWEEN(1,4),tbllkpkt[Index],0))</f>
        <v>0.85</v>
      </c>
      <c r="AQ53" s="48">
        <f t="shared" ca="1" si="1"/>
        <v>0.92</v>
      </c>
      <c r="AR53" s="18">
        <f ca="1">Table8[[#This Row],[Ag]]*Table8[[#This Row],[Deduction_for_An]]</f>
        <v>3.4040000000000001E-2</v>
      </c>
      <c r="AS53" s="11">
        <f>Table8[[#This Row],[fy]]*Table8[[#This Row],[Ag]]</f>
        <v>10360000</v>
      </c>
      <c r="AT53" s="11">
        <f ca="1">Table8[[#This Row],[αu]]*Table8[[#This Row],[kt]]*Table8[[#This Row],[An]]*Table8[[#This Row],[fu]]</f>
        <v>10575377</v>
      </c>
      <c r="AU53" s="11">
        <f ca="1">MIN(Table8[[#This Row],[Nty]],Table8[[#This Row],[Ntu]])</f>
        <v>10360000</v>
      </c>
    </row>
    <row r="54" spans="2:47" x14ac:dyDescent="0.25">
      <c r="B54" s="15" t="str">
        <f>Table8[[#This Row],[Section]]&amp;"-"&amp;TEXT(Table8[[#This Row],[Grade]],"0")</f>
        <v>500WC267-300</v>
      </c>
      <c r="C54" s="3" t="s">
        <v>63</v>
      </c>
      <c r="D54" s="3">
        <v>300</v>
      </c>
      <c r="E54" s="3" t="s">
        <v>75</v>
      </c>
      <c r="F54" s="4">
        <v>267</v>
      </c>
      <c r="G54" s="3" t="s">
        <v>13</v>
      </c>
      <c r="H54" s="3" t="s">
        <v>14</v>
      </c>
      <c r="I54" s="5">
        <v>0.5</v>
      </c>
      <c r="J54" s="5">
        <v>0.5</v>
      </c>
      <c r="K54" s="5">
        <v>2.5000000000000001E-2</v>
      </c>
      <c r="L54" s="5">
        <v>0.02</v>
      </c>
      <c r="M54" s="5" t="s">
        <v>107</v>
      </c>
      <c r="N54" s="5">
        <v>0.45</v>
      </c>
      <c r="O54" s="6">
        <v>22.5</v>
      </c>
      <c r="P54" s="6">
        <v>9.6</v>
      </c>
      <c r="Q54" s="7">
        <v>3.4000000000000002E-2</v>
      </c>
      <c r="R54" s="8">
        <v>1.56E-3</v>
      </c>
      <c r="S54" s="9">
        <v>6.2500000000000003E-3</v>
      </c>
      <c r="T54" s="9">
        <v>6.9499999999999996E-3</v>
      </c>
      <c r="U54" s="5">
        <v>0.214</v>
      </c>
      <c r="V54" s="8">
        <v>5.2099999999999998E-4</v>
      </c>
      <c r="W54" s="9">
        <v>2.0799999999999998E-3</v>
      </c>
      <c r="X54" s="9">
        <v>3.1700000000000001E-3</v>
      </c>
      <c r="Y54" s="5">
        <v>0.214</v>
      </c>
      <c r="Z54" s="8">
        <v>6.37E-6</v>
      </c>
      <c r="AA54" s="10">
        <v>2.94E-5</v>
      </c>
      <c r="AB54" s="45">
        <v>0.85</v>
      </c>
      <c r="AC54" s="17">
        <f t="array" ref="AC54">INDEX(tbllkpSteelGrades[fy],MATCH(1,(Table8[[#This Row],[Grade]]=tbllkpSteelGrades[Grade])*(Table8[[#This Row],[tw]]&lt;=tbllkpSteelGrades[Thickness]),0))</f>
        <v>300000000</v>
      </c>
      <c r="AD54" s="17">
        <f t="array" ref="AD54">INDEX(tbllkpSteelGrades[fy],MATCH(1,(Table8[[#This Row],[Grade]]=tbllkpSteelGrades[Grade])*(Table8[[#This Row],[tf]]&lt;=tbllkpSteelGrades[Thickness]),0))</f>
        <v>280000000</v>
      </c>
      <c r="AE54" s="17">
        <f>MIN(Table8[[#This Row],[fy_web]],Table8[[#This Row],[fy_flange]])</f>
        <v>280000000</v>
      </c>
      <c r="AF54" s="17">
        <f t="array" ref="AF54">INDEX(tbllkpSteelGrades[fu],MATCH(1,(Table8[[#This Row],[Grade]]=tbllkpSteelGrades[Grade])*(Table8[[#This Row],[tw]]&lt;=tbllkpSteelGrades[Thickness]),0))</f>
        <v>430000000</v>
      </c>
      <c r="AG54" s="18">
        <f>IF(Table8[[#This Row],[Fabrication Type]]="Welded",Table8[[#This Row],[d1]],Table8[[#This Row],[d]])*Table8[[#This Row],[tw]]</f>
        <v>9.0000000000000011E-3</v>
      </c>
      <c r="AH54" s="11">
        <f>Table8[[#This Row],[Aw]]*Table8[[#This Row],[fy_web]]*0.6</f>
        <v>1620000.0000000002</v>
      </c>
      <c r="AI54" s="35">
        <f>82/SQRT(Table8[[#This Row],[fy_web]]/250000000)</f>
        <v>74.855416192372701</v>
      </c>
      <c r="AJ5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54" s="38">
        <f>IF(Table8[[#This Row],[Fabrication Type]]="Welded",IF(Table8[[#This Row],[tw]]&gt;0.016,0.016*Table8[[#This Row],[fu]],Table8[[#This Row],[tw]]*Table8[[#This Row],[fu]]),"")</f>
        <v>6880000</v>
      </c>
      <c r="AL54" s="13">
        <f>Table8[[#This Row],[d]]-Table8[[#This Row],[tf]]</f>
        <v>0.47499999999999998</v>
      </c>
      <c r="AM54" s="39">
        <f>Table8[[#This Row],[bf]]*Table8[[#This Row],[tf]]*(Table8[[#This Row],[df]]/2)</f>
        <v>2.96875E-3</v>
      </c>
      <c r="AN54" s="11">
        <f>IF(Table8[[#This Row],[Fabrication Type]]="Welded",Table8[[#This Row],[vw]]*Table8[[#This Row],[Ix]]/Table8[[#This Row],[Qflange]],"")</f>
        <v>3615258.9473684207</v>
      </c>
      <c r="AO54" s="11">
        <f>Table8[[#This Row],[tw]]*MIN(Table8[[#This Row],[fy_web]], Table8[[#This Row],[fy_flange]])*0.6*Table8[[#This Row],[Ix]]/Table8[[#This Row],[Qflange]]</f>
        <v>1765591.5789473683</v>
      </c>
      <c r="AP54" s="50">
        <f ca="1">INDEX(tbllkpkt[kt],MATCH(RANDBETWEEN(1,4),tbllkpkt[Index],0))</f>
        <v>0.85</v>
      </c>
      <c r="AQ54" s="48">
        <f t="shared" ca="1" si="1"/>
        <v>0.98</v>
      </c>
      <c r="AR54" s="18">
        <f ca="1">Table8[[#This Row],[Ag]]*Table8[[#This Row],[Deduction_for_An]]</f>
        <v>3.3320000000000002E-2</v>
      </c>
      <c r="AS54" s="11">
        <f>Table8[[#This Row],[fy]]*Table8[[#This Row],[Ag]]</f>
        <v>9520000</v>
      </c>
      <c r="AT54" s="11">
        <f ca="1">Table8[[#This Row],[αu]]*Table8[[#This Row],[kt]]*Table8[[#This Row],[An]]*Table8[[#This Row],[fu]]</f>
        <v>10351691</v>
      </c>
      <c r="AU54" s="11">
        <f ca="1">MIN(Table8[[#This Row],[Nty]],Table8[[#This Row],[Ntu]])</f>
        <v>9520000</v>
      </c>
    </row>
    <row r="55" spans="2:47" x14ac:dyDescent="0.25">
      <c r="B55" s="15" t="str">
        <f>Table8[[#This Row],[Section]]&amp;"-"&amp;TEXT(Table8[[#This Row],[Grade]],"0")</f>
        <v>500WC228-300</v>
      </c>
      <c r="C55" s="3" t="s">
        <v>64</v>
      </c>
      <c r="D55" s="3">
        <v>300</v>
      </c>
      <c r="E55" s="3" t="s">
        <v>75</v>
      </c>
      <c r="F55" s="4">
        <v>228</v>
      </c>
      <c r="G55" s="3" t="s">
        <v>13</v>
      </c>
      <c r="H55" s="3" t="s">
        <v>14</v>
      </c>
      <c r="I55" s="5">
        <v>0.49</v>
      </c>
      <c r="J55" s="5">
        <v>0.5</v>
      </c>
      <c r="K55" s="5">
        <v>0.02</v>
      </c>
      <c r="L55" s="5">
        <v>0.02</v>
      </c>
      <c r="M55" s="5" t="s">
        <v>107</v>
      </c>
      <c r="N55" s="5">
        <v>0.45</v>
      </c>
      <c r="O55" s="6">
        <v>22.5</v>
      </c>
      <c r="P55" s="6">
        <v>12</v>
      </c>
      <c r="Q55" s="7">
        <v>2.9000000000000001E-2</v>
      </c>
      <c r="R55" s="8">
        <v>1.2600000000000001E-3</v>
      </c>
      <c r="S55" s="9">
        <v>5.13E-3</v>
      </c>
      <c r="T55" s="9">
        <v>5.7099999999999998E-3</v>
      </c>
      <c r="U55" s="5">
        <v>0.20799999999999999</v>
      </c>
      <c r="V55" s="8">
        <v>4.17E-4</v>
      </c>
      <c r="W55" s="9">
        <v>1.67E-3</v>
      </c>
      <c r="X55" s="9">
        <v>2.5400000000000002E-3</v>
      </c>
      <c r="Y55" s="5">
        <v>0.20799999999999999</v>
      </c>
      <c r="Z55" s="8">
        <v>3.8800000000000001E-6</v>
      </c>
      <c r="AA55" s="10">
        <v>2.3E-5</v>
      </c>
      <c r="AB55" s="45">
        <v>0.85</v>
      </c>
      <c r="AC55" s="17">
        <f t="array" ref="AC55">INDEX(tbllkpSteelGrades[fy],MATCH(1,(Table8[[#This Row],[Grade]]=tbllkpSteelGrades[Grade])*(Table8[[#This Row],[tw]]&lt;=tbllkpSteelGrades[Thickness]),0))</f>
        <v>300000000</v>
      </c>
      <c r="AD55" s="17">
        <f t="array" ref="AD55">INDEX(tbllkpSteelGrades[fy],MATCH(1,(Table8[[#This Row],[Grade]]=tbllkpSteelGrades[Grade])*(Table8[[#This Row],[tf]]&lt;=tbllkpSteelGrades[Thickness]),0))</f>
        <v>300000000</v>
      </c>
      <c r="AE55" s="17">
        <f>MIN(Table8[[#This Row],[fy_web]],Table8[[#This Row],[fy_flange]])</f>
        <v>300000000</v>
      </c>
      <c r="AF55" s="17">
        <f t="array" ref="AF55">INDEX(tbllkpSteelGrades[fu],MATCH(1,(Table8[[#This Row],[Grade]]=tbllkpSteelGrades[Grade])*(Table8[[#This Row],[tw]]&lt;=tbllkpSteelGrades[Thickness]),0))</f>
        <v>430000000</v>
      </c>
      <c r="AG55" s="18">
        <f>IF(Table8[[#This Row],[Fabrication Type]]="Welded",Table8[[#This Row],[d1]],Table8[[#This Row],[d]])*Table8[[#This Row],[tw]]</f>
        <v>9.0000000000000011E-3</v>
      </c>
      <c r="AH55" s="11">
        <f>Table8[[#This Row],[Aw]]*Table8[[#This Row],[fy_web]]*0.6</f>
        <v>1620000.0000000002</v>
      </c>
      <c r="AI55" s="35">
        <f>82/SQRT(Table8[[#This Row],[fy_web]]/250000000)</f>
        <v>74.855416192372701</v>
      </c>
      <c r="AJ5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55" s="38">
        <f>IF(Table8[[#This Row],[Fabrication Type]]="Welded",IF(Table8[[#This Row],[tw]]&gt;0.016,0.016*Table8[[#This Row],[fu]],Table8[[#This Row],[tw]]*Table8[[#This Row],[fu]]),"")</f>
        <v>6880000</v>
      </c>
      <c r="AL55" s="13">
        <f>Table8[[#This Row],[d]]-Table8[[#This Row],[tf]]</f>
        <v>0.47</v>
      </c>
      <c r="AM55" s="39">
        <f>Table8[[#This Row],[bf]]*Table8[[#This Row],[tf]]*(Table8[[#This Row],[df]]/2)</f>
        <v>2.3500000000000001E-3</v>
      </c>
      <c r="AN55" s="11">
        <f>IF(Table8[[#This Row],[Fabrication Type]]="Welded",Table8[[#This Row],[vw]]*Table8[[#This Row],[Ix]]/Table8[[#This Row],[Qflange]],"")</f>
        <v>3688851.0638297875</v>
      </c>
      <c r="AO55" s="11">
        <f>Table8[[#This Row],[tw]]*MIN(Table8[[#This Row],[fy_web]], Table8[[#This Row],[fy_flange]])*0.6*Table8[[#This Row],[Ix]]/Table8[[#This Row],[Qflange]]</f>
        <v>1930212.7659574468</v>
      </c>
      <c r="AP55" s="50">
        <f ca="1">INDEX(tbllkpkt[kt],MATCH(RANDBETWEEN(1,4),tbllkpkt[Index],0))</f>
        <v>0.85</v>
      </c>
      <c r="AQ55" s="48">
        <f t="shared" ca="1" si="1"/>
        <v>0.94</v>
      </c>
      <c r="AR55" s="18">
        <f ca="1">Table8[[#This Row],[Ag]]*Table8[[#This Row],[Deduction_for_An]]</f>
        <v>2.726E-2</v>
      </c>
      <c r="AS55" s="11">
        <f>Table8[[#This Row],[fy]]*Table8[[#This Row],[Ag]]</f>
        <v>8700000</v>
      </c>
      <c r="AT55" s="11">
        <f ca="1">Table8[[#This Row],[αu]]*Table8[[#This Row],[kt]]*Table8[[#This Row],[An]]*Table8[[#This Row],[fu]]</f>
        <v>8469000.4999999981</v>
      </c>
      <c r="AU55" s="11">
        <f ca="1">MIN(Table8[[#This Row],[Nty]],Table8[[#This Row],[Ntu]])</f>
        <v>8469000.4999999981</v>
      </c>
    </row>
    <row r="56" spans="2:47" x14ac:dyDescent="0.25">
      <c r="B56" s="15" t="str">
        <f>Table8[[#This Row],[Section]]&amp;"-"&amp;TEXT(Table8[[#This Row],[Grade]],"0")</f>
        <v>400WC361-300</v>
      </c>
      <c r="C56" s="3" t="s">
        <v>65</v>
      </c>
      <c r="D56" s="3">
        <v>300</v>
      </c>
      <c r="E56" s="3" t="s">
        <v>75</v>
      </c>
      <c r="F56" s="4">
        <v>361</v>
      </c>
      <c r="G56" s="3" t="s">
        <v>13</v>
      </c>
      <c r="H56" s="3" t="s">
        <v>14</v>
      </c>
      <c r="I56" s="5">
        <v>0.43</v>
      </c>
      <c r="J56" s="5">
        <v>0.4</v>
      </c>
      <c r="K56" s="5">
        <v>0.04</v>
      </c>
      <c r="L56" s="5">
        <v>0.04</v>
      </c>
      <c r="M56" s="5" t="s">
        <v>107</v>
      </c>
      <c r="N56" s="5">
        <v>0.35</v>
      </c>
      <c r="O56" s="6">
        <v>8.75</v>
      </c>
      <c r="P56" s="6">
        <v>4.5</v>
      </c>
      <c r="Q56" s="7">
        <v>4.5999999999999999E-2</v>
      </c>
      <c r="R56" s="8">
        <v>1.3600000000000001E-3</v>
      </c>
      <c r="S56" s="9">
        <v>6.3400000000000001E-3</v>
      </c>
      <c r="T56" s="9">
        <v>7.4599999999999996E-3</v>
      </c>
      <c r="U56" s="5">
        <v>0.17199999999999999</v>
      </c>
      <c r="V56" s="8">
        <v>4.2900000000000002E-4</v>
      </c>
      <c r="W56" s="9">
        <v>2.14E-3</v>
      </c>
      <c r="X56" s="9">
        <v>3.3400000000000001E-3</v>
      </c>
      <c r="Y56" s="5">
        <v>0.17199999999999999</v>
      </c>
      <c r="Z56" s="8">
        <v>2.48E-5</v>
      </c>
      <c r="AA56" s="10">
        <v>1.63E-5</v>
      </c>
      <c r="AB56" s="45">
        <v>0.85</v>
      </c>
      <c r="AC56" s="17">
        <f t="array" ref="AC56">INDEX(tbllkpSteelGrades[fy],MATCH(1,(Table8[[#This Row],[Grade]]=tbllkpSteelGrades[Grade])*(Table8[[#This Row],[tw]]&lt;=tbllkpSteelGrades[Thickness]),0))</f>
        <v>280000000</v>
      </c>
      <c r="AD56" s="17">
        <f t="array" ref="AD56">INDEX(tbllkpSteelGrades[fy],MATCH(1,(Table8[[#This Row],[Grade]]=tbllkpSteelGrades[Grade])*(Table8[[#This Row],[tf]]&lt;=tbllkpSteelGrades[Thickness]),0))</f>
        <v>280000000</v>
      </c>
      <c r="AE56" s="17">
        <f>MIN(Table8[[#This Row],[fy_web]],Table8[[#This Row],[fy_flange]])</f>
        <v>280000000</v>
      </c>
      <c r="AF56" s="17">
        <f t="array" ref="AF56">INDEX(tbllkpSteelGrades[fu],MATCH(1,(Table8[[#This Row],[Grade]]=tbllkpSteelGrades[Grade])*(Table8[[#This Row],[tw]]&lt;=tbllkpSteelGrades[Thickness]),0))</f>
        <v>430000000</v>
      </c>
      <c r="AG56" s="18">
        <f>IF(Table8[[#This Row],[Fabrication Type]]="Welded",Table8[[#This Row],[d1]],Table8[[#This Row],[d]])*Table8[[#This Row],[tw]]</f>
        <v>1.3999999999999999E-2</v>
      </c>
      <c r="AH56" s="11">
        <f>Table8[[#This Row],[Aw]]*Table8[[#This Row],[fy_web]]*0.6</f>
        <v>2351999.9999999995</v>
      </c>
      <c r="AI56" s="35">
        <f>82/SQRT(Table8[[#This Row],[fy_web]]/250000000)</f>
        <v>77.482716966891573</v>
      </c>
      <c r="AJ5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56" s="38">
        <f>IF(Table8[[#This Row],[Fabrication Type]]="Welded",IF(Table8[[#This Row],[tw]]&gt;0.016,0.016*Table8[[#This Row],[fu]],Table8[[#This Row],[tw]]*Table8[[#This Row],[fu]]),"")</f>
        <v>6880000</v>
      </c>
      <c r="AL56" s="13">
        <f>Table8[[#This Row],[d]]-Table8[[#This Row],[tf]]</f>
        <v>0.39</v>
      </c>
      <c r="AM56" s="39">
        <f>Table8[[#This Row],[bf]]*Table8[[#This Row],[tf]]*(Table8[[#This Row],[df]]/2)</f>
        <v>3.1200000000000004E-3</v>
      </c>
      <c r="AN56" s="11">
        <f>IF(Table8[[#This Row],[Fabrication Type]]="Welded",Table8[[#This Row],[vw]]*Table8[[#This Row],[Ix]]/Table8[[#This Row],[Qflange]],"")</f>
        <v>2998974.358974359</v>
      </c>
      <c r="AO56" s="11">
        <f>Table8[[#This Row],[tw]]*MIN(Table8[[#This Row],[fy_web]], Table8[[#This Row],[fy_flange]])*0.6*Table8[[#This Row],[Ix]]/Table8[[#This Row],[Qflange]]</f>
        <v>2929230.769230769</v>
      </c>
      <c r="AP56" s="50">
        <f ca="1">INDEX(tbllkpkt[kt],MATCH(RANDBETWEEN(1,4),tbllkpkt[Index],0))</f>
        <v>0.85</v>
      </c>
      <c r="AQ56" s="48">
        <f t="shared" ca="1" si="1"/>
        <v>0.9</v>
      </c>
      <c r="AR56" s="18">
        <f ca="1">Table8[[#This Row],[Ag]]*Table8[[#This Row],[Deduction_for_An]]</f>
        <v>4.1399999999999999E-2</v>
      </c>
      <c r="AS56" s="11">
        <f>Table8[[#This Row],[fy]]*Table8[[#This Row],[Ag]]</f>
        <v>12880000</v>
      </c>
      <c r="AT56" s="11">
        <f ca="1">Table8[[#This Row],[αu]]*Table8[[#This Row],[kt]]*Table8[[#This Row],[An]]*Table8[[#This Row],[fu]]</f>
        <v>12861944.999999998</v>
      </c>
      <c r="AU56" s="11">
        <f ca="1">MIN(Table8[[#This Row],[Nty]],Table8[[#This Row],[Ntu]])</f>
        <v>12861944.999999998</v>
      </c>
    </row>
    <row r="57" spans="2:47" x14ac:dyDescent="0.25">
      <c r="B57" s="15" t="str">
        <f>Table8[[#This Row],[Section]]&amp;"-"&amp;TEXT(Table8[[#This Row],[Grade]],"0")</f>
        <v>400WC328-300</v>
      </c>
      <c r="C57" s="3" t="s">
        <v>66</v>
      </c>
      <c r="D57" s="3">
        <v>300</v>
      </c>
      <c r="E57" s="3" t="s">
        <v>75</v>
      </c>
      <c r="F57" s="4">
        <v>328</v>
      </c>
      <c r="G57" s="3" t="s">
        <v>13</v>
      </c>
      <c r="H57" s="3" t="s">
        <v>14</v>
      </c>
      <c r="I57" s="5">
        <v>0.43</v>
      </c>
      <c r="J57" s="5">
        <v>0.4</v>
      </c>
      <c r="K57" s="5">
        <v>0.04</v>
      </c>
      <c r="L57" s="5">
        <v>2.8000000000000001E-2</v>
      </c>
      <c r="M57" s="5" t="s">
        <v>107</v>
      </c>
      <c r="N57" s="5">
        <v>0.35</v>
      </c>
      <c r="O57" s="6">
        <v>12.499999999999998</v>
      </c>
      <c r="P57" s="6">
        <v>4.6499999999999995</v>
      </c>
      <c r="Q57" s="7">
        <v>4.1799999999999997E-2</v>
      </c>
      <c r="R57" s="8">
        <v>1.32E-3</v>
      </c>
      <c r="S57" s="9">
        <v>6.1399999999999996E-3</v>
      </c>
      <c r="T57" s="9">
        <v>7.1000000000000004E-3</v>
      </c>
      <c r="U57" s="5">
        <v>0.17799999999999999</v>
      </c>
      <c r="V57" s="8">
        <v>4.2700000000000002E-4</v>
      </c>
      <c r="W57" s="9">
        <v>2.14E-3</v>
      </c>
      <c r="X57" s="9">
        <v>3.2699999999999999E-3</v>
      </c>
      <c r="Y57" s="5">
        <v>0.17799999999999999</v>
      </c>
      <c r="Z57" s="8">
        <v>1.9199999999999999E-5</v>
      </c>
      <c r="AA57" s="10">
        <v>1.6200000000000001E-5</v>
      </c>
      <c r="AB57" s="45">
        <v>0.85</v>
      </c>
      <c r="AC57" s="17">
        <f t="array" ref="AC57">INDEX(tbllkpSteelGrades[fy],MATCH(1,(Table8[[#This Row],[Grade]]=tbllkpSteelGrades[Grade])*(Table8[[#This Row],[tw]]&lt;=tbllkpSteelGrades[Thickness]),0))</f>
        <v>280000000</v>
      </c>
      <c r="AD57" s="17">
        <f t="array" ref="AD57">INDEX(tbllkpSteelGrades[fy],MATCH(1,(Table8[[#This Row],[Grade]]=tbllkpSteelGrades[Grade])*(Table8[[#This Row],[tf]]&lt;=tbllkpSteelGrades[Thickness]),0))</f>
        <v>280000000</v>
      </c>
      <c r="AE57" s="17">
        <f>MIN(Table8[[#This Row],[fy_web]],Table8[[#This Row],[fy_flange]])</f>
        <v>280000000</v>
      </c>
      <c r="AF57" s="17">
        <f t="array" ref="AF57">INDEX(tbllkpSteelGrades[fu],MATCH(1,(Table8[[#This Row],[Grade]]=tbllkpSteelGrades[Grade])*(Table8[[#This Row],[tw]]&lt;=tbllkpSteelGrades[Thickness]),0))</f>
        <v>430000000</v>
      </c>
      <c r="AG57" s="18">
        <f>IF(Table8[[#This Row],[Fabrication Type]]="Welded",Table8[[#This Row],[d1]],Table8[[#This Row],[d]])*Table8[[#This Row],[tw]]</f>
        <v>9.7999999999999997E-3</v>
      </c>
      <c r="AH57" s="11">
        <f>Table8[[#This Row],[Aw]]*Table8[[#This Row],[fy_web]]*0.6</f>
        <v>1646400</v>
      </c>
      <c r="AI57" s="35">
        <f>82/SQRT(Table8[[#This Row],[fy_web]]/250000000)</f>
        <v>77.482716966891573</v>
      </c>
      <c r="AJ5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57" s="38">
        <f>IF(Table8[[#This Row],[Fabrication Type]]="Welded",IF(Table8[[#This Row],[tw]]&gt;0.016,0.016*Table8[[#This Row],[fu]],Table8[[#This Row],[tw]]*Table8[[#This Row],[fu]]),"")</f>
        <v>6880000</v>
      </c>
      <c r="AL57" s="13">
        <f>Table8[[#This Row],[d]]-Table8[[#This Row],[tf]]</f>
        <v>0.39</v>
      </c>
      <c r="AM57" s="39">
        <f>Table8[[#This Row],[bf]]*Table8[[#This Row],[tf]]*(Table8[[#This Row],[df]]/2)</f>
        <v>3.1200000000000004E-3</v>
      </c>
      <c r="AN57" s="11">
        <f>IF(Table8[[#This Row],[Fabrication Type]]="Welded",Table8[[#This Row],[vw]]*Table8[[#This Row],[Ix]]/Table8[[#This Row],[Qflange]],"")</f>
        <v>2910769.2307692305</v>
      </c>
      <c r="AO57" s="11">
        <f>Table8[[#This Row],[tw]]*MIN(Table8[[#This Row],[fy_web]], Table8[[#This Row],[fy_flange]])*0.6*Table8[[#This Row],[Ix]]/Table8[[#This Row],[Qflange]]</f>
        <v>1990153.8461538458</v>
      </c>
      <c r="AP57" s="50">
        <f ca="1">INDEX(tbllkpkt[kt],MATCH(RANDBETWEEN(1,4),tbllkpkt[Index],0))</f>
        <v>0.75</v>
      </c>
      <c r="AQ57" s="48">
        <f t="shared" ca="1" si="1"/>
        <v>0.98</v>
      </c>
      <c r="AR57" s="18">
        <f ca="1">Table8[[#This Row],[Ag]]*Table8[[#This Row],[Deduction_for_An]]</f>
        <v>4.0963999999999993E-2</v>
      </c>
      <c r="AS57" s="11">
        <f>Table8[[#This Row],[fy]]*Table8[[#This Row],[Ag]]</f>
        <v>11704000</v>
      </c>
      <c r="AT57" s="11">
        <f ca="1">Table8[[#This Row],[αu]]*Table8[[#This Row],[kt]]*Table8[[#This Row],[An]]*Table8[[#This Row],[fu]]</f>
        <v>11229256.499999996</v>
      </c>
      <c r="AU57" s="11">
        <f ca="1">MIN(Table8[[#This Row],[Nty]],Table8[[#This Row],[Ntu]])</f>
        <v>11229256.499999996</v>
      </c>
    </row>
    <row r="58" spans="2:47" x14ac:dyDescent="0.25">
      <c r="B58" s="15" t="str">
        <f>Table8[[#This Row],[Section]]&amp;"-"&amp;TEXT(Table8[[#This Row],[Grade]],"0")</f>
        <v>400WC303-300</v>
      </c>
      <c r="C58" s="3" t="s">
        <v>67</v>
      </c>
      <c r="D58" s="3">
        <v>300</v>
      </c>
      <c r="E58" s="3" t="s">
        <v>75</v>
      </c>
      <c r="F58" s="4">
        <v>303</v>
      </c>
      <c r="G58" s="3" t="s">
        <v>13</v>
      </c>
      <c r="H58" s="3" t="s">
        <v>14</v>
      </c>
      <c r="I58" s="5">
        <v>0.42199999999999999</v>
      </c>
      <c r="J58" s="5">
        <v>0.4</v>
      </c>
      <c r="K58" s="5">
        <v>3.5999999999999997E-2</v>
      </c>
      <c r="L58" s="5">
        <v>2.8000000000000001E-2</v>
      </c>
      <c r="M58" s="5" t="s">
        <v>107</v>
      </c>
      <c r="N58" s="5">
        <v>0.35</v>
      </c>
      <c r="O58" s="6">
        <v>12.499999999999998</v>
      </c>
      <c r="P58" s="6">
        <v>5.166666666666667</v>
      </c>
      <c r="Q58" s="7">
        <v>3.8600000000000002E-2</v>
      </c>
      <c r="R58" s="8">
        <v>1.1800000000000001E-3</v>
      </c>
      <c r="S58" s="9">
        <v>5.5700000000000003E-3</v>
      </c>
      <c r="T58" s="9">
        <v>6.4200000000000004E-3</v>
      </c>
      <c r="U58" s="5">
        <v>0.17499999999999999</v>
      </c>
      <c r="V58" s="8">
        <v>3.8499999999999998E-4</v>
      </c>
      <c r="W58" s="9">
        <v>1.92E-3</v>
      </c>
      <c r="X58" s="9">
        <v>2.9499999999999999E-3</v>
      </c>
      <c r="Y58" s="5">
        <v>0.17499999999999999</v>
      </c>
      <c r="Z58" s="8">
        <v>1.4800000000000001E-5</v>
      </c>
      <c r="AA58" s="10">
        <v>1.43E-5</v>
      </c>
      <c r="AB58" s="45">
        <v>0.85</v>
      </c>
      <c r="AC58" s="17">
        <f t="array" ref="AC58">INDEX(tbllkpSteelGrades[fy],MATCH(1,(Table8[[#This Row],[Grade]]=tbllkpSteelGrades[Grade])*(Table8[[#This Row],[tw]]&lt;=tbllkpSteelGrades[Thickness]),0))</f>
        <v>280000000</v>
      </c>
      <c r="AD58" s="17">
        <f t="array" ref="AD58">INDEX(tbllkpSteelGrades[fy],MATCH(1,(Table8[[#This Row],[Grade]]=tbllkpSteelGrades[Grade])*(Table8[[#This Row],[tf]]&lt;=tbllkpSteelGrades[Thickness]),0))</f>
        <v>280000000</v>
      </c>
      <c r="AE58" s="17">
        <f>MIN(Table8[[#This Row],[fy_web]],Table8[[#This Row],[fy_flange]])</f>
        <v>280000000</v>
      </c>
      <c r="AF58" s="17">
        <f t="array" ref="AF58">INDEX(tbllkpSteelGrades[fu],MATCH(1,(Table8[[#This Row],[Grade]]=tbllkpSteelGrades[Grade])*(Table8[[#This Row],[tw]]&lt;=tbllkpSteelGrades[Thickness]),0))</f>
        <v>430000000</v>
      </c>
      <c r="AG58" s="18">
        <f>IF(Table8[[#This Row],[Fabrication Type]]="Welded",Table8[[#This Row],[d1]],Table8[[#This Row],[d]])*Table8[[#This Row],[tw]]</f>
        <v>9.7999999999999997E-3</v>
      </c>
      <c r="AH58" s="11">
        <f>Table8[[#This Row],[Aw]]*Table8[[#This Row],[fy_web]]*0.6</f>
        <v>1646400</v>
      </c>
      <c r="AI58" s="35">
        <f>82/SQRT(Table8[[#This Row],[fy_web]]/250000000)</f>
        <v>77.482716966891573</v>
      </c>
      <c r="AJ5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58" s="38">
        <f>IF(Table8[[#This Row],[Fabrication Type]]="Welded",IF(Table8[[#This Row],[tw]]&gt;0.016,0.016*Table8[[#This Row],[fu]],Table8[[#This Row],[tw]]*Table8[[#This Row],[fu]]),"")</f>
        <v>6880000</v>
      </c>
      <c r="AL58" s="13">
        <f>Table8[[#This Row],[d]]-Table8[[#This Row],[tf]]</f>
        <v>0.38600000000000001</v>
      </c>
      <c r="AM58" s="39">
        <f>Table8[[#This Row],[bf]]*Table8[[#This Row],[tf]]*(Table8[[#This Row],[df]]/2)</f>
        <v>2.7791999999999999E-3</v>
      </c>
      <c r="AN58" s="11">
        <f>IF(Table8[[#This Row],[Fabrication Type]]="Welded",Table8[[#This Row],[vw]]*Table8[[#This Row],[Ix]]/Table8[[#This Row],[Qflange]],"")</f>
        <v>2921128.3822682789</v>
      </c>
      <c r="AO58" s="11">
        <f>Table8[[#This Row],[tw]]*MIN(Table8[[#This Row],[fy_web]], Table8[[#This Row],[fy_flange]])*0.6*Table8[[#This Row],[Ix]]/Table8[[#This Row],[Qflange]]</f>
        <v>1997236.6148531954</v>
      </c>
      <c r="AP58" s="50">
        <f ca="1">INDEX(tbllkpkt[kt],MATCH(RANDBETWEEN(1,4),tbllkpkt[Index],0))</f>
        <v>0.75</v>
      </c>
      <c r="AQ58" s="48">
        <f t="shared" ca="1" si="1"/>
        <v>0.97</v>
      </c>
      <c r="AR58" s="18">
        <f ca="1">Table8[[#This Row],[Ag]]*Table8[[#This Row],[Deduction_for_An]]</f>
        <v>3.7442000000000003E-2</v>
      </c>
      <c r="AS58" s="11">
        <f>Table8[[#This Row],[fy]]*Table8[[#This Row],[Ag]]</f>
        <v>10808000</v>
      </c>
      <c r="AT58" s="11">
        <f ca="1">Table8[[#This Row],[αu]]*Table8[[#This Row],[kt]]*Table8[[#This Row],[An]]*Table8[[#This Row],[fu]]</f>
        <v>10263788.25</v>
      </c>
      <c r="AU58" s="11">
        <f ca="1">MIN(Table8[[#This Row],[Nty]],Table8[[#This Row],[Ntu]])</f>
        <v>10263788.25</v>
      </c>
    </row>
    <row r="59" spans="2:47" x14ac:dyDescent="0.25">
      <c r="B59" s="15" t="str">
        <f>Table8[[#This Row],[Section]]&amp;"-"&amp;TEXT(Table8[[#This Row],[Grade]],"0")</f>
        <v>400WC270-300</v>
      </c>
      <c r="C59" s="3" t="s">
        <v>68</v>
      </c>
      <c r="D59" s="3">
        <v>300</v>
      </c>
      <c r="E59" s="3" t="s">
        <v>75</v>
      </c>
      <c r="F59" s="4">
        <v>270</v>
      </c>
      <c r="G59" s="3" t="s">
        <v>13</v>
      </c>
      <c r="H59" s="3" t="s">
        <v>14</v>
      </c>
      <c r="I59" s="5">
        <v>0.41399999999999998</v>
      </c>
      <c r="J59" s="5">
        <v>0.4</v>
      </c>
      <c r="K59" s="5">
        <v>3.2000000000000001E-2</v>
      </c>
      <c r="L59" s="5">
        <v>2.5000000000000001E-2</v>
      </c>
      <c r="M59" s="5" t="s">
        <v>107</v>
      </c>
      <c r="N59" s="5">
        <v>0.35</v>
      </c>
      <c r="O59" s="6">
        <v>13.999999999999998</v>
      </c>
      <c r="P59" s="6">
        <v>5.859375</v>
      </c>
      <c r="Q59" s="7">
        <v>3.44E-2</v>
      </c>
      <c r="R59" s="8">
        <v>1.0300000000000001E-3</v>
      </c>
      <c r="S59" s="9">
        <v>4.9500000000000004E-3</v>
      </c>
      <c r="T59" s="9">
        <v>5.6600000000000001E-3</v>
      </c>
      <c r="U59" s="5">
        <v>0.17299999999999999</v>
      </c>
      <c r="V59" s="8">
        <v>3.4200000000000002E-4</v>
      </c>
      <c r="W59" s="9">
        <v>1.7099999999999999E-3</v>
      </c>
      <c r="X59" s="9">
        <v>2.6099999999999999E-3</v>
      </c>
      <c r="Y59" s="5">
        <v>0.17299999999999999</v>
      </c>
      <c r="Z59" s="8">
        <v>1.04E-5</v>
      </c>
      <c r="AA59" s="10">
        <v>1.2500000000000001E-5</v>
      </c>
      <c r="AB59" s="45">
        <v>0.85</v>
      </c>
      <c r="AC59" s="17">
        <f t="array" ref="AC59">INDEX(tbllkpSteelGrades[fy],MATCH(1,(Table8[[#This Row],[Grade]]=tbllkpSteelGrades[Grade])*(Table8[[#This Row],[tw]]&lt;=tbllkpSteelGrades[Thickness]),0))</f>
        <v>280000000</v>
      </c>
      <c r="AD59" s="17">
        <f t="array" ref="AD59">INDEX(tbllkpSteelGrades[fy],MATCH(1,(Table8[[#This Row],[Grade]]=tbllkpSteelGrades[Grade])*(Table8[[#This Row],[tf]]&lt;=tbllkpSteelGrades[Thickness]),0))</f>
        <v>280000000</v>
      </c>
      <c r="AE59" s="17">
        <f>MIN(Table8[[#This Row],[fy_web]],Table8[[#This Row],[fy_flange]])</f>
        <v>280000000</v>
      </c>
      <c r="AF59" s="17">
        <f t="array" ref="AF59">INDEX(tbllkpSteelGrades[fu],MATCH(1,(Table8[[#This Row],[Grade]]=tbllkpSteelGrades[Grade])*(Table8[[#This Row],[tw]]&lt;=tbllkpSteelGrades[Thickness]),0))</f>
        <v>430000000</v>
      </c>
      <c r="AG59" s="18">
        <f>IF(Table8[[#This Row],[Fabrication Type]]="Welded",Table8[[#This Row],[d1]],Table8[[#This Row],[d]])*Table8[[#This Row],[tw]]</f>
        <v>8.7499999999999991E-3</v>
      </c>
      <c r="AH59" s="11">
        <f>Table8[[#This Row],[Aw]]*Table8[[#This Row],[fy_web]]*0.6</f>
        <v>1469999.9999999998</v>
      </c>
      <c r="AI59" s="35">
        <f>82/SQRT(Table8[[#This Row],[fy_web]]/250000000)</f>
        <v>77.482716966891573</v>
      </c>
      <c r="AJ5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59" s="38">
        <f>IF(Table8[[#This Row],[Fabrication Type]]="Welded",IF(Table8[[#This Row],[tw]]&gt;0.016,0.016*Table8[[#This Row],[fu]],Table8[[#This Row],[tw]]*Table8[[#This Row],[fu]]),"")</f>
        <v>6880000</v>
      </c>
      <c r="AL59" s="13">
        <f>Table8[[#This Row],[d]]-Table8[[#This Row],[tf]]</f>
        <v>0.38200000000000001</v>
      </c>
      <c r="AM59" s="39">
        <f>Table8[[#This Row],[bf]]*Table8[[#This Row],[tf]]*(Table8[[#This Row],[df]]/2)</f>
        <v>2.4448E-3</v>
      </c>
      <c r="AN59" s="11">
        <f>IF(Table8[[#This Row],[Fabrication Type]]="Welded",Table8[[#This Row],[vw]]*Table8[[#This Row],[Ix]]/Table8[[#This Row],[Qflange]],"")</f>
        <v>2898560.2094240841</v>
      </c>
      <c r="AO59" s="11">
        <f>Table8[[#This Row],[tw]]*MIN(Table8[[#This Row],[fy_web]], Table8[[#This Row],[fy_flange]])*0.6*Table8[[#This Row],[Ix]]/Table8[[#This Row],[Qflange]]</f>
        <v>1769469.8952879582</v>
      </c>
      <c r="AP59" s="50">
        <f ca="1">INDEX(tbllkpkt[kt],MATCH(RANDBETWEEN(1,4),tbllkpkt[Index],0))</f>
        <v>1</v>
      </c>
      <c r="AQ59" s="48">
        <f t="shared" ca="1" si="1"/>
        <v>0.98</v>
      </c>
      <c r="AR59" s="18">
        <f ca="1">Table8[[#This Row],[Ag]]*Table8[[#This Row],[Deduction_for_An]]</f>
        <v>3.3711999999999999E-2</v>
      </c>
      <c r="AS59" s="11">
        <f>Table8[[#This Row],[fy]]*Table8[[#This Row],[Ag]]</f>
        <v>9632000</v>
      </c>
      <c r="AT59" s="11">
        <f ca="1">Table8[[#This Row],[αu]]*Table8[[#This Row],[kt]]*Table8[[#This Row],[An]]*Table8[[#This Row],[fu]]</f>
        <v>12321736</v>
      </c>
      <c r="AU59" s="11">
        <f ca="1">MIN(Table8[[#This Row],[Nty]],Table8[[#This Row],[Ntu]])</f>
        <v>9632000</v>
      </c>
    </row>
    <row r="60" spans="2:47" x14ac:dyDescent="0.25">
      <c r="B60" s="15" t="str">
        <f>Table8[[#This Row],[Section]]&amp;"-"&amp;TEXT(Table8[[#This Row],[Grade]],"0")</f>
        <v>400WC212-300</v>
      </c>
      <c r="C60" s="3" t="s">
        <v>69</v>
      </c>
      <c r="D60" s="3">
        <v>300</v>
      </c>
      <c r="E60" s="3" t="s">
        <v>75</v>
      </c>
      <c r="F60" s="4">
        <v>212</v>
      </c>
      <c r="G60" s="3" t="s">
        <v>13</v>
      </c>
      <c r="H60" s="3" t="s">
        <v>14</v>
      </c>
      <c r="I60" s="5">
        <v>0.4</v>
      </c>
      <c r="J60" s="5">
        <v>0.4</v>
      </c>
      <c r="K60" s="5">
        <v>2.5000000000000001E-2</v>
      </c>
      <c r="L60" s="5">
        <v>0.02</v>
      </c>
      <c r="M60" s="5" t="s">
        <v>107</v>
      </c>
      <c r="N60" s="5">
        <v>0.35000000000000003</v>
      </c>
      <c r="O60" s="6">
        <v>17.5</v>
      </c>
      <c r="P60" s="6">
        <v>7.6</v>
      </c>
      <c r="Q60" s="7">
        <v>2.7E-2</v>
      </c>
      <c r="R60" s="8">
        <v>7.76E-4</v>
      </c>
      <c r="S60" s="9">
        <v>3.8800000000000002E-3</v>
      </c>
      <c r="T60" s="9">
        <v>4.3600000000000002E-3</v>
      </c>
      <c r="U60" s="5">
        <v>0.16900000000000001</v>
      </c>
      <c r="V60" s="8">
        <v>2.6699999999999998E-4</v>
      </c>
      <c r="W60" s="9">
        <v>1.33E-3</v>
      </c>
      <c r="X60" s="9">
        <v>2.0400000000000001E-3</v>
      </c>
      <c r="Y60" s="5">
        <v>0.16900000000000001</v>
      </c>
      <c r="Z60" s="8">
        <v>5.0599999999999998E-6</v>
      </c>
      <c r="AA60" s="10">
        <v>9.38E-6</v>
      </c>
      <c r="AB60" s="45">
        <v>0.85</v>
      </c>
      <c r="AC60" s="17">
        <f t="array" ref="AC60">INDEX(tbllkpSteelGrades[fy],MATCH(1,(Table8[[#This Row],[Grade]]=tbllkpSteelGrades[Grade])*(Table8[[#This Row],[tw]]&lt;=tbllkpSteelGrades[Thickness]),0))</f>
        <v>300000000</v>
      </c>
      <c r="AD60" s="17">
        <f t="array" ref="AD60">INDEX(tbllkpSteelGrades[fy],MATCH(1,(Table8[[#This Row],[Grade]]=tbllkpSteelGrades[Grade])*(Table8[[#This Row],[tf]]&lt;=tbllkpSteelGrades[Thickness]),0))</f>
        <v>280000000</v>
      </c>
      <c r="AE60" s="17">
        <f>MIN(Table8[[#This Row],[fy_web]],Table8[[#This Row],[fy_flange]])</f>
        <v>280000000</v>
      </c>
      <c r="AF60" s="17">
        <f t="array" ref="AF60">INDEX(tbllkpSteelGrades[fu],MATCH(1,(Table8[[#This Row],[Grade]]=tbllkpSteelGrades[Grade])*(Table8[[#This Row],[tw]]&lt;=tbllkpSteelGrades[Thickness]),0))</f>
        <v>430000000</v>
      </c>
      <c r="AG60" s="18">
        <f>IF(Table8[[#This Row],[Fabrication Type]]="Welded",Table8[[#This Row],[d1]],Table8[[#This Row],[d]])*Table8[[#This Row],[tw]]</f>
        <v>7.000000000000001E-3</v>
      </c>
      <c r="AH60" s="11">
        <f>Table8[[#This Row],[Aw]]*Table8[[#This Row],[fy_web]]*0.6</f>
        <v>1260000.0000000002</v>
      </c>
      <c r="AI60" s="35">
        <f>82/SQRT(Table8[[#This Row],[fy_web]]/250000000)</f>
        <v>74.855416192372701</v>
      </c>
      <c r="AJ6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60" s="38">
        <f>IF(Table8[[#This Row],[Fabrication Type]]="Welded",IF(Table8[[#This Row],[tw]]&gt;0.016,0.016*Table8[[#This Row],[fu]],Table8[[#This Row],[tw]]*Table8[[#This Row],[fu]]),"")</f>
        <v>6880000</v>
      </c>
      <c r="AL60" s="13">
        <f>Table8[[#This Row],[d]]-Table8[[#This Row],[tf]]</f>
        <v>0.375</v>
      </c>
      <c r="AM60" s="39">
        <f>Table8[[#This Row],[bf]]*Table8[[#This Row],[tf]]*(Table8[[#This Row],[df]]/2)</f>
        <v>1.8750000000000004E-3</v>
      </c>
      <c r="AN60" s="11">
        <f>IF(Table8[[#This Row],[Fabrication Type]]="Welded",Table8[[#This Row],[vw]]*Table8[[#This Row],[Ix]]/Table8[[#This Row],[Qflange]],"")</f>
        <v>2847402.666666666</v>
      </c>
      <c r="AO60" s="11">
        <f>Table8[[#This Row],[tw]]*MIN(Table8[[#This Row],[fy_web]], Table8[[#This Row],[fy_flange]])*0.6*Table8[[#This Row],[Ix]]/Table8[[#This Row],[Qflange]]</f>
        <v>1390591.9999999998</v>
      </c>
      <c r="AP60" s="50">
        <f ca="1">INDEX(tbllkpkt[kt],MATCH(RANDBETWEEN(1,4),tbllkpkt[Index],0))</f>
        <v>0.75</v>
      </c>
      <c r="AQ60" s="48">
        <f t="shared" ca="1" si="1"/>
        <v>0.96</v>
      </c>
      <c r="AR60" s="18">
        <f ca="1">Table8[[#This Row],[Ag]]*Table8[[#This Row],[Deduction_for_An]]</f>
        <v>2.5919999999999999E-2</v>
      </c>
      <c r="AS60" s="11">
        <f>Table8[[#This Row],[fy]]*Table8[[#This Row],[Ag]]</f>
        <v>7560000</v>
      </c>
      <c r="AT60" s="11">
        <f ca="1">Table8[[#This Row],[αu]]*Table8[[#This Row],[kt]]*Table8[[#This Row],[An]]*Table8[[#This Row],[fu]]</f>
        <v>7105319.9999999991</v>
      </c>
      <c r="AU60" s="11">
        <f ca="1">MIN(Table8[[#This Row],[Nty]],Table8[[#This Row],[Ntu]])</f>
        <v>7105319.9999999991</v>
      </c>
    </row>
    <row r="61" spans="2:47" x14ac:dyDescent="0.25">
      <c r="B61" s="15" t="str">
        <f>Table8[[#This Row],[Section]]&amp;"-"&amp;TEXT(Table8[[#This Row],[Grade]],"0")</f>
        <v>400WC181-300</v>
      </c>
      <c r="C61" s="3" t="s">
        <v>70</v>
      </c>
      <c r="D61" s="3">
        <v>300</v>
      </c>
      <c r="E61" s="3" t="s">
        <v>75</v>
      </c>
      <c r="F61" s="4">
        <v>181</v>
      </c>
      <c r="G61" s="3" t="s">
        <v>13</v>
      </c>
      <c r="H61" s="3" t="s">
        <v>14</v>
      </c>
      <c r="I61" s="5">
        <v>0.39</v>
      </c>
      <c r="J61" s="5">
        <v>0.4</v>
      </c>
      <c r="K61" s="5">
        <v>0.02</v>
      </c>
      <c r="L61" s="5">
        <v>0.02</v>
      </c>
      <c r="M61" s="5" t="s">
        <v>107</v>
      </c>
      <c r="N61" s="5">
        <v>0.35000000000000003</v>
      </c>
      <c r="O61" s="6">
        <v>17.5</v>
      </c>
      <c r="P61" s="6">
        <v>9.5</v>
      </c>
      <c r="Q61" s="7">
        <v>2.3E-2</v>
      </c>
      <c r="R61" s="8">
        <v>6.2E-4</v>
      </c>
      <c r="S61" s="9">
        <v>3.1800000000000001E-3</v>
      </c>
      <c r="T61" s="9">
        <v>3.5699999999999998E-3</v>
      </c>
      <c r="U61" s="5">
        <v>0.16400000000000001</v>
      </c>
      <c r="V61" s="8">
        <v>2.14E-4</v>
      </c>
      <c r="W61" s="9">
        <v>1.07E-3</v>
      </c>
      <c r="X61" s="9">
        <v>1.64E-3</v>
      </c>
      <c r="Y61" s="5">
        <v>0.16400000000000001</v>
      </c>
      <c r="Z61" s="8">
        <v>3.0800000000000002E-6</v>
      </c>
      <c r="AA61" s="10">
        <v>7.3100000000000003E-6</v>
      </c>
      <c r="AB61" s="45">
        <v>0.85</v>
      </c>
      <c r="AC61" s="17">
        <f t="array" ref="AC61">INDEX(tbllkpSteelGrades[fy],MATCH(1,(Table8[[#This Row],[Grade]]=tbllkpSteelGrades[Grade])*(Table8[[#This Row],[tw]]&lt;=tbllkpSteelGrades[Thickness]),0))</f>
        <v>300000000</v>
      </c>
      <c r="AD61" s="17">
        <f t="array" ref="AD61">INDEX(tbllkpSteelGrades[fy],MATCH(1,(Table8[[#This Row],[Grade]]=tbllkpSteelGrades[Grade])*(Table8[[#This Row],[tf]]&lt;=tbllkpSteelGrades[Thickness]),0))</f>
        <v>300000000</v>
      </c>
      <c r="AE61" s="17">
        <f>MIN(Table8[[#This Row],[fy_web]],Table8[[#This Row],[fy_flange]])</f>
        <v>300000000</v>
      </c>
      <c r="AF61" s="17">
        <f t="array" ref="AF61">INDEX(tbllkpSteelGrades[fu],MATCH(1,(Table8[[#This Row],[Grade]]=tbllkpSteelGrades[Grade])*(Table8[[#This Row],[tw]]&lt;=tbllkpSteelGrades[Thickness]),0))</f>
        <v>430000000</v>
      </c>
      <c r="AG61" s="18">
        <f>IF(Table8[[#This Row],[Fabrication Type]]="Welded",Table8[[#This Row],[d1]],Table8[[#This Row],[d]])*Table8[[#This Row],[tw]]</f>
        <v>7.000000000000001E-3</v>
      </c>
      <c r="AH61" s="11">
        <f>Table8[[#This Row],[Aw]]*Table8[[#This Row],[fy_web]]*0.6</f>
        <v>1260000.0000000002</v>
      </c>
      <c r="AI61" s="35">
        <f>82/SQRT(Table8[[#This Row],[fy_web]]/250000000)</f>
        <v>74.855416192372701</v>
      </c>
      <c r="AJ6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61" s="38">
        <f>IF(Table8[[#This Row],[Fabrication Type]]="Welded",IF(Table8[[#This Row],[tw]]&gt;0.016,0.016*Table8[[#This Row],[fu]],Table8[[#This Row],[tw]]*Table8[[#This Row],[fu]]),"")</f>
        <v>6880000</v>
      </c>
      <c r="AL61" s="13">
        <f>Table8[[#This Row],[d]]-Table8[[#This Row],[tf]]</f>
        <v>0.37</v>
      </c>
      <c r="AM61" s="39">
        <f>Table8[[#This Row],[bf]]*Table8[[#This Row],[tf]]*(Table8[[#This Row],[df]]/2)</f>
        <v>1.48E-3</v>
      </c>
      <c r="AN61" s="11">
        <f>IF(Table8[[#This Row],[Fabrication Type]]="Welded",Table8[[#This Row],[vw]]*Table8[[#This Row],[Ix]]/Table8[[#This Row],[Qflange]],"")</f>
        <v>2882162.1621621624</v>
      </c>
      <c r="AO61" s="11">
        <f>Table8[[#This Row],[tw]]*MIN(Table8[[#This Row],[fy_web]], Table8[[#This Row],[fy_flange]])*0.6*Table8[[#This Row],[Ix]]/Table8[[#This Row],[Qflange]]</f>
        <v>1508108.1081081082</v>
      </c>
      <c r="AP61" s="50">
        <f ca="1">INDEX(tbllkpkt[kt],MATCH(RANDBETWEEN(1,4),tbllkpkt[Index],0))</f>
        <v>0.75</v>
      </c>
      <c r="AQ61" s="48">
        <f t="shared" ca="1" si="1"/>
        <v>1</v>
      </c>
      <c r="AR61" s="18">
        <f ca="1">Table8[[#This Row],[Ag]]*Table8[[#This Row],[Deduction_for_An]]</f>
        <v>2.3E-2</v>
      </c>
      <c r="AS61" s="11">
        <f>Table8[[#This Row],[fy]]*Table8[[#This Row],[Ag]]</f>
        <v>6900000</v>
      </c>
      <c r="AT61" s="11">
        <f ca="1">Table8[[#This Row],[αu]]*Table8[[#This Row],[kt]]*Table8[[#This Row],[An]]*Table8[[#This Row],[fu]]</f>
        <v>6304874.9999999991</v>
      </c>
      <c r="AU61" s="11">
        <f ca="1">MIN(Table8[[#This Row],[Nty]],Table8[[#This Row],[Ntu]])</f>
        <v>6304874.9999999991</v>
      </c>
    </row>
    <row r="62" spans="2:47" x14ac:dyDescent="0.25">
      <c r="B62" s="15" t="str">
        <f>Table8[[#This Row],[Section]]&amp;"-"&amp;TEXT(Table8[[#This Row],[Grade]],"0")</f>
        <v>400WC144-300</v>
      </c>
      <c r="C62" s="3" t="s">
        <v>71</v>
      </c>
      <c r="D62" s="3">
        <v>300</v>
      </c>
      <c r="E62" s="3" t="s">
        <v>75</v>
      </c>
      <c r="F62" s="4">
        <v>144</v>
      </c>
      <c r="G62" s="3" t="s">
        <v>13</v>
      </c>
      <c r="H62" s="3" t="s">
        <v>14</v>
      </c>
      <c r="I62" s="5">
        <v>0.38200000000000001</v>
      </c>
      <c r="J62" s="5">
        <v>0.4</v>
      </c>
      <c r="K62" s="5">
        <v>1.6E-2</v>
      </c>
      <c r="L62" s="5">
        <v>1.6E-2</v>
      </c>
      <c r="M62" s="5" t="s">
        <v>107</v>
      </c>
      <c r="N62" s="5">
        <v>0.35</v>
      </c>
      <c r="O62" s="6">
        <v>21.874999999999996</v>
      </c>
      <c r="P62" s="6">
        <v>12</v>
      </c>
      <c r="Q62" s="7">
        <v>1.84E-2</v>
      </c>
      <c r="R62" s="8">
        <v>4.86E-4</v>
      </c>
      <c r="S62" s="9">
        <v>2.5500000000000002E-3</v>
      </c>
      <c r="T62" s="9">
        <v>2.8300000000000001E-3</v>
      </c>
      <c r="U62" s="5">
        <v>0.16300000000000001</v>
      </c>
      <c r="V62" s="8">
        <v>1.7100000000000001E-4</v>
      </c>
      <c r="W62" s="9">
        <v>8.5400000000000005E-4</v>
      </c>
      <c r="X62" s="9">
        <v>1.2999999999999999E-3</v>
      </c>
      <c r="Y62" s="5">
        <v>0.16300000000000001</v>
      </c>
      <c r="Z62" s="8">
        <v>1.5799999999999999E-6</v>
      </c>
      <c r="AA62" s="10">
        <v>5.7200000000000003E-6</v>
      </c>
      <c r="AB62" s="45">
        <v>0.85</v>
      </c>
      <c r="AC62" s="17">
        <f t="array" ref="AC62">INDEX(tbllkpSteelGrades[fy],MATCH(1,(Table8[[#This Row],[Grade]]=tbllkpSteelGrades[Grade])*(Table8[[#This Row],[tw]]&lt;=tbllkpSteelGrades[Thickness]),0))</f>
        <v>300000000</v>
      </c>
      <c r="AD62" s="17">
        <f t="array" ref="AD62">INDEX(tbllkpSteelGrades[fy],MATCH(1,(Table8[[#This Row],[Grade]]=tbllkpSteelGrades[Grade])*(Table8[[#This Row],[tf]]&lt;=tbllkpSteelGrades[Thickness]),0))</f>
        <v>300000000</v>
      </c>
      <c r="AE62" s="17">
        <f>MIN(Table8[[#This Row],[fy_web]],Table8[[#This Row],[fy_flange]])</f>
        <v>300000000</v>
      </c>
      <c r="AF62" s="17">
        <f t="array" ref="AF62">INDEX(tbllkpSteelGrades[fu],MATCH(1,(Table8[[#This Row],[Grade]]=tbllkpSteelGrades[Grade])*(Table8[[#This Row],[tw]]&lt;=tbllkpSteelGrades[Thickness]),0))</f>
        <v>430000000</v>
      </c>
      <c r="AG62" s="18">
        <f>IF(Table8[[#This Row],[Fabrication Type]]="Welded",Table8[[#This Row],[d1]],Table8[[#This Row],[d]])*Table8[[#This Row],[tw]]</f>
        <v>5.5999999999999999E-3</v>
      </c>
      <c r="AH62" s="11">
        <f>Table8[[#This Row],[Aw]]*Table8[[#This Row],[fy_web]]*0.6</f>
        <v>1008000</v>
      </c>
      <c r="AI62" s="35">
        <f>82/SQRT(Table8[[#This Row],[fy_web]]/250000000)</f>
        <v>74.855416192372701</v>
      </c>
      <c r="AJ6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62" s="38">
        <f>IF(Table8[[#This Row],[Fabrication Type]]="Welded",IF(Table8[[#This Row],[tw]]&gt;0.016,0.016*Table8[[#This Row],[fu]],Table8[[#This Row],[tw]]*Table8[[#This Row],[fu]]),"")</f>
        <v>6880000</v>
      </c>
      <c r="AL62" s="13">
        <f>Table8[[#This Row],[d]]-Table8[[#This Row],[tf]]</f>
        <v>0.36599999999999999</v>
      </c>
      <c r="AM62" s="39">
        <f>Table8[[#This Row],[bf]]*Table8[[#This Row],[tf]]*(Table8[[#This Row],[df]]/2)</f>
        <v>1.1712000000000001E-3</v>
      </c>
      <c r="AN62" s="11">
        <f>IF(Table8[[#This Row],[Fabrication Type]]="Welded",Table8[[#This Row],[vw]]*Table8[[#This Row],[Ix]]/Table8[[#This Row],[Qflange]],"")</f>
        <v>2854918.0327868848</v>
      </c>
      <c r="AO62" s="11">
        <f>Table8[[#This Row],[tw]]*MIN(Table8[[#This Row],[fy_web]], Table8[[#This Row],[fy_flange]])*0.6*Table8[[#This Row],[Ix]]/Table8[[#This Row],[Qflange]]</f>
        <v>1195081.9672131147</v>
      </c>
      <c r="AP62" s="50">
        <f ca="1">INDEX(tbllkpkt[kt],MATCH(RANDBETWEEN(1,4),tbllkpkt[Index],0))</f>
        <v>0.75</v>
      </c>
      <c r="AQ62" s="48">
        <f t="shared" ca="1" si="1"/>
        <v>0.95</v>
      </c>
      <c r="AR62" s="18">
        <f ca="1">Table8[[#This Row],[Ag]]*Table8[[#This Row],[Deduction_for_An]]</f>
        <v>1.7479999999999999E-2</v>
      </c>
      <c r="AS62" s="11">
        <f>Table8[[#This Row],[fy]]*Table8[[#This Row],[Ag]]</f>
        <v>5520000</v>
      </c>
      <c r="AT62" s="11">
        <f ca="1">Table8[[#This Row],[αu]]*Table8[[#This Row],[kt]]*Table8[[#This Row],[An]]*Table8[[#This Row],[fu]]</f>
        <v>4791704.9999999991</v>
      </c>
      <c r="AU62" s="11">
        <f ca="1">MIN(Table8[[#This Row],[Nty]],Table8[[#This Row],[Ntu]])</f>
        <v>4791704.9999999991</v>
      </c>
    </row>
    <row r="63" spans="2:47" x14ac:dyDescent="0.25">
      <c r="B63" s="15" t="str">
        <f>Table8[[#This Row],[Section]]&amp;"-"&amp;TEXT(Table8[[#This Row],[Grade]],"0")</f>
        <v>350WC280-300</v>
      </c>
      <c r="C63" s="3" t="s">
        <v>72</v>
      </c>
      <c r="D63" s="3">
        <v>300</v>
      </c>
      <c r="E63" s="3" t="s">
        <v>75</v>
      </c>
      <c r="F63" s="4">
        <v>280</v>
      </c>
      <c r="G63" s="3" t="s">
        <v>13</v>
      </c>
      <c r="H63" s="3" t="s">
        <v>14</v>
      </c>
      <c r="I63" s="5">
        <v>0.35499999999999998</v>
      </c>
      <c r="J63" s="5">
        <v>0.35</v>
      </c>
      <c r="K63" s="5">
        <v>0.04</v>
      </c>
      <c r="L63" s="5">
        <v>2.8000000000000001E-2</v>
      </c>
      <c r="M63" s="5" t="s">
        <v>107</v>
      </c>
      <c r="N63" s="5">
        <v>0.27499999999999997</v>
      </c>
      <c r="O63" s="6">
        <v>9.8214285714285694</v>
      </c>
      <c r="P63" s="6">
        <v>4.0249999999999995</v>
      </c>
      <c r="Q63" s="7">
        <v>3.5700000000000003E-2</v>
      </c>
      <c r="R63" s="8">
        <v>7.4700000000000005E-4</v>
      </c>
      <c r="S63" s="9">
        <v>4.2100000000000002E-3</v>
      </c>
      <c r="T63" s="9">
        <v>4.9399999999999999E-3</v>
      </c>
      <c r="U63" s="5">
        <v>0.14499999999999999</v>
      </c>
      <c r="V63" s="8">
        <v>2.8600000000000001E-4</v>
      </c>
      <c r="W63" s="9">
        <v>1.64E-3</v>
      </c>
      <c r="X63" s="9">
        <v>2.5000000000000001E-3</v>
      </c>
      <c r="Y63" s="5">
        <v>0.14499999999999999</v>
      </c>
      <c r="Z63" s="8">
        <v>1.6500000000000001E-5</v>
      </c>
      <c r="AA63" s="10">
        <v>7.0999999999999998E-6</v>
      </c>
      <c r="AB63" s="45">
        <v>0.85</v>
      </c>
      <c r="AC63" s="17">
        <f t="array" ref="AC63">INDEX(tbllkpSteelGrades[fy],MATCH(1,(Table8[[#This Row],[Grade]]=tbllkpSteelGrades[Grade])*(Table8[[#This Row],[tw]]&lt;=tbllkpSteelGrades[Thickness]),0))</f>
        <v>280000000</v>
      </c>
      <c r="AD63" s="17">
        <f t="array" ref="AD63">INDEX(tbllkpSteelGrades[fy],MATCH(1,(Table8[[#This Row],[Grade]]=tbllkpSteelGrades[Grade])*(Table8[[#This Row],[tf]]&lt;=tbllkpSteelGrades[Thickness]),0))</f>
        <v>280000000</v>
      </c>
      <c r="AE63" s="17">
        <f>MIN(Table8[[#This Row],[fy_web]],Table8[[#This Row],[fy_flange]])</f>
        <v>280000000</v>
      </c>
      <c r="AF63" s="17">
        <f t="array" ref="AF63">INDEX(tbllkpSteelGrades[fu],MATCH(1,(Table8[[#This Row],[Grade]]=tbllkpSteelGrades[Grade])*(Table8[[#This Row],[tw]]&lt;=tbllkpSteelGrades[Thickness]),0))</f>
        <v>430000000</v>
      </c>
      <c r="AG63" s="18">
        <f>IF(Table8[[#This Row],[Fabrication Type]]="Welded",Table8[[#This Row],[d1]],Table8[[#This Row],[d]])*Table8[[#This Row],[tw]]</f>
        <v>7.6999999999999994E-3</v>
      </c>
      <c r="AH63" s="11">
        <f>Table8[[#This Row],[Aw]]*Table8[[#This Row],[fy_web]]*0.6</f>
        <v>1293600</v>
      </c>
      <c r="AI63" s="35">
        <f>82/SQRT(Table8[[#This Row],[fy_web]]/250000000)</f>
        <v>77.482716966891573</v>
      </c>
      <c r="AJ6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63" s="38">
        <f>IF(Table8[[#This Row],[Fabrication Type]]="Welded",IF(Table8[[#This Row],[tw]]&gt;0.016,0.016*Table8[[#This Row],[fu]],Table8[[#This Row],[tw]]*Table8[[#This Row],[fu]]),"")</f>
        <v>6880000</v>
      </c>
      <c r="AL63" s="13">
        <f>Table8[[#This Row],[d]]-Table8[[#This Row],[tf]]</f>
        <v>0.315</v>
      </c>
      <c r="AM63" s="39">
        <f>Table8[[#This Row],[bf]]*Table8[[#This Row],[tf]]*(Table8[[#This Row],[df]]/2)</f>
        <v>2.2049999999999999E-3</v>
      </c>
      <c r="AN63" s="11">
        <f>IF(Table8[[#This Row],[Fabrication Type]]="Welded",Table8[[#This Row],[vw]]*Table8[[#This Row],[Ix]]/Table8[[#This Row],[Qflange]],"")</f>
        <v>2330775.5102040819</v>
      </c>
      <c r="AO63" s="11">
        <f>Table8[[#This Row],[tw]]*MIN(Table8[[#This Row],[fy_web]], Table8[[#This Row],[fy_flange]])*0.6*Table8[[#This Row],[Ix]]/Table8[[#This Row],[Qflange]]</f>
        <v>1593600.0000000002</v>
      </c>
      <c r="AP63" s="50">
        <f ca="1">INDEX(tbllkpkt[kt],MATCH(RANDBETWEEN(1,4),tbllkpkt[Index],0))</f>
        <v>1</v>
      </c>
      <c r="AQ63" s="48">
        <f t="shared" ca="1" si="1"/>
        <v>1</v>
      </c>
      <c r="AR63" s="18">
        <f ca="1">Table8[[#This Row],[Ag]]*Table8[[#This Row],[Deduction_for_An]]</f>
        <v>3.5700000000000003E-2</v>
      </c>
      <c r="AS63" s="11">
        <f>Table8[[#This Row],[fy]]*Table8[[#This Row],[Ag]]</f>
        <v>9996000</v>
      </c>
      <c r="AT63" s="11">
        <f ca="1">Table8[[#This Row],[αu]]*Table8[[#This Row],[kt]]*Table8[[#This Row],[An]]*Table8[[#This Row],[fu]]</f>
        <v>13048350</v>
      </c>
      <c r="AU63" s="11">
        <f ca="1">MIN(Table8[[#This Row],[Nty]],Table8[[#This Row],[Ntu]])</f>
        <v>9996000</v>
      </c>
    </row>
    <row r="64" spans="2:47" x14ac:dyDescent="0.25">
      <c r="B64" s="15" t="str">
        <f>Table8[[#This Row],[Section]]&amp;"-"&amp;TEXT(Table8[[#This Row],[Grade]],"0")</f>
        <v>350WC258-300</v>
      </c>
      <c r="C64" s="3" t="s">
        <v>73</v>
      </c>
      <c r="D64" s="3">
        <v>300</v>
      </c>
      <c r="E64" s="3" t="s">
        <v>75</v>
      </c>
      <c r="F64" s="4">
        <v>258</v>
      </c>
      <c r="G64" s="3" t="s">
        <v>13</v>
      </c>
      <c r="H64" s="3" t="s">
        <v>14</v>
      </c>
      <c r="I64" s="5">
        <v>0.34699999999999998</v>
      </c>
      <c r="J64" s="5">
        <v>0.35</v>
      </c>
      <c r="K64" s="5">
        <v>3.5999999999999997E-2</v>
      </c>
      <c r="L64" s="5">
        <v>2.8000000000000001E-2</v>
      </c>
      <c r="M64" s="5" t="s">
        <v>107</v>
      </c>
      <c r="N64" s="5">
        <v>0.27499999999999997</v>
      </c>
      <c r="O64" s="6">
        <v>9.8214285714285694</v>
      </c>
      <c r="P64" s="6">
        <v>4.4722222222222223</v>
      </c>
      <c r="Q64" s="7">
        <v>3.2899999999999999E-2</v>
      </c>
      <c r="R64" s="8">
        <v>6.6100000000000002E-4</v>
      </c>
      <c r="S64" s="9">
        <v>3.81E-3</v>
      </c>
      <c r="T64" s="9">
        <v>4.45E-3</v>
      </c>
      <c r="U64" s="5">
        <v>0.14199999999999999</v>
      </c>
      <c r="V64" s="8">
        <v>2.5799999999999998E-4</v>
      </c>
      <c r="W64" s="9">
        <v>1.47E-3</v>
      </c>
      <c r="X64" s="9">
        <v>2.2599999999999999E-3</v>
      </c>
      <c r="Y64" s="5">
        <v>0.14199999999999999</v>
      </c>
      <c r="Z64" s="8">
        <v>1.27E-5</v>
      </c>
      <c r="AA64" s="10">
        <v>6.2299999999999996E-6</v>
      </c>
      <c r="AB64" s="45">
        <v>0.85</v>
      </c>
      <c r="AC64" s="17">
        <f t="array" ref="AC64">INDEX(tbllkpSteelGrades[fy],MATCH(1,(Table8[[#This Row],[Grade]]=tbllkpSteelGrades[Grade])*(Table8[[#This Row],[tw]]&lt;=tbllkpSteelGrades[Thickness]),0))</f>
        <v>280000000</v>
      </c>
      <c r="AD64" s="17">
        <f t="array" ref="AD64">INDEX(tbllkpSteelGrades[fy],MATCH(1,(Table8[[#This Row],[Grade]]=tbllkpSteelGrades[Grade])*(Table8[[#This Row],[tf]]&lt;=tbllkpSteelGrades[Thickness]),0))</f>
        <v>280000000</v>
      </c>
      <c r="AE64" s="17">
        <f>MIN(Table8[[#This Row],[fy_web]],Table8[[#This Row],[fy_flange]])</f>
        <v>280000000</v>
      </c>
      <c r="AF64" s="17">
        <f t="array" ref="AF64">INDEX(tbllkpSteelGrades[fu],MATCH(1,(Table8[[#This Row],[Grade]]=tbllkpSteelGrades[Grade])*(Table8[[#This Row],[tw]]&lt;=tbllkpSteelGrades[Thickness]),0))</f>
        <v>430000000</v>
      </c>
      <c r="AG64" s="18">
        <f>IF(Table8[[#This Row],[Fabrication Type]]="Welded",Table8[[#This Row],[d1]],Table8[[#This Row],[d]])*Table8[[#This Row],[tw]]</f>
        <v>7.6999999999999994E-3</v>
      </c>
      <c r="AH64" s="11">
        <f>Table8[[#This Row],[Aw]]*Table8[[#This Row],[fy_web]]*0.6</f>
        <v>1293600</v>
      </c>
      <c r="AI64" s="35">
        <f>82/SQRT(Table8[[#This Row],[fy_web]]/250000000)</f>
        <v>77.482716966891573</v>
      </c>
      <c r="AJ6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64" s="38">
        <f>IF(Table8[[#This Row],[Fabrication Type]]="Welded",IF(Table8[[#This Row],[tw]]&gt;0.016,0.016*Table8[[#This Row],[fu]],Table8[[#This Row],[tw]]*Table8[[#This Row],[fu]]),"")</f>
        <v>6880000</v>
      </c>
      <c r="AL64" s="13">
        <f>Table8[[#This Row],[d]]-Table8[[#This Row],[tf]]</f>
        <v>0.311</v>
      </c>
      <c r="AM64" s="39">
        <f>Table8[[#This Row],[bf]]*Table8[[#This Row],[tf]]*(Table8[[#This Row],[df]]/2)</f>
        <v>1.9592999999999998E-3</v>
      </c>
      <c r="AN64" s="11">
        <f>IF(Table8[[#This Row],[Fabrication Type]]="Welded",Table8[[#This Row],[vw]]*Table8[[#This Row],[Ix]]/Table8[[#This Row],[Qflange]],"")</f>
        <v>2321073.8529066509</v>
      </c>
      <c r="AO64" s="11">
        <f>Table8[[#This Row],[tw]]*MIN(Table8[[#This Row],[fy_web]], Table8[[#This Row],[fy_flange]])*0.6*Table8[[#This Row],[Ix]]/Table8[[#This Row],[Qflange]]</f>
        <v>1586966.773847803</v>
      </c>
      <c r="AP64" s="50">
        <f ca="1">INDEX(tbllkpkt[kt],MATCH(RANDBETWEEN(1,4),tbllkpkt[Index],0))</f>
        <v>0.9</v>
      </c>
      <c r="AQ64" s="48">
        <f t="shared" ca="1" si="1"/>
        <v>1</v>
      </c>
      <c r="AR64" s="18">
        <f ca="1">Table8[[#This Row],[Ag]]*Table8[[#This Row],[Deduction_for_An]]</f>
        <v>3.2899999999999999E-2</v>
      </c>
      <c r="AS64" s="11">
        <f>Table8[[#This Row],[fy]]*Table8[[#This Row],[Ag]]</f>
        <v>9212000</v>
      </c>
      <c r="AT64" s="11">
        <f ca="1">Table8[[#This Row],[αu]]*Table8[[#This Row],[kt]]*Table8[[#This Row],[An]]*Table8[[#This Row],[fu]]</f>
        <v>10822455</v>
      </c>
      <c r="AU64" s="11">
        <f ca="1">MIN(Table8[[#This Row],[Nty]],Table8[[#This Row],[Ntu]])</f>
        <v>9212000</v>
      </c>
    </row>
    <row r="65" spans="2:47" x14ac:dyDescent="0.25">
      <c r="B65" s="15" t="str">
        <f>Table8[[#This Row],[Section]]&amp;"-"&amp;TEXT(Table8[[#This Row],[Grade]],"0")</f>
        <v>350WC230-300</v>
      </c>
      <c r="C65" s="3" t="s">
        <v>74</v>
      </c>
      <c r="D65" s="3">
        <v>300</v>
      </c>
      <c r="E65" s="3" t="s">
        <v>75</v>
      </c>
      <c r="F65" s="4">
        <v>230</v>
      </c>
      <c r="G65" s="3" t="s">
        <v>13</v>
      </c>
      <c r="H65" s="3" t="s">
        <v>14</v>
      </c>
      <c r="I65" s="5">
        <v>0.33900000000000002</v>
      </c>
      <c r="J65" s="5">
        <v>0.35</v>
      </c>
      <c r="K65" s="5">
        <v>3.2000000000000001E-2</v>
      </c>
      <c r="L65" s="5">
        <v>2.5000000000000001E-2</v>
      </c>
      <c r="M65" s="5" t="s">
        <v>107</v>
      </c>
      <c r="N65" s="5">
        <v>0.27500000000000002</v>
      </c>
      <c r="O65" s="6">
        <v>11</v>
      </c>
      <c r="P65" s="6">
        <v>5.0781249999999991</v>
      </c>
      <c r="Q65" s="7">
        <v>2.93E-2</v>
      </c>
      <c r="R65" s="8">
        <v>5.7300000000000005E-4</v>
      </c>
      <c r="S65" s="9">
        <v>3.3800000000000002E-3</v>
      </c>
      <c r="T65" s="9">
        <v>3.9100000000000003E-3</v>
      </c>
      <c r="U65" s="5">
        <v>0.14000000000000001</v>
      </c>
      <c r="V65" s="8">
        <v>2.2900000000000001E-4</v>
      </c>
      <c r="W65" s="9">
        <v>1.31E-3</v>
      </c>
      <c r="X65" s="9">
        <v>2E-3</v>
      </c>
      <c r="Y65" s="5">
        <v>0.14000000000000001</v>
      </c>
      <c r="Z65" s="8">
        <v>8.9600000000000006E-6</v>
      </c>
      <c r="AA65" s="10">
        <v>5.4E-6</v>
      </c>
      <c r="AB65" s="45">
        <v>0.85</v>
      </c>
      <c r="AC65" s="17">
        <f t="array" ref="AC65">INDEX(tbllkpSteelGrades[fy],MATCH(1,(Table8[[#This Row],[Grade]]=tbllkpSteelGrades[Grade])*(Table8[[#This Row],[tw]]&lt;=tbllkpSteelGrades[Thickness]),0))</f>
        <v>280000000</v>
      </c>
      <c r="AD65" s="17">
        <f t="array" ref="AD65">INDEX(tbllkpSteelGrades[fy],MATCH(1,(Table8[[#This Row],[Grade]]=tbllkpSteelGrades[Grade])*(Table8[[#This Row],[tf]]&lt;=tbllkpSteelGrades[Thickness]),0))</f>
        <v>280000000</v>
      </c>
      <c r="AE65" s="17">
        <f>MIN(Table8[[#This Row],[fy_web]],Table8[[#This Row],[fy_flange]])</f>
        <v>280000000</v>
      </c>
      <c r="AF65" s="17">
        <f t="array" ref="AF65">INDEX(tbllkpSteelGrades[fu],MATCH(1,(Table8[[#This Row],[Grade]]=tbllkpSteelGrades[Grade])*(Table8[[#This Row],[tw]]&lt;=tbllkpSteelGrades[Thickness]),0))</f>
        <v>430000000</v>
      </c>
      <c r="AG65" s="18">
        <f>IF(Table8[[#This Row],[Fabrication Type]]="Welded",Table8[[#This Row],[d1]],Table8[[#This Row],[d]])*Table8[[#This Row],[tw]]</f>
        <v>6.8750000000000009E-3</v>
      </c>
      <c r="AH65" s="11">
        <f>Table8[[#This Row],[Aw]]*Table8[[#This Row],[fy_web]]*0.6</f>
        <v>1155000</v>
      </c>
      <c r="AI65" s="35">
        <f>82/SQRT(Table8[[#This Row],[fy_web]]/250000000)</f>
        <v>77.482716966891573</v>
      </c>
      <c r="AJ6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65" s="38">
        <f>IF(Table8[[#This Row],[Fabrication Type]]="Welded",IF(Table8[[#This Row],[tw]]&gt;0.016,0.016*Table8[[#This Row],[fu]],Table8[[#This Row],[tw]]*Table8[[#This Row],[fu]]),"")</f>
        <v>6880000</v>
      </c>
      <c r="AL65" s="13">
        <f>Table8[[#This Row],[d]]-Table8[[#This Row],[tf]]</f>
        <v>0.30700000000000005</v>
      </c>
      <c r="AM65" s="39">
        <f>Table8[[#This Row],[bf]]*Table8[[#This Row],[tf]]*(Table8[[#This Row],[df]]/2)</f>
        <v>1.7192000000000004E-3</v>
      </c>
      <c r="AN65" s="11">
        <f>IF(Table8[[#This Row],[Fabrication Type]]="Welded",Table8[[#This Row],[vw]]*Table8[[#This Row],[Ix]]/Table8[[#This Row],[Qflange]],"")</f>
        <v>2293066.5425779428</v>
      </c>
      <c r="AO65" s="11">
        <f>Table8[[#This Row],[tw]]*MIN(Table8[[#This Row],[fy_web]], Table8[[#This Row],[fy_flange]])*0.6*Table8[[#This Row],[Ix]]/Table8[[#This Row],[Qflange]]</f>
        <v>1399837.1335504886</v>
      </c>
      <c r="AP65" s="50">
        <f ca="1">INDEX(tbllkpkt[kt],MATCH(RANDBETWEEN(1,4),tbllkpkt[Index],0))</f>
        <v>0.9</v>
      </c>
      <c r="AQ65" s="48">
        <f t="shared" ca="1" si="1"/>
        <v>0.94</v>
      </c>
      <c r="AR65" s="18">
        <f ca="1">Table8[[#This Row],[Ag]]*Table8[[#This Row],[Deduction_for_An]]</f>
        <v>2.7541999999999997E-2</v>
      </c>
      <c r="AS65" s="11">
        <f>Table8[[#This Row],[fy]]*Table8[[#This Row],[Ag]]</f>
        <v>8204000</v>
      </c>
      <c r="AT65" s="11">
        <f ca="1">Table8[[#This Row],[αu]]*Table8[[#This Row],[kt]]*Table8[[#This Row],[An]]*Table8[[#This Row],[fu]]</f>
        <v>9059940.9000000004</v>
      </c>
      <c r="AU65" s="11">
        <f ca="1">MIN(Table8[[#This Row],[Nty]],Table8[[#This Row],[Ntu]])</f>
        <v>8204000</v>
      </c>
    </row>
    <row r="66" spans="2:47" x14ac:dyDescent="0.25">
      <c r="B66" s="15" t="str">
        <f>Table8[[#This Row],[Section]]&amp;"-"&amp;TEXT(Table8[[#This Row],[Grade]],"0")</f>
        <v>350WC197-300</v>
      </c>
      <c r="C66" s="3" t="s">
        <v>3</v>
      </c>
      <c r="D66" s="3">
        <v>300</v>
      </c>
      <c r="E66" s="3" t="s">
        <v>75</v>
      </c>
      <c r="F66" s="4">
        <v>197</v>
      </c>
      <c r="G66" s="3" t="s">
        <v>13</v>
      </c>
      <c r="H66" s="3" t="s">
        <v>14</v>
      </c>
      <c r="I66" s="5">
        <v>0.33100000000000002</v>
      </c>
      <c r="J66" s="5">
        <v>0.35</v>
      </c>
      <c r="K66" s="5">
        <v>2.8000000000000001E-2</v>
      </c>
      <c r="L66" s="5">
        <v>0.02</v>
      </c>
      <c r="M66" s="5" t="s">
        <v>107</v>
      </c>
      <c r="N66" s="5">
        <v>0.27500000000000002</v>
      </c>
      <c r="O66" s="6">
        <v>13.75</v>
      </c>
      <c r="P66" s="6">
        <v>5.8928571428571423</v>
      </c>
      <c r="Q66" s="7">
        <v>2.5100000000000001E-2</v>
      </c>
      <c r="R66" s="8">
        <v>4.86E-4</v>
      </c>
      <c r="S66" s="9">
        <v>2.9399999999999999E-3</v>
      </c>
      <c r="T66" s="9">
        <v>3.3500000000000001E-3</v>
      </c>
      <c r="U66" s="5">
        <v>0.13900000000000001</v>
      </c>
      <c r="V66" s="8">
        <v>2.0000000000000001E-4</v>
      </c>
      <c r="W66" s="9">
        <v>1.14E-3</v>
      </c>
      <c r="X66" s="9">
        <v>1.74E-3</v>
      </c>
      <c r="Y66" s="5">
        <v>0.13900000000000001</v>
      </c>
      <c r="Z66" s="8">
        <v>5.75E-6</v>
      </c>
      <c r="AA66" s="10">
        <v>4.6E-6</v>
      </c>
      <c r="AB66" s="45">
        <v>0.85</v>
      </c>
      <c r="AC66" s="17">
        <f t="array" ref="AC66">INDEX(tbllkpSteelGrades[fy],MATCH(1,(Table8[[#This Row],[Grade]]=tbllkpSteelGrades[Grade])*(Table8[[#This Row],[tw]]&lt;=tbllkpSteelGrades[Thickness]),0))</f>
        <v>300000000</v>
      </c>
      <c r="AD66" s="17">
        <f t="array" ref="AD66">INDEX(tbllkpSteelGrades[fy],MATCH(1,(Table8[[#This Row],[Grade]]=tbllkpSteelGrades[Grade])*(Table8[[#This Row],[tf]]&lt;=tbllkpSteelGrades[Thickness]),0))</f>
        <v>280000000</v>
      </c>
      <c r="AE66" s="17">
        <f>MIN(Table8[[#This Row],[fy_web]],Table8[[#This Row],[fy_flange]])</f>
        <v>280000000</v>
      </c>
      <c r="AF66" s="17">
        <f t="array" ref="AF66">INDEX(tbllkpSteelGrades[fu],MATCH(1,(Table8[[#This Row],[Grade]]=tbllkpSteelGrades[Grade])*(Table8[[#This Row],[tw]]&lt;=tbllkpSteelGrades[Thickness]),0))</f>
        <v>430000000</v>
      </c>
      <c r="AG66" s="18">
        <f>IF(Table8[[#This Row],[Fabrication Type]]="Welded",Table8[[#This Row],[d1]],Table8[[#This Row],[d]])*Table8[[#This Row],[tw]]</f>
        <v>5.5000000000000005E-3</v>
      </c>
      <c r="AH66" s="11">
        <f>Table8[[#This Row],[Aw]]*Table8[[#This Row],[fy_web]]*0.6</f>
        <v>990000.00000000012</v>
      </c>
      <c r="AI66" s="35">
        <f>82/SQRT(Table8[[#This Row],[fy_web]]/250000000)</f>
        <v>74.855416192372701</v>
      </c>
      <c r="AJ6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66" s="38">
        <f>IF(Table8[[#This Row],[Fabrication Type]]="Welded",IF(Table8[[#This Row],[tw]]&gt;0.016,0.016*Table8[[#This Row],[fu]],Table8[[#This Row],[tw]]*Table8[[#This Row],[fu]]),"")</f>
        <v>6880000</v>
      </c>
      <c r="AL66" s="13">
        <f>Table8[[#This Row],[d]]-Table8[[#This Row],[tf]]</f>
        <v>0.30299999999999999</v>
      </c>
      <c r="AM66" s="39">
        <f>Table8[[#This Row],[bf]]*Table8[[#This Row],[tf]]*(Table8[[#This Row],[df]]/2)</f>
        <v>1.4846999999999998E-3</v>
      </c>
      <c r="AN66" s="11">
        <f>IF(Table8[[#This Row],[Fabrication Type]]="Welded",Table8[[#This Row],[vw]]*Table8[[#This Row],[Ix]]/Table8[[#This Row],[Qflange]],"")</f>
        <v>2252091.3315821378</v>
      </c>
      <c r="AO66" s="11">
        <f>Table8[[#This Row],[tw]]*MIN(Table8[[#This Row],[fy_web]], Table8[[#This Row],[fy_flange]])*0.6*Table8[[#This Row],[Ix]]/Table8[[#This Row],[Qflange]]</f>
        <v>1099858.5572843</v>
      </c>
      <c r="AP66" s="50">
        <f ca="1">INDEX(tbllkpkt[kt],MATCH(RANDBETWEEN(1,4),tbllkpkt[Index],0))</f>
        <v>0.85</v>
      </c>
      <c r="AQ66" s="48">
        <f t="shared" ca="1" si="1"/>
        <v>0.92999999999999994</v>
      </c>
      <c r="AR66" s="18">
        <f ca="1">Table8[[#This Row],[Ag]]*Table8[[#This Row],[Deduction_for_An]]</f>
        <v>2.3342999999999999E-2</v>
      </c>
      <c r="AS66" s="11">
        <f>Table8[[#This Row],[fy]]*Table8[[#This Row],[Ag]]</f>
        <v>7028000</v>
      </c>
      <c r="AT66" s="11">
        <f ca="1">Table8[[#This Row],[αu]]*Table8[[#This Row],[kt]]*Table8[[#This Row],[An]]*Table8[[#This Row],[fu]]</f>
        <v>7252086.5249999985</v>
      </c>
      <c r="AU66" s="11">
        <f ca="1">MIN(Table8[[#This Row],[Nty]],Table8[[#This Row],[Ntu]])</f>
        <v>7028000</v>
      </c>
    </row>
    <row r="67" spans="2:47" x14ac:dyDescent="0.25">
      <c r="B67" s="15" t="str">
        <f>Table8[[#This Row],[Section]]&amp;"-"&amp;TEXT(Table8[[#This Row],[Grade]],"0")</f>
        <v>500WC440-400</v>
      </c>
      <c r="C67" s="3" t="s">
        <v>58</v>
      </c>
      <c r="D67" s="3">
        <v>400</v>
      </c>
      <c r="E67" s="3" t="s">
        <v>75</v>
      </c>
      <c r="F67" s="4">
        <v>440</v>
      </c>
      <c r="G67" s="3" t="s">
        <v>13</v>
      </c>
      <c r="H67" s="3" t="s">
        <v>14</v>
      </c>
      <c r="I67" s="5">
        <v>0.48</v>
      </c>
      <c r="J67" s="5">
        <v>0.5</v>
      </c>
      <c r="K67" s="5">
        <v>0.04</v>
      </c>
      <c r="L67" s="5">
        <v>0.04</v>
      </c>
      <c r="M67" s="5" t="s">
        <v>107</v>
      </c>
      <c r="N67" s="5">
        <v>0.39999999999999997</v>
      </c>
      <c r="O67" s="6">
        <v>9.9999999999999982</v>
      </c>
      <c r="P67" s="6">
        <v>5.75</v>
      </c>
      <c r="Q67" s="7">
        <v>5.6000000000000001E-2</v>
      </c>
      <c r="R67" s="8">
        <v>2.15E-3</v>
      </c>
      <c r="S67" s="9">
        <v>8.9800000000000001E-3</v>
      </c>
      <c r="T67" s="9">
        <v>1.04E-2</v>
      </c>
      <c r="U67" s="5">
        <v>0.19600000000000001</v>
      </c>
      <c r="V67" s="8">
        <v>8.3500000000000002E-4</v>
      </c>
      <c r="W67" s="9">
        <v>3.3400000000000001E-3</v>
      </c>
      <c r="X67" s="9">
        <v>5.1599999999999997E-3</v>
      </c>
      <c r="Y67" s="5">
        <v>0.19600000000000001</v>
      </c>
      <c r="Z67" s="8">
        <v>3.01E-5</v>
      </c>
      <c r="AA67" s="10">
        <v>4.0399999999999999E-5</v>
      </c>
      <c r="AB67" s="45">
        <v>0.85</v>
      </c>
      <c r="AC67" s="17">
        <f t="array" ref="AC67">INDEX(tbllkpSteelGrades[fy],MATCH(1,(Table8[[#This Row],[Grade]]=tbllkpSteelGrades[Grade])*(Table8[[#This Row],[tw]]&lt;=tbllkpSteelGrades[Thickness]),0))</f>
        <v>360000000</v>
      </c>
      <c r="AD67" s="17">
        <f t="array" ref="AD67">INDEX(tbllkpSteelGrades[fy],MATCH(1,(Table8[[#This Row],[Grade]]=tbllkpSteelGrades[Grade])*(Table8[[#This Row],[tf]]&lt;=tbllkpSteelGrades[Thickness]),0))</f>
        <v>360000000</v>
      </c>
      <c r="AE67" s="17">
        <f>MIN(Table8[[#This Row],[fy_web]],Table8[[#This Row],[fy_flange]])</f>
        <v>360000000</v>
      </c>
      <c r="AF67" s="17">
        <f t="array" ref="AF67">INDEX(tbllkpSteelGrades[fu],MATCH(1,(Table8[[#This Row],[Grade]]=tbllkpSteelGrades[Grade])*(Table8[[#This Row],[tw]]&lt;=tbllkpSteelGrades[Thickness]),0))</f>
        <v>480000000</v>
      </c>
      <c r="AG67" s="18">
        <f>IF(Table8[[#This Row],[Fabrication Type]]="Welded",Table8[[#This Row],[d1]],Table8[[#This Row],[d]])*Table8[[#This Row],[tw]]</f>
        <v>1.6E-2</v>
      </c>
      <c r="AH67" s="11">
        <f>Table8[[#This Row],[Aw]]*Table8[[#This Row],[fy_web]]*0.6</f>
        <v>3456000</v>
      </c>
      <c r="AI67" s="35">
        <f>82/SQRT(Table8[[#This Row],[fy_web]]/250000000)</f>
        <v>68.333333333333343</v>
      </c>
      <c r="AJ6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67" s="38">
        <f>IF(Table8[[#This Row],[Fabrication Type]]="Welded",IF(Table8[[#This Row],[tw]]&gt;0.016,0.016*Table8[[#This Row],[fu]],Table8[[#This Row],[tw]]*Table8[[#This Row],[fu]]),"")</f>
        <v>7680000</v>
      </c>
      <c r="AL67" s="13">
        <f>Table8[[#This Row],[d]]-Table8[[#This Row],[tf]]</f>
        <v>0.44</v>
      </c>
      <c r="AM67" s="39">
        <f>Table8[[#This Row],[bf]]*Table8[[#This Row],[tf]]*(Table8[[#This Row],[df]]/2)</f>
        <v>4.4000000000000003E-3</v>
      </c>
      <c r="AN67" s="11">
        <f>IF(Table8[[#This Row],[Fabrication Type]]="Welded",Table8[[#This Row],[vw]]*Table8[[#This Row],[Ix]]/Table8[[#This Row],[Qflange]],"")</f>
        <v>3752727.2727272725</v>
      </c>
      <c r="AO67" s="11">
        <f>Table8[[#This Row],[tw]]*MIN(Table8[[#This Row],[fy_web]], Table8[[#This Row],[fy_flange]])*0.6*Table8[[#This Row],[Ix]]/Table8[[#This Row],[Qflange]]</f>
        <v>4221818.1818181816</v>
      </c>
      <c r="AP67" s="50">
        <f ca="1">INDEX(tbllkpkt[kt],MATCH(RANDBETWEEN(1,4),tbllkpkt[Index],0))</f>
        <v>1</v>
      </c>
      <c r="AQ67" s="48">
        <f t="shared" ref="AQ67:AQ98" ca="1" si="2">1-RANDBETWEEN(0,10)/100</f>
        <v>0.97</v>
      </c>
      <c r="AR67" s="18">
        <f ca="1">Table8[[#This Row],[Ag]]*Table8[[#This Row],[Deduction_for_An]]</f>
        <v>5.432E-2</v>
      </c>
      <c r="AS67" s="11">
        <f>Table8[[#This Row],[fy]]*Table8[[#This Row],[Ag]]</f>
        <v>20160000</v>
      </c>
      <c r="AT67" s="11">
        <f ca="1">Table8[[#This Row],[αu]]*Table8[[#This Row],[kt]]*Table8[[#This Row],[An]]*Table8[[#This Row],[fu]]</f>
        <v>22162560</v>
      </c>
      <c r="AU67" s="11">
        <f ca="1">MIN(Table8[[#This Row],[Nty]],Table8[[#This Row],[Ntu]])</f>
        <v>20160000</v>
      </c>
    </row>
    <row r="68" spans="2:47" x14ac:dyDescent="0.25">
      <c r="B68" s="15" t="str">
        <f>Table8[[#This Row],[Section]]&amp;"-"&amp;TEXT(Table8[[#This Row],[Grade]],"0")</f>
        <v>500WC414-400</v>
      </c>
      <c r="C68" s="3" t="s">
        <v>59</v>
      </c>
      <c r="D68" s="3">
        <v>400</v>
      </c>
      <c r="E68" s="3" t="s">
        <v>75</v>
      </c>
      <c r="F68" s="4">
        <v>414</v>
      </c>
      <c r="G68" s="3" t="s">
        <v>13</v>
      </c>
      <c r="H68" s="3" t="s">
        <v>14</v>
      </c>
      <c r="I68" s="5">
        <v>0.48</v>
      </c>
      <c r="J68" s="5">
        <v>0.5</v>
      </c>
      <c r="K68" s="5">
        <v>0.04</v>
      </c>
      <c r="L68" s="5">
        <v>3.2000000000000001E-2</v>
      </c>
      <c r="M68" s="5" t="s">
        <v>107</v>
      </c>
      <c r="N68" s="5">
        <v>0.39999999999999997</v>
      </c>
      <c r="O68" s="6">
        <v>12.499999999999998</v>
      </c>
      <c r="P68" s="6">
        <v>5.85</v>
      </c>
      <c r="Q68" s="7">
        <v>5.28E-2</v>
      </c>
      <c r="R68" s="8">
        <v>2.1099999999999999E-3</v>
      </c>
      <c r="S68" s="9">
        <v>8.8000000000000005E-3</v>
      </c>
      <c r="T68" s="9">
        <v>1.01E-2</v>
      </c>
      <c r="U68" s="5">
        <v>0.2</v>
      </c>
      <c r="V68" s="8">
        <v>8.34E-4</v>
      </c>
      <c r="W68" s="9">
        <v>3.3400000000000001E-3</v>
      </c>
      <c r="X68" s="9">
        <v>5.1000000000000004E-3</v>
      </c>
      <c r="Y68" s="5">
        <v>0.2</v>
      </c>
      <c r="Z68" s="8">
        <v>2.5400000000000001E-5</v>
      </c>
      <c r="AA68" s="10">
        <v>4.0399999999999999E-5</v>
      </c>
      <c r="AB68" s="45">
        <v>0.85</v>
      </c>
      <c r="AC68" s="17">
        <f t="array" ref="AC68">INDEX(tbllkpSteelGrades[fy],MATCH(1,(Table8[[#This Row],[Grade]]=tbllkpSteelGrades[Grade])*(Table8[[#This Row],[tw]]&lt;=tbllkpSteelGrades[Thickness]),0))</f>
        <v>360000000</v>
      </c>
      <c r="AD68" s="17">
        <f t="array" ref="AD68">INDEX(tbllkpSteelGrades[fy],MATCH(1,(Table8[[#This Row],[Grade]]=tbllkpSteelGrades[Grade])*(Table8[[#This Row],[tf]]&lt;=tbllkpSteelGrades[Thickness]),0))</f>
        <v>360000000</v>
      </c>
      <c r="AE68" s="17">
        <f>MIN(Table8[[#This Row],[fy_web]],Table8[[#This Row],[fy_flange]])</f>
        <v>360000000</v>
      </c>
      <c r="AF68" s="17">
        <f t="array" ref="AF68">INDEX(tbllkpSteelGrades[fu],MATCH(1,(Table8[[#This Row],[Grade]]=tbllkpSteelGrades[Grade])*(Table8[[#This Row],[tw]]&lt;=tbllkpSteelGrades[Thickness]),0))</f>
        <v>480000000</v>
      </c>
      <c r="AG68" s="18">
        <f>IF(Table8[[#This Row],[Fabrication Type]]="Welded",Table8[[#This Row],[d1]],Table8[[#This Row],[d]])*Table8[[#This Row],[tw]]</f>
        <v>1.2799999999999999E-2</v>
      </c>
      <c r="AH68" s="11">
        <f>Table8[[#This Row],[Aw]]*Table8[[#This Row],[fy_web]]*0.6</f>
        <v>2764800</v>
      </c>
      <c r="AI68" s="35">
        <f>82/SQRT(Table8[[#This Row],[fy_web]]/250000000)</f>
        <v>68.333333333333343</v>
      </c>
      <c r="AJ6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68" s="38">
        <f>IF(Table8[[#This Row],[Fabrication Type]]="Welded",IF(Table8[[#This Row],[tw]]&gt;0.016,0.016*Table8[[#This Row],[fu]],Table8[[#This Row],[tw]]*Table8[[#This Row],[fu]]),"")</f>
        <v>7680000</v>
      </c>
      <c r="AL68" s="13">
        <f>Table8[[#This Row],[d]]-Table8[[#This Row],[tf]]</f>
        <v>0.44</v>
      </c>
      <c r="AM68" s="39">
        <f>Table8[[#This Row],[bf]]*Table8[[#This Row],[tf]]*(Table8[[#This Row],[df]]/2)</f>
        <v>4.4000000000000003E-3</v>
      </c>
      <c r="AN68" s="11">
        <f>IF(Table8[[#This Row],[Fabrication Type]]="Welded",Table8[[#This Row],[vw]]*Table8[[#This Row],[Ix]]/Table8[[#This Row],[Qflange]],"")</f>
        <v>3682909.0909090904</v>
      </c>
      <c r="AO68" s="11">
        <f>Table8[[#This Row],[tw]]*MIN(Table8[[#This Row],[fy_web]], Table8[[#This Row],[fy_flange]])*0.6*Table8[[#This Row],[Ix]]/Table8[[#This Row],[Qflange]]</f>
        <v>3314618.1818181816</v>
      </c>
      <c r="AP68" s="50">
        <f ca="1">INDEX(tbllkpkt[kt],MATCH(RANDBETWEEN(1,4),tbllkpkt[Index],0))</f>
        <v>0.85</v>
      </c>
      <c r="AQ68" s="48">
        <f t="shared" ca="1" si="2"/>
        <v>0.97</v>
      </c>
      <c r="AR68" s="18">
        <f ca="1">Table8[[#This Row],[Ag]]*Table8[[#This Row],[Deduction_for_An]]</f>
        <v>5.1215999999999998E-2</v>
      </c>
      <c r="AS68" s="11">
        <f>Table8[[#This Row],[fy]]*Table8[[#This Row],[Ag]]</f>
        <v>19008000</v>
      </c>
      <c r="AT68" s="11">
        <f ca="1">Table8[[#This Row],[αu]]*Table8[[#This Row],[kt]]*Table8[[#This Row],[An]]*Table8[[#This Row],[fu]]</f>
        <v>17761708.799999997</v>
      </c>
      <c r="AU68" s="11">
        <f ca="1">MIN(Table8[[#This Row],[Nty]],Table8[[#This Row],[Ntu]])</f>
        <v>17761708.799999997</v>
      </c>
    </row>
    <row r="69" spans="2:47" x14ac:dyDescent="0.25">
      <c r="B69" s="15" t="str">
        <f>Table8[[#This Row],[Section]]&amp;"-"&amp;TEXT(Table8[[#This Row],[Grade]],"0")</f>
        <v>500WC383-400</v>
      </c>
      <c r="C69" s="3" t="s">
        <v>60</v>
      </c>
      <c r="D69" s="3">
        <v>400</v>
      </c>
      <c r="E69" s="3" t="s">
        <v>75</v>
      </c>
      <c r="F69" s="4">
        <v>383</v>
      </c>
      <c r="G69" s="3" t="s">
        <v>13</v>
      </c>
      <c r="H69" s="3" t="s">
        <v>14</v>
      </c>
      <c r="I69" s="5">
        <v>0.47199999999999998</v>
      </c>
      <c r="J69" s="5">
        <v>0.5</v>
      </c>
      <c r="K69" s="5">
        <v>3.5999999999999997E-2</v>
      </c>
      <c r="L69" s="5">
        <v>3.2000000000000001E-2</v>
      </c>
      <c r="M69" s="5" t="s">
        <v>107</v>
      </c>
      <c r="N69" s="5">
        <v>0.39999999999999997</v>
      </c>
      <c r="O69" s="6">
        <v>12.499999999999998</v>
      </c>
      <c r="P69" s="6">
        <v>6.5</v>
      </c>
      <c r="Q69" s="7">
        <v>4.8800000000000003E-2</v>
      </c>
      <c r="R69" s="8">
        <v>1.89E-3</v>
      </c>
      <c r="S69" s="9">
        <v>7.9900000000000006E-3</v>
      </c>
      <c r="T69" s="9">
        <v>9.1299999999999992E-3</v>
      </c>
      <c r="U69" s="5">
        <v>0.19700000000000001</v>
      </c>
      <c r="V69" s="8">
        <v>7.5100000000000004E-4</v>
      </c>
      <c r="W69" s="9">
        <v>3.0000000000000001E-3</v>
      </c>
      <c r="X69" s="9">
        <v>4.5999999999999999E-3</v>
      </c>
      <c r="Y69" s="5">
        <v>0.19700000000000001</v>
      </c>
      <c r="Z69" s="8">
        <v>1.9899999999999999E-5</v>
      </c>
      <c r="AA69" s="10">
        <v>3.57E-5</v>
      </c>
      <c r="AB69" s="45">
        <v>0.85</v>
      </c>
      <c r="AC69" s="17">
        <f t="array" ref="AC69">INDEX(tbllkpSteelGrades[fy],MATCH(1,(Table8[[#This Row],[Grade]]=tbllkpSteelGrades[Grade])*(Table8[[#This Row],[tw]]&lt;=tbllkpSteelGrades[Thickness]),0))</f>
        <v>360000000</v>
      </c>
      <c r="AD69" s="17">
        <f t="array" ref="AD69">INDEX(tbllkpSteelGrades[fy],MATCH(1,(Table8[[#This Row],[Grade]]=tbllkpSteelGrades[Grade])*(Table8[[#This Row],[tf]]&lt;=tbllkpSteelGrades[Thickness]),0))</f>
        <v>360000000</v>
      </c>
      <c r="AE69" s="17">
        <f>MIN(Table8[[#This Row],[fy_web]],Table8[[#This Row],[fy_flange]])</f>
        <v>360000000</v>
      </c>
      <c r="AF69" s="17">
        <f t="array" ref="AF69">INDEX(tbllkpSteelGrades[fu],MATCH(1,(Table8[[#This Row],[Grade]]=tbllkpSteelGrades[Grade])*(Table8[[#This Row],[tw]]&lt;=tbllkpSteelGrades[Thickness]),0))</f>
        <v>480000000</v>
      </c>
      <c r="AG69" s="18">
        <f>IF(Table8[[#This Row],[Fabrication Type]]="Welded",Table8[[#This Row],[d1]],Table8[[#This Row],[d]])*Table8[[#This Row],[tw]]</f>
        <v>1.2799999999999999E-2</v>
      </c>
      <c r="AH69" s="11">
        <f>Table8[[#This Row],[Aw]]*Table8[[#This Row],[fy_web]]*0.6</f>
        <v>2764800</v>
      </c>
      <c r="AI69" s="35">
        <f>82/SQRT(Table8[[#This Row],[fy_web]]/250000000)</f>
        <v>68.333333333333343</v>
      </c>
      <c r="AJ6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69" s="38">
        <f>IF(Table8[[#This Row],[Fabrication Type]]="Welded",IF(Table8[[#This Row],[tw]]&gt;0.016,0.016*Table8[[#This Row],[fu]],Table8[[#This Row],[tw]]*Table8[[#This Row],[fu]]),"")</f>
        <v>7680000</v>
      </c>
      <c r="AL69" s="13">
        <f>Table8[[#This Row],[d]]-Table8[[#This Row],[tf]]</f>
        <v>0.436</v>
      </c>
      <c r="AM69" s="39">
        <f>Table8[[#This Row],[bf]]*Table8[[#This Row],[tf]]*(Table8[[#This Row],[df]]/2)</f>
        <v>3.9239999999999995E-3</v>
      </c>
      <c r="AN69" s="11">
        <f>IF(Table8[[#This Row],[Fabrication Type]]="Welded",Table8[[#This Row],[vw]]*Table8[[#This Row],[Ix]]/Table8[[#This Row],[Qflange]],"")</f>
        <v>3699082.5688073398</v>
      </c>
      <c r="AO69" s="11">
        <f>Table8[[#This Row],[tw]]*MIN(Table8[[#This Row],[fy_web]], Table8[[#This Row],[fy_flange]])*0.6*Table8[[#This Row],[Ix]]/Table8[[#This Row],[Qflange]]</f>
        <v>3329174.3119266061</v>
      </c>
      <c r="AP69" s="50">
        <f ca="1">INDEX(tbllkpkt[kt],MATCH(RANDBETWEEN(1,4),tbllkpkt[Index],0))</f>
        <v>0.85</v>
      </c>
      <c r="AQ69" s="48">
        <f t="shared" ca="1" si="2"/>
        <v>0.96</v>
      </c>
      <c r="AR69" s="18">
        <f ca="1">Table8[[#This Row],[Ag]]*Table8[[#This Row],[Deduction_for_An]]</f>
        <v>4.6848000000000001E-2</v>
      </c>
      <c r="AS69" s="11">
        <f>Table8[[#This Row],[fy]]*Table8[[#This Row],[Ag]]</f>
        <v>17568000</v>
      </c>
      <c r="AT69" s="11">
        <f ca="1">Table8[[#This Row],[αu]]*Table8[[#This Row],[kt]]*Table8[[#This Row],[An]]*Table8[[#This Row],[fu]]</f>
        <v>16246886.399999999</v>
      </c>
      <c r="AU69" s="11">
        <f ca="1">MIN(Table8[[#This Row],[Nty]],Table8[[#This Row],[Ntu]])</f>
        <v>16246886.399999999</v>
      </c>
    </row>
    <row r="70" spans="2:47" x14ac:dyDescent="0.25">
      <c r="B70" s="15" t="str">
        <f>Table8[[#This Row],[Section]]&amp;"-"&amp;TEXT(Table8[[#This Row],[Grade]],"0")</f>
        <v>500WC340-400</v>
      </c>
      <c r="C70" s="3" t="s">
        <v>61</v>
      </c>
      <c r="D70" s="3">
        <v>400</v>
      </c>
      <c r="E70" s="3" t="s">
        <v>75</v>
      </c>
      <c r="F70" s="4">
        <v>340</v>
      </c>
      <c r="G70" s="3" t="s">
        <v>13</v>
      </c>
      <c r="H70" s="3" t="s">
        <v>14</v>
      </c>
      <c r="I70" s="5">
        <v>0.51400000000000001</v>
      </c>
      <c r="J70" s="5">
        <v>0.5</v>
      </c>
      <c r="K70" s="5">
        <v>3.2000000000000001E-2</v>
      </c>
      <c r="L70" s="5">
        <v>2.5000000000000001E-2</v>
      </c>
      <c r="M70" s="5" t="s">
        <v>107</v>
      </c>
      <c r="N70" s="5">
        <v>0.45</v>
      </c>
      <c r="O70" s="6">
        <v>18</v>
      </c>
      <c r="P70" s="6">
        <v>7.4218749999999991</v>
      </c>
      <c r="Q70" s="7">
        <v>4.3200000000000002E-2</v>
      </c>
      <c r="R70" s="8">
        <v>2.0500000000000002E-3</v>
      </c>
      <c r="S70" s="9">
        <v>7.9799999999999992E-3</v>
      </c>
      <c r="T70" s="9">
        <v>8.9800000000000001E-3</v>
      </c>
      <c r="U70" s="5">
        <v>0.218</v>
      </c>
      <c r="V70" s="8">
        <v>6.6699999999999995E-4</v>
      </c>
      <c r="W70" s="9">
        <v>2.6700000000000001E-3</v>
      </c>
      <c r="X70" s="9">
        <v>4.0699999999999998E-3</v>
      </c>
      <c r="Y70" s="5">
        <v>0.218</v>
      </c>
      <c r="Z70" s="8">
        <v>1.31E-5</v>
      </c>
      <c r="AA70" s="10">
        <v>3.8800000000000001E-5</v>
      </c>
      <c r="AB70" s="45">
        <v>0.85</v>
      </c>
      <c r="AC70" s="17">
        <f t="array" ref="AC70">INDEX(tbllkpSteelGrades[fy],MATCH(1,(Table8[[#This Row],[Grade]]=tbllkpSteelGrades[Grade])*(Table8[[#This Row],[tw]]&lt;=tbllkpSteelGrades[Thickness]),0))</f>
        <v>360000000</v>
      </c>
      <c r="AD70" s="17">
        <f t="array" ref="AD70">INDEX(tbllkpSteelGrades[fy],MATCH(1,(Table8[[#This Row],[Grade]]=tbllkpSteelGrades[Grade])*(Table8[[#This Row],[tf]]&lt;=tbllkpSteelGrades[Thickness]),0))</f>
        <v>360000000</v>
      </c>
      <c r="AE70" s="17">
        <f>MIN(Table8[[#This Row],[fy_web]],Table8[[#This Row],[fy_flange]])</f>
        <v>360000000</v>
      </c>
      <c r="AF70" s="17">
        <f t="array" ref="AF70">INDEX(tbllkpSteelGrades[fu],MATCH(1,(Table8[[#This Row],[Grade]]=tbllkpSteelGrades[Grade])*(Table8[[#This Row],[tw]]&lt;=tbllkpSteelGrades[Thickness]),0))</f>
        <v>480000000</v>
      </c>
      <c r="AG70" s="18">
        <f>IF(Table8[[#This Row],[Fabrication Type]]="Welded",Table8[[#This Row],[d1]],Table8[[#This Row],[d]])*Table8[[#This Row],[tw]]</f>
        <v>1.1250000000000001E-2</v>
      </c>
      <c r="AH70" s="11">
        <f>Table8[[#This Row],[Aw]]*Table8[[#This Row],[fy_web]]*0.6</f>
        <v>2430000</v>
      </c>
      <c r="AI70" s="35">
        <f>82/SQRT(Table8[[#This Row],[fy_web]]/250000000)</f>
        <v>68.333333333333343</v>
      </c>
      <c r="AJ7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70" s="38">
        <f>IF(Table8[[#This Row],[Fabrication Type]]="Welded",IF(Table8[[#This Row],[tw]]&gt;0.016,0.016*Table8[[#This Row],[fu]],Table8[[#This Row],[tw]]*Table8[[#This Row],[fu]]),"")</f>
        <v>7680000</v>
      </c>
      <c r="AL70" s="13">
        <f>Table8[[#This Row],[d]]-Table8[[#This Row],[tf]]</f>
        <v>0.48199999999999998</v>
      </c>
      <c r="AM70" s="39">
        <f>Table8[[#This Row],[bf]]*Table8[[#This Row],[tf]]*(Table8[[#This Row],[df]]/2)</f>
        <v>3.8560000000000001E-3</v>
      </c>
      <c r="AN70" s="11">
        <f>IF(Table8[[#This Row],[Fabrication Type]]="Welded",Table8[[#This Row],[vw]]*Table8[[#This Row],[Ix]]/Table8[[#This Row],[Qflange]],"")</f>
        <v>4082987.5518672206</v>
      </c>
      <c r="AO70" s="11">
        <f>Table8[[#This Row],[tw]]*MIN(Table8[[#This Row],[fy_web]], Table8[[#This Row],[fy_flange]])*0.6*Table8[[#This Row],[Ix]]/Table8[[#This Row],[Qflange]]</f>
        <v>2870850.6224066396</v>
      </c>
      <c r="AP70" s="50">
        <f ca="1">INDEX(tbllkpkt[kt],MATCH(RANDBETWEEN(1,4),tbllkpkt[Index],0))</f>
        <v>0.9</v>
      </c>
      <c r="AQ70" s="48">
        <f t="shared" ca="1" si="2"/>
        <v>0.94</v>
      </c>
      <c r="AR70" s="18">
        <f ca="1">Table8[[#This Row],[Ag]]*Table8[[#This Row],[Deduction_for_An]]</f>
        <v>4.0607999999999998E-2</v>
      </c>
      <c r="AS70" s="11">
        <f>Table8[[#This Row],[fy]]*Table8[[#This Row],[Ag]]</f>
        <v>15552000</v>
      </c>
      <c r="AT70" s="11">
        <f ca="1">Table8[[#This Row],[αu]]*Table8[[#This Row],[kt]]*Table8[[#This Row],[An]]*Table8[[#This Row],[fu]]</f>
        <v>14911257.6</v>
      </c>
      <c r="AU70" s="11">
        <f ca="1">MIN(Table8[[#This Row],[Nty]],Table8[[#This Row],[Ntu]])</f>
        <v>14911257.6</v>
      </c>
    </row>
    <row r="71" spans="2:47" x14ac:dyDescent="0.25">
      <c r="B71" s="15" t="str">
        <f>Table8[[#This Row],[Section]]&amp;"-"&amp;TEXT(Table8[[#This Row],[Grade]],"0")</f>
        <v>500WC290-400</v>
      </c>
      <c r="C71" s="3" t="s">
        <v>62</v>
      </c>
      <c r="D71" s="3">
        <v>400</v>
      </c>
      <c r="E71" s="3" t="s">
        <v>75</v>
      </c>
      <c r="F71" s="4">
        <v>290</v>
      </c>
      <c r="G71" s="3" t="s">
        <v>13</v>
      </c>
      <c r="H71" s="3" t="s">
        <v>14</v>
      </c>
      <c r="I71" s="5">
        <v>0.50600000000000001</v>
      </c>
      <c r="J71" s="5">
        <v>0.5</v>
      </c>
      <c r="K71" s="5">
        <v>2.8000000000000001E-2</v>
      </c>
      <c r="L71" s="5">
        <v>0.02</v>
      </c>
      <c r="M71" s="5" t="s">
        <v>107</v>
      </c>
      <c r="N71" s="5">
        <v>0.45</v>
      </c>
      <c r="O71" s="6">
        <v>22.5</v>
      </c>
      <c r="P71" s="6">
        <v>8.5714285714285712</v>
      </c>
      <c r="Q71" s="7">
        <v>3.6999999999999998E-2</v>
      </c>
      <c r="R71" s="8">
        <v>1.75E-3</v>
      </c>
      <c r="S71" s="9">
        <v>6.9300000000000004E-3</v>
      </c>
      <c r="T71" s="9">
        <v>7.7000000000000002E-3</v>
      </c>
      <c r="U71" s="5">
        <v>0.218</v>
      </c>
      <c r="V71" s="8">
        <v>5.8399999999999999E-4</v>
      </c>
      <c r="W71" s="9">
        <v>2.33E-3</v>
      </c>
      <c r="X71" s="9">
        <v>3.5400000000000002E-3</v>
      </c>
      <c r="Y71" s="5">
        <v>0.218</v>
      </c>
      <c r="Z71" s="8">
        <v>8.4200000000000007E-6</v>
      </c>
      <c r="AA71" s="10">
        <v>3.3300000000000003E-5</v>
      </c>
      <c r="AB71" s="45">
        <v>0.85</v>
      </c>
      <c r="AC71" s="17">
        <f t="array" ref="AC71">INDEX(tbllkpSteelGrades[fy],MATCH(1,(Table8[[#This Row],[Grade]]=tbllkpSteelGrades[Grade])*(Table8[[#This Row],[tw]]&lt;=tbllkpSteelGrades[Thickness]),0))</f>
        <v>380000000</v>
      </c>
      <c r="AD71" s="17">
        <f t="array" ref="AD71">INDEX(tbllkpSteelGrades[fy],MATCH(1,(Table8[[#This Row],[Grade]]=tbllkpSteelGrades[Grade])*(Table8[[#This Row],[tf]]&lt;=tbllkpSteelGrades[Thickness]),0))</f>
        <v>360000000</v>
      </c>
      <c r="AE71" s="17">
        <f>MIN(Table8[[#This Row],[fy_web]],Table8[[#This Row],[fy_flange]])</f>
        <v>360000000</v>
      </c>
      <c r="AF71" s="17">
        <f t="array" ref="AF71">INDEX(tbllkpSteelGrades[fu],MATCH(1,(Table8[[#This Row],[Grade]]=tbllkpSteelGrades[Grade])*(Table8[[#This Row],[tw]]&lt;=tbllkpSteelGrades[Thickness]),0))</f>
        <v>480000000</v>
      </c>
      <c r="AG71" s="18">
        <f>IF(Table8[[#This Row],[Fabrication Type]]="Welded",Table8[[#This Row],[d1]],Table8[[#This Row],[d]])*Table8[[#This Row],[tw]]</f>
        <v>9.0000000000000011E-3</v>
      </c>
      <c r="AH71" s="11">
        <f>Table8[[#This Row],[Aw]]*Table8[[#This Row],[fy_web]]*0.6</f>
        <v>2052000.0000000002</v>
      </c>
      <c r="AI71" s="35">
        <f>82/SQRT(Table8[[#This Row],[fy_web]]/250000000)</f>
        <v>66.510782663612645</v>
      </c>
      <c r="AJ7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71" s="38">
        <f>IF(Table8[[#This Row],[Fabrication Type]]="Welded",IF(Table8[[#This Row],[tw]]&gt;0.016,0.016*Table8[[#This Row],[fu]],Table8[[#This Row],[tw]]*Table8[[#This Row],[fu]]),"")</f>
        <v>7680000</v>
      </c>
      <c r="AL71" s="13">
        <f>Table8[[#This Row],[d]]-Table8[[#This Row],[tf]]</f>
        <v>0.47799999999999998</v>
      </c>
      <c r="AM71" s="39">
        <f>Table8[[#This Row],[bf]]*Table8[[#This Row],[tf]]*(Table8[[#This Row],[df]]/2)</f>
        <v>3.346E-3</v>
      </c>
      <c r="AN71" s="11">
        <f>IF(Table8[[#This Row],[Fabrication Type]]="Welded",Table8[[#This Row],[vw]]*Table8[[#This Row],[Ix]]/Table8[[#This Row],[Qflange]],"")</f>
        <v>4016736.4016736401</v>
      </c>
      <c r="AO71" s="11">
        <f>Table8[[#This Row],[tw]]*MIN(Table8[[#This Row],[fy_web]], Table8[[#This Row],[fy_flange]])*0.6*Table8[[#This Row],[Ix]]/Table8[[#This Row],[Qflange]]</f>
        <v>2259414.2259414224</v>
      </c>
      <c r="AP71" s="50">
        <f ca="1">INDEX(tbllkpkt[kt],MATCH(RANDBETWEEN(1,4),tbllkpkt[Index],0))</f>
        <v>0.75</v>
      </c>
      <c r="AQ71" s="48">
        <f t="shared" ca="1" si="2"/>
        <v>0.92999999999999994</v>
      </c>
      <c r="AR71" s="18">
        <f ca="1">Table8[[#This Row],[Ag]]*Table8[[#This Row],[Deduction_for_An]]</f>
        <v>3.4409999999999996E-2</v>
      </c>
      <c r="AS71" s="11">
        <f>Table8[[#This Row],[fy]]*Table8[[#This Row],[Ag]]</f>
        <v>13320000</v>
      </c>
      <c r="AT71" s="11">
        <f ca="1">Table8[[#This Row],[αu]]*Table8[[#This Row],[kt]]*Table8[[#This Row],[An]]*Table8[[#This Row],[fu]]</f>
        <v>10529459.999999998</v>
      </c>
      <c r="AU71" s="11">
        <f ca="1">MIN(Table8[[#This Row],[Nty]],Table8[[#This Row],[Ntu]])</f>
        <v>10529459.999999998</v>
      </c>
    </row>
    <row r="72" spans="2:47" x14ac:dyDescent="0.25">
      <c r="B72" s="15" t="str">
        <f>Table8[[#This Row],[Section]]&amp;"-"&amp;TEXT(Table8[[#This Row],[Grade]],"0")</f>
        <v>500WC267-400</v>
      </c>
      <c r="C72" s="3" t="s">
        <v>63</v>
      </c>
      <c r="D72" s="3">
        <v>400</v>
      </c>
      <c r="E72" s="3" t="s">
        <v>75</v>
      </c>
      <c r="F72" s="4">
        <v>267</v>
      </c>
      <c r="G72" s="3" t="s">
        <v>13</v>
      </c>
      <c r="H72" s="3" t="s">
        <v>14</v>
      </c>
      <c r="I72" s="5">
        <v>0.5</v>
      </c>
      <c r="J72" s="5">
        <v>0.5</v>
      </c>
      <c r="K72" s="5">
        <v>2.5000000000000001E-2</v>
      </c>
      <c r="L72" s="5">
        <v>0.02</v>
      </c>
      <c r="M72" s="5" t="s">
        <v>107</v>
      </c>
      <c r="N72" s="5">
        <v>0.45</v>
      </c>
      <c r="O72" s="6">
        <v>22.5</v>
      </c>
      <c r="P72" s="6">
        <v>9.6</v>
      </c>
      <c r="Q72" s="7">
        <v>3.4000000000000002E-2</v>
      </c>
      <c r="R72" s="8">
        <v>1.56E-3</v>
      </c>
      <c r="S72" s="9">
        <v>6.2500000000000003E-3</v>
      </c>
      <c r="T72" s="9">
        <v>6.9499999999999996E-3</v>
      </c>
      <c r="U72" s="5">
        <v>0.214</v>
      </c>
      <c r="V72" s="8">
        <v>5.2099999999999998E-4</v>
      </c>
      <c r="W72" s="9">
        <v>2.0799999999999998E-3</v>
      </c>
      <c r="X72" s="9">
        <v>3.1700000000000001E-3</v>
      </c>
      <c r="Y72" s="5">
        <v>0.214</v>
      </c>
      <c r="Z72" s="8">
        <v>6.37E-6</v>
      </c>
      <c r="AA72" s="10">
        <v>2.94E-5</v>
      </c>
      <c r="AB72" s="45">
        <v>0.85</v>
      </c>
      <c r="AC72" s="17">
        <f t="array" ref="AC72">INDEX(tbllkpSteelGrades[fy],MATCH(1,(Table8[[#This Row],[Grade]]=tbllkpSteelGrades[Grade])*(Table8[[#This Row],[tw]]&lt;=tbllkpSteelGrades[Thickness]),0))</f>
        <v>380000000</v>
      </c>
      <c r="AD72" s="17">
        <f t="array" ref="AD72">INDEX(tbllkpSteelGrades[fy],MATCH(1,(Table8[[#This Row],[Grade]]=tbllkpSteelGrades[Grade])*(Table8[[#This Row],[tf]]&lt;=tbllkpSteelGrades[Thickness]),0))</f>
        <v>360000000</v>
      </c>
      <c r="AE72" s="17">
        <f>MIN(Table8[[#This Row],[fy_web]],Table8[[#This Row],[fy_flange]])</f>
        <v>360000000</v>
      </c>
      <c r="AF72" s="17">
        <f t="array" ref="AF72">INDEX(tbllkpSteelGrades[fu],MATCH(1,(Table8[[#This Row],[Grade]]=tbllkpSteelGrades[Grade])*(Table8[[#This Row],[tw]]&lt;=tbllkpSteelGrades[Thickness]),0))</f>
        <v>480000000</v>
      </c>
      <c r="AG72" s="18">
        <f>IF(Table8[[#This Row],[Fabrication Type]]="Welded",Table8[[#This Row],[d1]],Table8[[#This Row],[d]])*Table8[[#This Row],[tw]]</f>
        <v>9.0000000000000011E-3</v>
      </c>
      <c r="AH72" s="11">
        <f>Table8[[#This Row],[Aw]]*Table8[[#This Row],[fy_web]]*0.6</f>
        <v>2052000.0000000002</v>
      </c>
      <c r="AI72" s="35">
        <f>82/SQRT(Table8[[#This Row],[fy_web]]/250000000)</f>
        <v>66.510782663612645</v>
      </c>
      <c r="AJ7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72" s="38">
        <f>IF(Table8[[#This Row],[Fabrication Type]]="Welded",IF(Table8[[#This Row],[tw]]&gt;0.016,0.016*Table8[[#This Row],[fu]],Table8[[#This Row],[tw]]*Table8[[#This Row],[fu]]),"")</f>
        <v>7680000</v>
      </c>
      <c r="AL72" s="13">
        <f>Table8[[#This Row],[d]]-Table8[[#This Row],[tf]]</f>
        <v>0.47499999999999998</v>
      </c>
      <c r="AM72" s="39">
        <f>Table8[[#This Row],[bf]]*Table8[[#This Row],[tf]]*(Table8[[#This Row],[df]]/2)</f>
        <v>2.96875E-3</v>
      </c>
      <c r="AN72" s="11">
        <f>IF(Table8[[#This Row],[Fabrication Type]]="Welded",Table8[[#This Row],[vw]]*Table8[[#This Row],[Ix]]/Table8[[#This Row],[Qflange]],"")</f>
        <v>4035637.8947368418</v>
      </c>
      <c r="AO72" s="11">
        <f>Table8[[#This Row],[tw]]*MIN(Table8[[#This Row],[fy_web]], Table8[[#This Row],[fy_flange]])*0.6*Table8[[#This Row],[Ix]]/Table8[[#This Row],[Qflange]]</f>
        <v>2270046.3157894737</v>
      </c>
      <c r="AP72" s="50">
        <f ca="1">INDEX(tbllkpkt[kt],MATCH(RANDBETWEEN(1,4),tbllkpkt[Index],0))</f>
        <v>0.85</v>
      </c>
      <c r="AQ72" s="48">
        <f t="shared" ca="1" si="2"/>
        <v>0.92</v>
      </c>
      <c r="AR72" s="18">
        <f ca="1">Table8[[#This Row],[Ag]]*Table8[[#This Row],[Deduction_for_An]]</f>
        <v>3.1280000000000002E-2</v>
      </c>
      <c r="AS72" s="11">
        <f>Table8[[#This Row],[fy]]*Table8[[#This Row],[Ag]]</f>
        <v>12240000</v>
      </c>
      <c r="AT72" s="11">
        <f ca="1">Table8[[#This Row],[αu]]*Table8[[#This Row],[kt]]*Table8[[#This Row],[An]]*Table8[[#This Row],[fu]]</f>
        <v>10847904</v>
      </c>
      <c r="AU72" s="11">
        <f ca="1">MIN(Table8[[#This Row],[Nty]],Table8[[#This Row],[Ntu]])</f>
        <v>10847904</v>
      </c>
    </row>
    <row r="73" spans="2:47" x14ac:dyDescent="0.25">
      <c r="B73" s="15" t="str">
        <f>Table8[[#This Row],[Section]]&amp;"-"&amp;TEXT(Table8[[#This Row],[Grade]],"0")</f>
        <v>500WC228-400</v>
      </c>
      <c r="C73" s="3" t="s">
        <v>64</v>
      </c>
      <c r="D73" s="3">
        <v>400</v>
      </c>
      <c r="E73" s="3" t="s">
        <v>75</v>
      </c>
      <c r="F73" s="4">
        <v>228</v>
      </c>
      <c r="G73" s="3" t="s">
        <v>13</v>
      </c>
      <c r="H73" s="3" t="s">
        <v>14</v>
      </c>
      <c r="I73" s="5">
        <v>0.49</v>
      </c>
      <c r="J73" s="5">
        <v>0.5</v>
      </c>
      <c r="K73" s="5">
        <v>0.02</v>
      </c>
      <c r="L73" s="5">
        <v>0.02</v>
      </c>
      <c r="M73" s="5" t="s">
        <v>107</v>
      </c>
      <c r="N73" s="5">
        <v>0.45</v>
      </c>
      <c r="O73" s="6">
        <v>22.5</v>
      </c>
      <c r="P73" s="6">
        <v>12</v>
      </c>
      <c r="Q73" s="7">
        <v>2.9000000000000001E-2</v>
      </c>
      <c r="R73" s="8">
        <v>1.2600000000000001E-3</v>
      </c>
      <c r="S73" s="9">
        <v>5.13E-3</v>
      </c>
      <c r="T73" s="9">
        <v>5.7099999999999998E-3</v>
      </c>
      <c r="U73" s="5">
        <v>0.20799999999999999</v>
      </c>
      <c r="V73" s="8">
        <v>4.17E-4</v>
      </c>
      <c r="W73" s="9">
        <v>1.67E-3</v>
      </c>
      <c r="X73" s="9">
        <v>2.5400000000000002E-3</v>
      </c>
      <c r="Y73" s="5">
        <v>0.20799999999999999</v>
      </c>
      <c r="Z73" s="8">
        <v>3.8800000000000001E-6</v>
      </c>
      <c r="AA73" s="10">
        <v>2.3E-5</v>
      </c>
      <c r="AB73" s="45">
        <v>0.85</v>
      </c>
      <c r="AC73" s="17">
        <f t="array" ref="AC73">INDEX(tbllkpSteelGrades[fy],MATCH(1,(Table8[[#This Row],[Grade]]=tbllkpSteelGrades[Grade])*(Table8[[#This Row],[tw]]&lt;=tbllkpSteelGrades[Thickness]),0))</f>
        <v>380000000</v>
      </c>
      <c r="AD73" s="17">
        <f t="array" ref="AD73">INDEX(tbllkpSteelGrades[fy],MATCH(1,(Table8[[#This Row],[Grade]]=tbllkpSteelGrades[Grade])*(Table8[[#This Row],[tf]]&lt;=tbllkpSteelGrades[Thickness]),0))</f>
        <v>380000000</v>
      </c>
      <c r="AE73" s="17">
        <f>MIN(Table8[[#This Row],[fy_web]],Table8[[#This Row],[fy_flange]])</f>
        <v>380000000</v>
      </c>
      <c r="AF73" s="17">
        <f t="array" ref="AF73">INDEX(tbllkpSteelGrades[fu],MATCH(1,(Table8[[#This Row],[Grade]]=tbllkpSteelGrades[Grade])*(Table8[[#This Row],[tw]]&lt;=tbllkpSteelGrades[Thickness]),0))</f>
        <v>480000000</v>
      </c>
      <c r="AG73" s="18">
        <f>IF(Table8[[#This Row],[Fabrication Type]]="Welded",Table8[[#This Row],[d1]],Table8[[#This Row],[d]])*Table8[[#This Row],[tw]]</f>
        <v>9.0000000000000011E-3</v>
      </c>
      <c r="AH73" s="11">
        <f>Table8[[#This Row],[Aw]]*Table8[[#This Row],[fy_web]]*0.6</f>
        <v>2052000.0000000002</v>
      </c>
      <c r="AI73" s="35">
        <f>82/SQRT(Table8[[#This Row],[fy_web]]/250000000)</f>
        <v>66.510782663612645</v>
      </c>
      <c r="AJ7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73" s="38">
        <f>IF(Table8[[#This Row],[Fabrication Type]]="Welded",IF(Table8[[#This Row],[tw]]&gt;0.016,0.016*Table8[[#This Row],[fu]],Table8[[#This Row],[tw]]*Table8[[#This Row],[fu]]),"")</f>
        <v>7680000</v>
      </c>
      <c r="AL73" s="13">
        <f>Table8[[#This Row],[d]]-Table8[[#This Row],[tf]]</f>
        <v>0.47</v>
      </c>
      <c r="AM73" s="39">
        <f>Table8[[#This Row],[bf]]*Table8[[#This Row],[tf]]*(Table8[[#This Row],[df]]/2)</f>
        <v>2.3500000000000001E-3</v>
      </c>
      <c r="AN73" s="11">
        <f>IF(Table8[[#This Row],[Fabrication Type]]="Welded",Table8[[#This Row],[vw]]*Table8[[#This Row],[Ix]]/Table8[[#This Row],[Qflange]],"")</f>
        <v>4117787.2340425537</v>
      </c>
      <c r="AO73" s="11">
        <f>Table8[[#This Row],[tw]]*MIN(Table8[[#This Row],[fy_web]], Table8[[#This Row],[fy_flange]])*0.6*Table8[[#This Row],[Ix]]/Table8[[#This Row],[Qflange]]</f>
        <v>2444936.1702127662</v>
      </c>
      <c r="AP73" s="50">
        <f ca="1">INDEX(tbllkpkt[kt],MATCH(RANDBETWEEN(1,4),tbllkpkt[Index],0))</f>
        <v>0.85</v>
      </c>
      <c r="AQ73" s="48">
        <f t="shared" ca="1" si="2"/>
        <v>0.98</v>
      </c>
      <c r="AR73" s="18">
        <f ca="1">Table8[[#This Row],[Ag]]*Table8[[#This Row],[Deduction_for_An]]</f>
        <v>2.8420000000000001E-2</v>
      </c>
      <c r="AS73" s="11">
        <f>Table8[[#This Row],[fy]]*Table8[[#This Row],[Ag]]</f>
        <v>11020000</v>
      </c>
      <c r="AT73" s="11">
        <f ca="1">Table8[[#This Row],[αu]]*Table8[[#This Row],[kt]]*Table8[[#This Row],[An]]*Table8[[#This Row],[fu]]</f>
        <v>9856056</v>
      </c>
      <c r="AU73" s="11">
        <f ca="1">MIN(Table8[[#This Row],[Nty]],Table8[[#This Row],[Ntu]])</f>
        <v>9856056</v>
      </c>
    </row>
    <row r="74" spans="2:47" x14ac:dyDescent="0.25">
      <c r="B74" s="15" t="str">
        <f>Table8[[#This Row],[Section]]&amp;"-"&amp;TEXT(Table8[[#This Row],[Grade]],"0")</f>
        <v>400WC361-400</v>
      </c>
      <c r="C74" s="3" t="s">
        <v>65</v>
      </c>
      <c r="D74" s="3">
        <v>400</v>
      </c>
      <c r="E74" s="3" t="s">
        <v>75</v>
      </c>
      <c r="F74" s="4">
        <v>361</v>
      </c>
      <c r="G74" s="3" t="s">
        <v>13</v>
      </c>
      <c r="H74" s="3" t="s">
        <v>14</v>
      </c>
      <c r="I74" s="5">
        <v>0.43</v>
      </c>
      <c r="J74" s="5">
        <v>0.4</v>
      </c>
      <c r="K74" s="5">
        <v>0.04</v>
      </c>
      <c r="L74" s="5">
        <v>0.04</v>
      </c>
      <c r="M74" s="5" t="s">
        <v>107</v>
      </c>
      <c r="N74" s="5">
        <v>0.35</v>
      </c>
      <c r="O74" s="6">
        <v>8.75</v>
      </c>
      <c r="P74" s="6">
        <v>4.5</v>
      </c>
      <c r="Q74" s="7">
        <v>4.5999999999999999E-2</v>
      </c>
      <c r="R74" s="8">
        <v>1.3600000000000001E-3</v>
      </c>
      <c r="S74" s="9">
        <v>6.3400000000000001E-3</v>
      </c>
      <c r="T74" s="9">
        <v>7.4599999999999996E-3</v>
      </c>
      <c r="U74" s="5">
        <v>0.17199999999999999</v>
      </c>
      <c r="V74" s="8">
        <v>4.2900000000000002E-4</v>
      </c>
      <c r="W74" s="9">
        <v>2.14E-3</v>
      </c>
      <c r="X74" s="9">
        <v>3.3400000000000001E-3</v>
      </c>
      <c r="Y74" s="5">
        <v>0.17199999999999999</v>
      </c>
      <c r="Z74" s="8">
        <v>2.48E-5</v>
      </c>
      <c r="AA74" s="10">
        <v>1.63E-5</v>
      </c>
      <c r="AB74" s="45">
        <v>0.85</v>
      </c>
      <c r="AC74" s="17">
        <f t="array" ref="AC74">INDEX(tbllkpSteelGrades[fy],MATCH(1,(Table8[[#This Row],[Grade]]=tbllkpSteelGrades[Grade])*(Table8[[#This Row],[tw]]&lt;=tbllkpSteelGrades[Thickness]),0))</f>
        <v>360000000</v>
      </c>
      <c r="AD74" s="17">
        <f t="array" ref="AD74">INDEX(tbllkpSteelGrades[fy],MATCH(1,(Table8[[#This Row],[Grade]]=tbllkpSteelGrades[Grade])*(Table8[[#This Row],[tf]]&lt;=tbllkpSteelGrades[Thickness]),0))</f>
        <v>360000000</v>
      </c>
      <c r="AE74" s="17">
        <f>MIN(Table8[[#This Row],[fy_web]],Table8[[#This Row],[fy_flange]])</f>
        <v>360000000</v>
      </c>
      <c r="AF74" s="17">
        <f t="array" ref="AF74">INDEX(tbllkpSteelGrades[fu],MATCH(1,(Table8[[#This Row],[Grade]]=tbllkpSteelGrades[Grade])*(Table8[[#This Row],[tw]]&lt;=tbllkpSteelGrades[Thickness]),0))</f>
        <v>480000000</v>
      </c>
      <c r="AG74" s="18">
        <f>IF(Table8[[#This Row],[Fabrication Type]]="Welded",Table8[[#This Row],[d1]],Table8[[#This Row],[d]])*Table8[[#This Row],[tw]]</f>
        <v>1.3999999999999999E-2</v>
      </c>
      <c r="AH74" s="11">
        <f>Table8[[#This Row],[Aw]]*Table8[[#This Row],[fy_web]]*0.6</f>
        <v>3023999.9999999995</v>
      </c>
      <c r="AI74" s="35">
        <f>82/SQRT(Table8[[#This Row],[fy_web]]/250000000)</f>
        <v>68.333333333333343</v>
      </c>
      <c r="AJ7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74" s="38">
        <f>IF(Table8[[#This Row],[Fabrication Type]]="Welded",IF(Table8[[#This Row],[tw]]&gt;0.016,0.016*Table8[[#This Row],[fu]],Table8[[#This Row],[tw]]*Table8[[#This Row],[fu]]),"")</f>
        <v>7680000</v>
      </c>
      <c r="AL74" s="13">
        <f>Table8[[#This Row],[d]]-Table8[[#This Row],[tf]]</f>
        <v>0.39</v>
      </c>
      <c r="AM74" s="39">
        <f>Table8[[#This Row],[bf]]*Table8[[#This Row],[tf]]*(Table8[[#This Row],[df]]/2)</f>
        <v>3.1200000000000004E-3</v>
      </c>
      <c r="AN74" s="11">
        <f>IF(Table8[[#This Row],[Fabrication Type]]="Welded",Table8[[#This Row],[vw]]*Table8[[#This Row],[Ix]]/Table8[[#This Row],[Qflange]],"")</f>
        <v>3347692.3076923075</v>
      </c>
      <c r="AO74" s="11">
        <f>Table8[[#This Row],[tw]]*MIN(Table8[[#This Row],[fy_web]], Table8[[#This Row],[fy_flange]])*0.6*Table8[[#This Row],[Ix]]/Table8[[#This Row],[Qflange]]</f>
        <v>3766153.846153846</v>
      </c>
      <c r="AP74" s="50">
        <f ca="1">INDEX(tbllkpkt[kt],MATCH(RANDBETWEEN(1,4),tbllkpkt[Index],0))</f>
        <v>0.85</v>
      </c>
      <c r="AQ74" s="48">
        <f t="shared" ca="1" si="2"/>
        <v>0.98</v>
      </c>
      <c r="AR74" s="18">
        <f ca="1">Table8[[#This Row],[Ag]]*Table8[[#This Row],[Deduction_for_An]]</f>
        <v>4.5079999999999995E-2</v>
      </c>
      <c r="AS74" s="11">
        <f>Table8[[#This Row],[fy]]*Table8[[#This Row],[Ag]]</f>
        <v>16560000</v>
      </c>
      <c r="AT74" s="11">
        <f ca="1">Table8[[#This Row],[αu]]*Table8[[#This Row],[kt]]*Table8[[#This Row],[An]]*Table8[[#This Row],[fu]]</f>
        <v>15633743.999999994</v>
      </c>
      <c r="AU74" s="11">
        <f ca="1">MIN(Table8[[#This Row],[Nty]],Table8[[#This Row],[Ntu]])</f>
        <v>15633743.999999994</v>
      </c>
    </row>
    <row r="75" spans="2:47" x14ac:dyDescent="0.25">
      <c r="B75" s="15" t="str">
        <f>Table8[[#This Row],[Section]]&amp;"-"&amp;TEXT(Table8[[#This Row],[Grade]],"0")</f>
        <v>400WC328-400</v>
      </c>
      <c r="C75" s="3" t="s">
        <v>66</v>
      </c>
      <c r="D75" s="3">
        <v>400</v>
      </c>
      <c r="E75" s="3" t="s">
        <v>75</v>
      </c>
      <c r="F75" s="4">
        <v>328</v>
      </c>
      <c r="G75" s="3" t="s">
        <v>13</v>
      </c>
      <c r="H75" s="3" t="s">
        <v>14</v>
      </c>
      <c r="I75" s="5">
        <v>0.43</v>
      </c>
      <c r="J75" s="5">
        <v>0.4</v>
      </c>
      <c r="K75" s="5">
        <v>0.04</v>
      </c>
      <c r="L75" s="5">
        <v>2.8000000000000001E-2</v>
      </c>
      <c r="M75" s="5" t="s">
        <v>107</v>
      </c>
      <c r="N75" s="5">
        <v>0.35</v>
      </c>
      <c r="O75" s="6">
        <v>12.499999999999998</v>
      </c>
      <c r="P75" s="6">
        <v>4.6499999999999995</v>
      </c>
      <c r="Q75" s="7">
        <v>4.1799999999999997E-2</v>
      </c>
      <c r="R75" s="8">
        <v>1.32E-3</v>
      </c>
      <c r="S75" s="9">
        <v>6.1399999999999996E-3</v>
      </c>
      <c r="T75" s="9">
        <v>7.1000000000000004E-3</v>
      </c>
      <c r="U75" s="5">
        <v>0.17799999999999999</v>
      </c>
      <c r="V75" s="8">
        <v>4.2700000000000002E-4</v>
      </c>
      <c r="W75" s="9">
        <v>2.14E-3</v>
      </c>
      <c r="X75" s="9">
        <v>3.2699999999999999E-3</v>
      </c>
      <c r="Y75" s="5">
        <v>0.17799999999999999</v>
      </c>
      <c r="Z75" s="8">
        <v>1.9199999999999999E-5</v>
      </c>
      <c r="AA75" s="10">
        <v>1.6200000000000001E-5</v>
      </c>
      <c r="AB75" s="45">
        <v>0.85</v>
      </c>
      <c r="AC75" s="17">
        <f t="array" ref="AC75">INDEX(tbllkpSteelGrades[fy],MATCH(1,(Table8[[#This Row],[Grade]]=tbllkpSteelGrades[Grade])*(Table8[[#This Row],[tw]]&lt;=tbllkpSteelGrades[Thickness]),0))</f>
        <v>360000000</v>
      </c>
      <c r="AD75" s="17">
        <f t="array" ref="AD75">INDEX(tbllkpSteelGrades[fy],MATCH(1,(Table8[[#This Row],[Grade]]=tbllkpSteelGrades[Grade])*(Table8[[#This Row],[tf]]&lt;=tbllkpSteelGrades[Thickness]),0))</f>
        <v>360000000</v>
      </c>
      <c r="AE75" s="17">
        <f>MIN(Table8[[#This Row],[fy_web]],Table8[[#This Row],[fy_flange]])</f>
        <v>360000000</v>
      </c>
      <c r="AF75" s="17">
        <f t="array" ref="AF75">INDEX(tbllkpSteelGrades[fu],MATCH(1,(Table8[[#This Row],[Grade]]=tbllkpSteelGrades[Grade])*(Table8[[#This Row],[tw]]&lt;=tbllkpSteelGrades[Thickness]),0))</f>
        <v>480000000</v>
      </c>
      <c r="AG75" s="18">
        <f>IF(Table8[[#This Row],[Fabrication Type]]="Welded",Table8[[#This Row],[d1]],Table8[[#This Row],[d]])*Table8[[#This Row],[tw]]</f>
        <v>9.7999999999999997E-3</v>
      </c>
      <c r="AH75" s="11">
        <f>Table8[[#This Row],[Aw]]*Table8[[#This Row],[fy_web]]*0.6</f>
        <v>2116800</v>
      </c>
      <c r="AI75" s="35">
        <f>82/SQRT(Table8[[#This Row],[fy_web]]/250000000)</f>
        <v>68.333333333333343</v>
      </c>
      <c r="AJ7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75" s="38">
        <f>IF(Table8[[#This Row],[Fabrication Type]]="Welded",IF(Table8[[#This Row],[tw]]&gt;0.016,0.016*Table8[[#This Row],[fu]],Table8[[#This Row],[tw]]*Table8[[#This Row],[fu]]),"")</f>
        <v>7680000</v>
      </c>
      <c r="AL75" s="13">
        <f>Table8[[#This Row],[d]]-Table8[[#This Row],[tf]]</f>
        <v>0.39</v>
      </c>
      <c r="AM75" s="39">
        <f>Table8[[#This Row],[bf]]*Table8[[#This Row],[tf]]*(Table8[[#This Row],[df]]/2)</f>
        <v>3.1200000000000004E-3</v>
      </c>
      <c r="AN75" s="11">
        <f>IF(Table8[[#This Row],[Fabrication Type]]="Welded",Table8[[#This Row],[vw]]*Table8[[#This Row],[Ix]]/Table8[[#This Row],[Qflange]],"")</f>
        <v>3249230.769230769</v>
      </c>
      <c r="AO75" s="11">
        <f>Table8[[#This Row],[tw]]*MIN(Table8[[#This Row],[fy_web]], Table8[[#This Row],[fy_flange]])*0.6*Table8[[#This Row],[Ix]]/Table8[[#This Row],[Qflange]]</f>
        <v>2558769.2307692305</v>
      </c>
      <c r="AP75" s="50">
        <f ca="1">INDEX(tbllkpkt[kt],MATCH(RANDBETWEEN(1,4),tbllkpkt[Index],0))</f>
        <v>0.75</v>
      </c>
      <c r="AQ75" s="48">
        <f t="shared" ca="1" si="2"/>
        <v>0.98</v>
      </c>
      <c r="AR75" s="18">
        <f ca="1">Table8[[#This Row],[Ag]]*Table8[[#This Row],[Deduction_for_An]]</f>
        <v>4.0963999999999993E-2</v>
      </c>
      <c r="AS75" s="11">
        <f>Table8[[#This Row],[fy]]*Table8[[#This Row],[Ag]]</f>
        <v>15047999.999999998</v>
      </c>
      <c r="AT75" s="11">
        <f ca="1">Table8[[#This Row],[αu]]*Table8[[#This Row],[kt]]*Table8[[#This Row],[An]]*Table8[[#This Row],[fu]]</f>
        <v>12534983.999999996</v>
      </c>
      <c r="AU75" s="11">
        <f ca="1">MIN(Table8[[#This Row],[Nty]],Table8[[#This Row],[Ntu]])</f>
        <v>12534983.999999996</v>
      </c>
    </row>
    <row r="76" spans="2:47" x14ac:dyDescent="0.25">
      <c r="B76" s="15" t="str">
        <f>Table8[[#This Row],[Section]]&amp;"-"&amp;TEXT(Table8[[#This Row],[Grade]],"0")</f>
        <v>400WC303-400</v>
      </c>
      <c r="C76" s="3" t="s">
        <v>67</v>
      </c>
      <c r="D76" s="3">
        <v>400</v>
      </c>
      <c r="E76" s="3" t="s">
        <v>75</v>
      </c>
      <c r="F76" s="4">
        <v>303</v>
      </c>
      <c r="G76" s="3" t="s">
        <v>13</v>
      </c>
      <c r="H76" s="3" t="s">
        <v>14</v>
      </c>
      <c r="I76" s="5">
        <v>0.42199999999999999</v>
      </c>
      <c r="J76" s="5">
        <v>0.4</v>
      </c>
      <c r="K76" s="5">
        <v>3.5999999999999997E-2</v>
      </c>
      <c r="L76" s="5">
        <v>2.8000000000000001E-2</v>
      </c>
      <c r="M76" s="5" t="s">
        <v>107</v>
      </c>
      <c r="N76" s="5">
        <v>0.35</v>
      </c>
      <c r="O76" s="6">
        <v>12.499999999999998</v>
      </c>
      <c r="P76" s="6">
        <v>5.166666666666667</v>
      </c>
      <c r="Q76" s="7">
        <v>3.8600000000000002E-2</v>
      </c>
      <c r="R76" s="8">
        <v>1.1800000000000001E-3</v>
      </c>
      <c r="S76" s="9">
        <v>5.5700000000000003E-3</v>
      </c>
      <c r="T76" s="9">
        <v>6.4200000000000004E-3</v>
      </c>
      <c r="U76" s="5">
        <v>0.17499999999999999</v>
      </c>
      <c r="V76" s="8">
        <v>3.8499999999999998E-4</v>
      </c>
      <c r="W76" s="9">
        <v>1.92E-3</v>
      </c>
      <c r="X76" s="9">
        <v>2.9499999999999999E-3</v>
      </c>
      <c r="Y76" s="5">
        <v>0.17499999999999999</v>
      </c>
      <c r="Z76" s="8">
        <v>1.4800000000000001E-5</v>
      </c>
      <c r="AA76" s="10">
        <v>1.43E-5</v>
      </c>
      <c r="AB76" s="45">
        <v>0.85</v>
      </c>
      <c r="AC76" s="17">
        <f t="array" ref="AC76">INDEX(tbllkpSteelGrades[fy],MATCH(1,(Table8[[#This Row],[Grade]]=tbllkpSteelGrades[Grade])*(Table8[[#This Row],[tw]]&lt;=tbllkpSteelGrades[Thickness]),0))</f>
        <v>360000000</v>
      </c>
      <c r="AD76" s="17">
        <f t="array" ref="AD76">INDEX(tbllkpSteelGrades[fy],MATCH(1,(Table8[[#This Row],[Grade]]=tbllkpSteelGrades[Grade])*(Table8[[#This Row],[tf]]&lt;=tbllkpSteelGrades[Thickness]),0))</f>
        <v>360000000</v>
      </c>
      <c r="AE76" s="17">
        <f>MIN(Table8[[#This Row],[fy_web]],Table8[[#This Row],[fy_flange]])</f>
        <v>360000000</v>
      </c>
      <c r="AF76" s="17">
        <f t="array" ref="AF76">INDEX(tbllkpSteelGrades[fu],MATCH(1,(Table8[[#This Row],[Grade]]=tbllkpSteelGrades[Grade])*(Table8[[#This Row],[tw]]&lt;=tbllkpSteelGrades[Thickness]),0))</f>
        <v>480000000</v>
      </c>
      <c r="AG76" s="18">
        <f>IF(Table8[[#This Row],[Fabrication Type]]="Welded",Table8[[#This Row],[d1]],Table8[[#This Row],[d]])*Table8[[#This Row],[tw]]</f>
        <v>9.7999999999999997E-3</v>
      </c>
      <c r="AH76" s="11">
        <f>Table8[[#This Row],[Aw]]*Table8[[#This Row],[fy_web]]*0.6</f>
        <v>2116800</v>
      </c>
      <c r="AI76" s="35">
        <f>82/SQRT(Table8[[#This Row],[fy_web]]/250000000)</f>
        <v>68.333333333333343</v>
      </c>
      <c r="AJ7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76" s="38">
        <f>IF(Table8[[#This Row],[Fabrication Type]]="Welded",IF(Table8[[#This Row],[tw]]&gt;0.016,0.016*Table8[[#This Row],[fu]],Table8[[#This Row],[tw]]*Table8[[#This Row],[fu]]),"")</f>
        <v>7680000</v>
      </c>
      <c r="AL76" s="13">
        <f>Table8[[#This Row],[d]]-Table8[[#This Row],[tf]]</f>
        <v>0.38600000000000001</v>
      </c>
      <c r="AM76" s="39">
        <f>Table8[[#This Row],[bf]]*Table8[[#This Row],[tf]]*(Table8[[#This Row],[df]]/2)</f>
        <v>2.7791999999999999E-3</v>
      </c>
      <c r="AN76" s="11">
        <f>IF(Table8[[#This Row],[Fabrication Type]]="Welded",Table8[[#This Row],[vw]]*Table8[[#This Row],[Ix]]/Table8[[#This Row],[Qflange]],"")</f>
        <v>3260794.4732297063</v>
      </c>
      <c r="AO76" s="11">
        <f>Table8[[#This Row],[tw]]*MIN(Table8[[#This Row],[fy_web]], Table8[[#This Row],[fy_flange]])*0.6*Table8[[#This Row],[Ix]]/Table8[[#This Row],[Qflange]]</f>
        <v>2567875.6476683938</v>
      </c>
      <c r="AP76" s="50">
        <f ca="1">INDEX(tbllkpkt[kt],MATCH(RANDBETWEEN(1,4),tbllkpkt[Index],0))</f>
        <v>0.75</v>
      </c>
      <c r="AQ76" s="48">
        <f t="shared" ca="1" si="2"/>
        <v>0.92999999999999994</v>
      </c>
      <c r="AR76" s="18">
        <f ca="1">Table8[[#This Row],[Ag]]*Table8[[#This Row],[Deduction_for_An]]</f>
        <v>3.5897999999999999E-2</v>
      </c>
      <c r="AS76" s="11">
        <f>Table8[[#This Row],[fy]]*Table8[[#This Row],[Ag]]</f>
        <v>13896000</v>
      </c>
      <c r="AT76" s="11">
        <f ca="1">Table8[[#This Row],[αu]]*Table8[[#This Row],[kt]]*Table8[[#This Row],[An]]*Table8[[#This Row],[fu]]</f>
        <v>10984788</v>
      </c>
      <c r="AU76" s="11">
        <f ca="1">MIN(Table8[[#This Row],[Nty]],Table8[[#This Row],[Ntu]])</f>
        <v>10984788</v>
      </c>
    </row>
    <row r="77" spans="2:47" x14ac:dyDescent="0.25">
      <c r="B77" s="15" t="str">
        <f>Table8[[#This Row],[Section]]&amp;"-"&amp;TEXT(Table8[[#This Row],[Grade]],"0")</f>
        <v>400WC270-400</v>
      </c>
      <c r="C77" s="3" t="s">
        <v>68</v>
      </c>
      <c r="D77" s="3">
        <v>400</v>
      </c>
      <c r="E77" s="3" t="s">
        <v>75</v>
      </c>
      <c r="F77" s="4">
        <v>270</v>
      </c>
      <c r="G77" s="3" t="s">
        <v>13</v>
      </c>
      <c r="H77" s="3" t="s">
        <v>14</v>
      </c>
      <c r="I77" s="5">
        <v>0.41399999999999998</v>
      </c>
      <c r="J77" s="5">
        <v>0.4</v>
      </c>
      <c r="K77" s="5">
        <v>3.2000000000000001E-2</v>
      </c>
      <c r="L77" s="5">
        <v>2.5000000000000001E-2</v>
      </c>
      <c r="M77" s="5" t="s">
        <v>107</v>
      </c>
      <c r="N77" s="5">
        <v>0.35</v>
      </c>
      <c r="O77" s="6">
        <v>13.999999999999998</v>
      </c>
      <c r="P77" s="6">
        <v>5.859375</v>
      </c>
      <c r="Q77" s="7">
        <v>3.44E-2</v>
      </c>
      <c r="R77" s="8">
        <v>1.0300000000000001E-3</v>
      </c>
      <c r="S77" s="9">
        <v>4.9500000000000004E-3</v>
      </c>
      <c r="T77" s="9">
        <v>5.6600000000000001E-3</v>
      </c>
      <c r="U77" s="5">
        <v>0.17299999999999999</v>
      </c>
      <c r="V77" s="8">
        <v>3.4200000000000002E-4</v>
      </c>
      <c r="W77" s="9">
        <v>1.7099999999999999E-3</v>
      </c>
      <c r="X77" s="9">
        <v>2.6099999999999999E-3</v>
      </c>
      <c r="Y77" s="5">
        <v>0.17299999999999999</v>
      </c>
      <c r="Z77" s="8">
        <v>1.04E-5</v>
      </c>
      <c r="AA77" s="10">
        <v>1.2500000000000001E-5</v>
      </c>
      <c r="AB77" s="45">
        <v>0.85</v>
      </c>
      <c r="AC77" s="17">
        <f t="array" ref="AC77">INDEX(tbllkpSteelGrades[fy],MATCH(1,(Table8[[#This Row],[Grade]]=tbllkpSteelGrades[Grade])*(Table8[[#This Row],[tw]]&lt;=tbllkpSteelGrades[Thickness]),0))</f>
        <v>360000000</v>
      </c>
      <c r="AD77" s="17">
        <f t="array" ref="AD77">INDEX(tbllkpSteelGrades[fy],MATCH(1,(Table8[[#This Row],[Grade]]=tbllkpSteelGrades[Grade])*(Table8[[#This Row],[tf]]&lt;=tbllkpSteelGrades[Thickness]),0))</f>
        <v>360000000</v>
      </c>
      <c r="AE77" s="17">
        <f>MIN(Table8[[#This Row],[fy_web]],Table8[[#This Row],[fy_flange]])</f>
        <v>360000000</v>
      </c>
      <c r="AF77" s="17">
        <f t="array" ref="AF77">INDEX(tbllkpSteelGrades[fu],MATCH(1,(Table8[[#This Row],[Grade]]=tbllkpSteelGrades[Grade])*(Table8[[#This Row],[tw]]&lt;=tbllkpSteelGrades[Thickness]),0))</f>
        <v>480000000</v>
      </c>
      <c r="AG77" s="18">
        <f>IF(Table8[[#This Row],[Fabrication Type]]="Welded",Table8[[#This Row],[d1]],Table8[[#This Row],[d]])*Table8[[#This Row],[tw]]</f>
        <v>8.7499999999999991E-3</v>
      </c>
      <c r="AH77" s="11">
        <f>Table8[[#This Row],[Aw]]*Table8[[#This Row],[fy_web]]*0.6</f>
        <v>1889999.9999999995</v>
      </c>
      <c r="AI77" s="35">
        <f>82/SQRT(Table8[[#This Row],[fy_web]]/250000000)</f>
        <v>68.333333333333343</v>
      </c>
      <c r="AJ7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77" s="38">
        <f>IF(Table8[[#This Row],[Fabrication Type]]="Welded",IF(Table8[[#This Row],[tw]]&gt;0.016,0.016*Table8[[#This Row],[fu]],Table8[[#This Row],[tw]]*Table8[[#This Row],[fu]]),"")</f>
        <v>7680000</v>
      </c>
      <c r="AL77" s="13">
        <f>Table8[[#This Row],[d]]-Table8[[#This Row],[tf]]</f>
        <v>0.38200000000000001</v>
      </c>
      <c r="AM77" s="39">
        <f>Table8[[#This Row],[bf]]*Table8[[#This Row],[tf]]*(Table8[[#This Row],[df]]/2)</f>
        <v>2.4448E-3</v>
      </c>
      <c r="AN77" s="11">
        <f>IF(Table8[[#This Row],[Fabrication Type]]="Welded",Table8[[#This Row],[vw]]*Table8[[#This Row],[Ix]]/Table8[[#This Row],[Qflange]],"")</f>
        <v>3235602.0942408377</v>
      </c>
      <c r="AO77" s="11">
        <f>Table8[[#This Row],[tw]]*MIN(Table8[[#This Row],[fy_web]], Table8[[#This Row],[fy_flange]])*0.6*Table8[[#This Row],[Ix]]/Table8[[#This Row],[Qflange]]</f>
        <v>2275032.7225130894</v>
      </c>
      <c r="AP77" s="50">
        <f ca="1">INDEX(tbllkpkt[kt],MATCH(RANDBETWEEN(1,4),tbllkpkt[Index],0))</f>
        <v>1</v>
      </c>
      <c r="AQ77" s="48">
        <f t="shared" ca="1" si="2"/>
        <v>0.96</v>
      </c>
      <c r="AR77" s="18">
        <f ca="1">Table8[[#This Row],[Ag]]*Table8[[#This Row],[Deduction_for_An]]</f>
        <v>3.3023999999999998E-2</v>
      </c>
      <c r="AS77" s="11">
        <f>Table8[[#This Row],[fy]]*Table8[[#This Row],[Ag]]</f>
        <v>12384000</v>
      </c>
      <c r="AT77" s="11">
        <f ca="1">Table8[[#This Row],[αu]]*Table8[[#This Row],[kt]]*Table8[[#This Row],[An]]*Table8[[#This Row],[fu]]</f>
        <v>13473792</v>
      </c>
      <c r="AU77" s="11">
        <f ca="1">MIN(Table8[[#This Row],[Nty]],Table8[[#This Row],[Ntu]])</f>
        <v>12384000</v>
      </c>
    </row>
    <row r="78" spans="2:47" x14ac:dyDescent="0.25">
      <c r="B78" s="15" t="str">
        <f>Table8[[#This Row],[Section]]&amp;"-"&amp;TEXT(Table8[[#This Row],[Grade]],"0")</f>
        <v>400WC212-400</v>
      </c>
      <c r="C78" s="3" t="s">
        <v>69</v>
      </c>
      <c r="D78" s="3">
        <v>400</v>
      </c>
      <c r="E78" s="3" t="s">
        <v>75</v>
      </c>
      <c r="F78" s="4">
        <v>212</v>
      </c>
      <c r="G78" s="3" t="s">
        <v>13</v>
      </c>
      <c r="H78" s="3" t="s">
        <v>14</v>
      </c>
      <c r="I78" s="5">
        <v>0.4</v>
      </c>
      <c r="J78" s="5">
        <v>0.4</v>
      </c>
      <c r="K78" s="5">
        <v>2.5000000000000001E-2</v>
      </c>
      <c r="L78" s="5">
        <v>0.02</v>
      </c>
      <c r="M78" s="5" t="s">
        <v>107</v>
      </c>
      <c r="N78" s="5">
        <v>0.35000000000000003</v>
      </c>
      <c r="O78" s="6">
        <v>17.5</v>
      </c>
      <c r="P78" s="6">
        <v>7.6</v>
      </c>
      <c r="Q78" s="7">
        <v>2.7E-2</v>
      </c>
      <c r="R78" s="8">
        <v>7.76E-4</v>
      </c>
      <c r="S78" s="9">
        <v>3.8800000000000002E-3</v>
      </c>
      <c r="T78" s="9">
        <v>4.3600000000000002E-3</v>
      </c>
      <c r="U78" s="5">
        <v>0.16900000000000001</v>
      </c>
      <c r="V78" s="8">
        <v>2.6699999999999998E-4</v>
      </c>
      <c r="W78" s="9">
        <v>1.33E-3</v>
      </c>
      <c r="X78" s="9">
        <v>2.0400000000000001E-3</v>
      </c>
      <c r="Y78" s="5">
        <v>0.16900000000000001</v>
      </c>
      <c r="Z78" s="8">
        <v>5.0599999999999998E-6</v>
      </c>
      <c r="AA78" s="10">
        <v>9.38E-6</v>
      </c>
      <c r="AB78" s="45">
        <v>0.85</v>
      </c>
      <c r="AC78" s="17">
        <f t="array" ref="AC78">INDEX(tbllkpSteelGrades[fy],MATCH(1,(Table8[[#This Row],[Grade]]=tbllkpSteelGrades[Grade])*(Table8[[#This Row],[tw]]&lt;=tbllkpSteelGrades[Thickness]),0))</f>
        <v>380000000</v>
      </c>
      <c r="AD78" s="17">
        <f t="array" ref="AD78">INDEX(tbllkpSteelGrades[fy],MATCH(1,(Table8[[#This Row],[Grade]]=tbllkpSteelGrades[Grade])*(Table8[[#This Row],[tf]]&lt;=tbllkpSteelGrades[Thickness]),0))</f>
        <v>360000000</v>
      </c>
      <c r="AE78" s="17">
        <f>MIN(Table8[[#This Row],[fy_web]],Table8[[#This Row],[fy_flange]])</f>
        <v>360000000</v>
      </c>
      <c r="AF78" s="17">
        <f t="array" ref="AF78">INDEX(tbllkpSteelGrades[fu],MATCH(1,(Table8[[#This Row],[Grade]]=tbllkpSteelGrades[Grade])*(Table8[[#This Row],[tw]]&lt;=tbllkpSteelGrades[Thickness]),0))</f>
        <v>480000000</v>
      </c>
      <c r="AG78" s="18">
        <f>IF(Table8[[#This Row],[Fabrication Type]]="Welded",Table8[[#This Row],[d1]],Table8[[#This Row],[d]])*Table8[[#This Row],[tw]]</f>
        <v>7.000000000000001E-3</v>
      </c>
      <c r="AH78" s="11">
        <f>Table8[[#This Row],[Aw]]*Table8[[#This Row],[fy_web]]*0.6</f>
        <v>1596000.0000000002</v>
      </c>
      <c r="AI78" s="35">
        <f>82/SQRT(Table8[[#This Row],[fy_web]]/250000000)</f>
        <v>66.510782663612645</v>
      </c>
      <c r="AJ7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78" s="38">
        <f>IF(Table8[[#This Row],[Fabrication Type]]="Welded",IF(Table8[[#This Row],[tw]]&gt;0.016,0.016*Table8[[#This Row],[fu]],Table8[[#This Row],[tw]]*Table8[[#This Row],[fu]]),"")</f>
        <v>7680000</v>
      </c>
      <c r="AL78" s="13">
        <f>Table8[[#This Row],[d]]-Table8[[#This Row],[tf]]</f>
        <v>0.375</v>
      </c>
      <c r="AM78" s="39">
        <f>Table8[[#This Row],[bf]]*Table8[[#This Row],[tf]]*(Table8[[#This Row],[df]]/2)</f>
        <v>1.8750000000000004E-3</v>
      </c>
      <c r="AN78" s="11">
        <f>IF(Table8[[#This Row],[Fabrication Type]]="Welded",Table8[[#This Row],[vw]]*Table8[[#This Row],[Ix]]/Table8[[#This Row],[Qflange]],"")</f>
        <v>3178495.9999999995</v>
      </c>
      <c r="AO78" s="11">
        <f>Table8[[#This Row],[tw]]*MIN(Table8[[#This Row],[fy_web]], Table8[[#This Row],[fy_flange]])*0.6*Table8[[#This Row],[Ix]]/Table8[[#This Row],[Qflange]]</f>
        <v>1787903.9999999998</v>
      </c>
      <c r="AP78" s="50">
        <f ca="1">INDEX(tbllkpkt[kt],MATCH(RANDBETWEEN(1,4),tbllkpkt[Index],0))</f>
        <v>0.85</v>
      </c>
      <c r="AQ78" s="48">
        <f t="shared" ca="1" si="2"/>
        <v>0.94</v>
      </c>
      <c r="AR78" s="18">
        <f ca="1">Table8[[#This Row],[Ag]]*Table8[[#This Row],[Deduction_for_An]]</f>
        <v>2.538E-2</v>
      </c>
      <c r="AS78" s="11">
        <f>Table8[[#This Row],[fy]]*Table8[[#This Row],[Ag]]</f>
        <v>9720000</v>
      </c>
      <c r="AT78" s="11">
        <f ca="1">Table8[[#This Row],[αu]]*Table8[[#This Row],[kt]]*Table8[[#This Row],[An]]*Table8[[#This Row],[fu]]</f>
        <v>8801783.9999999981</v>
      </c>
      <c r="AU78" s="11">
        <f ca="1">MIN(Table8[[#This Row],[Nty]],Table8[[#This Row],[Ntu]])</f>
        <v>8801783.9999999981</v>
      </c>
    </row>
    <row r="79" spans="2:47" x14ac:dyDescent="0.25">
      <c r="B79" s="15" t="str">
        <f>Table8[[#This Row],[Section]]&amp;"-"&amp;TEXT(Table8[[#This Row],[Grade]],"0")</f>
        <v>400WC181-400</v>
      </c>
      <c r="C79" s="3" t="s">
        <v>70</v>
      </c>
      <c r="D79" s="3">
        <v>400</v>
      </c>
      <c r="E79" s="3" t="s">
        <v>75</v>
      </c>
      <c r="F79" s="4">
        <v>181</v>
      </c>
      <c r="G79" s="3" t="s">
        <v>13</v>
      </c>
      <c r="H79" s="3" t="s">
        <v>14</v>
      </c>
      <c r="I79" s="5">
        <v>0.39</v>
      </c>
      <c r="J79" s="5">
        <v>0.4</v>
      </c>
      <c r="K79" s="5">
        <v>0.02</v>
      </c>
      <c r="L79" s="5">
        <v>0.02</v>
      </c>
      <c r="M79" s="5" t="s">
        <v>107</v>
      </c>
      <c r="N79" s="5">
        <v>0.35000000000000003</v>
      </c>
      <c r="O79" s="6">
        <v>17.5</v>
      </c>
      <c r="P79" s="6">
        <v>9.5</v>
      </c>
      <c r="Q79" s="7">
        <v>2.3E-2</v>
      </c>
      <c r="R79" s="8">
        <v>6.2E-4</v>
      </c>
      <c r="S79" s="9">
        <v>3.1800000000000001E-3</v>
      </c>
      <c r="T79" s="9">
        <v>3.5699999999999998E-3</v>
      </c>
      <c r="U79" s="5">
        <v>0.16400000000000001</v>
      </c>
      <c r="V79" s="8">
        <v>2.14E-4</v>
      </c>
      <c r="W79" s="9">
        <v>1.07E-3</v>
      </c>
      <c r="X79" s="9">
        <v>1.64E-3</v>
      </c>
      <c r="Y79" s="5">
        <v>0.16400000000000001</v>
      </c>
      <c r="Z79" s="8">
        <v>3.0800000000000002E-6</v>
      </c>
      <c r="AA79" s="10">
        <v>7.3100000000000003E-6</v>
      </c>
      <c r="AB79" s="45">
        <v>0.85</v>
      </c>
      <c r="AC79" s="17">
        <f t="array" ref="AC79">INDEX(tbllkpSteelGrades[fy],MATCH(1,(Table8[[#This Row],[Grade]]=tbllkpSteelGrades[Grade])*(Table8[[#This Row],[tw]]&lt;=tbllkpSteelGrades[Thickness]),0))</f>
        <v>380000000</v>
      </c>
      <c r="AD79" s="17">
        <f t="array" ref="AD79">INDEX(tbllkpSteelGrades[fy],MATCH(1,(Table8[[#This Row],[Grade]]=tbllkpSteelGrades[Grade])*(Table8[[#This Row],[tf]]&lt;=tbllkpSteelGrades[Thickness]),0))</f>
        <v>380000000</v>
      </c>
      <c r="AE79" s="17">
        <f>MIN(Table8[[#This Row],[fy_web]],Table8[[#This Row],[fy_flange]])</f>
        <v>380000000</v>
      </c>
      <c r="AF79" s="17">
        <f t="array" ref="AF79">INDEX(tbllkpSteelGrades[fu],MATCH(1,(Table8[[#This Row],[Grade]]=tbllkpSteelGrades[Grade])*(Table8[[#This Row],[tw]]&lt;=tbllkpSteelGrades[Thickness]),0))</f>
        <v>480000000</v>
      </c>
      <c r="AG79" s="18">
        <f>IF(Table8[[#This Row],[Fabrication Type]]="Welded",Table8[[#This Row],[d1]],Table8[[#This Row],[d]])*Table8[[#This Row],[tw]]</f>
        <v>7.000000000000001E-3</v>
      </c>
      <c r="AH79" s="11">
        <f>Table8[[#This Row],[Aw]]*Table8[[#This Row],[fy_web]]*0.6</f>
        <v>1596000.0000000002</v>
      </c>
      <c r="AI79" s="35">
        <f>82/SQRT(Table8[[#This Row],[fy_web]]/250000000)</f>
        <v>66.510782663612645</v>
      </c>
      <c r="AJ7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79" s="38">
        <f>IF(Table8[[#This Row],[Fabrication Type]]="Welded",IF(Table8[[#This Row],[tw]]&gt;0.016,0.016*Table8[[#This Row],[fu]],Table8[[#This Row],[tw]]*Table8[[#This Row],[fu]]),"")</f>
        <v>7680000</v>
      </c>
      <c r="AL79" s="13">
        <f>Table8[[#This Row],[d]]-Table8[[#This Row],[tf]]</f>
        <v>0.37</v>
      </c>
      <c r="AM79" s="39">
        <f>Table8[[#This Row],[bf]]*Table8[[#This Row],[tf]]*(Table8[[#This Row],[df]]/2)</f>
        <v>1.48E-3</v>
      </c>
      <c r="AN79" s="11">
        <f>IF(Table8[[#This Row],[Fabrication Type]]="Welded",Table8[[#This Row],[vw]]*Table8[[#This Row],[Ix]]/Table8[[#This Row],[Qflange]],"")</f>
        <v>3217297.2972972975</v>
      </c>
      <c r="AO79" s="11">
        <f>Table8[[#This Row],[tw]]*MIN(Table8[[#This Row],[fy_web]], Table8[[#This Row],[fy_flange]])*0.6*Table8[[#This Row],[Ix]]/Table8[[#This Row],[Qflange]]</f>
        <v>1910270.2702702701</v>
      </c>
      <c r="AP79" s="50">
        <f ca="1">INDEX(tbllkpkt[kt],MATCH(RANDBETWEEN(1,4),tbllkpkt[Index],0))</f>
        <v>0.75</v>
      </c>
      <c r="AQ79" s="48">
        <f t="shared" ca="1" si="2"/>
        <v>0.97</v>
      </c>
      <c r="AR79" s="18">
        <f ca="1">Table8[[#This Row],[Ag]]*Table8[[#This Row],[Deduction_for_An]]</f>
        <v>2.231E-2</v>
      </c>
      <c r="AS79" s="11">
        <f>Table8[[#This Row],[fy]]*Table8[[#This Row],[Ag]]</f>
        <v>8740000</v>
      </c>
      <c r="AT79" s="11">
        <f ca="1">Table8[[#This Row],[αu]]*Table8[[#This Row],[kt]]*Table8[[#This Row],[An]]*Table8[[#This Row],[fu]]</f>
        <v>6826860</v>
      </c>
      <c r="AU79" s="11">
        <f ca="1">MIN(Table8[[#This Row],[Nty]],Table8[[#This Row],[Ntu]])</f>
        <v>6826860</v>
      </c>
    </row>
    <row r="80" spans="2:47" x14ac:dyDescent="0.25">
      <c r="B80" s="15" t="str">
        <f>Table8[[#This Row],[Section]]&amp;"-"&amp;TEXT(Table8[[#This Row],[Grade]],"0")</f>
        <v>400WC144-400</v>
      </c>
      <c r="C80" s="3" t="s">
        <v>71</v>
      </c>
      <c r="D80" s="3">
        <v>400</v>
      </c>
      <c r="E80" s="3" t="s">
        <v>75</v>
      </c>
      <c r="F80" s="4">
        <v>144</v>
      </c>
      <c r="G80" s="3" t="s">
        <v>13</v>
      </c>
      <c r="H80" s="3" t="s">
        <v>14</v>
      </c>
      <c r="I80" s="5">
        <v>0.38200000000000001</v>
      </c>
      <c r="J80" s="5">
        <v>0.4</v>
      </c>
      <c r="K80" s="5">
        <v>1.6E-2</v>
      </c>
      <c r="L80" s="5">
        <v>1.6E-2</v>
      </c>
      <c r="M80" s="5" t="s">
        <v>107</v>
      </c>
      <c r="N80" s="5">
        <v>0.35</v>
      </c>
      <c r="O80" s="6">
        <v>21.874999999999996</v>
      </c>
      <c r="P80" s="6">
        <v>12</v>
      </c>
      <c r="Q80" s="7">
        <v>1.84E-2</v>
      </c>
      <c r="R80" s="8">
        <v>4.86E-4</v>
      </c>
      <c r="S80" s="9">
        <v>2.5500000000000002E-3</v>
      </c>
      <c r="T80" s="9">
        <v>2.8300000000000001E-3</v>
      </c>
      <c r="U80" s="5">
        <v>0.16300000000000001</v>
      </c>
      <c r="V80" s="8">
        <v>1.7100000000000001E-4</v>
      </c>
      <c r="W80" s="9">
        <v>8.5400000000000005E-4</v>
      </c>
      <c r="X80" s="9">
        <v>1.2999999999999999E-3</v>
      </c>
      <c r="Y80" s="5">
        <v>0.16300000000000001</v>
      </c>
      <c r="Z80" s="8">
        <v>1.5799999999999999E-6</v>
      </c>
      <c r="AA80" s="10">
        <v>5.7200000000000003E-6</v>
      </c>
      <c r="AB80" s="45">
        <v>0.85</v>
      </c>
      <c r="AC80" s="17">
        <f t="array" ref="AC80">INDEX(tbllkpSteelGrades[fy],MATCH(1,(Table8[[#This Row],[Grade]]=tbllkpSteelGrades[Grade])*(Table8[[#This Row],[tw]]&lt;=tbllkpSteelGrades[Thickness]),0))</f>
        <v>380000000</v>
      </c>
      <c r="AD80" s="17">
        <f t="array" ref="AD80">INDEX(tbllkpSteelGrades[fy],MATCH(1,(Table8[[#This Row],[Grade]]=tbllkpSteelGrades[Grade])*(Table8[[#This Row],[tf]]&lt;=tbllkpSteelGrades[Thickness]),0))</f>
        <v>380000000</v>
      </c>
      <c r="AE80" s="17">
        <f>MIN(Table8[[#This Row],[fy_web]],Table8[[#This Row],[fy_flange]])</f>
        <v>380000000</v>
      </c>
      <c r="AF80" s="17">
        <f t="array" ref="AF80">INDEX(tbllkpSteelGrades[fu],MATCH(1,(Table8[[#This Row],[Grade]]=tbllkpSteelGrades[Grade])*(Table8[[#This Row],[tw]]&lt;=tbllkpSteelGrades[Thickness]),0))</f>
        <v>480000000</v>
      </c>
      <c r="AG80" s="18">
        <f>IF(Table8[[#This Row],[Fabrication Type]]="Welded",Table8[[#This Row],[d1]],Table8[[#This Row],[d]])*Table8[[#This Row],[tw]]</f>
        <v>5.5999999999999999E-3</v>
      </c>
      <c r="AH80" s="11">
        <f>Table8[[#This Row],[Aw]]*Table8[[#This Row],[fy_web]]*0.6</f>
        <v>1276800</v>
      </c>
      <c r="AI80" s="35">
        <f>82/SQRT(Table8[[#This Row],[fy_web]]/250000000)</f>
        <v>66.510782663612645</v>
      </c>
      <c r="AJ8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80" s="38">
        <f>IF(Table8[[#This Row],[Fabrication Type]]="Welded",IF(Table8[[#This Row],[tw]]&gt;0.016,0.016*Table8[[#This Row],[fu]],Table8[[#This Row],[tw]]*Table8[[#This Row],[fu]]),"")</f>
        <v>7680000</v>
      </c>
      <c r="AL80" s="13">
        <f>Table8[[#This Row],[d]]-Table8[[#This Row],[tf]]</f>
        <v>0.36599999999999999</v>
      </c>
      <c r="AM80" s="39">
        <f>Table8[[#This Row],[bf]]*Table8[[#This Row],[tf]]*(Table8[[#This Row],[df]]/2)</f>
        <v>1.1712000000000001E-3</v>
      </c>
      <c r="AN80" s="11">
        <f>IF(Table8[[#This Row],[Fabrication Type]]="Welded",Table8[[#This Row],[vw]]*Table8[[#This Row],[Ix]]/Table8[[#This Row],[Qflange]],"")</f>
        <v>3186885.2459016391</v>
      </c>
      <c r="AO80" s="11">
        <f>Table8[[#This Row],[tw]]*MIN(Table8[[#This Row],[fy_web]], Table8[[#This Row],[fy_flange]])*0.6*Table8[[#This Row],[Ix]]/Table8[[#This Row],[Qflange]]</f>
        <v>1513770.4918032784</v>
      </c>
      <c r="AP80" s="50">
        <f ca="1">INDEX(tbllkpkt[kt],MATCH(RANDBETWEEN(1,4),tbllkpkt[Index],0))</f>
        <v>0.75</v>
      </c>
      <c r="AQ80" s="48">
        <f t="shared" ca="1" si="2"/>
        <v>0.95</v>
      </c>
      <c r="AR80" s="18">
        <f ca="1">Table8[[#This Row],[Ag]]*Table8[[#This Row],[Deduction_for_An]]</f>
        <v>1.7479999999999999E-2</v>
      </c>
      <c r="AS80" s="11">
        <f>Table8[[#This Row],[fy]]*Table8[[#This Row],[Ag]]</f>
        <v>6992000</v>
      </c>
      <c r="AT80" s="11">
        <f ca="1">Table8[[#This Row],[αu]]*Table8[[#This Row],[kt]]*Table8[[#This Row],[An]]*Table8[[#This Row],[fu]]</f>
        <v>5348879.9999999991</v>
      </c>
      <c r="AU80" s="11">
        <f ca="1">MIN(Table8[[#This Row],[Nty]],Table8[[#This Row],[Ntu]])</f>
        <v>5348879.9999999991</v>
      </c>
    </row>
    <row r="81" spans="2:47" x14ac:dyDescent="0.25">
      <c r="B81" s="15" t="str">
        <f>Table8[[#This Row],[Section]]&amp;"-"&amp;TEXT(Table8[[#This Row],[Grade]],"0")</f>
        <v>350WC280-400</v>
      </c>
      <c r="C81" s="3" t="s">
        <v>72</v>
      </c>
      <c r="D81" s="3">
        <v>400</v>
      </c>
      <c r="E81" s="3" t="s">
        <v>75</v>
      </c>
      <c r="F81" s="4">
        <v>280</v>
      </c>
      <c r="G81" s="3" t="s">
        <v>13</v>
      </c>
      <c r="H81" s="3" t="s">
        <v>14</v>
      </c>
      <c r="I81" s="5">
        <v>0.35499999999999998</v>
      </c>
      <c r="J81" s="5">
        <v>0.35</v>
      </c>
      <c r="K81" s="5">
        <v>0.04</v>
      </c>
      <c r="L81" s="5">
        <v>2.8000000000000001E-2</v>
      </c>
      <c r="M81" s="5" t="s">
        <v>107</v>
      </c>
      <c r="N81" s="5">
        <v>0.27499999999999997</v>
      </c>
      <c r="O81" s="6">
        <v>9.8214285714285694</v>
      </c>
      <c r="P81" s="6">
        <v>4.0249999999999995</v>
      </c>
      <c r="Q81" s="7">
        <v>3.5700000000000003E-2</v>
      </c>
      <c r="R81" s="8">
        <v>7.4700000000000005E-4</v>
      </c>
      <c r="S81" s="9">
        <v>4.2100000000000002E-3</v>
      </c>
      <c r="T81" s="9">
        <v>4.9399999999999999E-3</v>
      </c>
      <c r="U81" s="5">
        <v>0.14499999999999999</v>
      </c>
      <c r="V81" s="8">
        <v>2.8600000000000001E-4</v>
      </c>
      <c r="W81" s="9">
        <v>1.64E-3</v>
      </c>
      <c r="X81" s="9">
        <v>2.5000000000000001E-3</v>
      </c>
      <c r="Y81" s="5">
        <v>0.14499999999999999</v>
      </c>
      <c r="Z81" s="8">
        <v>1.6500000000000001E-5</v>
      </c>
      <c r="AA81" s="10">
        <v>7.0999999999999998E-6</v>
      </c>
      <c r="AB81" s="45">
        <v>0.85</v>
      </c>
      <c r="AC81" s="17">
        <f t="array" ref="AC81">INDEX(tbllkpSteelGrades[fy],MATCH(1,(Table8[[#This Row],[Grade]]=tbllkpSteelGrades[Grade])*(Table8[[#This Row],[tw]]&lt;=tbllkpSteelGrades[Thickness]),0))</f>
        <v>360000000</v>
      </c>
      <c r="AD81" s="17">
        <f t="array" ref="AD81">INDEX(tbllkpSteelGrades[fy],MATCH(1,(Table8[[#This Row],[Grade]]=tbllkpSteelGrades[Grade])*(Table8[[#This Row],[tf]]&lt;=tbllkpSteelGrades[Thickness]),0))</f>
        <v>360000000</v>
      </c>
      <c r="AE81" s="17">
        <f>MIN(Table8[[#This Row],[fy_web]],Table8[[#This Row],[fy_flange]])</f>
        <v>360000000</v>
      </c>
      <c r="AF81" s="17">
        <f t="array" ref="AF81">INDEX(tbllkpSteelGrades[fu],MATCH(1,(Table8[[#This Row],[Grade]]=tbllkpSteelGrades[Grade])*(Table8[[#This Row],[tw]]&lt;=tbllkpSteelGrades[Thickness]),0))</f>
        <v>480000000</v>
      </c>
      <c r="AG81" s="18">
        <f>IF(Table8[[#This Row],[Fabrication Type]]="Welded",Table8[[#This Row],[d1]],Table8[[#This Row],[d]])*Table8[[#This Row],[tw]]</f>
        <v>7.6999999999999994E-3</v>
      </c>
      <c r="AH81" s="11">
        <f>Table8[[#This Row],[Aw]]*Table8[[#This Row],[fy_web]]*0.6</f>
        <v>1663200</v>
      </c>
      <c r="AI81" s="35">
        <f>82/SQRT(Table8[[#This Row],[fy_web]]/250000000)</f>
        <v>68.333333333333343</v>
      </c>
      <c r="AJ8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81" s="38">
        <f>IF(Table8[[#This Row],[Fabrication Type]]="Welded",IF(Table8[[#This Row],[tw]]&gt;0.016,0.016*Table8[[#This Row],[fu]],Table8[[#This Row],[tw]]*Table8[[#This Row],[fu]]),"")</f>
        <v>7680000</v>
      </c>
      <c r="AL81" s="13">
        <f>Table8[[#This Row],[d]]-Table8[[#This Row],[tf]]</f>
        <v>0.315</v>
      </c>
      <c r="AM81" s="39">
        <f>Table8[[#This Row],[bf]]*Table8[[#This Row],[tf]]*(Table8[[#This Row],[df]]/2)</f>
        <v>2.2049999999999999E-3</v>
      </c>
      <c r="AN81" s="11">
        <f>IF(Table8[[#This Row],[Fabrication Type]]="Welded",Table8[[#This Row],[vw]]*Table8[[#This Row],[Ix]]/Table8[[#This Row],[Qflange]],"")</f>
        <v>2601795.9183673472</v>
      </c>
      <c r="AO81" s="11">
        <f>Table8[[#This Row],[tw]]*MIN(Table8[[#This Row],[fy_web]], Table8[[#This Row],[fy_flange]])*0.6*Table8[[#This Row],[Ix]]/Table8[[#This Row],[Qflange]]</f>
        <v>2048914.2857142861</v>
      </c>
      <c r="AP81" s="50">
        <f ca="1">INDEX(tbllkpkt[kt],MATCH(RANDBETWEEN(1,4),tbllkpkt[Index],0))</f>
        <v>0.85</v>
      </c>
      <c r="AQ81" s="48">
        <f t="shared" ca="1" si="2"/>
        <v>0.92</v>
      </c>
      <c r="AR81" s="18">
        <f ca="1">Table8[[#This Row],[Ag]]*Table8[[#This Row],[Deduction_for_An]]</f>
        <v>3.2844000000000005E-2</v>
      </c>
      <c r="AS81" s="11">
        <f>Table8[[#This Row],[fy]]*Table8[[#This Row],[Ag]]</f>
        <v>12852000</v>
      </c>
      <c r="AT81" s="11">
        <f ca="1">Table8[[#This Row],[αu]]*Table8[[#This Row],[kt]]*Table8[[#This Row],[An]]*Table8[[#This Row],[fu]]</f>
        <v>11390299.200000001</v>
      </c>
      <c r="AU81" s="11">
        <f ca="1">MIN(Table8[[#This Row],[Nty]],Table8[[#This Row],[Ntu]])</f>
        <v>11390299.200000001</v>
      </c>
    </row>
    <row r="82" spans="2:47" x14ac:dyDescent="0.25">
      <c r="B82" s="15" t="str">
        <f>Table8[[#This Row],[Section]]&amp;"-"&amp;TEXT(Table8[[#This Row],[Grade]],"0")</f>
        <v>350WC258-400</v>
      </c>
      <c r="C82" s="3" t="s">
        <v>73</v>
      </c>
      <c r="D82" s="3">
        <v>400</v>
      </c>
      <c r="E82" s="3" t="s">
        <v>75</v>
      </c>
      <c r="F82" s="4">
        <v>258</v>
      </c>
      <c r="G82" s="3" t="s">
        <v>13</v>
      </c>
      <c r="H82" s="3" t="s">
        <v>14</v>
      </c>
      <c r="I82" s="5">
        <v>0.34699999999999998</v>
      </c>
      <c r="J82" s="5">
        <v>0.35</v>
      </c>
      <c r="K82" s="5">
        <v>3.5999999999999997E-2</v>
      </c>
      <c r="L82" s="5">
        <v>2.8000000000000001E-2</v>
      </c>
      <c r="M82" s="5" t="s">
        <v>107</v>
      </c>
      <c r="N82" s="5">
        <v>0.27499999999999997</v>
      </c>
      <c r="O82" s="6">
        <v>9.8214285714285694</v>
      </c>
      <c r="P82" s="6">
        <v>4.4722222222222223</v>
      </c>
      <c r="Q82" s="7">
        <v>3.2899999999999999E-2</v>
      </c>
      <c r="R82" s="8">
        <v>6.6100000000000002E-4</v>
      </c>
      <c r="S82" s="9">
        <v>3.81E-3</v>
      </c>
      <c r="T82" s="9">
        <v>4.45E-3</v>
      </c>
      <c r="U82" s="5">
        <v>0.14199999999999999</v>
      </c>
      <c r="V82" s="8">
        <v>2.5799999999999998E-4</v>
      </c>
      <c r="W82" s="9">
        <v>1.47E-3</v>
      </c>
      <c r="X82" s="9">
        <v>2.2599999999999999E-3</v>
      </c>
      <c r="Y82" s="5">
        <v>0.14199999999999999</v>
      </c>
      <c r="Z82" s="8">
        <v>1.27E-5</v>
      </c>
      <c r="AA82" s="10">
        <v>6.2299999999999996E-6</v>
      </c>
      <c r="AB82" s="45">
        <v>0.85</v>
      </c>
      <c r="AC82" s="17">
        <f t="array" ref="AC82">INDEX(tbllkpSteelGrades[fy],MATCH(1,(Table8[[#This Row],[Grade]]=tbllkpSteelGrades[Grade])*(Table8[[#This Row],[tw]]&lt;=tbllkpSteelGrades[Thickness]),0))</f>
        <v>360000000</v>
      </c>
      <c r="AD82" s="17">
        <f t="array" ref="AD82">INDEX(tbllkpSteelGrades[fy],MATCH(1,(Table8[[#This Row],[Grade]]=tbllkpSteelGrades[Grade])*(Table8[[#This Row],[tf]]&lt;=tbllkpSteelGrades[Thickness]),0))</f>
        <v>360000000</v>
      </c>
      <c r="AE82" s="17">
        <f>MIN(Table8[[#This Row],[fy_web]],Table8[[#This Row],[fy_flange]])</f>
        <v>360000000</v>
      </c>
      <c r="AF82" s="17">
        <f t="array" ref="AF82">INDEX(tbllkpSteelGrades[fu],MATCH(1,(Table8[[#This Row],[Grade]]=tbllkpSteelGrades[Grade])*(Table8[[#This Row],[tw]]&lt;=tbllkpSteelGrades[Thickness]),0))</f>
        <v>480000000</v>
      </c>
      <c r="AG82" s="18">
        <f>IF(Table8[[#This Row],[Fabrication Type]]="Welded",Table8[[#This Row],[d1]],Table8[[#This Row],[d]])*Table8[[#This Row],[tw]]</f>
        <v>7.6999999999999994E-3</v>
      </c>
      <c r="AH82" s="11">
        <f>Table8[[#This Row],[Aw]]*Table8[[#This Row],[fy_web]]*0.6</f>
        <v>1663200</v>
      </c>
      <c r="AI82" s="35">
        <f>82/SQRT(Table8[[#This Row],[fy_web]]/250000000)</f>
        <v>68.333333333333343</v>
      </c>
      <c r="AJ8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82" s="38">
        <f>IF(Table8[[#This Row],[Fabrication Type]]="Welded",IF(Table8[[#This Row],[tw]]&gt;0.016,0.016*Table8[[#This Row],[fu]],Table8[[#This Row],[tw]]*Table8[[#This Row],[fu]]),"")</f>
        <v>7680000</v>
      </c>
      <c r="AL82" s="13">
        <f>Table8[[#This Row],[d]]-Table8[[#This Row],[tf]]</f>
        <v>0.311</v>
      </c>
      <c r="AM82" s="39">
        <f>Table8[[#This Row],[bf]]*Table8[[#This Row],[tf]]*(Table8[[#This Row],[df]]/2)</f>
        <v>1.9592999999999998E-3</v>
      </c>
      <c r="AN82" s="11">
        <f>IF(Table8[[#This Row],[Fabrication Type]]="Welded",Table8[[#This Row],[vw]]*Table8[[#This Row],[Ix]]/Table8[[#This Row],[Qflange]],"")</f>
        <v>2590966.1613841685</v>
      </c>
      <c r="AO82" s="11">
        <f>Table8[[#This Row],[tw]]*MIN(Table8[[#This Row],[fy_web]], Table8[[#This Row],[fy_flange]])*0.6*Table8[[#This Row],[Ix]]/Table8[[#This Row],[Qflange]]</f>
        <v>2040385.8520900325</v>
      </c>
      <c r="AP82" s="50">
        <f ca="1">INDEX(tbllkpkt[kt],MATCH(RANDBETWEEN(1,4),tbllkpkt[Index],0))</f>
        <v>0.75</v>
      </c>
      <c r="AQ82" s="48">
        <f t="shared" ca="1" si="2"/>
        <v>0.96</v>
      </c>
      <c r="AR82" s="18">
        <f ca="1">Table8[[#This Row],[Ag]]*Table8[[#This Row],[Deduction_for_An]]</f>
        <v>3.1584000000000001E-2</v>
      </c>
      <c r="AS82" s="11">
        <f>Table8[[#This Row],[fy]]*Table8[[#This Row],[Ag]]</f>
        <v>11844000</v>
      </c>
      <c r="AT82" s="11">
        <f ca="1">Table8[[#This Row],[αu]]*Table8[[#This Row],[kt]]*Table8[[#This Row],[An]]*Table8[[#This Row],[fu]]</f>
        <v>9664703.9999999981</v>
      </c>
      <c r="AU82" s="11">
        <f ca="1">MIN(Table8[[#This Row],[Nty]],Table8[[#This Row],[Ntu]])</f>
        <v>9664703.9999999981</v>
      </c>
    </row>
    <row r="83" spans="2:47" x14ac:dyDescent="0.25">
      <c r="B83" s="15" t="str">
        <f>Table8[[#This Row],[Section]]&amp;"-"&amp;TEXT(Table8[[#This Row],[Grade]],"0")</f>
        <v>350WC230-400</v>
      </c>
      <c r="C83" s="3" t="s">
        <v>74</v>
      </c>
      <c r="D83" s="3">
        <v>400</v>
      </c>
      <c r="E83" s="3" t="s">
        <v>75</v>
      </c>
      <c r="F83" s="4">
        <v>230</v>
      </c>
      <c r="G83" s="3" t="s">
        <v>13</v>
      </c>
      <c r="H83" s="3" t="s">
        <v>14</v>
      </c>
      <c r="I83" s="5">
        <v>0.33900000000000002</v>
      </c>
      <c r="J83" s="5">
        <v>0.35</v>
      </c>
      <c r="K83" s="5">
        <v>3.2000000000000001E-2</v>
      </c>
      <c r="L83" s="5">
        <v>2.5000000000000001E-2</v>
      </c>
      <c r="M83" s="5" t="s">
        <v>107</v>
      </c>
      <c r="N83" s="5">
        <v>0.27500000000000002</v>
      </c>
      <c r="O83" s="6">
        <v>11</v>
      </c>
      <c r="P83" s="6">
        <v>5.0781249999999991</v>
      </c>
      <c r="Q83" s="7">
        <v>2.93E-2</v>
      </c>
      <c r="R83" s="8">
        <v>5.7300000000000005E-4</v>
      </c>
      <c r="S83" s="9">
        <v>3.3800000000000002E-3</v>
      </c>
      <c r="T83" s="9">
        <v>3.9100000000000003E-3</v>
      </c>
      <c r="U83" s="5">
        <v>0.14000000000000001</v>
      </c>
      <c r="V83" s="8">
        <v>2.2900000000000001E-4</v>
      </c>
      <c r="W83" s="9">
        <v>1.31E-3</v>
      </c>
      <c r="X83" s="9">
        <v>2E-3</v>
      </c>
      <c r="Y83" s="5">
        <v>0.14000000000000001</v>
      </c>
      <c r="Z83" s="8">
        <v>8.9600000000000006E-6</v>
      </c>
      <c r="AA83" s="10">
        <v>5.4E-6</v>
      </c>
      <c r="AB83" s="45">
        <v>0.85</v>
      </c>
      <c r="AC83" s="17">
        <f t="array" ref="AC83">INDEX(tbllkpSteelGrades[fy],MATCH(1,(Table8[[#This Row],[Grade]]=tbllkpSteelGrades[Grade])*(Table8[[#This Row],[tw]]&lt;=tbllkpSteelGrades[Thickness]),0))</f>
        <v>360000000</v>
      </c>
      <c r="AD83" s="17">
        <f t="array" ref="AD83">INDEX(tbllkpSteelGrades[fy],MATCH(1,(Table8[[#This Row],[Grade]]=tbllkpSteelGrades[Grade])*(Table8[[#This Row],[tf]]&lt;=tbllkpSteelGrades[Thickness]),0))</f>
        <v>360000000</v>
      </c>
      <c r="AE83" s="17">
        <f>MIN(Table8[[#This Row],[fy_web]],Table8[[#This Row],[fy_flange]])</f>
        <v>360000000</v>
      </c>
      <c r="AF83" s="17">
        <f t="array" ref="AF83">INDEX(tbllkpSteelGrades[fu],MATCH(1,(Table8[[#This Row],[Grade]]=tbllkpSteelGrades[Grade])*(Table8[[#This Row],[tw]]&lt;=tbllkpSteelGrades[Thickness]),0))</f>
        <v>480000000</v>
      </c>
      <c r="AG83" s="18">
        <f>IF(Table8[[#This Row],[Fabrication Type]]="Welded",Table8[[#This Row],[d1]],Table8[[#This Row],[d]])*Table8[[#This Row],[tw]]</f>
        <v>6.8750000000000009E-3</v>
      </c>
      <c r="AH83" s="11">
        <f>Table8[[#This Row],[Aw]]*Table8[[#This Row],[fy_web]]*0.6</f>
        <v>1485000.0000000002</v>
      </c>
      <c r="AI83" s="35">
        <f>82/SQRT(Table8[[#This Row],[fy_web]]/250000000)</f>
        <v>68.333333333333343</v>
      </c>
      <c r="AJ8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83" s="38">
        <f>IF(Table8[[#This Row],[Fabrication Type]]="Welded",IF(Table8[[#This Row],[tw]]&gt;0.016,0.016*Table8[[#This Row],[fu]],Table8[[#This Row],[tw]]*Table8[[#This Row],[fu]]),"")</f>
        <v>7680000</v>
      </c>
      <c r="AL83" s="13">
        <f>Table8[[#This Row],[d]]-Table8[[#This Row],[tf]]</f>
        <v>0.30700000000000005</v>
      </c>
      <c r="AM83" s="39">
        <f>Table8[[#This Row],[bf]]*Table8[[#This Row],[tf]]*(Table8[[#This Row],[df]]/2)</f>
        <v>1.7192000000000004E-3</v>
      </c>
      <c r="AN83" s="11">
        <f>IF(Table8[[#This Row],[Fabrication Type]]="Welded",Table8[[#This Row],[vw]]*Table8[[#This Row],[Ix]]/Table8[[#This Row],[Qflange]],"")</f>
        <v>2559702.1870637503</v>
      </c>
      <c r="AO83" s="11">
        <f>Table8[[#This Row],[tw]]*MIN(Table8[[#This Row],[fy_web]], Table8[[#This Row],[fy_flange]])*0.6*Table8[[#This Row],[Ix]]/Table8[[#This Row],[Qflange]]</f>
        <v>1799790.6002791994</v>
      </c>
      <c r="AP83" s="50">
        <f ca="1">INDEX(tbllkpkt[kt],MATCH(RANDBETWEEN(1,4),tbllkpkt[Index],0))</f>
        <v>0.85</v>
      </c>
      <c r="AQ83" s="48">
        <f t="shared" ca="1" si="2"/>
        <v>0.9</v>
      </c>
      <c r="AR83" s="18">
        <f ca="1">Table8[[#This Row],[Ag]]*Table8[[#This Row],[Deduction_for_An]]</f>
        <v>2.6370000000000001E-2</v>
      </c>
      <c r="AS83" s="11">
        <f>Table8[[#This Row],[fy]]*Table8[[#This Row],[Ag]]</f>
        <v>10548000</v>
      </c>
      <c r="AT83" s="11">
        <f ca="1">Table8[[#This Row],[αu]]*Table8[[#This Row],[kt]]*Table8[[#This Row],[An]]*Table8[[#This Row],[fu]]</f>
        <v>9145116</v>
      </c>
      <c r="AU83" s="11">
        <f ca="1">MIN(Table8[[#This Row],[Nty]],Table8[[#This Row],[Ntu]])</f>
        <v>9145116</v>
      </c>
    </row>
    <row r="84" spans="2:47" x14ac:dyDescent="0.25">
      <c r="B84" s="15" t="str">
        <f>Table8[[#This Row],[Section]]&amp;"-"&amp;TEXT(Table8[[#This Row],[Grade]],"0")</f>
        <v>350WC197-400</v>
      </c>
      <c r="C84" s="3" t="s">
        <v>3</v>
      </c>
      <c r="D84" s="3">
        <v>400</v>
      </c>
      <c r="E84" s="3" t="s">
        <v>75</v>
      </c>
      <c r="F84" s="4">
        <v>197</v>
      </c>
      <c r="G84" s="3" t="s">
        <v>13</v>
      </c>
      <c r="H84" s="3" t="s">
        <v>14</v>
      </c>
      <c r="I84" s="5">
        <v>0.33100000000000002</v>
      </c>
      <c r="J84" s="5">
        <v>0.35</v>
      </c>
      <c r="K84" s="5">
        <v>2.8000000000000001E-2</v>
      </c>
      <c r="L84" s="5">
        <v>0.02</v>
      </c>
      <c r="M84" s="5" t="s">
        <v>107</v>
      </c>
      <c r="N84" s="5">
        <v>0.27500000000000002</v>
      </c>
      <c r="O84" s="6">
        <v>13.75</v>
      </c>
      <c r="P84" s="6">
        <v>5.8928571428571423</v>
      </c>
      <c r="Q84" s="7">
        <v>2.5100000000000001E-2</v>
      </c>
      <c r="R84" s="8">
        <v>4.86E-4</v>
      </c>
      <c r="S84" s="9">
        <v>2.9399999999999999E-3</v>
      </c>
      <c r="T84" s="9">
        <v>3.3500000000000001E-3</v>
      </c>
      <c r="U84" s="5">
        <v>0.13900000000000001</v>
      </c>
      <c r="V84" s="8">
        <v>2.0000000000000001E-4</v>
      </c>
      <c r="W84" s="9">
        <v>1.14E-3</v>
      </c>
      <c r="X84" s="9">
        <v>1.74E-3</v>
      </c>
      <c r="Y84" s="5">
        <v>0.13900000000000001</v>
      </c>
      <c r="Z84" s="8">
        <v>5.75E-6</v>
      </c>
      <c r="AA84" s="10">
        <v>4.6E-6</v>
      </c>
      <c r="AB84" s="45">
        <v>0.85</v>
      </c>
      <c r="AC84" s="17">
        <f t="array" ref="AC84">INDEX(tbllkpSteelGrades[fy],MATCH(1,(Table8[[#This Row],[Grade]]=tbllkpSteelGrades[Grade])*(Table8[[#This Row],[tw]]&lt;=tbllkpSteelGrades[Thickness]),0))</f>
        <v>380000000</v>
      </c>
      <c r="AD84" s="17">
        <f t="array" ref="AD84">INDEX(tbllkpSteelGrades[fy],MATCH(1,(Table8[[#This Row],[Grade]]=tbllkpSteelGrades[Grade])*(Table8[[#This Row],[tf]]&lt;=tbllkpSteelGrades[Thickness]),0))</f>
        <v>360000000</v>
      </c>
      <c r="AE84" s="17">
        <f>MIN(Table8[[#This Row],[fy_web]],Table8[[#This Row],[fy_flange]])</f>
        <v>360000000</v>
      </c>
      <c r="AF84" s="17">
        <f t="array" ref="AF84">INDEX(tbllkpSteelGrades[fu],MATCH(1,(Table8[[#This Row],[Grade]]=tbllkpSteelGrades[Grade])*(Table8[[#This Row],[tw]]&lt;=tbllkpSteelGrades[Thickness]),0))</f>
        <v>480000000</v>
      </c>
      <c r="AG84" s="18">
        <f>IF(Table8[[#This Row],[Fabrication Type]]="Welded",Table8[[#This Row],[d1]],Table8[[#This Row],[d]])*Table8[[#This Row],[tw]]</f>
        <v>5.5000000000000005E-3</v>
      </c>
      <c r="AH84" s="11">
        <f>Table8[[#This Row],[Aw]]*Table8[[#This Row],[fy_web]]*0.6</f>
        <v>1254000</v>
      </c>
      <c r="AI84" s="35">
        <f>82/SQRT(Table8[[#This Row],[fy_web]]/250000000)</f>
        <v>66.510782663612645</v>
      </c>
      <c r="AJ8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84" s="38">
        <f>IF(Table8[[#This Row],[Fabrication Type]]="Welded",IF(Table8[[#This Row],[tw]]&gt;0.016,0.016*Table8[[#This Row],[fu]],Table8[[#This Row],[tw]]*Table8[[#This Row],[fu]]),"")</f>
        <v>7680000</v>
      </c>
      <c r="AL84" s="13">
        <f>Table8[[#This Row],[d]]-Table8[[#This Row],[tf]]</f>
        <v>0.30299999999999999</v>
      </c>
      <c r="AM84" s="39">
        <f>Table8[[#This Row],[bf]]*Table8[[#This Row],[tf]]*(Table8[[#This Row],[df]]/2)</f>
        <v>1.4846999999999998E-3</v>
      </c>
      <c r="AN84" s="11">
        <f>IF(Table8[[#This Row],[Fabrication Type]]="Welded",Table8[[#This Row],[vw]]*Table8[[#This Row],[Ix]]/Table8[[#This Row],[Qflange]],"")</f>
        <v>2513962.4166498287</v>
      </c>
      <c r="AO84" s="11">
        <f>Table8[[#This Row],[tw]]*MIN(Table8[[#This Row],[fy_web]], Table8[[#This Row],[fy_flange]])*0.6*Table8[[#This Row],[Ix]]/Table8[[#This Row],[Qflange]]</f>
        <v>1414103.8593655284</v>
      </c>
      <c r="AP84" s="50">
        <f ca="1">INDEX(tbllkpkt[kt],MATCH(RANDBETWEEN(1,4),tbllkpkt[Index],0))</f>
        <v>0.9</v>
      </c>
      <c r="AQ84" s="48">
        <f t="shared" ca="1" si="2"/>
        <v>0.97</v>
      </c>
      <c r="AR84" s="18">
        <f ca="1">Table8[[#This Row],[Ag]]*Table8[[#This Row],[Deduction_for_An]]</f>
        <v>2.4347000000000001E-2</v>
      </c>
      <c r="AS84" s="11">
        <f>Table8[[#This Row],[fy]]*Table8[[#This Row],[Ag]]</f>
        <v>9036000</v>
      </c>
      <c r="AT84" s="11">
        <f ca="1">Table8[[#This Row],[αu]]*Table8[[#This Row],[kt]]*Table8[[#This Row],[An]]*Table8[[#This Row],[fu]]</f>
        <v>8940218.4000000004</v>
      </c>
      <c r="AU84" s="11">
        <f ca="1">MIN(Table8[[#This Row],[Nty]],Table8[[#This Row],[Ntu]])</f>
        <v>8940218.4000000004</v>
      </c>
    </row>
    <row r="85" spans="2:47" x14ac:dyDescent="0.25">
      <c r="B85" s="15" t="str">
        <f>Table8[[#This Row],[Section]]&amp;"-"&amp;TEXT(Table8[[#This Row],[Grade]],"0")</f>
        <v>610UB125-300HR</v>
      </c>
      <c r="C85" s="3" t="s">
        <v>5</v>
      </c>
      <c r="D85" s="3" t="s">
        <v>106</v>
      </c>
      <c r="E85" s="3" t="s">
        <v>104</v>
      </c>
      <c r="F85" s="4">
        <v>125</v>
      </c>
      <c r="G85" s="3" t="s">
        <v>13</v>
      </c>
      <c r="H85" s="3" t="s">
        <v>105</v>
      </c>
      <c r="I85" s="5">
        <v>0.61199999999999999</v>
      </c>
      <c r="J85" s="5">
        <v>0.22900000000000001</v>
      </c>
      <c r="K85" s="5">
        <v>1.9600000000000003E-2</v>
      </c>
      <c r="L85" s="5">
        <v>1.1900000000000001E-2</v>
      </c>
      <c r="M85" s="5">
        <v>1.4E-2</v>
      </c>
      <c r="N85" s="5">
        <v>0.57279999999999998</v>
      </c>
      <c r="O85" s="6">
        <v>48.134453781512597</v>
      </c>
      <c r="P85" s="6">
        <v>5.5382653061224483</v>
      </c>
      <c r="Q85" s="7">
        <v>1.6E-2</v>
      </c>
      <c r="R85" s="8">
        <v>9.859999999999999E-4</v>
      </c>
      <c r="S85" s="9">
        <v>3.2299999999999998E-3</v>
      </c>
      <c r="T85" s="9">
        <v>3.6800000000000001E-3</v>
      </c>
      <c r="U85" s="5">
        <v>0.249</v>
      </c>
      <c r="V85" s="8">
        <v>3.93E-5</v>
      </c>
      <c r="W85" s="9">
        <v>3.4299999999999999E-4</v>
      </c>
      <c r="X85" s="9">
        <v>5.3600000000000002E-4</v>
      </c>
      <c r="Y85" s="5">
        <v>0.249</v>
      </c>
      <c r="Z85" s="8">
        <v>1.5600000000000001E-6</v>
      </c>
      <c r="AA85" s="10">
        <v>3.45E-6</v>
      </c>
      <c r="AB85" s="45">
        <v>0.85</v>
      </c>
      <c r="AC85" s="17">
        <f t="array" ref="AC85">INDEX(tbllkpSteelGrades[fy],MATCH(1,(Table8[[#This Row],[Grade]]=tbllkpSteelGrades[Grade])*(Table8[[#This Row],[tw]]&lt;=tbllkpSteelGrades[Thickness]),0))</f>
        <v>300000000</v>
      </c>
      <c r="AD85" s="17">
        <f t="array" ref="AD85">INDEX(tbllkpSteelGrades[fy],MATCH(1,(Table8[[#This Row],[Grade]]=tbllkpSteelGrades[Grade])*(Table8[[#This Row],[tf]]&lt;=tbllkpSteelGrades[Thickness]),0))</f>
        <v>280000000</v>
      </c>
      <c r="AE85" s="17">
        <f>MIN(Table8[[#This Row],[fy_web]],Table8[[#This Row],[fy_flange]])</f>
        <v>280000000</v>
      </c>
      <c r="AF85" s="17">
        <f t="array" ref="AF85">INDEX(tbllkpSteelGrades[fu],MATCH(1,(Table8[[#This Row],[Grade]]=tbllkpSteelGrades[Grade])*(Table8[[#This Row],[tw]]&lt;=tbllkpSteelGrades[Thickness]),0))</f>
        <v>440000000</v>
      </c>
      <c r="AG85" s="18">
        <f>IF(Table8[[#This Row],[Fabrication Type]]="Welded",Table8[[#This Row],[d1]],Table8[[#This Row],[d]])*Table8[[#This Row],[tw]]</f>
        <v>7.2828000000000007E-3</v>
      </c>
      <c r="AH85" s="11">
        <f>Table8[[#This Row],[Aw]]*Table8[[#This Row],[fy_web]]*0.6</f>
        <v>1310904</v>
      </c>
      <c r="AI85" s="35">
        <f>82/SQRT(Table8[[#This Row],[fy_web]]/250000000)</f>
        <v>74.855416192372701</v>
      </c>
      <c r="AJ8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85" s="38" t="str">
        <f>IF(Table8[[#This Row],[Fabrication Type]]="Welded",IF(Table8[[#This Row],[tw]]&gt;0.016,0.016*Table8[[#This Row],[fu]],Table8[[#This Row],[tw]]*Table8[[#This Row],[fu]]),"")</f>
        <v/>
      </c>
      <c r="AL85" s="13">
        <f>Table8[[#This Row],[d]]-Table8[[#This Row],[tf]]</f>
        <v>0.59240000000000004</v>
      </c>
      <c r="AM85" s="39">
        <f>Table8[[#This Row],[bf]]*Table8[[#This Row],[tf]]*(Table8[[#This Row],[df]]/2)</f>
        <v>1.3294640800000004E-3</v>
      </c>
      <c r="AN85" s="11" t="str">
        <f>IF(Table8[[#This Row],[Fabrication Type]]="Welded",Table8[[#This Row],[vw]]*Table8[[#This Row],[Ix]]/Table8[[#This Row],[Qflange]],"")</f>
        <v/>
      </c>
      <c r="AO85" s="11">
        <f>Table8[[#This Row],[tw]]*MIN(Table8[[#This Row],[fy_web]], Table8[[#This Row],[fy_flange]])*0.6*Table8[[#This Row],[Ix]]/Table8[[#This Row],[Qflange]]</f>
        <v>1482711.1387620186</v>
      </c>
      <c r="AP85" s="50">
        <f ca="1">INDEX(tbllkpkt[kt],MATCH(RANDBETWEEN(1,4),tbllkpkt[Index],0))</f>
        <v>0.9</v>
      </c>
      <c r="AQ85" s="48">
        <f t="shared" ca="1" si="2"/>
        <v>0.91</v>
      </c>
      <c r="AR85" s="18">
        <f ca="1">Table8[[#This Row],[Ag]]*Table8[[#This Row],[Deduction_for_An]]</f>
        <v>1.456E-2</v>
      </c>
      <c r="AS85" s="11">
        <f>Table8[[#This Row],[fy]]*Table8[[#This Row],[Ag]]</f>
        <v>4480000</v>
      </c>
      <c r="AT85" s="11">
        <f ca="1">Table8[[#This Row],[αu]]*Table8[[#This Row],[kt]]*Table8[[#This Row],[An]]*Table8[[#This Row],[fu]]</f>
        <v>4900896</v>
      </c>
      <c r="AU85" s="11">
        <f ca="1">MIN(Table8[[#This Row],[Nty]],Table8[[#This Row],[Ntu]])</f>
        <v>4480000</v>
      </c>
    </row>
    <row r="86" spans="2:47" x14ac:dyDescent="0.25">
      <c r="B86" s="15" t="str">
        <f>Table8[[#This Row],[Section]]&amp;"-"&amp;TEXT(Table8[[#This Row],[Grade]],"0")</f>
        <v>610UB113-300HR</v>
      </c>
      <c r="C86" s="3" t="s">
        <v>76</v>
      </c>
      <c r="D86" s="3" t="s">
        <v>106</v>
      </c>
      <c r="E86" s="3" t="s">
        <v>104</v>
      </c>
      <c r="F86" s="4">
        <v>113</v>
      </c>
      <c r="G86" s="3" t="s">
        <v>13</v>
      </c>
      <c r="H86" s="3" t="s">
        <v>105</v>
      </c>
      <c r="I86" s="5">
        <v>0.60699999999999998</v>
      </c>
      <c r="J86" s="5">
        <v>0.22800000000000001</v>
      </c>
      <c r="K86" s="5">
        <v>1.7299999999999999E-2</v>
      </c>
      <c r="L86" s="5">
        <v>1.12E-2</v>
      </c>
      <c r="M86" s="5">
        <v>1.4E-2</v>
      </c>
      <c r="N86" s="5">
        <v>0.57240000000000002</v>
      </c>
      <c r="O86" s="6">
        <v>51.107142857142861</v>
      </c>
      <c r="P86" s="6">
        <v>6.2658959537572265</v>
      </c>
      <c r="Q86" s="7">
        <v>1.4500000000000001E-2</v>
      </c>
      <c r="R86" s="8">
        <v>8.7500000000000002E-4</v>
      </c>
      <c r="S86" s="9">
        <v>2.8800000000000002E-3</v>
      </c>
      <c r="T86" s="9">
        <v>3.29E-3</v>
      </c>
      <c r="U86" s="5">
        <v>0.246</v>
      </c>
      <c r="V86" s="8">
        <v>3.43E-5</v>
      </c>
      <c r="W86" s="9">
        <v>2.9999999999999997E-4</v>
      </c>
      <c r="X86" s="9">
        <v>4.6900000000000002E-4</v>
      </c>
      <c r="Y86" s="5">
        <v>0.246</v>
      </c>
      <c r="Z86" s="8">
        <v>1.1400000000000001E-6</v>
      </c>
      <c r="AA86" s="10">
        <v>2.9799999999999998E-6</v>
      </c>
      <c r="AB86" s="45">
        <v>0.85</v>
      </c>
      <c r="AC86" s="17">
        <f t="array" ref="AC86">INDEX(tbllkpSteelGrades[fy],MATCH(1,(Table8[[#This Row],[Grade]]=tbllkpSteelGrades[Grade])*(Table8[[#This Row],[tw]]&lt;=tbllkpSteelGrades[Thickness]),0))</f>
        <v>300000000</v>
      </c>
      <c r="AD86" s="17">
        <f t="array" ref="AD86">INDEX(tbllkpSteelGrades[fy],MATCH(1,(Table8[[#This Row],[Grade]]=tbllkpSteelGrades[Grade])*(Table8[[#This Row],[tf]]&lt;=tbllkpSteelGrades[Thickness]),0))</f>
        <v>280000000</v>
      </c>
      <c r="AE86" s="17">
        <f>MIN(Table8[[#This Row],[fy_web]],Table8[[#This Row],[fy_flange]])</f>
        <v>280000000</v>
      </c>
      <c r="AF86" s="17">
        <f t="array" ref="AF86">INDEX(tbllkpSteelGrades[fu],MATCH(1,(Table8[[#This Row],[Grade]]=tbllkpSteelGrades[Grade])*(Table8[[#This Row],[tw]]&lt;=tbllkpSteelGrades[Thickness]),0))</f>
        <v>440000000</v>
      </c>
      <c r="AG86" s="18">
        <f>IF(Table8[[#This Row],[Fabrication Type]]="Welded",Table8[[#This Row],[d1]],Table8[[#This Row],[d]])*Table8[[#This Row],[tw]]</f>
        <v>6.7983999999999996E-3</v>
      </c>
      <c r="AH86" s="11">
        <f>Table8[[#This Row],[Aw]]*Table8[[#This Row],[fy_web]]*0.6</f>
        <v>1223711.9999999998</v>
      </c>
      <c r="AI86" s="35">
        <f>82/SQRT(Table8[[#This Row],[fy_web]]/250000000)</f>
        <v>74.855416192372701</v>
      </c>
      <c r="AJ8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86" s="38" t="str">
        <f>IF(Table8[[#This Row],[Fabrication Type]]="Welded",IF(Table8[[#This Row],[tw]]&gt;0.016,0.016*Table8[[#This Row],[fu]],Table8[[#This Row],[tw]]*Table8[[#This Row],[fu]]),"")</f>
        <v/>
      </c>
      <c r="AL86" s="13">
        <f>Table8[[#This Row],[d]]-Table8[[#This Row],[tf]]</f>
        <v>0.5897</v>
      </c>
      <c r="AM86" s="39">
        <f>Table8[[#This Row],[bf]]*Table8[[#This Row],[tf]]*(Table8[[#This Row],[df]]/2)</f>
        <v>1.16300634E-3</v>
      </c>
      <c r="AN86" s="11" t="str">
        <f>IF(Table8[[#This Row],[Fabrication Type]]="Welded",Table8[[#This Row],[vw]]*Table8[[#This Row],[Ix]]/Table8[[#This Row],[Qflange]],"")</f>
        <v/>
      </c>
      <c r="AO86" s="11">
        <f>Table8[[#This Row],[tw]]*MIN(Table8[[#This Row],[fy_web]], Table8[[#This Row],[fy_flange]])*0.6*Table8[[#This Row],[Ix]]/Table8[[#This Row],[Qflange]]</f>
        <v>1415641.4658926108</v>
      </c>
      <c r="AP86" s="50">
        <f ca="1">INDEX(tbllkpkt[kt],MATCH(RANDBETWEEN(1,4),tbllkpkt[Index],0))</f>
        <v>1</v>
      </c>
      <c r="AQ86" s="48">
        <f t="shared" ca="1" si="2"/>
        <v>0.95</v>
      </c>
      <c r="AR86" s="18">
        <f ca="1">Table8[[#This Row],[Ag]]*Table8[[#This Row],[Deduction_for_An]]</f>
        <v>1.3775000000000001E-2</v>
      </c>
      <c r="AS86" s="11">
        <f>Table8[[#This Row],[fy]]*Table8[[#This Row],[Ag]]</f>
        <v>4060000</v>
      </c>
      <c r="AT86" s="11">
        <f ca="1">Table8[[#This Row],[αu]]*Table8[[#This Row],[kt]]*Table8[[#This Row],[An]]*Table8[[#This Row],[fu]]</f>
        <v>5151850</v>
      </c>
      <c r="AU86" s="11">
        <f ca="1">MIN(Table8[[#This Row],[Nty]],Table8[[#This Row],[Ntu]])</f>
        <v>4060000</v>
      </c>
    </row>
    <row r="87" spans="2:47" x14ac:dyDescent="0.25">
      <c r="B87" s="15" t="str">
        <f>Table8[[#This Row],[Section]]&amp;"-"&amp;TEXT(Table8[[#This Row],[Grade]],"0")</f>
        <v>610UB101-300HR</v>
      </c>
      <c r="C87" s="3" t="s">
        <v>77</v>
      </c>
      <c r="D87" s="3" t="s">
        <v>106</v>
      </c>
      <c r="E87" s="3" t="s">
        <v>104</v>
      </c>
      <c r="F87" s="4">
        <v>101</v>
      </c>
      <c r="G87" s="3" t="s">
        <v>13</v>
      </c>
      <c r="H87" s="3" t="s">
        <v>105</v>
      </c>
      <c r="I87" s="5">
        <v>0.60199999999999998</v>
      </c>
      <c r="J87" s="5">
        <v>0.22800000000000001</v>
      </c>
      <c r="K87" s="5">
        <v>1.4800000000000001E-2</v>
      </c>
      <c r="L87" s="5">
        <v>1.06E-2</v>
      </c>
      <c r="M87" s="5">
        <v>1.4E-2</v>
      </c>
      <c r="N87" s="5">
        <v>0.57240000000000002</v>
      </c>
      <c r="O87" s="6">
        <v>54</v>
      </c>
      <c r="P87" s="6">
        <v>7.3445945945945947</v>
      </c>
      <c r="Q87" s="7">
        <v>1.2999999999999999E-2</v>
      </c>
      <c r="R87" s="8">
        <v>7.6099999999999996E-4</v>
      </c>
      <c r="S87" s="9">
        <v>2.5300000000000001E-3</v>
      </c>
      <c r="T87" s="9">
        <v>2.8999999999999998E-3</v>
      </c>
      <c r="U87" s="5">
        <v>0.24199999999999999</v>
      </c>
      <c r="V87" s="8">
        <v>2.9300000000000001E-5</v>
      </c>
      <c r="W87" s="9">
        <v>2.5700000000000001E-4</v>
      </c>
      <c r="X87" s="9">
        <v>4.0200000000000001E-4</v>
      </c>
      <c r="Y87" s="5">
        <v>0.24199999999999999</v>
      </c>
      <c r="Z87" s="8">
        <v>7.8999999999999995E-7</v>
      </c>
      <c r="AA87" s="10">
        <v>2.5299999999999999E-6</v>
      </c>
      <c r="AB87" s="45">
        <v>0.85</v>
      </c>
      <c r="AC87" s="17">
        <f t="array" ref="AC87">INDEX(tbllkpSteelGrades[fy],MATCH(1,(Table8[[#This Row],[Grade]]=tbllkpSteelGrades[Grade])*(Table8[[#This Row],[tw]]&lt;=tbllkpSteelGrades[Thickness]),0))</f>
        <v>320000000</v>
      </c>
      <c r="AD87" s="17">
        <f t="array" ref="AD87">INDEX(tbllkpSteelGrades[fy],MATCH(1,(Table8[[#This Row],[Grade]]=tbllkpSteelGrades[Grade])*(Table8[[#This Row],[tf]]&lt;=tbllkpSteelGrades[Thickness]),0))</f>
        <v>300000000</v>
      </c>
      <c r="AE87" s="17">
        <f>MIN(Table8[[#This Row],[fy_web]],Table8[[#This Row],[fy_flange]])</f>
        <v>300000000</v>
      </c>
      <c r="AF87" s="17">
        <f t="array" ref="AF87">INDEX(tbllkpSteelGrades[fu],MATCH(1,(Table8[[#This Row],[Grade]]=tbllkpSteelGrades[Grade])*(Table8[[#This Row],[tw]]&lt;=tbllkpSteelGrades[Thickness]),0))</f>
        <v>440000000</v>
      </c>
      <c r="AG87" s="18">
        <f>IF(Table8[[#This Row],[Fabrication Type]]="Welded",Table8[[#This Row],[d1]],Table8[[#This Row],[d]])*Table8[[#This Row],[tw]]</f>
        <v>6.3812000000000001E-3</v>
      </c>
      <c r="AH87" s="11">
        <f>Table8[[#This Row],[Aw]]*Table8[[#This Row],[fy_web]]*0.6</f>
        <v>1225190.3999999999</v>
      </c>
      <c r="AI87" s="35">
        <f>82/SQRT(Table8[[#This Row],[fy_web]]/250000000)</f>
        <v>72.478445071621124</v>
      </c>
      <c r="AJ8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87" s="38" t="str">
        <f>IF(Table8[[#This Row],[Fabrication Type]]="Welded",IF(Table8[[#This Row],[tw]]&gt;0.016,0.016*Table8[[#This Row],[fu]],Table8[[#This Row],[tw]]*Table8[[#This Row],[fu]]),"")</f>
        <v/>
      </c>
      <c r="AL87" s="13">
        <f>Table8[[#This Row],[d]]-Table8[[#This Row],[tf]]</f>
        <v>0.58719999999999994</v>
      </c>
      <c r="AM87" s="39">
        <f>Table8[[#This Row],[bf]]*Table8[[#This Row],[tf]]*(Table8[[#This Row],[df]]/2)</f>
        <v>9.9072383999999989E-4</v>
      </c>
      <c r="AN87" s="11" t="str">
        <f>IF(Table8[[#This Row],[Fabrication Type]]="Welded",Table8[[#This Row],[vw]]*Table8[[#This Row],[Ix]]/Table8[[#This Row],[Qflange]],"")</f>
        <v/>
      </c>
      <c r="AO87" s="11">
        <f>Table8[[#This Row],[tw]]*MIN(Table8[[#This Row],[fy_web]], Table8[[#This Row],[fy_flange]])*0.6*Table8[[#This Row],[Ix]]/Table8[[#This Row],[Qflange]]</f>
        <v>1465582.9822365029</v>
      </c>
      <c r="AP87" s="50">
        <f ca="1">INDEX(tbllkpkt[kt],MATCH(RANDBETWEEN(1,4),tbllkpkt[Index],0))</f>
        <v>0.75</v>
      </c>
      <c r="AQ87" s="48">
        <f t="shared" ca="1" si="2"/>
        <v>0.95</v>
      </c>
      <c r="AR87" s="18">
        <f ca="1">Table8[[#This Row],[Ag]]*Table8[[#This Row],[Deduction_for_An]]</f>
        <v>1.2349999999999998E-2</v>
      </c>
      <c r="AS87" s="11">
        <f>Table8[[#This Row],[fy]]*Table8[[#This Row],[Ag]]</f>
        <v>3900000</v>
      </c>
      <c r="AT87" s="11">
        <f ca="1">Table8[[#This Row],[αu]]*Table8[[#This Row],[kt]]*Table8[[#This Row],[An]]*Table8[[#This Row],[fu]]</f>
        <v>3464174.9999999991</v>
      </c>
      <c r="AU87" s="11">
        <f ca="1">MIN(Table8[[#This Row],[Nty]],Table8[[#This Row],[Ntu]])</f>
        <v>3464174.9999999991</v>
      </c>
    </row>
    <row r="88" spans="2:47" x14ac:dyDescent="0.25">
      <c r="B88" s="15" t="str">
        <f>Table8[[#This Row],[Section]]&amp;"-"&amp;TEXT(Table8[[#This Row],[Grade]],"0")</f>
        <v>530UB92.4-300HR</v>
      </c>
      <c r="C88" s="3" t="s">
        <v>78</v>
      </c>
      <c r="D88" s="3" t="s">
        <v>106</v>
      </c>
      <c r="E88" s="3" t="s">
        <v>104</v>
      </c>
      <c r="F88" s="4">
        <v>92.4</v>
      </c>
      <c r="G88" s="3" t="s">
        <v>13</v>
      </c>
      <c r="H88" s="3" t="s">
        <v>105</v>
      </c>
      <c r="I88" s="5">
        <v>0.53300000000000003</v>
      </c>
      <c r="J88" s="5">
        <v>0.20899999999999999</v>
      </c>
      <c r="K88" s="5">
        <v>1.5599999999999999E-2</v>
      </c>
      <c r="L88" s="5">
        <v>1.0199999999999999E-2</v>
      </c>
      <c r="M88" s="5">
        <v>1.4E-2</v>
      </c>
      <c r="N88" s="5">
        <v>0.50180000000000002</v>
      </c>
      <c r="O88" s="6">
        <v>49.196078431372555</v>
      </c>
      <c r="P88" s="6">
        <v>6.3717948717948723</v>
      </c>
      <c r="Q88" s="7">
        <v>1.18E-2</v>
      </c>
      <c r="R88" s="8">
        <v>5.5400000000000002E-4</v>
      </c>
      <c r="S88" s="9">
        <v>2.0799999999999998E-3</v>
      </c>
      <c r="T88" s="9">
        <v>2.3700000000000001E-3</v>
      </c>
      <c r="U88" s="5">
        <v>0.217</v>
      </c>
      <c r="V88" s="8">
        <v>2.3799999999999999E-5</v>
      </c>
      <c r="W88" s="9">
        <v>2.2800000000000001E-4</v>
      </c>
      <c r="X88" s="9">
        <v>3.5500000000000001E-4</v>
      </c>
      <c r="Y88" s="5">
        <v>0.217</v>
      </c>
      <c r="Z88" s="8">
        <v>7.7499999999999999E-7</v>
      </c>
      <c r="AA88" s="10">
        <v>1.59E-6</v>
      </c>
      <c r="AB88" s="45">
        <v>0.85</v>
      </c>
      <c r="AC88" s="17">
        <f t="array" ref="AC88">INDEX(tbllkpSteelGrades[fy],MATCH(1,(Table8[[#This Row],[Grade]]=tbllkpSteelGrades[Grade])*(Table8[[#This Row],[tw]]&lt;=tbllkpSteelGrades[Thickness]),0))</f>
        <v>320000000</v>
      </c>
      <c r="AD88" s="17">
        <f t="array" ref="AD88">INDEX(tbllkpSteelGrades[fy],MATCH(1,(Table8[[#This Row],[Grade]]=tbllkpSteelGrades[Grade])*(Table8[[#This Row],[tf]]&lt;=tbllkpSteelGrades[Thickness]),0))</f>
        <v>300000000</v>
      </c>
      <c r="AE88" s="17">
        <f>MIN(Table8[[#This Row],[fy_web]],Table8[[#This Row],[fy_flange]])</f>
        <v>300000000</v>
      </c>
      <c r="AF88" s="17">
        <f t="array" ref="AF88">INDEX(tbllkpSteelGrades[fu],MATCH(1,(Table8[[#This Row],[Grade]]=tbllkpSteelGrades[Grade])*(Table8[[#This Row],[tw]]&lt;=tbllkpSteelGrades[Thickness]),0))</f>
        <v>440000000</v>
      </c>
      <c r="AG88" s="18">
        <f>IF(Table8[[#This Row],[Fabrication Type]]="Welded",Table8[[#This Row],[d1]],Table8[[#This Row],[d]])*Table8[[#This Row],[tw]]</f>
        <v>5.4365999999999998E-3</v>
      </c>
      <c r="AH88" s="11">
        <f>Table8[[#This Row],[Aw]]*Table8[[#This Row],[fy_web]]*0.6</f>
        <v>1043827.2</v>
      </c>
      <c r="AI88" s="35">
        <f>82/SQRT(Table8[[#This Row],[fy_web]]/250000000)</f>
        <v>72.478445071621124</v>
      </c>
      <c r="AJ8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88" s="38" t="str">
        <f>IF(Table8[[#This Row],[Fabrication Type]]="Welded",IF(Table8[[#This Row],[tw]]&gt;0.016,0.016*Table8[[#This Row],[fu]],Table8[[#This Row],[tw]]*Table8[[#This Row],[fu]]),"")</f>
        <v/>
      </c>
      <c r="AL88" s="13">
        <f>Table8[[#This Row],[d]]-Table8[[#This Row],[tf]]</f>
        <v>0.51740000000000008</v>
      </c>
      <c r="AM88" s="39">
        <f>Table8[[#This Row],[bf]]*Table8[[#This Row],[tf]]*(Table8[[#This Row],[df]]/2)</f>
        <v>8.4346548000000009E-4</v>
      </c>
      <c r="AN88" s="11" t="str">
        <f>IF(Table8[[#This Row],[Fabrication Type]]="Welded",Table8[[#This Row],[vw]]*Table8[[#This Row],[Ix]]/Table8[[#This Row],[Qflange]],"")</f>
        <v/>
      </c>
      <c r="AO88" s="11">
        <f>Table8[[#This Row],[tw]]*MIN(Table8[[#This Row],[fy_web]], Table8[[#This Row],[fy_flange]])*0.6*Table8[[#This Row],[Ix]]/Table8[[#This Row],[Qflange]]</f>
        <v>1205910.6437882909</v>
      </c>
      <c r="AP88" s="50">
        <f ca="1">INDEX(tbllkpkt[kt],MATCH(RANDBETWEEN(1,4),tbllkpkt[Index],0))</f>
        <v>0.75</v>
      </c>
      <c r="AQ88" s="48">
        <f t="shared" ca="1" si="2"/>
        <v>1</v>
      </c>
      <c r="AR88" s="18">
        <f ca="1">Table8[[#This Row],[Ag]]*Table8[[#This Row],[Deduction_for_An]]</f>
        <v>1.18E-2</v>
      </c>
      <c r="AS88" s="11">
        <f>Table8[[#This Row],[fy]]*Table8[[#This Row],[Ag]]</f>
        <v>3540000</v>
      </c>
      <c r="AT88" s="11">
        <f ca="1">Table8[[#This Row],[αu]]*Table8[[#This Row],[kt]]*Table8[[#This Row],[An]]*Table8[[#This Row],[fu]]</f>
        <v>3309900</v>
      </c>
      <c r="AU88" s="11">
        <f ca="1">MIN(Table8[[#This Row],[Nty]],Table8[[#This Row],[Ntu]])</f>
        <v>3309900</v>
      </c>
    </row>
    <row r="89" spans="2:47" x14ac:dyDescent="0.25">
      <c r="B89" s="15" t="str">
        <f>Table8[[#This Row],[Section]]&amp;"-"&amp;TEXT(Table8[[#This Row],[Grade]],"0")</f>
        <v>530UB82.0-300HR</v>
      </c>
      <c r="C89" s="3" t="s">
        <v>79</v>
      </c>
      <c r="D89" s="3" t="s">
        <v>106</v>
      </c>
      <c r="E89" s="3" t="s">
        <v>104</v>
      </c>
      <c r="F89" s="4">
        <v>82</v>
      </c>
      <c r="G89" s="3" t="s">
        <v>13</v>
      </c>
      <c r="H89" s="3" t="s">
        <v>105</v>
      </c>
      <c r="I89" s="5">
        <v>0.52800000000000002</v>
      </c>
      <c r="J89" s="5">
        <v>0.20899999999999999</v>
      </c>
      <c r="K89" s="5">
        <v>1.32E-2</v>
      </c>
      <c r="L89" s="5">
        <v>9.5999999999999992E-3</v>
      </c>
      <c r="M89" s="5">
        <v>1.4E-2</v>
      </c>
      <c r="N89" s="5">
        <v>0.50160000000000005</v>
      </c>
      <c r="O89" s="6">
        <v>52.250000000000007</v>
      </c>
      <c r="P89" s="6">
        <v>7.5530303030303028</v>
      </c>
      <c r="Q89" s="7">
        <v>1.0500000000000001E-2</v>
      </c>
      <c r="R89" s="8">
        <v>4.7699999999999999E-4</v>
      </c>
      <c r="S89" s="9">
        <v>1.81E-3</v>
      </c>
      <c r="T89" s="9">
        <v>2.0699999999999998E-3</v>
      </c>
      <c r="U89" s="5">
        <v>0.21299999999999999</v>
      </c>
      <c r="V89" s="8">
        <v>2.0100000000000001E-5</v>
      </c>
      <c r="W89" s="9">
        <v>1.93E-4</v>
      </c>
      <c r="X89" s="9">
        <v>3.01E-4</v>
      </c>
      <c r="Y89" s="5">
        <v>0.21299999999999999</v>
      </c>
      <c r="Z89" s="8">
        <v>5.2600000000000002E-7</v>
      </c>
      <c r="AA89" s="10">
        <v>1.33E-6</v>
      </c>
      <c r="AB89" s="45">
        <v>0.85</v>
      </c>
      <c r="AC89" s="17">
        <f t="array" ref="AC89">INDEX(tbllkpSteelGrades[fy],MATCH(1,(Table8[[#This Row],[Grade]]=tbllkpSteelGrades[Grade])*(Table8[[#This Row],[tw]]&lt;=tbllkpSteelGrades[Thickness]),0))</f>
        <v>320000000</v>
      </c>
      <c r="AD89" s="17">
        <f t="array" ref="AD89">INDEX(tbllkpSteelGrades[fy],MATCH(1,(Table8[[#This Row],[Grade]]=tbllkpSteelGrades[Grade])*(Table8[[#This Row],[tf]]&lt;=tbllkpSteelGrades[Thickness]),0))</f>
        <v>300000000</v>
      </c>
      <c r="AE89" s="17">
        <f>MIN(Table8[[#This Row],[fy_web]],Table8[[#This Row],[fy_flange]])</f>
        <v>300000000</v>
      </c>
      <c r="AF89" s="17">
        <f t="array" ref="AF89">INDEX(tbllkpSteelGrades[fu],MATCH(1,(Table8[[#This Row],[Grade]]=tbllkpSteelGrades[Grade])*(Table8[[#This Row],[tw]]&lt;=tbllkpSteelGrades[Thickness]),0))</f>
        <v>440000000</v>
      </c>
      <c r="AG89" s="18">
        <f>IF(Table8[[#This Row],[Fabrication Type]]="Welded",Table8[[#This Row],[d1]],Table8[[#This Row],[d]])*Table8[[#This Row],[tw]]</f>
        <v>5.0688E-3</v>
      </c>
      <c r="AH89" s="11">
        <f>Table8[[#This Row],[Aw]]*Table8[[#This Row],[fy_web]]*0.6</f>
        <v>973209.59999999998</v>
      </c>
      <c r="AI89" s="35">
        <f>82/SQRT(Table8[[#This Row],[fy_web]]/250000000)</f>
        <v>72.478445071621124</v>
      </c>
      <c r="AJ8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89" s="38" t="str">
        <f>IF(Table8[[#This Row],[Fabrication Type]]="Welded",IF(Table8[[#This Row],[tw]]&gt;0.016,0.016*Table8[[#This Row],[fu]],Table8[[#This Row],[tw]]*Table8[[#This Row],[fu]]),"")</f>
        <v/>
      </c>
      <c r="AL89" s="13">
        <f>Table8[[#This Row],[d]]-Table8[[#This Row],[tf]]</f>
        <v>0.51480000000000004</v>
      </c>
      <c r="AM89" s="39">
        <f>Table8[[#This Row],[bf]]*Table8[[#This Row],[tf]]*(Table8[[#This Row],[df]]/2)</f>
        <v>7.1011512000000005E-4</v>
      </c>
      <c r="AN89" s="11" t="str">
        <f>IF(Table8[[#This Row],[Fabrication Type]]="Welded",Table8[[#This Row],[vw]]*Table8[[#This Row],[Ix]]/Table8[[#This Row],[Qflange]],"")</f>
        <v/>
      </c>
      <c r="AO89" s="11">
        <f>Table8[[#This Row],[tw]]*MIN(Table8[[#This Row],[fy_web]], Table8[[#This Row],[fy_flange]])*0.6*Table8[[#This Row],[Ix]]/Table8[[#This Row],[Qflange]]</f>
        <v>1160735.7409880243</v>
      </c>
      <c r="AP89" s="50">
        <f ca="1">INDEX(tbllkpkt[kt],MATCH(RANDBETWEEN(1,4),tbllkpkt[Index],0))</f>
        <v>0.9</v>
      </c>
      <c r="AQ89" s="48">
        <f t="shared" ca="1" si="2"/>
        <v>0.92</v>
      </c>
      <c r="AR89" s="18">
        <f ca="1">Table8[[#This Row],[Ag]]*Table8[[#This Row],[Deduction_for_An]]</f>
        <v>9.6600000000000002E-3</v>
      </c>
      <c r="AS89" s="11">
        <f>Table8[[#This Row],[fy]]*Table8[[#This Row],[Ag]]</f>
        <v>3150000</v>
      </c>
      <c r="AT89" s="11">
        <f ca="1">Table8[[#This Row],[αu]]*Table8[[#This Row],[kt]]*Table8[[#This Row],[An]]*Table8[[#This Row],[fu]]</f>
        <v>3251556</v>
      </c>
      <c r="AU89" s="11">
        <f ca="1">MIN(Table8[[#This Row],[Nty]],Table8[[#This Row],[Ntu]])</f>
        <v>3150000</v>
      </c>
    </row>
    <row r="90" spans="2:47" x14ac:dyDescent="0.25">
      <c r="B90" s="15" t="str">
        <f>Table8[[#This Row],[Section]]&amp;"-"&amp;TEXT(Table8[[#This Row],[Grade]],"0")</f>
        <v>460UB82.1-300HR</v>
      </c>
      <c r="C90" s="3" t="s">
        <v>80</v>
      </c>
      <c r="D90" s="3" t="s">
        <v>106</v>
      </c>
      <c r="E90" s="3" t="s">
        <v>104</v>
      </c>
      <c r="F90" s="4">
        <v>82.1</v>
      </c>
      <c r="G90" s="3" t="s">
        <v>13</v>
      </c>
      <c r="H90" s="3" t="s">
        <v>105</v>
      </c>
      <c r="I90" s="5">
        <v>0.46</v>
      </c>
      <c r="J90" s="5">
        <v>0.191</v>
      </c>
      <c r="K90" s="5">
        <v>1.6E-2</v>
      </c>
      <c r="L90" s="5">
        <v>9.9000000000000008E-3</v>
      </c>
      <c r="M90" s="5">
        <v>1.14E-2</v>
      </c>
      <c r="N90" s="5">
        <v>0.42800000000000005</v>
      </c>
      <c r="O90" s="6">
        <v>43.232323232323232</v>
      </c>
      <c r="P90" s="6">
        <v>5.6593749999999998</v>
      </c>
      <c r="Q90" s="7">
        <v>1.0500000000000001E-2</v>
      </c>
      <c r="R90" s="8">
        <v>3.7199999999999999E-4</v>
      </c>
      <c r="S90" s="9">
        <v>1.6100000000000001E-3</v>
      </c>
      <c r="T90" s="9">
        <v>1.8400000000000001E-3</v>
      </c>
      <c r="U90" s="5">
        <v>0.188</v>
      </c>
      <c r="V90" s="8">
        <v>1.8600000000000001E-5</v>
      </c>
      <c r="W90" s="9">
        <v>1.95E-4</v>
      </c>
      <c r="X90" s="9">
        <v>3.0299999999999999E-4</v>
      </c>
      <c r="Y90" s="5">
        <v>0.188</v>
      </c>
      <c r="Z90" s="8">
        <v>7.0100000000000004E-7</v>
      </c>
      <c r="AA90" s="10">
        <v>9.1900000000000001E-7</v>
      </c>
      <c r="AB90" s="45">
        <v>0.85</v>
      </c>
      <c r="AC90" s="17">
        <f t="array" ref="AC90">INDEX(tbllkpSteelGrades[fy],MATCH(1,(Table8[[#This Row],[Grade]]=tbllkpSteelGrades[Grade])*(Table8[[#This Row],[tw]]&lt;=tbllkpSteelGrades[Thickness]),0))</f>
        <v>320000000</v>
      </c>
      <c r="AD90" s="17">
        <f t="array" ref="AD90">INDEX(tbllkpSteelGrades[fy],MATCH(1,(Table8[[#This Row],[Grade]]=tbllkpSteelGrades[Grade])*(Table8[[#This Row],[tf]]&lt;=tbllkpSteelGrades[Thickness]),0))</f>
        <v>300000000</v>
      </c>
      <c r="AE90" s="17">
        <f>MIN(Table8[[#This Row],[fy_web]],Table8[[#This Row],[fy_flange]])</f>
        <v>300000000</v>
      </c>
      <c r="AF90" s="17">
        <f t="array" ref="AF90">INDEX(tbllkpSteelGrades[fu],MATCH(1,(Table8[[#This Row],[Grade]]=tbllkpSteelGrades[Grade])*(Table8[[#This Row],[tw]]&lt;=tbllkpSteelGrades[Thickness]),0))</f>
        <v>440000000</v>
      </c>
      <c r="AG90" s="18">
        <f>IF(Table8[[#This Row],[Fabrication Type]]="Welded",Table8[[#This Row],[d1]],Table8[[#This Row],[d]])*Table8[[#This Row],[tw]]</f>
        <v>4.5540000000000008E-3</v>
      </c>
      <c r="AH90" s="11">
        <f>Table8[[#This Row],[Aw]]*Table8[[#This Row],[fy_web]]*0.6</f>
        <v>874368.00000000012</v>
      </c>
      <c r="AI90" s="35">
        <f>82/SQRT(Table8[[#This Row],[fy_web]]/250000000)</f>
        <v>72.478445071621124</v>
      </c>
      <c r="AJ9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90" s="38" t="str">
        <f>IF(Table8[[#This Row],[Fabrication Type]]="Welded",IF(Table8[[#This Row],[tw]]&gt;0.016,0.016*Table8[[#This Row],[fu]],Table8[[#This Row],[tw]]*Table8[[#This Row],[fu]]),"")</f>
        <v/>
      </c>
      <c r="AL90" s="13">
        <f>Table8[[#This Row],[d]]-Table8[[#This Row],[tf]]</f>
        <v>0.44400000000000001</v>
      </c>
      <c r="AM90" s="39">
        <f>Table8[[#This Row],[bf]]*Table8[[#This Row],[tf]]*(Table8[[#This Row],[df]]/2)</f>
        <v>6.7843200000000008E-4</v>
      </c>
      <c r="AN90" s="11" t="str">
        <f>IF(Table8[[#This Row],[Fabrication Type]]="Welded",Table8[[#This Row],[vw]]*Table8[[#This Row],[Ix]]/Table8[[#This Row],[Qflange]],"")</f>
        <v/>
      </c>
      <c r="AO90" s="11">
        <f>Table8[[#This Row],[tw]]*MIN(Table8[[#This Row],[fy_web]], Table8[[#This Row],[fy_flange]])*0.6*Table8[[#This Row],[Ix]]/Table8[[#This Row],[Qflange]]</f>
        <v>977111.92868260934</v>
      </c>
      <c r="AP90" s="50">
        <f ca="1">INDEX(tbllkpkt[kt],MATCH(RANDBETWEEN(1,4),tbllkpkt[Index],0))</f>
        <v>0.85</v>
      </c>
      <c r="AQ90" s="48">
        <f t="shared" ca="1" si="2"/>
        <v>0.9</v>
      </c>
      <c r="AR90" s="18">
        <f ca="1">Table8[[#This Row],[Ag]]*Table8[[#This Row],[Deduction_for_An]]</f>
        <v>9.4500000000000001E-3</v>
      </c>
      <c r="AS90" s="11">
        <f>Table8[[#This Row],[fy]]*Table8[[#This Row],[Ag]]</f>
        <v>3150000</v>
      </c>
      <c r="AT90" s="11">
        <f ca="1">Table8[[#This Row],[αu]]*Table8[[#This Row],[kt]]*Table8[[#This Row],[An]]*Table8[[#This Row],[fu]]</f>
        <v>3004155</v>
      </c>
      <c r="AU90" s="11">
        <f ca="1">MIN(Table8[[#This Row],[Nty]],Table8[[#This Row],[Ntu]])</f>
        <v>3004155</v>
      </c>
    </row>
    <row r="91" spans="2:47" x14ac:dyDescent="0.25">
      <c r="B91" s="15" t="str">
        <f>Table8[[#This Row],[Section]]&amp;"-"&amp;TEXT(Table8[[#This Row],[Grade]],"0")</f>
        <v>460UB74.6-300HR</v>
      </c>
      <c r="C91" s="3" t="s">
        <v>81</v>
      </c>
      <c r="D91" s="3" t="s">
        <v>106</v>
      </c>
      <c r="E91" s="3" t="s">
        <v>104</v>
      </c>
      <c r="F91" s="4">
        <v>74.599999999999994</v>
      </c>
      <c r="G91" s="3" t="s">
        <v>13</v>
      </c>
      <c r="H91" s="3" t="s">
        <v>105</v>
      </c>
      <c r="I91" s="5">
        <v>0.45700000000000002</v>
      </c>
      <c r="J91" s="5">
        <v>0.19</v>
      </c>
      <c r="K91" s="5">
        <v>1.4500000000000001E-2</v>
      </c>
      <c r="L91" s="5">
        <v>9.1000000000000004E-3</v>
      </c>
      <c r="M91" s="5">
        <v>1.14E-2</v>
      </c>
      <c r="N91" s="5">
        <v>0.42799999999999999</v>
      </c>
      <c r="O91" s="6">
        <v>47.032967032967029</v>
      </c>
      <c r="P91" s="6">
        <v>6.2379310344827585</v>
      </c>
      <c r="Q91" s="7">
        <v>9.5200000000000007E-3</v>
      </c>
      <c r="R91" s="8">
        <v>3.3500000000000001E-4</v>
      </c>
      <c r="S91" s="9">
        <v>1.4599999999999999E-3</v>
      </c>
      <c r="T91" s="9">
        <v>1.66E-3</v>
      </c>
      <c r="U91" s="5">
        <v>0.188</v>
      </c>
      <c r="V91" s="8">
        <v>1.66E-5</v>
      </c>
      <c r="W91" s="9">
        <v>1.75E-4</v>
      </c>
      <c r="X91" s="9">
        <v>2.7099999999999997E-4</v>
      </c>
      <c r="Y91" s="5">
        <v>0.188</v>
      </c>
      <c r="Z91" s="8">
        <v>5.3000000000000001E-7</v>
      </c>
      <c r="AA91" s="10">
        <v>8.1500000000000003E-7</v>
      </c>
      <c r="AB91" s="45">
        <v>0.85</v>
      </c>
      <c r="AC91" s="17">
        <f t="array" ref="AC91">INDEX(tbllkpSteelGrades[fy],MATCH(1,(Table8[[#This Row],[Grade]]=tbllkpSteelGrades[Grade])*(Table8[[#This Row],[tw]]&lt;=tbllkpSteelGrades[Thickness]),0))</f>
        <v>320000000</v>
      </c>
      <c r="AD91" s="17">
        <f t="array" ref="AD91">INDEX(tbllkpSteelGrades[fy],MATCH(1,(Table8[[#This Row],[Grade]]=tbllkpSteelGrades[Grade])*(Table8[[#This Row],[tf]]&lt;=tbllkpSteelGrades[Thickness]),0))</f>
        <v>300000000</v>
      </c>
      <c r="AE91" s="17">
        <f>MIN(Table8[[#This Row],[fy_web]],Table8[[#This Row],[fy_flange]])</f>
        <v>300000000</v>
      </c>
      <c r="AF91" s="17">
        <f t="array" ref="AF91">INDEX(tbllkpSteelGrades[fu],MATCH(1,(Table8[[#This Row],[Grade]]=tbllkpSteelGrades[Grade])*(Table8[[#This Row],[tw]]&lt;=tbllkpSteelGrades[Thickness]),0))</f>
        <v>440000000</v>
      </c>
      <c r="AG91" s="18">
        <f>IF(Table8[[#This Row],[Fabrication Type]]="Welded",Table8[[#This Row],[d1]],Table8[[#This Row],[d]])*Table8[[#This Row],[tw]]</f>
        <v>4.1587000000000004E-3</v>
      </c>
      <c r="AH91" s="11">
        <f>Table8[[#This Row],[Aw]]*Table8[[#This Row],[fy_web]]*0.6</f>
        <v>798470.40000000014</v>
      </c>
      <c r="AI91" s="35">
        <f>82/SQRT(Table8[[#This Row],[fy_web]]/250000000)</f>
        <v>72.478445071621124</v>
      </c>
      <c r="AJ9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91" s="38" t="str">
        <f>IF(Table8[[#This Row],[Fabrication Type]]="Welded",IF(Table8[[#This Row],[tw]]&gt;0.016,0.016*Table8[[#This Row],[fu]],Table8[[#This Row],[tw]]*Table8[[#This Row],[fu]]),"")</f>
        <v/>
      </c>
      <c r="AL91" s="13">
        <f>Table8[[#This Row],[d]]-Table8[[#This Row],[tf]]</f>
        <v>0.4425</v>
      </c>
      <c r="AM91" s="39">
        <f>Table8[[#This Row],[bf]]*Table8[[#This Row],[tf]]*(Table8[[#This Row],[df]]/2)</f>
        <v>6.0954374999999997E-4</v>
      </c>
      <c r="AN91" s="11" t="str">
        <f>IF(Table8[[#This Row],[Fabrication Type]]="Welded",Table8[[#This Row],[vw]]*Table8[[#This Row],[Ix]]/Table8[[#This Row],[Qflange]],"")</f>
        <v/>
      </c>
      <c r="AO91" s="11">
        <f>Table8[[#This Row],[tw]]*MIN(Table8[[#This Row],[fy_web]], Table8[[#This Row],[fy_flange]])*0.6*Table8[[#This Row],[Ix]]/Table8[[#This Row],[Qflange]]</f>
        <v>900230.70534313587</v>
      </c>
      <c r="AP91" s="50">
        <f ca="1">INDEX(tbllkpkt[kt],MATCH(RANDBETWEEN(1,4),tbllkpkt[Index],0))</f>
        <v>0.9</v>
      </c>
      <c r="AQ91" s="48">
        <f t="shared" ca="1" si="2"/>
        <v>0.97</v>
      </c>
      <c r="AR91" s="18">
        <f ca="1">Table8[[#This Row],[Ag]]*Table8[[#This Row],[Deduction_for_An]]</f>
        <v>9.2344000000000002E-3</v>
      </c>
      <c r="AS91" s="11">
        <f>Table8[[#This Row],[fy]]*Table8[[#This Row],[Ag]]</f>
        <v>2856000</v>
      </c>
      <c r="AT91" s="11">
        <f ca="1">Table8[[#This Row],[αu]]*Table8[[#This Row],[kt]]*Table8[[#This Row],[An]]*Table8[[#This Row],[fu]]</f>
        <v>3108299.04</v>
      </c>
      <c r="AU91" s="11">
        <f ca="1">MIN(Table8[[#This Row],[Nty]],Table8[[#This Row],[Ntu]])</f>
        <v>2856000</v>
      </c>
    </row>
    <row r="92" spans="2:47" x14ac:dyDescent="0.25">
      <c r="B92" s="15" t="str">
        <f>Table8[[#This Row],[Section]]&amp;"-"&amp;TEXT(Table8[[#This Row],[Grade]],"0")</f>
        <v>460UB67.1-300HR</v>
      </c>
      <c r="C92" s="3" t="s">
        <v>82</v>
      </c>
      <c r="D92" s="3" t="s">
        <v>106</v>
      </c>
      <c r="E92" s="3" t="s">
        <v>104</v>
      </c>
      <c r="F92" s="4">
        <v>67.099999999999994</v>
      </c>
      <c r="G92" s="3" t="s">
        <v>13</v>
      </c>
      <c r="H92" s="3" t="s">
        <v>105</v>
      </c>
      <c r="I92" s="5">
        <v>0.45400000000000001</v>
      </c>
      <c r="J92" s="5">
        <v>0.19</v>
      </c>
      <c r="K92" s="5">
        <v>1.2699999999999999E-2</v>
      </c>
      <c r="L92" s="5">
        <v>8.5000000000000006E-3</v>
      </c>
      <c r="M92" s="5">
        <v>1.14E-2</v>
      </c>
      <c r="N92" s="5">
        <v>0.42860000000000004</v>
      </c>
      <c r="O92" s="6">
        <v>50.423529411764704</v>
      </c>
      <c r="P92" s="6">
        <v>7.1456692913385824</v>
      </c>
      <c r="Q92" s="7">
        <v>8.5800000000000008E-3</v>
      </c>
      <c r="R92" s="8">
        <v>2.9599999999999998E-4</v>
      </c>
      <c r="S92" s="9">
        <v>1.2999999999999999E-3</v>
      </c>
      <c r="T92" s="9">
        <v>1.48E-3</v>
      </c>
      <c r="U92" s="5">
        <v>0.186</v>
      </c>
      <c r="V92" s="8">
        <v>1.45E-5</v>
      </c>
      <c r="W92" s="9">
        <v>1.5300000000000001E-4</v>
      </c>
      <c r="X92" s="9">
        <v>2.3800000000000001E-4</v>
      </c>
      <c r="Y92" s="5">
        <v>0.186</v>
      </c>
      <c r="Z92" s="8">
        <v>3.7800000000000002E-7</v>
      </c>
      <c r="AA92" s="10">
        <v>7.0800000000000004E-7</v>
      </c>
      <c r="AB92" s="45">
        <v>0.85</v>
      </c>
      <c r="AC92" s="17">
        <f t="array" ref="AC92">INDEX(tbllkpSteelGrades[fy],MATCH(1,(Table8[[#This Row],[Grade]]=tbllkpSteelGrades[Grade])*(Table8[[#This Row],[tw]]&lt;=tbllkpSteelGrades[Thickness]),0))</f>
        <v>320000000</v>
      </c>
      <c r="AD92" s="17">
        <f t="array" ref="AD92">INDEX(tbllkpSteelGrades[fy],MATCH(1,(Table8[[#This Row],[Grade]]=tbllkpSteelGrades[Grade])*(Table8[[#This Row],[tf]]&lt;=tbllkpSteelGrades[Thickness]),0))</f>
        <v>300000000</v>
      </c>
      <c r="AE92" s="17">
        <f>MIN(Table8[[#This Row],[fy_web]],Table8[[#This Row],[fy_flange]])</f>
        <v>300000000</v>
      </c>
      <c r="AF92" s="17">
        <f t="array" ref="AF92">INDEX(tbllkpSteelGrades[fu],MATCH(1,(Table8[[#This Row],[Grade]]=tbllkpSteelGrades[Grade])*(Table8[[#This Row],[tw]]&lt;=tbllkpSteelGrades[Thickness]),0))</f>
        <v>440000000</v>
      </c>
      <c r="AG92" s="18">
        <f>IF(Table8[[#This Row],[Fabrication Type]]="Welded",Table8[[#This Row],[d1]],Table8[[#This Row],[d]])*Table8[[#This Row],[tw]]</f>
        <v>3.8590000000000005E-3</v>
      </c>
      <c r="AH92" s="11">
        <f>Table8[[#This Row],[Aw]]*Table8[[#This Row],[fy_web]]*0.6</f>
        <v>740928.00000000012</v>
      </c>
      <c r="AI92" s="35">
        <f>82/SQRT(Table8[[#This Row],[fy_web]]/250000000)</f>
        <v>72.478445071621124</v>
      </c>
      <c r="AJ9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92" s="38" t="str">
        <f>IF(Table8[[#This Row],[Fabrication Type]]="Welded",IF(Table8[[#This Row],[tw]]&gt;0.016,0.016*Table8[[#This Row],[fu]],Table8[[#This Row],[tw]]*Table8[[#This Row],[fu]]),"")</f>
        <v/>
      </c>
      <c r="AL92" s="13">
        <f>Table8[[#This Row],[d]]-Table8[[#This Row],[tf]]</f>
        <v>0.44130000000000003</v>
      </c>
      <c r="AM92" s="39">
        <f>Table8[[#This Row],[bf]]*Table8[[#This Row],[tf]]*(Table8[[#This Row],[df]]/2)</f>
        <v>5.3242844999999998E-4</v>
      </c>
      <c r="AN92" s="11" t="str">
        <f>IF(Table8[[#This Row],[Fabrication Type]]="Welded",Table8[[#This Row],[vw]]*Table8[[#This Row],[Ix]]/Table8[[#This Row],[Qflange]],"")</f>
        <v/>
      </c>
      <c r="AO92" s="11">
        <f>Table8[[#This Row],[tw]]*MIN(Table8[[#This Row],[fy_web]], Table8[[#This Row],[fy_flange]])*0.6*Table8[[#This Row],[Ix]]/Table8[[#This Row],[Qflange]]</f>
        <v>850593.1642082613</v>
      </c>
      <c r="AP92" s="50">
        <f ca="1">INDEX(tbllkpkt[kt],MATCH(RANDBETWEEN(1,4),tbllkpkt[Index],0))</f>
        <v>1</v>
      </c>
      <c r="AQ92" s="48">
        <f t="shared" ca="1" si="2"/>
        <v>0.95</v>
      </c>
      <c r="AR92" s="18">
        <f ca="1">Table8[[#This Row],[Ag]]*Table8[[#This Row],[Deduction_for_An]]</f>
        <v>8.1510000000000003E-3</v>
      </c>
      <c r="AS92" s="11">
        <f>Table8[[#This Row],[fy]]*Table8[[#This Row],[Ag]]</f>
        <v>2574000.0000000005</v>
      </c>
      <c r="AT92" s="11">
        <f ca="1">Table8[[#This Row],[αu]]*Table8[[#This Row],[kt]]*Table8[[#This Row],[An]]*Table8[[#This Row],[fu]]</f>
        <v>3048474</v>
      </c>
      <c r="AU92" s="11">
        <f ca="1">MIN(Table8[[#This Row],[Nty]],Table8[[#This Row],[Ntu]])</f>
        <v>2574000.0000000005</v>
      </c>
    </row>
    <row r="93" spans="2:47" x14ac:dyDescent="0.25">
      <c r="B93" s="15" t="str">
        <f>Table8[[#This Row],[Section]]&amp;"-"&amp;TEXT(Table8[[#This Row],[Grade]],"0")</f>
        <v>410UB59.7-300HR</v>
      </c>
      <c r="C93" s="3" t="s">
        <v>83</v>
      </c>
      <c r="D93" s="3" t="s">
        <v>106</v>
      </c>
      <c r="E93" s="3" t="s">
        <v>104</v>
      </c>
      <c r="F93" s="4">
        <v>59.7</v>
      </c>
      <c r="G93" s="3" t="s">
        <v>13</v>
      </c>
      <c r="H93" s="3" t="s">
        <v>105</v>
      </c>
      <c r="I93" s="5">
        <v>0.40600000000000003</v>
      </c>
      <c r="J93" s="5">
        <v>0.17799999999999999</v>
      </c>
      <c r="K93" s="5">
        <v>1.2800000000000001E-2</v>
      </c>
      <c r="L93" s="5">
        <v>7.7999999999999996E-3</v>
      </c>
      <c r="M93" s="5">
        <v>1.14E-2</v>
      </c>
      <c r="N93" s="5">
        <v>0.38040000000000002</v>
      </c>
      <c r="O93" s="6">
        <v>48.769230769230774</v>
      </c>
      <c r="P93" s="6">
        <v>6.6484374999999991</v>
      </c>
      <c r="Q93" s="7">
        <v>7.6400000000000001E-3</v>
      </c>
      <c r="R93" s="8">
        <v>2.1599999999999999E-4</v>
      </c>
      <c r="S93" s="9">
        <v>1.06E-3</v>
      </c>
      <c r="T93" s="9">
        <v>1.1999999999999999E-3</v>
      </c>
      <c r="U93" s="5">
        <v>0.16800000000000001</v>
      </c>
      <c r="V93" s="8">
        <v>1.2099999999999999E-5</v>
      </c>
      <c r="W93" s="9">
        <v>1.35E-4</v>
      </c>
      <c r="X93" s="9">
        <v>2.0900000000000001E-4</v>
      </c>
      <c r="Y93" s="5">
        <v>0.16800000000000001</v>
      </c>
      <c r="Z93" s="8">
        <v>3.3700000000000001E-7</v>
      </c>
      <c r="AA93" s="10">
        <v>4.6699999999999999E-7</v>
      </c>
      <c r="AB93" s="45">
        <v>0.85</v>
      </c>
      <c r="AC93" s="17">
        <f t="array" ref="AC93">INDEX(tbllkpSteelGrades[fy],MATCH(1,(Table8[[#This Row],[Grade]]=tbllkpSteelGrades[Grade])*(Table8[[#This Row],[tw]]&lt;=tbllkpSteelGrades[Thickness]),0))</f>
        <v>320000000</v>
      </c>
      <c r="AD93" s="17">
        <f t="array" ref="AD93">INDEX(tbllkpSteelGrades[fy],MATCH(1,(Table8[[#This Row],[Grade]]=tbllkpSteelGrades[Grade])*(Table8[[#This Row],[tf]]&lt;=tbllkpSteelGrades[Thickness]),0))</f>
        <v>300000000</v>
      </c>
      <c r="AE93" s="17">
        <f>MIN(Table8[[#This Row],[fy_web]],Table8[[#This Row],[fy_flange]])</f>
        <v>300000000</v>
      </c>
      <c r="AF93" s="17">
        <f t="array" ref="AF93">INDEX(tbllkpSteelGrades[fu],MATCH(1,(Table8[[#This Row],[Grade]]=tbllkpSteelGrades[Grade])*(Table8[[#This Row],[tw]]&lt;=tbllkpSteelGrades[Thickness]),0))</f>
        <v>440000000</v>
      </c>
      <c r="AG93" s="18">
        <f>IF(Table8[[#This Row],[Fabrication Type]]="Welded",Table8[[#This Row],[d1]],Table8[[#This Row],[d]])*Table8[[#This Row],[tw]]</f>
        <v>3.1668E-3</v>
      </c>
      <c r="AH93" s="11">
        <f>Table8[[#This Row],[Aw]]*Table8[[#This Row],[fy_web]]*0.6</f>
        <v>608025.59999999998</v>
      </c>
      <c r="AI93" s="35">
        <f>82/SQRT(Table8[[#This Row],[fy_web]]/250000000)</f>
        <v>72.478445071621124</v>
      </c>
      <c r="AJ9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93" s="38" t="str">
        <f>IF(Table8[[#This Row],[Fabrication Type]]="Welded",IF(Table8[[#This Row],[tw]]&gt;0.016,0.016*Table8[[#This Row],[fu]],Table8[[#This Row],[tw]]*Table8[[#This Row],[fu]]),"")</f>
        <v/>
      </c>
      <c r="AL93" s="13">
        <f>Table8[[#This Row],[d]]-Table8[[#This Row],[tf]]</f>
        <v>0.39320000000000005</v>
      </c>
      <c r="AM93" s="39">
        <f>Table8[[#This Row],[bf]]*Table8[[#This Row],[tf]]*(Table8[[#This Row],[df]]/2)</f>
        <v>4.4793344000000005E-4</v>
      </c>
      <c r="AN93" s="11" t="str">
        <f>IF(Table8[[#This Row],[Fabrication Type]]="Welded",Table8[[#This Row],[vw]]*Table8[[#This Row],[Ix]]/Table8[[#This Row],[Qflange]],"")</f>
        <v/>
      </c>
      <c r="AO93" s="11">
        <f>Table8[[#This Row],[tw]]*MIN(Table8[[#This Row],[fy_web]], Table8[[#This Row],[fy_flange]])*0.6*Table8[[#This Row],[Ix]]/Table8[[#This Row],[Qflange]]</f>
        <v>677029.15861785179</v>
      </c>
      <c r="AP93" s="50">
        <f ca="1">INDEX(tbllkpkt[kt],MATCH(RANDBETWEEN(1,4),tbllkpkt[Index],0))</f>
        <v>0.75</v>
      </c>
      <c r="AQ93" s="48">
        <f t="shared" ca="1" si="2"/>
        <v>0.98</v>
      </c>
      <c r="AR93" s="18">
        <f ca="1">Table8[[#This Row],[Ag]]*Table8[[#This Row],[Deduction_for_An]]</f>
        <v>7.4872000000000003E-3</v>
      </c>
      <c r="AS93" s="11">
        <f>Table8[[#This Row],[fy]]*Table8[[#This Row],[Ag]]</f>
        <v>2292000</v>
      </c>
      <c r="AT93" s="11">
        <f ca="1">Table8[[#This Row],[αu]]*Table8[[#This Row],[kt]]*Table8[[#This Row],[An]]*Table8[[#This Row],[fu]]</f>
        <v>2100159.6</v>
      </c>
      <c r="AU93" s="11">
        <f ca="1">MIN(Table8[[#This Row],[Nty]],Table8[[#This Row],[Ntu]])</f>
        <v>2100159.6</v>
      </c>
    </row>
    <row r="94" spans="2:47" x14ac:dyDescent="0.25">
      <c r="B94" s="15" t="str">
        <f>Table8[[#This Row],[Section]]&amp;"-"&amp;TEXT(Table8[[#This Row],[Grade]],"0")</f>
        <v>410UB53.7-300HR</v>
      </c>
      <c r="C94" s="3" t="s">
        <v>84</v>
      </c>
      <c r="D94" s="3" t="s">
        <v>106</v>
      </c>
      <c r="E94" s="3" t="s">
        <v>104</v>
      </c>
      <c r="F94" s="4">
        <v>53.7</v>
      </c>
      <c r="G94" s="3" t="s">
        <v>13</v>
      </c>
      <c r="H94" s="3" t="s">
        <v>105</v>
      </c>
      <c r="I94" s="5">
        <v>0.40300000000000002</v>
      </c>
      <c r="J94" s="5">
        <v>0.17799999999999999</v>
      </c>
      <c r="K94" s="5">
        <v>1.09E-2</v>
      </c>
      <c r="L94" s="5">
        <v>7.6E-3</v>
      </c>
      <c r="M94" s="5">
        <v>1.14E-2</v>
      </c>
      <c r="N94" s="5">
        <v>0.38120000000000004</v>
      </c>
      <c r="O94" s="6">
        <v>50.15789473684211</v>
      </c>
      <c r="P94" s="6">
        <v>7.8165137614678901</v>
      </c>
      <c r="Q94" s="7">
        <v>6.8900000000000003E-3</v>
      </c>
      <c r="R94" s="8">
        <v>1.8799999999999999E-4</v>
      </c>
      <c r="S94" s="9">
        <v>9.3300000000000002E-4</v>
      </c>
      <c r="T94" s="9">
        <v>1.06E-3</v>
      </c>
      <c r="U94" s="5">
        <v>0.16500000000000001</v>
      </c>
      <c r="V94" s="8">
        <v>1.03E-5</v>
      </c>
      <c r="W94" s="9">
        <v>1.15E-4</v>
      </c>
      <c r="X94" s="9">
        <v>1.7899999999999999E-4</v>
      </c>
      <c r="Y94" s="5">
        <v>0.16500000000000001</v>
      </c>
      <c r="Z94" s="8">
        <v>2.34E-7</v>
      </c>
      <c r="AA94" s="10">
        <v>3.9400000000000001E-7</v>
      </c>
      <c r="AB94" s="45">
        <v>0.85</v>
      </c>
      <c r="AC94" s="17">
        <f t="array" ref="AC94">INDEX(tbllkpSteelGrades[fy],MATCH(1,(Table8[[#This Row],[Grade]]=tbllkpSteelGrades[Grade])*(Table8[[#This Row],[tw]]&lt;=tbllkpSteelGrades[Thickness]),0))</f>
        <v>320000000</v>
      </c>
      <c r="AD94" s="17">
        <f t="array" ref="AD94">INDEX(tbllkpSteelGrades[fy],MATCH(1,(Table8[[#This Row],[Grade]]=tbllkpSteelGrades[Grade])*(Table8[[#This Row],[tf]]&lt;=tbllkpSteelGrades[Thickness]),0))</f>
        <v>320000000</v>
      </c>
      <c r="AE94" s="17">
        <f>MIN(Table8[[#This Row],[fy_web]],Table8[[#This Row],[fy_flange]])</f>
        <v>320000000</v>
      </c>
      <c r="AF94" s="17">
        <f t="array" ref="AF94">INDEX(tbllkpSteelGrades[fu],MATCH(1,(Table8[[#This Row],[Grade]]=tbllkpSteelGrades[Grade])*(Table8[[#This Row],[tw]]&lt;=tbllkpSteelGrades[Thickness]),0))</f>
        <v>440000000</v>
      </c>
      <c r="AG94" s="18">
        <f>IF(Table8[[#This Row],[Fabrication Type]]="Welded",Table8[[#This Row],[d1]],Table8[[#This Row],[d]])*Table8[[#This Row],[tw]]</f>
        <v>3.0628000000000001E-3</v>
      </c>
      <c r="AH94" s="11">
        <f>Table8[[#This Row],[Aw]]*Table8[[#This Row],[fy_web]]*0.6</f>
        <v>588057.59999999998</v>
      </c>
      <c r="AI94" s="35">
        <f>82/SQRT(Table8[[#This Row],[fy_web]]/250000000)</f>
        <v>72.478445071621124</v>
      </c>
      <c r="AJ9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94" s="38" t="str">
        <f>IF(Table8[[#This Row],[Fabrication Type]]="Welded",IF(Table8[[#This Row],[tw]]&gt;0.016,0.016*Table8[[#This Row],[fu]],Table8[[#This Row],[tw]]*Table8[[#This Row],[fu]]),"")</f>
        <v/>
      </c>
      <c r="AL94" s="13">
        <f>Table8[[#This Row],[d]]-Table8[[#This Row],[tf]]</f>
        <v>0.3921</v>
      </c>
      <c r="AM94" s="39">
        <f>Table8[[#This Row],[bf]]*Table8[[#This Row],[tf]]*(Table8[[#This Row],[df]]/2)</f>
        <v>3.8037621000000001E-4</v>
      </c>
      <c r="AN94" s="11" t="str">
        <f>IF(Table8[[#This Row],[Fabrication Type]]="Welded",Table8[[#This Row],[vw]]*Table8[[#This Row],[Ix]]/Table8[[#This Row],[Qflange]],"")</f>
        <v/>
      </c>
      <c r="AO94" s="11">
        <f>Table8[[#This Row],[tw]]*MIN(Table8[[#This Row],[fy_web]], Table8[[#This Row],[fy_flange]])*0.6*Table8[[#This Row],[Ix]]/Table8[[#This Row],[Qflange]]</f>
        <v>721205.98709367227</v>
      </c>
      <c r="AP94" s="50">
        <f ca="1">INDEX(tbllkpkt[kt],MATCH(RANDBETWEEN(1,4),tbllkpkt[Index],0))</f>
        <v>0.85</v>
      </c>
      <c r="AQ94" s="48">
        <f t="shared" ca="1" si="2"/>
        <v>0.94</v>
      </c>
      <c r="AR94" s="18">
        <f ca="1">Table8[[#This Row],[Ag]]*Table8[[#This Row],[Deduction_for_An]]</f>
        <v>6.4765999999999999E-3</v>
      </c>
      <c r="AS94" s="11">
        <f>Table8[[#This Row],[fy]]*Table8[[#This Row],[Ag]]</f>
        <v>2204800</v>
      </c>
      <c r="AT94" s="11">
        <f ca="1">Table8[[#This Row],[αu]]*Table8[[#This Row],[kt]]*Table8[[#This Row],[An]]*Table8[[#This Row],[fu]]</f>
        <v>2058911.14</v>
      </c>
      <c r="AU94" s="11">
        <f ca="1">MIN(Table8[[#This Row],[Nty]],Table8[[#This Row],[Ntu]])</f>
        <v>2058911.14</v>
      </c>
    </row>
    <row r="95" spans="2:47" x14ac:dyDescent="0.25">
      <c r="B95" s="15" t="str">
        <f>Table8[[#This Row],[Section]]&amp;"-"&amp;TEXT(Table8[[#This Row],[Grade]],"0")</f>
        <v>360UB56.7-300HR</v>
      </c>
      <c r="C95" s="3" t="s">
        <v>85</v>
      </c>
      <c r="D95" s="3" t="s">
        <v>106</v>
      </c>
      <c r="E95" s="3" t="s">
        <v>104</v>
      </c>
      <c r="F95" s="4">
        <v>56.7</v>
      </c>
      <c r="G95" s="3" t="s">
        <v>13</v>
      </c>
      <c r="H95" s="3" t="s">
        <v>105</v>
      </c>
      <c r="I95" s="5">
        <v>0.35899999999999999</v>
      </c>
      <c r="J95" s="5">
        <v>0.17199999999999999</v>
      </c>
      <c r="K95" s="5">
        <v>1.2999999999999999E-2</v>
      </c>
      <c r="L95" s="5">
        <v>8.0000000000000002E-3</v>
      </c>
      <c r="M95" s="5">
        <v>1.14E-2</v>
      </c>
      <c r="N95" s="5">
        <v>0.33299999999999996</v>
      </c>
      <c r="O95" s="6">
        <v>41.624999999999993</v>
      </c>
      <c r="P95" s="6">
        <v>6.3076923076923075</v>
      </c>
      <c r="Q95" s="7">
        <v>7.2399999999999999E-3</v>
      </c>
      <c r="R95" s="8">
        <v>1.6100000000000001E-4</v>
      </c>
      <c r="S95" s="9">
        <v>8.9899999999999995E-4</v>
      </c>
      <c r="T95" s="9">
        <v>1.01E-3</v>
      </c>
      <c r="U95" s="5">
        <v>0.14899999999999999</v>
      </c>
      <c r="V95" s="8">
        <v>1.1E-5</v>
      </c>
      <c r="W95" s="9">
        <v>1.2799999999999999E-4</v>
      </c>
      <c r="X95" s="9">
        <v>1.9799999999999999E-4</v>
      </c>
      <c r="Y95" s="5">
        <v>0.14899999999999999</v>
      </c>
      <c r="Z95" s="8">
        <v>3.3799999999999998E-7</v>
      </c>
      <c r="AA95" s="10">
        <v>3.3000000000000002E-7</v>
      </c>
      <c r="AB95" s="45">
        <v>0.85</v>
      </c>
      <c r="AC95" s="17">
        <f t="array" ref="AC95">INDEX(tbllkpSteelGrades[fy],MATCH(1,(Table8[[#This Row],[Grade]]=tbllkpSteelGrades[Grade])*(Table8[[#This Row],[tw]]&lt;=tbllkpSteelGrades[Thickness]),0))</f>
        <v>320000000</v>
      </c>
      <c r="AD95" s="17">
        <f t="array" ref="AD95">INDEX(tbllkpSteelGrades[fy],MATCH(1,(Table8[[#This Row],[Grade]]=tbllkpSteelGrades[Grade])*(Table8[[#This Row],[tf]]&lt;=tbllkpSteelGrades[Thickness]),0))</f>
        <v>300000000</v>
      </c>
      <c r="AE95" s="17">
        <f>MIN(Table8[[#This Row],[fy_web]],Table8[[#This Row],[fy_flange]])</f>
        <v>300000000</v>
      </c>
      <c r="AF95" s="17">
        <f t="array" ref="AF95">INDEX(tbllkpSteelGrades[fu],MATCH(1,(Table8[[#This Row],[Grade]]=tbllkpSteelGrades[Grade])*(Table8[[#This Row],[tw]]&lt;=tbllkpSteelGrades[Thickness]),0))</f>
        <v>440000000</v>
      </c>
      <c r="AG95" s="18">
        <f>IF(Table8[[#This Row],[Fabrication Type]]="Welded",Table8[[#This Row],[d1]],Table8[[#This Row],[d]])*Table8[[#This Row],[tw]]</f>
        <v>2.872E-3</v>
      </c>
      <c r="AH95" s="11">
        <f>Table8[[#This Row],[Aw]]*Table8[[#This Row],[fy_web]]*0.6</f>
        <v>551424</v>
      </c>
      <c r="AI95" s="35">
        <f>82/SQRT(Table8[[#This Row],[fy_web]]/250000000)</f>
        <v>72.478445071621124</v>
      </c>
      <c r="AJ9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95" s="38" t="str">
        <f>IF(Table8[[#This Row],[Fabrication Type]]="Welded",IF(Table8[[#This Row],[tw]]&gt;0.016,0.016*Table8[[#This Row],[fu]],Table8[[#This Row],[tw]]*Table8[[#This Row],[fu]]),"")</f>
        <v/>
      </c>
      <c r="AL95" s="13">
        <f>Table8[[#This Row],[d]]-Table8[[#This Row],[tf]]</f>
        <v>0.34599999999999997</v>
      </c>
      <c r="AM95" s="39">
        <f>Table8[[#This Row],[bf]]*Table8[[#This Row],[tf]]*(Table8[[#This Row],[df]]/2)</f>
        <v>3.8682799999999992E-4</v>
      </c>
      <c r="AN95" s="11" t="str">
        <f>IF(Table8[[#This Row],[Fabrication Type]]="Welded",Table8[[#This Row],[vw]]*Table8[[#This Row],[Ix]]/Table8[[#This Row],[Qflange]],"")</f>
        <v/>
      </c>
      <c r="AO95" s="11">
        <f>Table8[[#This Row],[tw]]*MIN(Table8[[#This Row],[fy_web]], Table8[[#This Row],[fy_flange]])*0.6*Table8[[#This Row],[Ix]]/Table8[[#This Row],[Qflange]]</f>
        <v>599336.13905922021</v>
      </c>
      <c r="AP95" s="50">
        <f ca="1">INDEX(tbllkpkt[kt],MATCH(RANDBETWEEN(1,4),tbllkpkt[Index],0))</f>
        <v>0.9</v>
      </c>
      <c r="AQ95" s="48">
        <f t="shared" ca="1" si="2"/>
        <v>0.95</v>
      </c>
      <c r="AR95" s="18">
        <f ca="1">Table8[[#This Row],[Ag]]*Table8[[#This Row],[Deduction_for_An]]</f>
        <v>6.8779999999999996E-3</v>
      </c>
      <c r="AS95" s="11">
        <f>Table8[[#This Row],[fy]]*Table8[[#This Row],[Ag]]</f>
        <v>2172000</v>
      </c>
      <c r="AT95" s="11">
        <f ca="1">Table8[[#This Row],[αu]]*Table8[[#This Row],[kt]]*Table8[[#This Row],[An]]*Table8[[#This Row],[fu]]</f>
        <v>2315134.7999999998</v>
      </c>
      <c r="AU95" s="11">
        <f ca="1">MIN(Table8[[#This Row],[Nty]],Table8[[#This Row],[Ntu]])</f>
        <v>2172000</v>
      </c>
    </row>
    <row r="96" spans="2:47" x14ac:dyDescent="0.25">
      <c r="B96" s="15" t="str">
        <f>Table8[[#This Row],[Section]]&amp;"-"&amp;TEXT(Table8[[#This Row],[Grade]],"0")</f>
        <v>360UB50.7-300HR</v>
      </c>
      <c r="C96" s="3" t="s">
        <v>86</v>
      </c>
      <c r="D96" s="3" t="s">
        <v>106</v>
      </c>
      <c r="E96" s="3" t="s">
        <v>104</v>
      </c>
      <c r="F96" s="4">
        <v>50.7</v>
      </c>
      <c r="G96" s="3" t="s">
        <v>13</v>
      </c>
      <c r="H96" s="3" t="s">
        <v>105</v>
      </c>
      <c r="I96" s="5">
        <v>0.35599999999999998</v>
      </c>
      <c r="J96" s="5">
        <v>0.17100000000000001</v>
      </c>
      <c r="K96" s="5">
        <v>1.15E-2</v>
      </c>
      <c r="L96" s="5">
        <v>7.3000000000000001E-3</v>
      </c>
      <c r="M96" s="5">
        <v>1.14E-2</v>
      </c>
      <c r="N96" s="5">
        <v>0.33299999999999996</v>
      </c>
      <c r="O96" s="6">
        <v>45.61643835616438</v>
      </c>
      <c r="P96" s="6">
        <v>7.1173913043478265</v>
      </c>
      <c r="Q96" s="7">
        <v>6.4700000000000001E-3</v>
      </c>
      <c r="R96" s="8">
        <v>1.4200000000000001E-4</v>
      </c>
      <c r="S96" s="9">
        <v>7.9799999999999999E-4</v>
      </c>
      <c r="T96" s="9">
        <v>8.9700000000000001E-4</v>
      </c>
      <c r="U96" s="5">
        <v>0.14799999999999999</v>
      </c>
      <c r="V96" s="8">
        <v>9.5999999999999996E-6</v>
      </c>
      <c r="W96" s="9">
        <v>1.12E-4</v>
      </c>
      <c r="X96" s="9">
        <v>1.73E-4</v>
      </c>
      <c r="Y96" s="5">
        <v>0.14799999999999999</v>
      </c>
      <c r="Z96" s="8">
        <v>2.41E-7</v>
      </c>
      <c r="AA96" s="10">
        <v>2.84E-7</v>
      </c>
      <c r="AB96" s="45">
        <v>0.85</v>
      </c>
      <c r="AC96" s="17">
        <f t="array" ref="AC96">INDEX(tbllkpSteelGrades[fy],MATCH(1,(Table8[[#This Row],[Grade]]=tbllkpSteelGrades[Grade])*(Table8[[#This Row],[tw]]&lt;=tbllkpSteelGrades[Thickness]),0))</f>
        <v>320000000</v>
      </c>
      <c r="AD96" s="17">
        <f t="array" ref="AD96">INDEX(tbllkpSteelGrades[fy],MATCH(1,(Table8[[#This Row],[Grade]]=tbllkpSteelGrades[Grade])*(Table8[[#This Row],[tf]]&lt;=tbllkpSteelGrades[Thickness]),0))</f>
        <v>300000000</v>
      </c>
      <c r="AE96" s="17">
        <f>MIN(Table8[[#This Row],[fy_web]],Table8[[#This Row],[fy_flange]])</f>
        <v>300000000</v>
      </c>
      <c r="AF96" s="17">
        <f t="array" ref="AF96">INDEX(tbllkpSteelGrades[fu],MATCH(1,(Table8[[#This Row],[Grade]]=tbllkpSteelGrades[Grade])*(Table8[[#This Row],[tw]]&lt;=tbllkpSteelGrades[Thickness]),0))</f>
        <v>440000000</v>
      </c>
      <c r="AG96" s="18">
        <f>IF(Table8[[#This Row],[Fabrication Type]]="Welded",Table8[[#This Row],[d1]],Table8[[#This Row],[d]])*Table8[[#This Row],[tw]]</f>
        <v>2.5988000000000001E-3</v>
      </c>
      <c r="AH96" s="11">
        <f>Table8[[#This Row],[Aw]]*Table8[[#This Row],[fy_web]]*0.6</f>
        <v>498969.59999999998</v>
      </c>
      <c r="AI96" s="35">
        <f>82/SQRT(Table8[[#This Row],[fy_web]]/250000000)</f>
        <v>72.478445071621124</v>
      </c>
      <c r="AJ9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96" s="38" t="str">
        <f>IF(Table8[[#This Row],[Fabrication Type]]="Welded",IF(Table8[[#This Row],[tw]]&gt;0.016,0.016*Table8[[#This Row],[fu]],Table8[[#This Row],[tw]]*Table8[[#This Row],[fu]]),"")</f>
        <v/>
      </c>
      <c r="AL96" s="13">
        <f>Table8[[#This Row],[d]]-Table8[[#This Row],[tf]]</f>
        <v>0.34449999999999997</v>
      </c>
      <c r="AM96" s="39">
        <f>Table8[[#This Row],[bf]]*Table8[[#This Row],[tf]]*(Table8[[#This Row],[df]]/2)</f>
        <v>3.3872962499999996E-4</v>
      </c>
      <c r="AN96" s="11" t="str">
        <f>IF(Table8[[#This Row],[Fabrication Type]]="Welded",Table8[[#This Row],[vw]]*Table8[[#This Row],[Ix]]/Table8[[#This Row],[Qflange]],"")</f>
        <v/>
      </c>
      <c r="AO96" s="11">
        <f>Table8[[#This Row],[tw]]*MIN(Table8[[#This Row],[fy_web]], Table8[[#This Row],[fy_flange]])*0.6*Table8[[#This Row],[Ix]]/Table8[[#This Row],[Qflange]]</f>
        <v>550846.41622355895</v>
      </c>
      <c r="AP96" s="50">
        <f ca="1">INDEX(tbllkpkt[kt],MATCH(RANDBETWEEN(1,4),tbllkpkt[Index],0))</f>
        <v>0.75</v>
      </c>
      <c r="AQ96" s="48">
        <f t="shared" ca="1" si="2"/>
        <v>0.91</v>
      </c>
      <c r="AR96" s="18">
        <f ca="1">Table8[[#This Row],[Ag]]*Table8[[#This Row],[Deduction_for_An]]</f>
        <v>5.8877000000000001E-3</v>
      </c>
      <c r="AS96" s="11">
        <f>Table8[[#This Row],[fy]]*Table8[[#This Row],[Ag]]</f>
        <v>1941000</v>
      </c>
      <c r="AT96" s="11">
        <f ca="1">Table8[[#This Row],[αu]]*Table8[[#This Row],[kt]]*Table8[[#This Row],[An]]*Table8[[#This Row],[fu]]</f>
        <v>1651499.8499999999</v>
      </c>
      <c r="AU96" s="11">
        <f ca="1">MIN(Table8[[#This Row],[Nty]],Table8[[#This Row],[Ntu]])</f>
        <v>1651499.8499999999</v>
      </c>
    </row>
    <row r="97" spans="2:47" x14ac:dyDescent="0.25">
      <c r="B97" s="15" t="str">
        <f>Table8[[#This Row],[Section]]&amp;"-"&amp;TEXT(Table8[[#This Row],[Grade]],"0")</f>
        <v>360UB44.7-300HR</v>
      </c>
      <c r="C97" s="3" t="s">
        <v>87</v>
      </c>
      <c r="D97" s="3" t="s">
        <v>106</v>
      </c>
      <c r="E97" s="3" t="s">
        <v>104</v>
      </c>
      <c r="F97" s="4">
        <v>44.7</v>
      </c>
      <c r="G97" s="3" t="s">
        <v>13</v>
      </c>
      <c r="H97" s="3" t="s">
        <v>105</v>
      </c>
      <c r="I97" s="5">
        <v>0.35199999999999998</v>
      </c>
      <c r="J97" s="5">
        <v>0.17100000000000001</v>
      </c>
      <c r="K97" s="5">
        <v>9.6999999999999986E-3</v>
      </c>
      <c r="L97" s="5">
        <v>6.9000000000000008E-3</v>
      </c>
      <c r="M97" s="5">
        <v>1.14E-2</v>
      </c>
      <c r="N97" s="5">
        <v>0.33260000000000001</v>
      </c>
      <c r="O97" s="6">
        <v>48.202898550724633</v>
      </c>
      <c r="P97" s="6">
        <v>8.4587628865979401</v>
      </c>
      <c r="Q97" s="7">
        <v>5.7200000000000003E-3</v>
      </c>
      <c r="R97" s="8">
        <v>1.21E-4</v>
      </c>
      <c r="S97" s="9">
        <v>6.8900000000000005E-4</v>
      </c>
      <c r="T97" s="9">
        <v>7.7700000000000002E-4</v>
      </c>
      <c r="U97" s="5">
        <v>0.14599999999999999</v>
      </c>
      <c r="V97" s="8">
        <v>8.1000000000000004E-6</v>
      </c>
      <c r="W97" s="9">
        <v>9.4699999999999998E-5</v>
      </c>
      <c r="X97" s="9">
        <v>1.46E-4</v>
      </c>
      <c r="Y97" s="5">
        <v>0.14599999999999999</v>
      </c>
      <c r="Z97" s="8">
        <v>1.61E-7</v>
      </c>
      <c r="AA97" s="10">
        <v>2.3699999999999999E-7</v>
      </c>
      <c r="AB97" s="45">
        <v>0.85</v>
      </c>
      <c r="AC97" s="17">
        <f t="array" ref="AC97">INDEX(tbllkpSteelGrades[fy],MATCH(1,(Table8[[#This Row],[Grade]]=tbllkpSteelGrades[Grade])*(Table8[[#This Row],[tw]]&lt;=tbllkpSteelGrades[Thickness]),0))</f>
        <v>320000000</v>
      </c>
      <c r="AD97" s="17">
        <f t="array" ref="AD97">INDEX(tbllkpSteelGrades[fy],MATCH(1,(Table8[[#This Row],[Grade]]=tbllkpSteelGrades[Grade])*(Table8[[#This Row],[tf]]&lt;=tbllkpSteelGrades[Thickness]),0))</f>
        <v>320000000</v>
      </c>
      <c r="AE97" s="17">
        <f>MIN(Table8[[#This Row],[fy_web]],Table8[[#This Row],[fy_flange]])</f>
        <v>320000000</v>
      </c>
      <c r="AF97" s="17">
        <f t="array" ref="AF97">INDEX(tbllkpSteelGrades[fu],MATCH(1,(Table8[[#This Row],[Grade]]=tbllkpSteelGrades[Grade])*(Table8[[#This Row],[tw]]&lt;=tbllkpSteelGrades[Thickness]),0))</f>
        <v>440000000</v>
      </c>
      <c r="AG97" s="18">
        <f>IF(Table8[[#This Row],[Fabrication Type]]="Welded",Table8[[#This Row],[d1]],Table8[[#This Row],[d]])*Table8[[#This Row],[tw]]</f>
        <v>2.4288000000000001E-3</v>
      </c>
      <c r="AH97" s="11">
        <f>Table8[[#This Row],[Aw]]*Table8[[#This Row],[fy_web]]*0.6</f>
        <v>466329.59999999998</v>
      </c>
      <c r="AI97" s="35">
        <f>82/SQRT(Table8[[#This Row],[fy_web]]/250000000)</f>
        <v>72.478445071621124</v>
      </c>
      <c r="AJ9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97" s="38" t="str">
        <f>IF(Table8[[#This Row],[Fabrication Type]]="Welded",IF(Table8[[#This Row],[tw]]&gt;0.016,0.016*Table8[[#This Row],[fu]],Table8[[#This Row],[tw]]*Table8[[#This Row],[fu]]),"")</f>
        <v/>
      </c>
      <c r="AL97" s="13">
        <f>Table8[[#This Row],[d]]-Table8[[#This Row],[tf]]</f>
        <v>0.34229999999999999</v>
      </c>
      <c r="AM97" s="39">
        <f>Table8[[#This Row],[bf]]*Table8[[#This Row],[tf]]*(Table8[[#This Row],[df]]/2)</f>
        <v>2.83886505E-4</v>
      </c>
      <c r="AN97" s="11" t="str">
        <f>IF(Table8[[#This Row],[Fabrication Type]]="Welded",Table8[[#This Row],[vw]]*Table8[[#This Row],[Ix]]/Table8[[#This Row],[Qflange]],"")</f>
        <v/>
      </c>
      <c r="AO97" s="11">
        <f>Table8[[#This Row],[tw]]*MIN(Table8[[#This Row],[fy_web]], Table8[[#This Row],[fy_flange]])*0.6*Table8[[#This Row],[Ix]]/Table8[[#This Row],[Qflange]]</f>
        <v>564665.09389025043</v>
      </c>
      <c r="AP97" s="50">
        <f ca="1">INDEX(tbllkpkt[kt],MATCH(RANDBETWEEN(1,4),tbllkpkt[Index],0))</f>
        <v>0.75</v>
      </c>
      <c r="AQ97" s="48">
        <f t="shared" ca="1" si="2"/>
        <v>0.99</v>
      </c>
      <c r="AR97" s="18">
        <f ca="1">Table8[[#This Row],[Ag]]*Table8[[#This Row],[Deduction_for_An]]</f>
        <v>5.6628E-3</v>
      </c>
      <c r="AS97" s="11">
        <f>Table8[[#This Row],[fy]]*Table8[[#This Row],[Ag]]</f>
        <v>1830400</v>
      </c>
      <c r="AT97" s="11">
        <f ca="1">Table8[[#This Row],[αu]]*Table8[[#This Row],[kt]]*Table8[[#This Row],[An]]*Table8[[#This Row],[fu]]</f>
        <v>1588415.4</v>
      </c>
      <c r="AU97" s="11">
        <f ca="1">MIN(Table8[[#This Row],[Nty]],Table8[[#This Row],[Ntu]])</f>
        <v>1588415.4</v>
      </c>
    </row>
    <row r="98" spans="2:47" x14ac:dyDescent="0.25">
      <c r="B98" s="15" t="str">
        <f>Table8[[#This Row],[Section]]&amp;"-"&amp;TEXT(Table8[[#This Row],[Grade]],"0")</f>
        <v>310UB46.2-300HR</v>
      </c>
      <c r="C98" s="3" t="s">
        <v>88</v>
      </c>
      <c r="D98" s="3" t="s">
        <v>106</v>
      </c>
      <c r="E98" s="3" t="s">
        <v>104</v>
      </c>
      <c r="F98" s="4">
        <v>46.2</v>
      </c>
      <c r="G98" s="3" t="s">
        <v>13</v>
      </c>
      <c r="H98" s="3" t="s">
        <v>105</v>
      </c>
      <c r="I98" s="5">
        <v>0.307</v>
      </c>
      <c r="J98" s="5">
        <v>0.16600000000000001</v>
      </c>
      <c r="K98" s="5">
        <v>1.1800000000000001E-2</v>
      </c>
      <c r="L98" s="5">
        <v>6.7000000000000002E-3</v>
      </c>
      <c r="M98" s="5">
        <v>1.14E-2</v>
      </c>
      <c r="N98" s="5">
        <v>0.28339999999999999</v>
      </c>
      <c r="O98" s="6">
        <v>42.298507462686565</v>
      </c>
      <c r="P98" s="6">
        <v>6.7499999999999991</v>
      </c>
      <c r="Q98" s="7">
        <v>5.9300000000000004E-3</v>
      </c>
      <c r="R98" s="8">
        <v>1E-4</v>
      </c>
      <c r="S98" s="9">
        <v>6.5399999999999996E-4</v>
      </c>
      <c r="T98" s="9">
        <v>7.2900000000000005E-4</v>
      </c>
      <c r="U98" s="5">
        <v>0.13</v>
      </c>
      <c r="V98" s="8">
        <v>9.0100000000000001E-6</v>
      </c>
      <c r="W98" s="9">
        <v>1.0900000000000001E-4</v>
      </c>
      <c r="X98" s="9">
        <v>1.66E-4</v>
      </c>
      <c r="Y98" s="5">
        <v>0.13</v>
      </c>
      <c r="Z98" s="8">
        <v>2.3300000000000001E-7</v>
      </c>
      <c r="AA98" s="10">
        <v>1.97E-7</v>
      </c>
      <c r="AB98" s="45">
        <v>0.85</v>
      </c>
      <c r="AC98" s="17">
        <f t="array" ref="AC98">INDEX(tbllkpSteelGrades[fy],MATCH(1,(Table8[[#This Row],[Grade]]=tbllkpSteelGrades[Grade])*(Table8[[#This Row],[tw]]&lt;=tbllkpSteelGrades[Thickness]),0))</f>
        <v>320000000</v>
      </c>
      <c r="AD98" s="17">
        <f t="array" ref="AD98">INDEX(tbllkpSteelGrades[fy],MATCH(1,(Table8[[#This Row],[Grade]]=tbllkpSteelGrades[Grade])*(Table8[[#This Row],[tf]]&lt;=tbllkpSteelGrades[Thickness]),0))</f>
        <v>300000000</v>
      </c>
      <c r="AE98" s="17">
        <f>MIN(Table8[[#This Row],[fy_web]],Table8[[#This Row],[fy_flange]])</f>
        <v>300000000</v>
      </c>
      <c r="AF98" s="17">
        <f t="array" ref="AF98">INDEX(tbllkpSteelGrades[fu],MATCH(1,(Table8[[#This Row],[Grade]]=tbllkpSteelGrades[Grade])*(Table8[[#This Row],[tw]]&lt;=tbllkpSteelGrades[Thickness]),0))</f>
        <v>440000000</v>
      </c>
      <c r="AG98" s="18">
        <f>IF(Table8[[#This Row],[Fabrication Type]]="Welded",Table8[[#This Row],[d1]],Table8[[#This Row],[d]])*Table8[[#This Row],[tw]]</f>
        <v>2.0569E-3</v>
      </c>
      <c r="AH98" s="11">
        <f>Table8[[#This Row],[Aw]]*Table8[[#This Row],[fy_web]]*0.6</f>
        <v>394924.79999999999</v>
      </c>
      <c r="AI98" s="35">
        <f>82/SQRT(Table8[[#This Row],[fy_web]]/250000000)</f>
        <v>72.478445071621124</v>
      </c>
      <c r="AJ9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98" s="38" t="str">
        <f>IF(Table8[[#This Row],[Fabrication Type]]="Welded",IF(Table8[[#This Row],[tw]]&gt;0.016,0.016*Table8[[#This Row],[fu]],Table8[[#This Row],[tw]]*Table8[[#This Row],[fu]]),"")</f>
        <v/>
      </c>
      <c r="AL98" s="13">
        <f>Table8[[#This Row],[d]]-Table8[[#This Row],[tf]]</f>
        <v>0.29520000000000002</v>
      </c>
      <c r="AM98" s="39">
        <f>Table8[[#This Row],[bf]]*Table8[[#This Row],[tf]]*(Table8[[#This Row],[df]]/2)</f>
        <v>2.8911888000000011E-4</v>
      </c>
      <c r="AN98" s="11" t="str">
        <f>IF(Table8[[#This Row],[Fabrication Type]]="Welded",Table8[[#This Row],[vw]]*Table8[[#This Row],[Ix]]/Table8[[#This Row],[Qflange]],"")</f>
        <v/>
      </c>
      <c r="AO98" s="11">
        <f>Table8[[#This Row],[tw]]*MIN(Table8[[#This Row],[fy_web]], Table8[[#This Row],[fy_flange]])*0.6*Table8[[#This Row],[Ix]]/Table8[[#This Row],[Qflange]]</f>
        <v>417129.45207867422</v>
      </c>
      <c r="AP98" s="50">
        <f ca="1">INDEX(tbllkpkt[kt],MATCH(RANDBETWEEN(1,4),tbllkpkt[Index],0))</f>
        <v>0.9</v>
      </c>
      <c r="AQ98" s="48">
        <f t="shared" ca="1" si="2"/>
        <v>0.99</v>
      </c>
      <c r="AR98" s="18">
        <f ca="1">Table8[[#This Row],[Ag]]*Table8[[#This Row],[Deduction_for_An]]</f>
        <v>5.8707000000000004E-3</v>
      </c>
      <c r="AS98" s="11">
        <f>Table8[[#This Row],[fy]]*Table8[[#This Row],[Ag]]</f>
        <v>1779000</v>
      </c>
      <c r="AT98" s="11">
        <f ca="1">Table8[[#This Row],[αu]]*Table8[[#This Row],[kt]]*Table8[[#This Row],[An]]*Table8[[#This Row],[fu]]</f>
        <v>1976077.62</v>
      </c>
      <c r="AU98" s="11">
        <f ca="1">MIN(Table8[[#This Row],[Nty]],Table8[[#This Row],[Ntu]])</f>
        <v>1779000</v>
      </c>
    </row>
    <row r="99" spans="2:47" x14ac:dyDescent="0.25">
      <c r="B99" s="15" t="str">
        <f>Table8[[#This Row],[Section]]&amp;"-"&amp;TEXT(Table8[[#This Row],[Grade]],"0")</f>
        <v>310UB40.4-300HR</v>
      </c>
      <c r="C99" s="3" t="s">
        <v>89</v>
      </c>
      <c r="D99" s="3" t="s">
        <v>106</v>
      </c>
      <c r="E99" s="3" t="s">
        <v>104</v>
      </c>
      <c r="F99" s="4">
        <v>40.4</v>
      </c>
      <c r="G99" s="3" t="s">
        <v>13</v>
      </c>
      <c r="H99" s="3" t="s">
        <v>105</v>
      </c>
      <c r="I99" s="5">
        <v>0.30399999999999999</v>
      </c>
      <c r="J99" s="5">
        <v>0.16500000000000001</v>
      </c>
      <c r="K99" s="5">
        <v>1.0199999999999999E-2</v>
      </c>
      <c r="L99" s="5">
        <v>6.0999999999999995E-3</v>
      </c>
      <c r="M99" s="5">
        <v>1.14E-2</v>
      </c>
      <c r="N99" s="5">
        <v>0.28360000000000002</v>
      </c>
      <c r="O99" s="6">
        <v>46.491803278688529</v>
      </c>
      <c r="P99" s="6">
        <v>7.7892156862745114</v>
      </c>
      <c r="Q99" s="7">
        <v>5.2100000000000002E-3</v>
      </c>
      <c r="R99" s="8">
        <v>8.6399999999999999E-5</v>
      </c>
      <c r="S99" s="9">
        <v>5.6899999999999995E-4</v>
      </c>
      <c r="T99" s="9">
        <v>6.3299999999999999E-4</v>
      </c>
      <c r="U99" s="5">
        <v>0.129</v>
      </c>
      <c r="V99" s="8">
        <v>7.6499999999999996E-6</v>
      </c>
      <c r="W99" s="9">
        <v>9.2700000000000004E-5</v>
      </c>
      <c r="X99" s="9">
        <v>1.4200000000000001E-4</v>
      </c>
      <c r="Y99" s="5">
        <v>0.129</v>
      </c>
      <c r="Z99" s="8">
        <v>1.5699999999999999E-7</v>
      </c>
      <c r="AA99" s="10">
        <v>1.6500000000000001E-7</v>
      </c>
      <c r="AB99" s="45">
        <v>0.85</v>
      </c>
      <c r="AC99" s="17">
        <f t="array" ref="AC99">INDEX(tbllkpSteelGrades[fy],MATCH(1,(Table8[[#This Row],[Grade]]=tbllkpSteelGrades[Grade])*(Table8[[#This Row],[tw]]&lt;=tbllkpSteelGrades[Thickness]),0))</f>
        <v>320000000</v>
      </c>
      <c r="AD99" s="17">
        <f t="array" ref="AD99">INDEX(tbllkpSteelGrades[fy],MATCH(1,(Table8[[#This Row],[Grade]]=tbllkpSteelGrades[Grade])*(Table8[[#This Row],[tf]]&lt;=tbllkpSteelGrades[Thickness]),0))</f>
        <v>320000000</v>
      </c>
      <c r="AE99" s="17">
        <f>MIN(Table8[[#This Row],[fy_web]],Table8[[#This Row],[fy_flange]])</f>
        <v>320000000</v>
      </c>
      <c r="AF99" s="17">
        <f t="array" ref="AF99">INDEX(tbllkpSteelGrades[fu],MATCH(1,(Table8[[#This Row],[Grade]]=tbllkpSteelGrades[Grade])*(Table8[[#This Row],[tw]]&lt;=tbllkpSteelGrades[Thickness]),0))</f>
        <v>440000000</v>
      </c>
      <c r="AG99" s="18">
        <f>IF(Table8[[#This Row],[Fabrication Type]]="Welded",Table8[[#This Row],[d1]],Table8[[#This Row],[d]])*Table8[[#This Row],[tw]]</f>
        <v>1.8543999999999998E-3</v>
      </c>
      <c r="AH99" s="11">
        <f>Table8[[#This Row],[Aw]]*Table8[[#This Row],[fy_web]]*0.6</f>
        <v>356044.79999999993</v>
      </c>
      <c r="AI99" s="35">
        <f>82/SQRT(Table8[[#This Row],[fy_web]]/250000000)</f>
        <v>72.478445071621124</v>
      </c>
      <c r="AJ9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99" s="38" t="str">
        <f>IF(Table8[[#This Row],[Fabrication Type]]="Welded",IF(Table8[[#This Row],[tw]]&gt;0.016,0.016*Table8[[#This Row],[fu]],Table8[[#This Row],[tw]]*Table8[[#This Row],[fu]]),"")</f>
        <v/>
      </c>
      <c r="AL99" s="13">
        <f>Table8[[#This Row],[d]]-Table8[[#This Row],[tf]]</f>
        <v>0.29380000000000001</v>
      </c>
      <c r="AM99" s="39">
        <f>Table8[[#This Row],[bf]]*Table8[[#This Row],[tf]]*(Table8[[#This Row],[df]]/2)</f>
        <v>2.4723269999999997E-4</v>
      </c>
      <c r="AN99" s="11" t="str">
        <f>IF(Table8[[#This Row],[Fabrication Type]]="Welded",Table8[[#This Row],[vw]]*Table8[[#This Row],[Ix]]/Table8[[#This Row],[Qflange]],"")</f>
        <v/>
      </c>
      <c r="AO99" s="11">
        <f>Table8[[#This Row],[tw]]*MIN(Table8[[#This Row],[fy_web]], Table8[[#This Row],[fy_flange]])*0.6*Table8[[#This Row],[Ix]]/Table8[[#This Row],[Qflange]]</f>
        <v>409297.31382620498</v>
      </c>
      <c r="AP99" s="50">
        <f ca="1">INDEX(tbllkpkt[kt],MATCH(RANDBETWEEN(1,4),tbllkpkt[Index],0))</f>
        <v>1</v>
      </c>
      <c r="AQ99" s="48">
        <f t="shared" ref="AQ99:AQ132" ca="1" si="3">1-RANDBETWEEN(0,10)/100</f>
        <v>0.92999999999999994</v>
      </c>
      <c r="AR99" s="18">
        <f ca="1">Table8[[#This Row],[Ag]]*Table8[[#This Row],[Deduction_for_An]]</f>
        <v>4.8453000000000003E-3</v>
      </c>
      <c r="AS99" s="11">
        <f>Table8[[#This Row],[fy]]*Table8[[#This Row],[Ag]]</f>
        <v>1667200</v>
      </c>
      <c r="AT99" s="11">
        <f ca="1">Table8[[#This Row],[αu]]*Table8[[#This Row],[kt]]*Table8[[#This Row],[An]]*Table8[[#This Row],[fu]]</f>
        <v>1812142.2</v>
      </c>
      <c r="AU99" s="11">
        <f ca="1">MIN(Table8[[#This Row],[Nty]],Table8[[#This Row],[Ntu]])</f>
        <v>1667200</v>
      </c>
    </row>
    <row r="100" spans="2:47" x14ac:dyDescent="0.25">
      <c r="B100" s="15" t="str">
        <f>Table8[[#This Row],[Section]]&amp;"-"&amp;TEXT(Table8[[#This Row],[Grade]],"0")</f>
        <v>310UB32.0-300HR</v>
      </c>
      <c r="C100" s="3" t="s">
        <v>90</v>
      </c>
      <c r="D100" s="3" t="s">
        <v>106</v>
      </c>
      <c r="E100" s="3" t="s">
        <v>104</v>
      </c>
      <c r="F100" s="4">
        <v>32</v>
      </c>
      <c r="G100" s="3" t="s">
        <v>13</v>
      </c>
      <c r="H100" s="3" t="s">
        <v>105</v>
      </c>
      <c r="I100" s="5">
        <v>0.29799999999999999</v>
      </c>
      <c r="J100" s="5">
        <v>0.14899999999999999</v>
      </c>
      <c r="K100" s="5">
        <v>8.0000000000000002E-3</v>
      </c>
      <c r="L100" s="5">
        <v>5.4999999999999997E-3</v>
      </c>
      <c r="M100" s="5">
        <v>1.2999999999999999E-2</v>
      </c>
      <c r="N100" s="5">
        <v>0.28199999999999997</v>
      </c>
      <c r="O100" s="6">
        <v>51.272727272727273</v>
      </c>
      <c r="P100" s="6">
        <v>8.9687499999999982</v>
      </c>
      <c r="Q100" s="7">
        <v>4.0800000000000003E-3</v>
      </c>
      <c r="R100" s="8">
        <v>6.3200000000000005E-5</v>
      </c>
      <c r="S100" s="9">
        <v>4.2400000000000001E-4</v>
      </c>
      <c r="T100" s="9">
        <v>4.75E-4</v>
      </c>
      <c r="U100" s="5">
        <v>0.124</v>
      </c>
      <c r="V100" s="8">
        <v>4.42E-6</v>
      </c>
      <c r="W100" s="9">
        <v>5.9299999999999998E-5</v>
      </c>
      <c r="X100" s="9">
        <v>9.1799999999999995E-5</v>
      </c>
      <c r="Y100" s="5">
        <v>0.124</v>
      </c>
      <c r="Z100" s="8">
        <v>8.65E-8</v>
      </c>
      <c r="AA100" s="10">
        <v>9.2900000000000005E-8</v>
      </c>
      <c r="AB100" s="45">
        <v>0.85</v>
      </c>
      <c r="AC100" s="17">
        <f t="array" ref="AC100">INDEX(tbllkpSteelGrades[fy],MATCH(1,(Table8[[#This Row],[Grade]]=tbllkpSteelGrades[Grade])*(Table8[[#This Row],[tw]]&lt;=tbllkpSteelGrades[Thickness]),0))</f>
        <v>320000000</v>
      </c>
      <c r="AD100" s="17">
        <f t="array" ref="AD100">INDEX(tbllkpSteelGrades[fy],MATCH(1,(Table8[[#This Row],[Grade]]=tbllkpSteelGrades[Grade])*(Table8[[#This Row],[tf]]&lt;=tbllkpSteelGrades[Thickness]),0))</f>
        <v>320000000</v>
      </c>
      <c r="AE100" s="17">
        <f>MIN(Table8[[#This Row],[fy_web]],Table8[[#This Row],[fy_flange]])</f>
        <v>320000000</v>
      </c>
      <c r="AF100" s="17">
        <f t="array" ref="AF100">INDEX(tbllkpSteelGrades[fu],MATCH(1,(Table8[[#This Row],[Grade]]=tbllkpSteelGrades[Grade])*(Table8[[#This Row],[tw]]&lt;=tbllkpSteelGrades[Thickness]),0))</f>
        <v>440000000</v>
      </c>
      <c r="AG100" s="18">
        <f>IF(Table8[[#This Row],[Fabrication Type]]="Welded",Table8[[#This Row],[d1]],Table8[[#This Row],[d]])*Table8[[#This Row],[tw]]</f>
        <v>1.6389999999999998E-3</v>
      </c>
      <c r="AH100" s="11">
        <f>Table8[[#This Row],[Aw]]*Table8[[#This Row],[fy_web]]*0.6</f>
        <v>314688</v>
      </c>
      <c r="AI100" s="35">
        <f>82/SQRT(Table8[[#This Row],[fy_web]]/250000000)</f>
        <v>72.478445071621124</v>
      </c>
      <c r="AJ10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00" s="38" t="str">
        <f>IF(Table8[[#This Row],[Fabrication Type]]="Welded",IF(Table8[[#This Row],[tw]]&gt;0.016,0.016*Table8[[#This Row],[fu]],Table8[[#This Row],[tw]]*Table8[[#This Row],[fu]]),"")</f>
        <v/>
      </c>
      <c r="AL100" s="13">
        <f>Table8[[#This Row],[d]]-Table8[[#This Row],[tf]]</f>
        <v>0.28999999999999998</v>
      </c>
      <c r="AM100" s="39">
        <f>Table8[[#This Row],[bf]]*Table8[[#This Row],[tf]]*(Table8[[#This Row],[df]]/2)</f>
        <v>1.7283999999999998E-4</v>
      </c>
      <c r="AN100" s="11" t="str">
        <f>IF(Table8[[#This Row],[Fabrication Type]]="Welded",Table8[[#This Row],[vw]]*Table8[[#This Row],[Ix]]/Table8[[#This Row],[Qflange]],"")</f>
        <v/>
      </c>
      <c r="AO100" s="11">
        <f>Table8[[#This Row],[tw]]*MIN(Table8[[#This Row],[fy_web]], Table8[[#This Row],[fy_flange]])*0.6*Table8[[#This Row],[Ix]]/Table8[[#This Row],[Qflange]]</f>
        <v>386132.83962045831</v>
      </c>
      <c r="AP100" s="50">
        <f ca="1">INDEX(tbllkpkt[kt],MATCH(RANDBETWEEN(1,4),tbllkpkt[Index],0))</f>
        <v>0.9</v>
      </c>
      <c r="AQ100" s="48">
        <f t="shared" ca="1" si="3"/>
        <v>0.9</v>
      </c>
      <c r="AR100" s="18">
        <f ca="1">Table8[[#This Row],[Ag]]*Table8[[#This Row],[Deduction_for_An]]</f>
        <v>3.6720000000000004E-3</v>
      </c>
      <c r="AS100" s="11">
        <f>Table8[[#This Row],[fy]]*Table8[[#This Row],[Ag]]</f>
        <v>1305600</v>
      </c>
      <c r="AT100" s="11">
        <f ca="1">Table8[[#This Row],[αu]]*Table8[[#This Row],[kt]]*Table8[[#This Row],[An]]*Table8[[#This Row],[fu]]</f>
        <v>1235995.2000000002</v>
      </c>
      <c r="AU100" s="11">
        <f ca="1">MIN(Table8[[#This Row],[Nty]],Table8[[#This Row],[Ntu]])</f>
        <v>1235995.2000000002</v>
      </c>
    </row>
    <row r="101" spans="2:47" x14ac:dyDescent="0.25">
      <c r="B101" s="15" t="str">
        <f>Table8[[#This Row],[Section]]&amp;"-"&amp;TEXT(Table8[[#This Row],[Grade]],"0")</f>
        <v>250UB37.3-300HR</v>
      </c>
      <c r="C101" s="3" t="s">
        <v>91</v>
      </c>
      <c r="D101" s="3" t="s">
        <v>106</v>
      </c>
      <c r="E101" s="3" t="s">
        <v>104</v>
      </c>
      <c r="F101" s="4">
        <v>37.299999999999997</v>
      </c>
      <c r="G101" s="3" t="s">
        <v>13</v>
      </c>
      <c r="H101" s="3" t="s">
        <v>105</v>
      </c>
      <c r="I101" s="5">
        <v>0.25600000000000001</v>
      </c>
      <c r="J101" s="5">
        <v>0.14599999999999999</v>
      </c>
      <c r="K101" s="5">
        <v>1.09E-2</v>
      </c>
      <c r="L101" s="5">
        <v>6.4000000000000003E-3</v>
      </c>
      <c r="M101" s="5">
        <v>8.8999999999999999E-3</v>
      </c>
      <c r="N101" s="5">
        <v>0.23420000000000002</v>
      </c>
      <c r="O101" s="6">
        <v>36.59375</v>
      </c>
      <c r="P101" s="6">
        <v>6.4036697247706424</v>
      </c>
      <c r="Q101" s="7">
        <v>4.7499999999999999E-3</v>
      </c>
      <c r="R101" s="8">
        <v>5.5699999999999999E-5</v>
      </c>
      <c r="S101" s="9">
        <v>4.35E-4</v>
      </c>
      <c r="T101" s="9">
        <v>4.86E-4</v>
      </c>
      <c r="U101" s="5">
        <v>0.108</v>
      </c>
      <c r="V101" s="8">
        <v>5.66E-6</v>
      </c>
      <c r="W101" s="9">
        <v>7.75E-5</v>
      </c>
      <c r="X101" s="9">
        <v>1.1900000000000001E-4</v>
      </c>
      <c r="Y101" s="5">
        <v>0.108</v>
      </c>
      <c r="Z101" s="8">
        <v>1.5800000000000001E-7</v>
      </c>
      <c r="AA101" s="10">
        <v>8.5199999999999995E-8</v>
      </c>
      <c r="AB101" s="45">
        <v>0.85</v>
      </c>
      <c r="AC101" s="17">
        <f t="array" ref="AC101">INDEX(tbllkpSteelGrades[fy],MATCH(1,(Table8[[#This Row],[Grade]]=tbllkpSteelGrades[Grade])*(Table8[[#This Row],[tw]]&lt;=tbllkpSteelGrades[Thickness]),0))</f>
        <v>320000000</v>
      </c>
      <c r="AD101" s="17">
        <f t="array" ref="AD101">INDEX(tbllkpSteelGrades[fy],MATCH(1,(Table8[[#This Row],[Grade]]=tbllkpSteelGrades[Grade])*(Table8[[#This Row],[tf]]&lt;=tbllkpSteelGrades[Thickness]),0))</f>
        <v>320000000</v>
      </c>
      <c r="AE101" s="17">
        <f>MIN(Table8[[#This Row],[fy_web]],Table8[[#This Row],[fy_flange]])</f>
        <v>320000000</v>
      </c>
      <c r="AF101" s="17">
        <f t="array" ref="AF101">INDEX(tbllkpSteelGrades[fu],MATCH(1,(Table8[[#This Row],[Grade]]=tbllkpSteelGrades[Grade])*(Table8[[#This Row],[tw]]&lt;=tbllkpSteelGrades[Thickness]),0))</f>
        <v>440000000</v>
      </c>
      <c r="AG101" s="18">
        <f>IF(Table8[[#This Row],[Fabrication Type]]="Welded",Table8[[#This Row],[d1]],Table8[[#This Row],[d]])*Table8[[#This Row],[tw]]</f>
        <v>1.6384000000000001E-3</v>
      </c>
      <c r="AH101" s="11">
        <f>Table8[[#This Row],[Aw]]*Table8[[#This Row],[fy_web]]*0.6</f>
        <v>314572.79999999999</v>
      </c>
      <c r="AI101" s="35">
        <f>82/SQRT(Table8[[#This Row],[fy_web]]/250000000)</f>
        <v>72.478445071621124</v>
      </c>
      <c r="AJ10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01" s="38" t="str">
        <f>IF(Table8[[#This Row],[Fabrication Type]]="Welded",IF(Table8[[#This Row],[tw]]&gt;0.016,0.016*Table8[[#This Row],[fu]],Table8[[#This Row],[tw]]*Table8[[#This Row],[fu]]),"")</f>
        <v/>
      </c>
      <c r="AL101" s="13">
        <f>Table8[[#This Row],[d]]-Table8[[#This Row],[tf]]</f>
        <v>0.24510000000000001</v>
      </c>
      <c r="AM101" s="39">
        <f>Table8[[#This Row],[bf]]*Table8[[#This Row],[tf]]*(Table8[[#This Row],[df]]/2)</f>
        <v>1.9502607000000002E-4</v>
      </c>
      <c r="AN101" s="11" t="str">
        <f>IF(Table8[[#This Row],[Fabrication Type]]="Welded",Table8[[#This Row],[vw]]*Table8[[#This Row],[Ix]]/Table8[[#This Row],[Qflange]],"")</f>
        <v/>
      </c>
      <c r="AO101" s="11">
        <f>Table8[[#This Row],[tw]]*MIN(Table8[[#This Row],[fy_web]], Table8[[#This Row],[fy_flange]])*0.6*Table8[[#This Row],[Ix]]/Table8[[#This Row],[Qflange]]</f>
        <v>350948.7731563272</v>
      </c>
      <c r="AP101" s="50">
        <f ca="1">INDEX(tbllkpkt[kt],MATCH(RANDBETWEEN(1,4),tbllkpkt[Index],0))</f>
        <v>1</v>
      </c>
      <c r="AQ101" s="48">
        <f t="shared" ca="1" si="3"/>
        <v>0.92</v>
      </c>
      <c r="AR101" s="18">
        <f ca="1">Table8[[#This Row],[Ag]]*Table8[[#This Row],[Deduction_for_An]]</f>
        <v>4.3699999999999998E-3</v>
      </c>
      <c r="AS101" s="11">
        <f>Table8[[#This Row],[fy]]*Table8[[#This Row],[Ag]]</f>
        <v>1520000</v>
      </c>
      <c r="AT101" s="11">
        <f ca="1">Table8[[#This Row],[αu]]*Table8[[#This Row],[kt]]*Table8[[#This Row],[An]]*Table8[[#This Row],[fu]]</f>
        <v>1634379.9999999998</v>
      </c>
      <c r="AU101" s="11">
        <f ca="1">MIN(Table8[[#This Row],[Nty]],Table8[[#This Row],[Ntu]])</f>
        <v>1520000</v>
      </c>
    </row>
    <row r="102" spans="2:47" x14ac:dyDescent="0.25">
      <c r="B102" s="15" t="str">
        <f>Table8[[#This Row],[Section]]&amp;"-"&amp;TEXT(Table8[[#This Row],[Grade]],"0")</f>
        <v>250UB31.4-300HR</v>
      </c>
      <c r="C102" s="3" t="s">
        <v>92</v>
      </c>
      <c r="D102" s="3" t="s">
        <v>106</v>
      </c>
      <c r="E102" s="3" t="s">
        <v>104</v>
      </c>
      <c r="F102" s="4">
        <v>31.4</v>
      </c>
      <c r="G102" s="3" t="s">
        <v>13</v>
      </c>
      <c r="H102" s="3" t="s">
        <v>105</v>
      </c>
      <c r="I102" s="5">
        <v>0.252</v>
      </c>
      <c r="J102" s="5">
        <v>0.14599999999999999</v>
      </c>
      <c r="K102" s="5">
        <v>8.6E-3</v>
      </c>
      <c r="L102" s="5">
        <v>6.0999999999999995E-3</v>
      </c>
      <c r="M102" s="5">
        <v>8.8999999999999999E-3</v>
      </c>
      <c r="N102" s="5">
        <v>0.23480000000000001</v>
      </c>
      <c r="O102" s="6">
        <v>38.491803278688529</v>
      </c>
      <c r="P102" s="6">
        <v>8.1337209302325579</v>
      </c>
      <c r="Q102" s="7">
        <v>4.0099999999999997E-3</v>
      </c>
      <c r="R102" s="8">
        <v>4.4499999999999997E-5</v>
      </c>
      <c r="S102" s="9">
        <v>3.5399999999999999E-4</v>
      </c>
      <c r="T102" s="9">
        <v>3.97E-4</v>
      </c>
      <c r="U102" s="5">
        <v>0.105</v>
      </c>
      <c r="V102" s="8">
        <v>4.4700000000000004E-6</v>
      </c>
      <c r="W102" s="9">
        <v>6.1199999999999997E-5</v>
      </c>
      <c r="X102" s="9">
        <v>9.4199999999999999E-5</v>
      </c>
      <c r="Y102" s="5">
        <v>0.105</v>
      </c>
      <c r="Z102" s="8">
        <v>8.9299999999999999E-8</v>
      </c>
      <c r="AA102" s="10">
        <v>6.5900000000000001E-8</v>
      </c>
      <c r="AB102" s="45">
        <v>0.85</v>
      </c>
      <c r="AC102" s="17">
        <f t="array" ref="AC102">INDEX(tbllkpSteelGrades[fy],MATCH(1,(Table8[[#This Row],[Grade]]=tbllkpSteelGrades[Grade])*(Table8[[#This Row],[tw]]&lt;=tbllkpSteelGrades[Thickness]),0))</f>
        <v>320000000</v>
      </c>
      <c r="AD102" s="17">
        <f t="array" ref="AD102">INDEX(tbllkpSteelGrades[fy],MATCH(1,(Table8[[#This Row],[Grade]]=tbllkpSteelGrades[Grade])*(Table8[[#This Row],[tf]]&lt;=tbllkpSteelGrades[Thickness]),0))</f>
        <v>320000000</v>
      </c>
      <c r="AE102" s="17">
        <f>MIN(Table8[[#This Row],[fy_web]],Table8[[#This Row],[fy_flange]])</f>
        <v>320000000</v>
      </c>
      <c r="AF102" s="17">
        <f t="array" ref="AF102">INDEX(tbllkpSteelGrades[fu],MATCH(1,(Table8[[#This Row],[Grade]]=tbllkpSteelGrades[Grade])*(Table8[[#This Row],[tw]]&lt;=tbllkpSteelGrades[Thickness]),0))</f>
        <v>440000000</v>
      </c>
      <c r="AG102" s="18">
        <f>IF(Table8[[#This Row],[Fabrication Type]]="Welded",Table8[[#This Row],[d1]],Table8[[#This Row],[d]])*Table8[[#This Row],[tw]]</f>
        <v>1.5371999999999999E-3</v>
      </c>
      <c r="AH102" s="11">
        <f>Table8[[#This Row],[Aw]]*Table8[[#This Row],[fy_web]]*0.6</f>
        <v>295142.39999999997</v>
      </c>
      <c r="AI102" s="35">
        <f>82/SQRT(Table8[[#This Row],[fy_web]]/250000000)</f>
        <v>72.478445071621124</v>
      </c>
      <c r="AJ10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02" s="38" t="str">
        <f>IF(Table8[[#This Row],[Fabrication Type]]="Welded",IF(Table8[[#This Row],[tw]]&gt;0.016,0.016*Table8[[#This Row],[fu]],Table8[[#This Row],[tw]]*Table8[[#This Row],[fu]]),"")</f>
        <v/>
      </c>
      <c r="AL102" s="13">
        <f>Table8[[#This Row],[d]]-Table8[[#This Row],[tf]]</f>
        <v>0.24340000000000001</v>
      </c>
      <c r="AM102" s="39">
        <f>Table8[[#This Row],[bf]]*Table8[[#This Row],[tf]]*(Table8[[#This Row],[df]]/2)</f>
        <v>1.5280652E-4</v>
      </c>
      <c r="AN102" s="11" t="str">
        <f>IF(Table8[[#This Row],[Fabrication Type]]="Welded",Table8[[#This Row],[vw]]*Table8[[#This Row],[Ix]]/Table8[[#This Row],[Qflange]],"")</f>
        <v/>
      </c>
      <c r="AO102" s="11">
        <f>Table8[[#This Row],[tw]]*MIN(Table8[[#This Row],[fy_web]], Table8[[#This Row],[fy_flange]])*0.6*Table8[[#This Row],[Ix]]/Table8[[#This Row],[Qflange]]</f>
        <v>341074.45153518312</v>
      </c>
      <c r="AP102" s="50">
        <f ca="1">INDEX(tbllkpkt[kt],MATCH(RANDBETWEEN(1,4),tbllkpkt[Index],0))</f>
        <v>0.75</v>
      </c>
      <c r="AQ102" s="48">
        <f t="shared" ca="1" si="3"/>
        <v>0.9</v>
      </c>
      <c r="AR102" s="18">
        <f ca="1">Table8[[#This Row],[Ag]]*Table8[[#This Row],[Deduction_for_An]]</f>
        <v>3.6089999999999998E-3</v>
      </c>
      <c r="AS102" s="11">
        <f>Table8[[#This Row],[fy]]*Table8[[#This Row],[Ag]]</f>
        <v>1283200</v>
      </c>
      <c r="AT102" s="11">
        <f ca="1">Table8[[#This Row],[αu]]*Table8[[#This Row],[kt]]*Table8[[#This Row],[An]]*Table8[[#This Row],[fu]]</f>
        <v>1012324.5</v>
      </c>
      <c r="AU102" s="11">
        <f ca="1">MIN(Table8[[#This Row],[Nty]],Table8[[#This Row],[Ntu]])</f>
        <v>1012324.5</v>
      </c>
    </row>
    <row r="103" spans="2:47" x14ac:dyDescent="0.25">
      <c r="B103" s="15" t="str">
        <f>Table8[[#This Row],[Section]]&amp;"-"&amp;TEXT(Table8[[#This Row],[Grade]],"0")</f>
        <v>250UB25.7-300HR</v>
      </c>
      <c r="C103" s="3" t="s">
        <v>93</v>
      </c>
      <c r="D103" s="3" t="s">
        <v>106</v>
      </c>
      <c r="E103" s="3" t="s">
        <v>104</v>
      </c>
      <c r="F103" s="4">
        <v>25.7</v>
      </c>
      <c r="G103" s="3" t="s">
        <v>13</v>
      </c>
      <c r="H103" s="3" t="s">
        <v>105</v>
      </c>
      <c r="I103" s="5">
        <v>0.248</v>
      </c>
      <c r="J103" s="5">
        <v>0.124</v>
      </c>
      <c r="K103" s="5">
        <v>8.0000000000000002E-3</v>
      </c>
      <c r="L103" s="5">
        <v>5.0000000000000001E-3</v>
      </c>
      <c r="M103" s="5">
        <v>1.2E-2</v>
      </c>
      <c r="N103" s="5">
        <v>0.23199999999999998</v>
      </c>
      <c r="O103" s="6">
        <v>46.4</v>
      </c>
      <c r="P103" s="6">
        <v>7.4374999999999991</v>
      </c>
      <c r="Q103" s="7">
        <v>3.2699999999999999E-3</v>
      </c>
      <c r="R103" s="8">
        <v>3.54E-5</v>
      </c>
      <c r="S103" s="9">
        <v>2.8499999999999999E-4</v>
      </c>
      <c r="T103" s="9">
        <v>3.19E-4</v>
      </c>
      <c r="U103" s="5">
        <v>0.104</v>
      </c>
      <c r="V103" s="8">
        <v>2.5500000000000001E-6</v>
      </c>
      <c r="W103" s="9">
        <v>4.1100000000000003E-5</v>
      </c>
      <c r="X103" s="9">
        <v>6.3600000000000001E-5</v>
      </c>
      <c r="Y103" s="5">
        <v>0.104</v>
      </c>
      <c r="Z103" s="8">
        <v>6.7399999999999995E-8</v>
      </c>
      <c r="AA103" s="10">
        <v>3.6699999999999998E-8</v>
      </c>
      <c r="AB103" s="45">
        <v>0.85</v>
      </c>
      <c r="AC103" s="17">
        <f t="array" ref="AC103">INDEX(tbllkpSteelGrades[fy],MATCH(1,(Table8[[#This Row],[Grade]]=tbllkpSteelGrades[Grade])*(Table8[[#This Row],[tw]]&lt;=tbllkpSteelGrades[Thickness]),0))</f>
        <v>320000000</v>
      </c>
      <c r="AD103" s="17">
        <f t="array" ref="AD103">INDEX(tbllkpSteelGrades[fy],MATCH(1,(Table8[[#This Row],[Grade]]=tbllkpSteelGrades[Grade])*(Table8[[#This Row],[tf]]&lt;=tbllkpSteelGrades[Thickness]),0))</f>
        <v>320000000</v>
      </c>
      <c r="AE103" s="17">
        <f>MIN(Table8[[#This Row],[fy_web]],Table8[[#This Row],[fy_flange]])</f>
        <v>320000000</v>
      </c>
      <c r="AF103" s="17">
        <f t="array" ref="AF103">INDEX(tbllkpSteelGrades[fu],MATCH(1,(Table8[[#This Row],[Grade]]=tbllkpSteelGrades[Grade])*(Table8[[#This Row],[tw]]&lt;=tbllkpSteelGrades[Thickness]),0))</f>
        <v>440000000</v>
      </c>
      <c r="AG103" s="18">
        <f>IF(Table8[[#This Row],[Fabrication Type]]="Welded",Table8[[#This Row],[d1]],Table8[[#This Row],[d]])*Table8[[#This Row],[tw]]</f>
        <v>1.24E-3</v>
      </c>
      <c r="AH103" s="11">
        <f>Table8[[#This Row],[Aw]]*Table8[[#This Row],[fy_web]]*0.6</f>
        <v>238080</v>
      </c>
      <c r="AI103" s="35">
        <f>82/SQRT(Table8[[#This Row],[fy_web]]/250000000)</f>
        <v>72.478445071621124</v>
      </c>
      <c r="AJ10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03" s="38" t="str">
        <f>IF(Table8[[#This Row],[Fabrication Type]]="Welded",IF(Table8[[#This Row],[tw]]&gt;0.016,0.016*Table8[[#This Row],[fu]],Table8[[#This Row],[tw]]*Table8[[#This Row],[fu]]),"")</f>
        <v/>
      </c>
      <c r="AL103" s="13">
        <f>Table8[[#This Row],[d]]-Table8[[#This Row],[tf]]</f>
        <v>0.24</v>
      </c>
      <c r="AM103" s="39">
        <f>Table8[[#This Row],[bf]]*Table8[[#This Row],[tf]]*(Table8[[#This Row],[df]]/2)</f>
        <v>1.1904E-4</v>
      </c>
      <c r="AN103" s="11" t="str">
        <f>IF(Table8[[#This Row],[Fabrication Type]]="Welded",Table8[[#This Row],[vw]]*Table8[[#This Row],[Ix]]/Table8[[#This Row],[Qflange]],"")</f>
        <v/>
      </c>
      <c r="AO103" s="11">
        <f>Table8[[#This Row],[tw]]*MIN(Table8[[#This Row],[fy_web]], Table8[[#This Row],[fy_flange]])*0.6*Table8[[#This Row],[Ix]]/Table8[[#This Row],[Qflange]]</f>
        <v>285483.87096774194</v>
      </c>
      <c r="AP103" s="50">
        <f ca="1">INDEX(tbllkpkt[kt],MATCH(RANDBETWEEN(1,4),tbllkpkt[Index],0))</f>
        <v>0.75</v>
      </c>
      <c r="AQ103" s="48">
        <f t="shared" ca="1" si="3"/>
        <v>0.98</v>
      </c>
      <c r="AR103" s="18">
        <f ca="1">Table8[[#This Row],[Ag]]*Table8[[#This Row],[Deduction_for_An]]</f>
        <v>3.2045999999999997E-3</v>
      </c>
      <c r="AS103" s="11">
        <f>Table8[[#This Row],[fy]]*Table8[[#This Row],[Ag]]</f>
        <v>1046400</v>
      </c>
      <c r="AT103" s="11">
        <f ca="1">Table8[[#This Row],[αu]]*Table8[[#This Row],[kt]]*Table8[[#This Row],[An]]*Table8[[#This Row],[fu]]</f>
        <v>898890.29999999981</v>
      </c>
      <c r="AU103" s="11">
        <f ca="1">MIN(Table8[[#This Row],[Nty]],Table8[[#This Row],[Ntu]])</f>
        <v>898890.29999999981</v>
      </c>
    </row>
    <row r="104" spans="2:47" x14ac:dyDescent="0.25">
      <c r="B104" s="15" t="str">
        <f>Table8[[#This Row],[Section]]&amp;"-"&amp;TEXT(Table8[[#This Row],[Grade]],"0")</f>
        <v>200UB29.8-300HR</v>
      </c>
      <c r="C104" s="3" t="s">
        <v>94</v>
      </c>
      <c r="D104" s="3" t="s">
        <v>106</v>
      </c>
      <c r="E104" s="3" t="s">
        <v>104</v>
      </c>
      <c r="F104" s="4">
        <v>29.8</v>
      </c>
      <c r="G104" s="3" t="s">
        <v>13</v>
      </c>
      <c r="H104" s="3" t="s">
        <v>105</v>
      </c>
      <c r="I104" s="5">
        <v>0.20699999999999999</v>
      </c>
      <c r="J104" s="5">
        <v>0.13400000000000001</v>
      </c>
      <c r="K104" s="5">
        <v>9.5999999999999992E-3</v>
      </c>
      <c r="L104" s="5">
        <v>6.3E-3</v>
      </c>
      <c r="M104" s="5">
        <v>8.8999999999999999E-3</v>
      </c>
      <c r="N104" s="5">
        <v>0.18779999999999999</v>
      </c>
      <c r="O104" s="6">
        <v>29.80952380952381</v>
      </c>
      <c r="P104" s="6">
        <v>6.6510416666666679</v>
      </c>
      <c r="Q104" s="7">
        <v>3.82E-3</v>
      </c>
      <c r="R104" s="8">
        <v>2.9099999999999999E-5</v>
      </c>
      <c r="S104" s="9">
        <v>2.81E-4</v>
      </c>
      <c r="T104" s="9">
        <v>3.1599999999999998E-4</v>
      </c>
      <c r="U104" s="5">
        <v>8.7300000000000003E-2</v>
      </c>
      <c r="V104" s="8">
        <v>3.8600000000000003E-6</v>
      </c>
      <c r="W104" s="9">
        <v>5.7500000000000002E-5</v>
      </c>
      <c r="X104" s="9">
        <v>8.8399999999999994E-5</v>
      </c>
      <c r="Y104" s="5">
        <v>8.7300000000000003E-2</v>
      </c>
      <c r="Z104" s="8">
        <v>1.05E-7</v>
      </c>
      <c r="AA104" s="10">
        <v>3.7599999999999999E-8</v>
      </c>
      <c r="AB104" s="45">
        <v>0.85</v>
      </c>
      <c r="AC104" s="17">
        <f t="array" ref="AC104">INDEX(tbllkpSteelGrades[fy],MATCH(1,(Table8[[#This Row],[Grade]]=tbllkpSteelGrades[Grade])*(Table8[[#This Row],[tw]]&lt;=tbllkpSteelGrades[Thickness]),0))</f>
        <v>320000000</v>
      </c>
      <c r="AD104" s="17">
        <f t="array" ref="AD104">INDEX(tbllkpSteelGrades[fy],MATCH(1,(Table8[[#This Row],[Grade]]=tbllkpSteelGrades[Grade])*(Table8[[#This Row],[tf]]&lt;=tbllkpSteelGrades[Thickness]),0))</f>
        <v>320000000</v>
      </c>
      <c r="AE104" s="17">
        <f>MIN(Table8[[#This Row],[fy_web]],Table8[[#This Row],[fy_flange]])</f>
        <v>320000000</v>
      </c>
      <c r="AF104" s="17">
        <f t="array" ref="AF104">INDEX(tbllkpSteelGrades[fu],MATCH(1,(Table8[[#This Row],[Grade]]=tbllkpSteelGrades[Grade])*(Table8[[#This Row],[tw]]&lt;=tbllkpSteelGrades[Thickness]),0))</f>
        <v>440000000</v>
      </c>
      <c r="AG104" s="18">
        <f>IF(Table8[[#This Row],[Fabrication Type]]="Welded",Table8[[#This Row],[d1]],Table8[[#This Row],[d]])*Table8[[#This Row],[tw]]</f>
        <v>1.3040999999999999E-3</v>
      </c>
      <c r="AH104" s="11">
        <f>Table8[[#This Row],[Aw]]*Table8[[#This Row],[fy_web]]*0.6</f>
        <v>250387.19999999995</v>
      </c>
      <c r="AI104" s="35">
        <f>82/SQRT(Table8[[#This Row],[fy_web]]/250000000)</f>
        <v>72.478445071621124</v>
      </c>
      <c r="AJ10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04" s="38" t="str">
        <f>IF(Table8[[#This Row],[Fabrication Type]]="Welded",IF(Table8[[#This Row],[tw]]&gt;0.016,0.016*Table8[[#This Row],[fu]],Table8[[#This Row],[tw]]*Table8[[#This Row],[fu]]),"")</f>
        <v/>
      </c>
      <c r="AL104" s="13">
        <f>Table8[[#This Row],[d]]-Table8[[#This Row],[tf]]</f>
        <v>0.19739999999999999</v>
      </c>
      <c r="AM104" s="39">
        <f>Table8[[#This Row],[bf]]*Table8[[#This Row],[tf]]*(Table8[[#This Row],[df]]/2)</f>
        <v>1.2696767999999999E-4</v>
      </c>
      <c r="AN104" s="11" t="str">
        <f>IF(Table8[[#This Row],[Fabrication Type]]="Welded",Table8[[#This Row],[vw]]*Table8[[#This Row],[Ix]]/Table8[[#This Row],[Qflange]],"")</f>
        <v/>
      </c>
      <c r="AO104" s="11">
        <f>Table8[[#This Row],[tw]]*MIN(Table8[[#This Row],[fy_web]], Table8[[#This Row],[fy_flange]])*0.6*Table8[[#This Row],[Ix]]/Table8[[#This Row],[Qflange]]</f>
        <v>277230.86694188631</v>
      </c>
      <c r="AP104" s="50">
        <f ca="1">INDEX(tbllkpkt[kt],MATCH(RANDBETWEEN(1,4),tbllkpkt[Index],0))</f>
        <v>0.75</v>
      </c>
      <c r="AQ104" s="48">
        <f t="shared" ca="1" si="3"/>
        <v>0.92</v>
      </c>
      <c r="AR104" s="18">
        <f ca="1">Table8[[#This Row],[Ag]]*Table8[[#This Row],[Deduction_for_An]]</f>
        <v>3.5144E-3</v>
      </c>
      <c r="AS104" s="11">
        <f>Table8[[#This Row],[fy]]*Table8[[#This Row],[Ag]]</f>
        <v>1222400</v>
      </c>
      <c r="AT104" s="11">
        <f ca="1">Table8[[#This Row],[αu]]*Table8[[#This Row],[kt]]*Table8[[#This Row],[An]]*Table8[[#This Row],[fu]]</f>
        <v>985789.2</v>
      </c>
      <c r="AU104" s="11">
        <f ca="1">MIN(Table8[[#This Row],[Nty]],Table8[[#This Row],[Ntu]])</f>
        <v>985789.2</v>
      </c>
    </row>
    <row r="105" spans="2:47" x14ac:dyDescent="0.25">
      <c r="B105" s="15" t="str">
        <f>Table8[[#This Row],[Section]]&amp;"-"&amp;TEXT(Table8[[#This Row],[Grade]],"0")</f>
        <v>200UB25.4-300HR</v>
      </c>
      <c r="C105" s="3" t="s">
        <v>95</v>
      </c>
      <c r="D105" s="3" t="s">
        <v>106</v>
      </c>
      <c r="E105" s="3" t="s">
        <v>104</v>
      </c>
      <c r="F105" s="4">
        <v>25.4</v>
      </c>
      <c r="G105" s="3" t="s">
        <v>13</v>
      </c>
      <c r="H105" s="3" t="s">
        <v>105</v>
      </c>
      <c r="I105" s="5">
        <v>0.20300000000000001</v>
      </c>
      <c r="J105" s="5">
        <v>0.13300000000000001</v>
      </c>
      <c r="K105" s="5">
        <v>7.7999999999999996E-3</v>
      </c>
      <c r="L105" s="5">
        <v>5.7999999999999996E-3</v>
      </c>
      <c r="M105" s="5">
        <v>8.8999999999999999E-3</v>
      </c>
      <c r="N105" s="5">
        <v>0.18740000000000001</v>
      </c>
      <c r="O105" s="6">
        <v>32.310344827586214</v>
      </c>
      <c r="P105" s="6">
        <v>8.1538461538461551</v>
      </c>
      <c r="Q105" s="7">
        <v>3.2299999999999998E-3</v>
      </c>
      <c r="R105" s="8">
        <v>2.3600000000000001E-5</v>
      </c>
      <c r="S105" s="9">
        <v>2.32E-4</v>
      </c>
      <c r="T105" s="9">
        <v>2.5999999999999998E-4</v>
      </c>
      <c r="U105" s="5">
        <v>8.5400000000000004E-2</v>
      </c>
      <c r="V105" s="8">
        <v>3.0599999999999999E-6</v>
      </c>
      <c r="W105" s="9">
        <v>4.6100000000000002E-5</v>
      </c>
      <c r="X105" s="9">
        <v>7.0900000000000002E-5</v>
      </c>
      <c r="Y105" s="5">
        <v>8.5400000000000004E-2</v>
      </c>
      <c r="Z105" s="8">
        <v>6.2699999999999999E-8</v>
      </c>
      <c r="AA105" s="10">
        <v>2.92E-8</v>
      </c>
      <c r="AB105" s="45">
        <v>0.85</v>
      </c>
      <c r="AC105" s="17">
        <f t="array" ref="AC105">INDEX(tbllkpSteelGrades[fy],MATCH(1,(Table8[[#This Row],[Grade]]=tbllkpSteelGrades[Grade])*(Table8[[#This Row],[tw]]&lt;=tbllkpSteelGrades[Thickness]),0))</f>
        <v>320000000</v>
      </c>
      <c r="AD105" s="17">
        <f t="array" ref="AD105">INDEX(tbllkpSteelGrades[fy],MATCH(1,(Table8[[#This Row],[Grade]]=tbllkpSteelGrades[Grade])*(Table8[[#This Row],[tf]]&lt;=tbllkpSteelGrades[Thickness]),0))</f>
        <v>320000000</v>
      </c>
      <c r="AE105" s="17">
        <f>MIN(Table8[[#This Row],[fy_web]],Table8[[#This Row],[fy_flange]])</f>
        <v>320000000</v>
      </c>
      <c r="AF105" s="17">
        <f t="array" ref="AF105">INDEX(tbllkpSteelGrades[fu],MATCH(1,(Table8[[#This Row],[Grade]]=tbllkpSteelGrades[Grade])*(Table8[[#This Row],[tw]]&lt;=tbllkpSteelGrades[Thickness]),0))</f>
        <v>440000000</v>
      </c>
      <c r="AG105" s="18">
        <f>IF(Table8[[#This Row],[Fabrication Type]]="Welded",Table8[[#This Row],[d1]],Table8[[#This Row],[d]])*Table8[[#This Row],[tw]]</f>
        <v>1.1774000000000001E-3</v>
      </c>
      <c r="AH105" s="11">
        <f>Table8[[#This Row],[Aw]]*Table8[[#This Row],[fy_web]]*0.6</f>
        <v>226060.80000000002</v>
      </c>
      <c r="AI105" s="35">
        <f>82/SQRT(Table8[[#This Row],[fy_web]]/250000000)</f>
        <v>72.478445071621124</v>
      </c>
      <c r="AJ10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05" s="38" t="str">
        <f>IF(Table8[[#This Row],[Fabrication Type]]="Welded",IF(Table8[[#This Row],[tw]]&gt;0.016,0.016*Table8[[#This Row],[fu]],Table8[[#This Row],[tw]]*Table8[[#This Row],[fu]]),"")</f>
        <v/>
      </c>
      <c r="AL105" s="13">
        <f>Table8[[#This Row],[d]]-Table8[[#This Row],[tf]]</f>
        <v>0.19520000000000001</v>
      </c>
      <c r="AM105" s="39">
        <f>Table8[[#This Row],[bf]]*Table8[[#This Row],[tf]]*(Table8[[#This Row],[df]]/2)</f>
        <v>1.0125024E-4</v>
      </c>
      <c r="AN105" s="11" t="str">
        <f>IF(Table8[[#This Row],[Fabrication Type]]="Welded",Table8[[#This Row],[vw]]*Table8[[#This Row],[Ix]]/Table8[[#This Row],[Qflange]],"")</f>
        <v/>
      </c>
      <c r="AO105" s="11">
        <f>Table8[[#This Row],[tw]]*MIN(Table8[[#This Row],[fy_web]], Table8[[#This Row],[fy_flange]])*0.6*Table8[[#This Row],[Ix]]/Table8[[#This Row],[Qflange]]</f>
        <v>259564.42177322245</v>
      </c>
      <c r="AP105" s="50">
        <f ca="1">INDEX(tbllkpkt[kt],MATCH(RANDBETWEEN(1,4),tbllkpkt[Index],0))</f>
        <v>0.85</v>
      </c>
      <c r="AQ105" s="48">
        <f t="shared" ca="1" si="3"/>
        <v>0.96</v>
      </c>
      <c r="AR105" s="18">
        <f ca="1">Table8[[#This Row],[Ag]]*Table8[[#This Row],[Deduction_for_An]]</f>
        <v>3.1007999999999995E-3</v>
      </c>
      <c r="AS105" s="11">
        <f>Table8[[#This Row],[fy]]*Table8[[#This Row],[Ag]]</f>
        <v>1033599.9999999999</v>
      </c>
      <c r="AT105" s="11">
        <f ca="1">Table8[[#This Row],[αu]]*Table8[[#This Row],[kt]]*Table8[[#This Row],[An]]*Table8[[#This Row],[fu]]</f>
        <v>985744.31999999972</v>
      </c>
      <c r="AU105" s="11">
        <f ca="1">MIN(Table8[[#This Row],[Nty]],Table8[[#This Row],[Ntu]])</f>
        <v>985744.31999999972</v>
      </c>
    </row>
    <row r="106" spans="2:47" x14ac:dyDescent="0.25">
      <c r="B106" s="15" t="str">
        <f>Table8[[#This Row],[Section]]&amp;"-"&amp;TEXT(Table8[[#This Row],[Grade]],"0")</f>
        <v>200UB22.3-300HR</v>
      </c>
      <c r="C106" s="3" t="s">
        <v>96</v>
      </c>
      <c r="D106" s="3" t="s">
        <v>106</v>
      </c>
      <c r="E106" s="3" t="s">
        <v>104</v>
      </c>
      <c r="F106" s="4">
        <v>22.3</v>
      </c>
      <c r="G106" s="3" t="s">
        <v>13</v>
      </c>
      <c r="H106" s="3" t="s">
        <v>105</v>
      </c>
      <c r="I106" s="5">
        <v>0.20200000000000001</v>
      </c>
      <c r="J106" s="5">
        <v>0.13300000000000001</v>
      </c>
      <c r="K106" s="5">
        <v>7.0000000000000001E-3</v>
      </c>
      <c r="L106" s="5">
        <v>5.0000000000000001E-3</v>
      </c>
      <c r="M106" s="5">
        <v>8.8999999999999999E-3</v>
      </c>
      <c r="N106" s="5">
        <v>0.188</v>
      </c>
      <c r="O106" s="6">
        <v>37.6</v>
      </c>
      <c r="P106" s="6">
        <v>9.1428571428571423</v>
      </c>
      <c r="Q106" s="7">
        <v>2.8700000000000002E-3</v>
      </c>
      <c r="R106" s="8">
        <v>2.0999999999999999E-5</v>
      </c>
      <c r="S106" s="9">
        <v>2.0799999999999999E-4</v>
      </c>
      <c r="T106" s="9">
        <v>2.31E-4</v>
      </c>
      <c r="U106" s="5">
        <v>8.5500000000000007E-2</v>
      </c>
      <c r="V106" s="8">
        <v>2.7499999999999999E-6</v>
      </c>
      <c r="W106" s="9">
        <v>4.1300000000000001E-5</v>
      </c>
      <c r="X106" s="9">
        <v>6.3399999999999996E-5</v>
      </c>
      <c r="Y106" s="5">
        <v>8.5500000000000007E-2</v>
      </c>
      <c r="Z106" s="8">
        <v>4.4999999999999999E-8</v>
      </c>
      <c r="AA106" s="10">
        <v>2.6000000000000001E-8</v>
      </c>
      <c r="AB106" s="45">
        <v>0.85</v>
      </c>
      <c r="AC106" s="17">
        <f t="array" ref="AC106">INDEX(tbllkpSteelGrades[fy],MATCH(1,(Table8[[#This Row],[Grade]]=tbllkpSteelGrades[Grade])*(Table8[[#This Row],[tw]]&lt;=tbllkpSteelGrades[Thickness]),0))</f>
        <v>320000000</v>
      </c>
      <c r="AD106" s="17">
        <f t="array" ref="AD106">INDEX(tbllkpSteelGrades[fy],MATCH(1,(Table8[[#This Row],[Grade]]=tbllkpSteelGrades[Grade])*(Table8[[#This Row],[tf]]&lt;=tbllkpSteelGrades[Thickness]),0))</f>
        <v>320000000</v>
      </c>
      <c r="AE106" s="17">
        <f>MIN(Table8[[#This Row],[fy_web]],Table8[[#This Row],[fy_flange]])</f>
        <v>320000000</v>
      </c>
      <c r="AF106" s="17">
        <f t="array" ref="AF106">INDEX(tbllkpSteelGrades[fu],MATCH(1,(Table8[[#This Row],[Grade]]=tbllkpSteelGrades[Grade])*(Table8[[#This Row],[tw]]&lt;=tbllkpSteelGrades[Thickness]),0))</f>
        <v>440000000</v>
      </c>
      <c r="AG106" s="18">
        <f>IF(Table8[[#This Row],[Fabrication Type]]="Welded",Table8[[#This Row],[d1]],Table8[[#This Row],[d]])*Table8[[#This Row],[tw]]</f>
        <v>1.01E-3</v>
      </c>
      <c r="AH106" s="11">
        <f>Table8[[#This Row],[Aw]]*Table8[[#This Row],[fy_web]]*0.6</f>
        <v>193920</v>
      </c>
      <c r="AI106" s="35">
        <f>82/SQRT(Table8[[#This Row],[fy_web]]/250000000)</f>
        <v>72.478445071621124</v>
      </c>
      <c r="AJ10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06" s="38" t="str">
        <f>IF(Table8[[#This Row],[Fabrication Type]]="Welded",IF(Table8[[#This Row],[tw]]&gt;0.016,0.016*Table8[[#This Row],[fu]],Table8[[#This Row],[tw]]*Table8[[#This Row],[fu]]),"")</f>
        <v/>
      </c>
      <c r="AL106" s="13">
        <f>Table8[[#This Row],[d]]-Table8[[#This Row],[tf]]</f>
        <v>0.19500000000000001</v>
      </c>
      <c r="AM106" s="39">
        <f>Table8[[#This Row],[bf]]*Table8[[#This Row],[tf]]*(Table8[[#This Row],[df]]/2)</f>
        <v>9.0772500000000012E-5</v>
      </c>
      <c r="AN106" s="11" t="str">
        <f>IF(Table8[[#This Row],[Fabrication Type]]="Welded",Table8[[#This Row],[vw]]*Table8[[#This Row],[Ix]]/Table8[[#This Row],[Qflange]],"")</f>
        <v/>
      </c>
      <c r="AO106" s="11">
        <f>Table8[[#This Row],[tw]]*MIN(Table8[[#This Row],[fy_web]], Table8[[#This Row],[fy_flange]])*0.6*Table8[[#This Row],[Ix]]/Table8[[#This Row],[Qflange]]</f>
        <v>222093.69577790628</v>
      </c>
      <c r="AP106" s="50">
        <f ca="1">INDEX(tbllkpkt[kt],MATCH(RANDBETWEEN(1,4),tbllkpkt[Index],0))</f>
        <v>0.85</v>
      </c>
      <c r="AQ106" s="48">
        <f t="shared" ca="1" si="3"/>
        <v>0.92999999999999994</v>
      </c>
      <c r="AR106" s="18">
        <f ca="1">Table8[[#This Row],[Ag]]*Table8[[#This Row],[Deduction_for_An]]</f>
        <v>2.6690999999999998E-3</v>
      </c>
      <c r="AS106" s="11">
        <f>Table8[[#This Row],[fy]]*Table8[[#This Row],[Ag]]</f>
        <v>918400</v>
      </c>
      <c r="AT106" s="11">
        <f ca="1">Table8[[#This Row],[αu]]*Table8[[#This Row],[kt]]*Table8[[#This Row],[An]]*Table8[[#This Row],[fu]]</f>
        <v>848506.88999999978</v>
      </c>
      <c r="AU106" s="11">
        <f ca="1">MIN(Table8[[#This Row],[Nty]],Table8[[#This Row],[Ntu]])</f>
        <v>848506.88999999978</v>
      </c>
    </row>
    <row r="107" spans="2:47" x14ac:dyDescent="0.25">
      <c r="B107" s="15" t="str">
        <f>Table8[[#This Row],[Section]]&amp;"-"&amp;TEXT(Table8[[#This Row],[Grade]],"0")</f>
        <v>200UB18.2-300HR</v>
      </c>
      <c r="C107" s="3" t="s">
        <v>97</v>
      </c>
      <c r="D107" s="3" t="s">
        <v>106</v>
      </c>
      <c r="E107" s="3" t="s">
        <v>104</v>
      </c>
      <c r="F107" s="4">
        <v>18.2</v>
      </c>
      <c r="G107" s="3" t="s">
        <v>13</v>
      </c>
      <c r="H107" s="3" t="s">
        <v>105</v>
      </c>
      <c r="I107" s="5">
        <v>0.19800000000000001</v>
      </c>
      <c r="J107" s="5">
        <v>9.9000000000000005E-2</v>
      </c>
      <c r="K107" s="5">
        <v>7.0000000000000001E-3</v>
      </c>
      <c r="L107" s="5">
        <v>4.4999999999999997E-3</v>
      </c>
      <c r="M107" s="5">
        <v>1.0999999999999999E-2</v>
      </c>
      <c r="N107" s="5">
        <v>0.184</v>
      </c>
      <c r="O107" s="6">
        <v>40.888888888888893</v>
      </c>
      <c r="P107" s="6">
        <v>6.75</v>
      </c>
      <c r="Q107" s="7">
        <v>2.32E-3</v>
      </c>
      <c r="R107" s="8">
        <v>1.5800000000000001E-5</v>
      </c>
      <c r="S107" s="9">
        <v>1.6000000000000001E-4</v>
      </c>
      <c r="T107" s="9">
        <v>1.8000000000000001E-4</v>
      </c>
      <c r="U107" s="5">
        <v>8.2599999999999993E-2</v>
      </c>
      <c r="V107" s="8">
        <v>1.1400000000000001E-6</v>
      </c>
      <c r="W107" s="9">
        <v>2.3E-5</v>
      </c>
      <c r="X107" s="9">
        <v>3.57E-5</v>
      </c>
      <c r="Y107" s="5">
        <v>8.2599999999999993E-2</v>
      </c>
      <c r="Z107" s="8">
        <v>3.8600000000000002E-8</v>
      </c>
      <c r="AA107" s="10">
        <v>1.04E-8</v>
      </c>
      <c r="AB107" s="45">
        <v>0.85</v>
      </c>
      <c r="AC107" s="17">
        <f t="array" ref="AC107">INDEX(tbllkpSteelGrades[fy],MATCH(1,(Table8[[#This Row],[Grade]]=tbllkpSteelGrades[Grade])*(Table8[[#This Row],[tw]]&lt;=tbllkpSteelGrades[Thickness]),0))</f>
        <v>320000000</v>
      </c>
      <c r="AD107" s="17">
        <f t="array" ref="AD107">INDEX(tbllkpSteelGrades[fy],MATCH(1,(Table8[[#This Row],[Grade]]=tbllkpSteelGrades[Grade])*(Table8[[#This Row],[tf]]&lt;=tbllkpSteelGrades[Thickness]),0))</f>
        <v>320000000</v>
      </c>
      <c r="AE107" s="17">
        <f>MIN(Table8[[#This Row],[fy_web]],Table8[[#This Row],[fy_flange]])</f>
        <v>320000000</v>
      </c>
      <c r="AF107" s="17">
        <f t="array" ref="AF107">INDEX(tbllkpSteelGrades[fu],MATCH(1,(Table8[[#This Row],[Grade]]=tbllkpSteelGrades[Grade])*(Table8[[#This Row],[tw]]&lt;=tbllkpSteelGrades[Thickness]),0))</f>
        <v>440000000</v>
      </c>
      <c r="AG107" s="18">
        <f>IF(Table8[[#This Row],[Fabrication Type]]="Welded",Table8[[#This Row],[d1]],Table8[[#This Row],[d]])*Table8[[#This Row],[tw]]</f>
        <v>8.9099999999999997E-4</v>
      </c>
      <c r="AH107" s="11">
        <f>Table8[[#This Row],[Aw]]*Table8[[#This Row],[fy_web]]*0.6</f>
        <v>171072</v>
      </c>
      <c r="AI107" s="35">
        <f>82/SQRT(Table8[[#This Row],[fy_web]]/250000000)</f>
        <v>72.478445071621124</v>
      </c>
      <c r="AJ10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07" s="38" t="str">
        <f>IF(Table8[[#This Row],[Fabrication Type]]="Welded",IF(Table8[[#This Row],[tw]]&gt;0.016,0.016*Table8[[#This Row],[fu]],Table8[[#This Row],[tw]]*Table8[[#This Row],[fu]]),"")</f>
        <v/>
      </c>
      <c r="AL107" s="13">
        <f>Table8[[#This Row],[d]]-Table8[[#This Row],[tf]]</f>
        <v>0.191</v>
      </c>
      <c r="AM107" s="39">
        <f>Table8[[#This Row],[bf]]*Table8[[#This Row],[tf]]*(Table8[[#This Row],[df]]/2)</f>
        <v>6.6181500000000003E-5</v>
      </c>
      <c r="AN107" s="11" t="str">
        <f>IF(Table8[[#This Row],[Fabrication Type]]="Welded",Table8[[#This Row],[vw]]*Table8[[#This Row],[Ix]]/Table8[[#This Row],[Qflange]],"")</f>
        <v/>
      </c>
      <c r="AO107" s="11">
        <f>Table8[[#This Row],[tw]]*MIN(Table8[[#This Row],[fy_web]], Table8[[#This Row],[fy_flange]])*0.6*Table8[[#This Row],[Ix]]/Table8[[#This Row],[Qflange]]</f>
        <v>206269.12354661047</v>
      </c>
      <c r="AP107" s="50">
        <f ca="1">INDEX(tbllkpkt[kt],MATCH(RANDBETWEEN(1,4),tbllkpkt[Index],0))</f>
        <v>0.85</v>
      </c>
      <c r="AQ107" s="48">
        <f t="shared" ca="1" si="3"/>
        <v>0.96</v>
      </c>
      <c r="AR107" s="18">
        <f ca="1">Table8[[#This Row],[Ag]]*Table8[[#This Row],[Deduction_for_An]]</f>
        <v>2.2271999999999999E-3</v>
      </c>
      <c r="AS107" s="11">
        <f>Table8[[#This Row],[fy]]*Table8[[#This Row],[Ag]]</f>
        <v>742400</v>
      </c>
      <c r="AT107" s="11">
        <f ca="1">Table8[[#This Row],[αu]]*Table8[[#This Row],[kt]]*Table8[[#This Row],[An]]*Table8[[#This Row],[fu]]</f>
        <v>708026.87999999989</v>
      </c>
      <c r="AU107" s="11">
        <f ca="1">MIN(Table8[[#This Row],[Nty]],Table8[[#This Row],[Ntu]])</f>
        <v>708026.87999999989</v>
      </c>
    </row>
    <row r="108" spans="2:47" x14ac:dyDescent="0.25">
      <c r="B108" s="15" t="str">
        <f>Table8[[#This Row],[Section]]&amp;"-"&amp;TEXT(Table8[[#This Row],[Grade]],"0")</f>
        <v>180UB22.2-300HR</v>
      </c>
      <c r="C108" s="3" t="s">
        <v>98</v>
      </c>
      <c r="D108" s="3" t="s">
        <v>106</v>
      </c>
      <c r="E108" s="3" t="s">
        <v>104</v>
      </c>
      <c r="F108" s="4">
        <v>22.2</v>
      </c>
      <c r="G108" s="3" t="s">
        <v>13</v>
      </c>
      <c r="H108" s="3" t="s">
        <v>105</v>
      </c>
      <c r="I108" s="5">
        <v>0.17899999999999999</v>
      </c>
      <c r="J108" s="5">
        <v>0.09</v>
      </c>
      <c r="K108" s="5">
        <v>0.01</v>
      </c>
      <c r="L108" s="5">
        <v>6.0000000000000001E-3</v>
      </c>
      <c r="M108" s="5">
        <v>8.8999999999999999E-3</v>
      </c>
      <c r="N108" s="5">
        <v>0.159</v>
      </c>
      <c r="O108" s="6">
        <v>26.5</v>
      </c>
      <c r="P108" s="6">
        <v>4.1999999999999993</v>
      </c>
      <c r="Q108" s="7">
        <v>2.82E-3</v>
      </c>
      <c r="R108" s="8">
        <v>1.5299999999999999E-5</v>
      </c>
      <c r="S108" s="9">
        <v>1.7100000000000001E-4</v>
      </c>
      <c r="T108" s="9">
        <v>1.95E-4</v>
      </c>
      <c r="U108" s="5">
        <v>7.3599999999999999E-2</v>
      </c>
      <c r="V108" s="8">
        <v>1.22E-6</v>
      </c>
      <c r="W108" s="9">
        <v>2.7100000000000001E-5</v>
      </c>
      <c r="X108" s="9">
        <v>4.2299999999999998E-5</v>
      </c>
      <c r="Y108" s="5">
        <v>7.3599999999999999E-2</v>
      </c>
      <c r="Z108" s="8">
        <v>8.1600000000000003E-8</v>
      </c>
      <c r="AA108" s="10">
        <v>8.7099999999999999E-9</v>
      </c>
      <c r="AB108" s="45">
        <v>0.85</v>
      </c>
      <c r="AC108" s="17">
        <f t="array" ref="AC108">INDEX(tbllkpSteelGrades[fy],MATCH(1,(Table8[[#This Row],[Grade]]=tbllkpSteelGrades[Grade])*(Table8[[#This Row],[tw]]&lt;=tbllkpSteelGrades[Thickness]),0))</f>
        <v>320000000</v>
      </c>
      <c r="AD108" s="17">
        <f t="array" ref="AD108">INDEX(tbllkpSteelGrades[fy],MATCH(1,(Table8[[#This Row],[Grade]]=tbllkpSteelGrades[Grade])*(Table8[[#This Row],[tf]]&lt;=tbllkpSteelGrades[Thickness]),0))</f>
        <v>320000000</v>
      </c>
      <c r="AE108" s="17">
        <f>MIN(Table8[[#This Row],[fy_web]],Table8[[#This Row],[fy_flange]])</f>
        <v>320000000</v>
      </c>
      <c r="AF108" s="17">
        <f t="array" ref="AF108">INDEX(tbllkpSteelGrades[fu],MATCH(1,(Table8[[#This Row],[Grade]]=tbllkpSteelGrades[Grade])*(Table8[[#This Row],[tw]]&lt;=tbllkpSteelGrades[Thickness]),0))</f>
        <v>440000000</v>
      </c>
      <c r="AG108" s="18">
        <f>IF(Table8[[#This Row],[Fabrication Type]]="Welded",Table8[[#This Row],[d1]],Table8[[#This Row],[d]])*Table8[[#This Row],[tw]]</f>
        <v>1.0740000000000001E-3</v>
      </c>
      <c r="AH108" s="11">
        <f>Table8[[#This Row],[Aw]]*Table8[[#This Row],[fy_web]]*0.6</f>
        <v>206208</v>
      </c>
      <c r="AI108" s="35">
        <f>82/SQRT(Table8[[#This Row],[fy_web]]/250000000)</f>
        <v>72.478445071621124</v>
      </c>
      <c r="AJ10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08" s="38" t="str">
        <f>IF(Table8[[#This Row],[Fabrication Type]]="Welded",IF(Table8[[#This Row],[tw]]&gt;0.016,0.016*Table8[[#This Row],[fu]],Table8[[#This Row],[tw]]*Table8[[#This Row],[fu]]),"")</f>
        <v/>
      </c>
      <c r="AL108" s="13">
        <f>Table8[[#This Row],[d]]-Table8[[#This Row],[tf]]</f>
        <v>0.16899999999999998</v>
      </c>
      <c r="AM108" s="39">
        <f>Table8[[#This Row],[bf]]*Table8[[#This Row],[tf]]*(Table8[[#This Row],[df]]/2)</f>
        <v>7.6049999999999992E-5</v>
      </c>
      <c r="AN108" s="11" t="str">
        <f>IF(Table8[[#This Row],[Fabrication Type]]="Welded",Table8[[#This Row],[vw]]*Table8[[#This Row],[Ix]]/Table8[[#This Row],[Qflange]],"")</f>
        <v/>
      </c>
      <c r="AO108" s="11">
        <f>Table8[[#This Row],[tw]]*MIN(Table8[[#This Row],[fy_web]], Table8[[#This Row],[fy_flange]])*0.6*Table8[[#This Row],[Ix]]/Table8[[#This Row],[Qflange]]</f>
        <v>231763.31360946747</v>
      </c>
      <c r="AP108" s="50">
        <f ca="1">INDEX(tbllkpkt[kt],MATCH(RANDBETWEEN(1,4),tbllkpkt[Index],0))</f>
        <v>0.9</v>
      </c>
      <c r="AQ108" s="48">
        <f t="shared" ca="1" si="3"/>
        <v>0.9</v>
      </c>
      <c r="AR108" s="18">
        <f ca="1">Table8[[#This Row],[Ag]]*Table8[[#This Row],[Deduction_for_An]]</f>
        <v>2.5379999999999999E-3</v>
      </c>
      <c r="AS108" s="11">
        <f>Table8[[#This Row],[fy]]*Table8[[#This Row],[Ag]]</f>
        <v>902400</v>
      </c>
      <c r="AT108" s="11">
        <f ca="1">Table8[[#This Row],[αu]]*Table8[[#This Row],[kt]]*Table8[[#This Row],[An]]*Table8[[#This Row],[fu]]</f>
        <v>854290.79999999993</v>
      </c>
      <c r="AU108" s="11">
        <f ca="1">MIN(Table8[[#This Row],[Nty]],Table8[[#This Row],[Ntu]])</f>
        <v>854290.79999999993</v>
      </c>
    </row>
    <row r="109" spans="2:47" x14ac:dyDescent="0.25">
      <c r="B109" s="15" t="str">
        <f>Table8[[#This Row],[Section]]&amp;"-"&amp;TEXT(Table8[[#This Row],[Grade]],"0")</f>
        <v>180UB18.1-300HR</v>
      </c>
      <c r="C109" s="3" t="s">
        <v>99</v>
      </c>
      <c r="D109" s="3" t="s">
        <v>106</v>
      </c>
      <c r="E109" s="3" t="s">
        <v>104</v>
      </c>
      <c r="F109" s="4">
        <v>18.100000000000001</v>
      </c>
      <c r="G109" s="3" t="s">
        <v>13</v>
      </c>
      <c r="H109" s="3" t="s">
        <v>105</v>
      </c>
      <c r="I109" s="5">
        <v>0.17499999999999999</v>
      </c>
      <c r="J109" s="5">
        <v>0.09</v>
      </c>
      <c r="K109" s="5">
        <v>8.0000000000000002E-3</v>
      </c>
      <c r="L109" s="5">
        <v>5.0000000000000001E-3</v>
      </c>
      <c r="M109" s="5">
        <v>8.8999999999999999E-3</v>
      </c>
      <c r="N109" s="5">
        <v>0.15899999999999997</v>
      </c>
      <c r="O109" s="6">
        <v>31.799999999999994</v>
      </c>
      <c r="P109" s="6">
        <v>5.3124999999999991</v>
      </c>
      <c r="Q109" s="7">
        <v>2.3E-3</v>
      </c>
      <c r="R109" s="8">
        <v>1.2099999999999999E-5</v>
      </c>
      <c r="S109" s="9">
        <v>1.3899999999999999E-4</v>
      </c>
      <c r="T109" s="9">
        <v>1.5699999999999999E-4</v>
      </c>
      <c r="U109" s="5">
        <v>7.2599999999999998E-2</v>
      </c>
      <c r="V109" s="8">
        <v>9.7499999999999998E-7</v>
      </c>
      <c r="W109" s="9">
        <v>2.1699999999999999E-5</v>
      </c>
      <c r="X109" s="9">
        <v>3.3699999999999999E-5</v>
      </c>
      <c r="Y109" s="5">
        <v>7.2599999999999998E-2</v>
      </c>
      <c r="Z109" s="8">
        <v>4.4799999999999997E-8</v>
      </c>
      <c r="AA109" s="10">
        <v>6.7999999999999997E-9</v>
      </c>
      <c r="AB109" s="45">
        <v>0.85</v>
      </c>
      <c r="AC109" s="17">
        <f t="array" ref="AC109">INDEX(tbllkpSteelGrades[fy],MATCH(1,(Table8[[#This Row],[Grade]]=tbllkpSteelGrades[Grade])*(Table8[[#This Row],[tw]]&lt;=tbllkpSteelGrades[Thickness]),0))</f>
        <v>320000000</v>
      </c>
      <c r="AD109" s="17">
        <f t="array" ref="AD109">INDEX(tbllkpSteelGrades[fy],MATCH(1,(Table8[[#This Row],[Grade]]=tbllkpSteelGrades[Grade])*(Table8[[#This Row],[tf]]&lt;=tbllkpSteelGrades[Thickness]),0))</f>
        <v>320000000</v>
      </c>
      <c r="AE109" s="17">
        <f>MIN(Table8[[#This Row],[fy_web]],Table8[[#This Row],[fy_flange]])</f>
        <v>320000000</v>
      </c>
      <c r="AF109" s="17">
        <f t="array" ref="AF109">INDEX(tbllkpSteelGrades[fu],MATCH(1,(Table8[[#This Row],[Grade]]=tbllkpSteelGrades[Grade])*(Table8[[#This Row],[tw]]&lt;=tbllkpSteelGrades[Thickness]),0))</f>
        <v>440000000</v>
      </c>
      <c r="AG109" s="18">
        <f>IF(Table8[[#This Row],[Fabrication Type]]="Welded",Table8[[#This Row],[d1]],Table8[[#This Row],[d]])*Table8[[#This Row],[tw]]</f>
        <v>8.7499999999999991E-4</v>
      </c>
      <c r="AH109" s="11">
        <f>Table8[[#This Row],[Aw]]*Table8[[#This Row],[fy_web]]*0.6</f>
        <v>168000</v>
      </c>
      <c r="AI109" s="35">
        <f>82/SQRT(Table8[[#This Row],[fy_web]]/250000000)</f>
        <v>72.478445071621124</v>
      </c>
      <c r="AJ10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09" s="38" t="str">
        <f>IF(Table8[[#This Row],[Fabrication Type]]="Welded",IF(Table8[[#This Row],[tw]]&gt;0.016,0.016*Table8[[#This Row],[fu]],Table8[[#This Row],[tw]]*Table8[[#This Row],[fu]]),"")</f>
        <v/>
      </c>
      <c r="AL109" s="13">
        <f>Table8[[#This Row],[d]]-Table8[[#This Row],[tf]]</f>
        <v>0.16699999999999998</v>
      </c>
      <c r="AM109" s="39">
        <f>Table8[[#This Row],[bf]]*Table8[[#This Row],[tf]]*(Table8[[#This Row],[df]]/2)</f>
        <v>6.0119999999999987E-5</v>
      </c>
      <c r="AN109" s="11" t="str">
        <f>IF(Table8[[#This Row],[Fabrication Type]]="Welded",Table8[[#This Row],[vw]]*Table8[[#This Row],[Ix]]/Table8[[#This Row],[Qflange]],"")</f>
        <v/>
      </c>
      <c r="AO109" s="11">
        <f>Table8[[#This Row],[tw]]*MIN(Table8[[#This Row],[fy_web]], Table8[[#This Row],[fy_flange]])*0.6*Table8[[#This Row],[Ix]]/Table8[[#This Row],[Qflange]]</f>
        <v>193213.57285429144</v>
      </c>
      <c r="AP109" s="50">
        <f ca="1">INDEX(tbllkpkt[kt],MATCH(RANDBETWEEN(1,4),tbllkpkt[Index],0))</f>
        <v>1</v>
      </c>
      <c r="AQ109" s="48">
        <f t="shared" ca="1" si="3"/>
        <v>0.99</v>
      </c>
      <c r="AR109" s="18">
        <f ca="1">Table8[[#This Row],[Ag]]*Table8[[#This Row],[Deduction_for_An]]</f>
        <v>2.2769999999999999E-3</v>
      </c>
      <c r="AS109" s="11">
        <f>Table8[[#This Row],[fy]]*Table8[[#This Row],[Ag]]</f>
        <v>736000</v>
      </c>
      <c r="AT109" s="11">
        <f ca="1">Table8[[#This Row],[αu]]*Table8[[#This Row],[kt]]*Table8[[#This Row],[An]]*Table8[[#This Row],[fu]]</f>
        <v>851597.99999999988</v>
      </c>
      <c r="AU109" s="11">
        <f ca="1">MIN(Table8[[#This Row],[Nty]],Table8[[#This Row],[Ntu]])</f>
        <v>736000</v>
      </c>
    </row>
    <row r="110" spans="2:47" x14ac:dyDescent="0.25">
      <c r="B110" s="15" t="str">
        <f>Table8[[#This Row],[Section]]&amp;"-"&amp;TEXT(Table8[[#This Row],[Grade]],"0")</f>
        <v>180UB16.1-300HR</v>
      </c>
      <c r="C110" s="3" t="s">
        <v>100</v>
      </c>
      <c r="D110" s="3" t="s">
        <v>106</v>
      </c>
      <c r="E110" s="3" t="s">
        <v>104</v>
      </c>
      <c r="F110" s="4">
        <v>16.100000000000001</v>
      </c>
      <c r="G110" s="3" t="s">
        <v>13</v>
      </c>
      <c r="H110" s="3" t="s">
        <v>105</v>
      </c>
      <c r="I110" s="5">
        <v>0.17299999999999999</v>
      </c>
      <c r="J110" s="5">
        <v>0.09</v>
      </c>
      <c r="K110" s="5">
        <v>7.0000000000000001E-3</v>
      </c>
      <c r="L110" s="5">
        <v>4.4999999999999997E-3</v>
      </c>
      <c r="M110" s="5">
        <v>8.8999999999999999E-3</v>
      </c>
      <c r="N110" s="5">
        <v>0.15899999999999997</v>
      </c>
      <c r="O110" s="6">
        <v>35.333333333333329</v>
      </c>
      <c r="P110" s="6">
        <v>6.1071428571428568</v>
      </c>
      <c r="Q110" s="7">
        <v>2.0400000000000001E-3</v>
      </c>
      <c r="R110" s="8">
        <v>1.06E-5</v>
      </c>
      <c r="S110" s="9">
        <v>1.2300000000000001E-4</v>
      </c>
      <c r="T110" s="9">
        <v>1.3799999999999999E-4</v>
      </c>
      <c r="U110" s="5">
        <v>7.1999999999999995E-2</v>
      </c>
      <c r="V110" s="8">
        <v>8.5300000000000003E-7</v>
      </c>
      <c r="W110" s="9">
        <v>1.9000000000000001E-5</v>
      </c>
      <c r="X110" s="9">
        <v>2.94E-5</v>
      </c>
      <c r="Y110" s="5">
        <v>7.1999999999999995E-2</v>
      </c>
      <c r="Z110" s="8">
        <v>3.1499999999999998E-8</v>
      </c>
      <c r="AA110" s="10">
        <v>5.8800000000000004E-9</v>
      </c>
      <c r="AB110" s="45">
        <v>0.85</v>
      </c>
      <c r="AC110" s="17">
        <f t="array" ref="AC110">INDEX(tbllkpSteelGrades[fy],MATCH(1,(Table8[[#This Row],[Grade]]=tbllkpSteelGrades[Grade])*(Table8[[#This Row],[tw]]&lt;=tbllkpSteelGrades[Thickness]),0))</f>
        <v>320000000</v>
      </c>
      <c r="AD110" s="17">
        <f t="array" ref="AD110">INDEX(tbllkpSteelGrades[fy],MATCH(1,(Table8[[#This Row],[Grade]]=tbllkpSteelGrades[Grade])*(Table8[[#This Row],[tf]]&lt;=tbllkpSteelGrades[Thickness]),0))</f>
        <v>320000000</v>
      </c>
      <c r="AE110" s="17">
        <f>MIN(Table8[[#This Row],[fy_web]],Table8[[#This Row],[fy_flange]])</f>
        <v>320000000</v>
      </c>
      <c r="AF110" s="17">
        <f t="array" ref="AF110">INDEX(tbllkpSteelGrades[fu],MATCH(1,(Table8[[#This Row],[Grade]]=tbllkpSteelGrades[Grade])*(Table8[[#This Row],[tw]]&lt;=tbllkpSteelGrades[Thickness]),0))</f>
        <v>440000000</v>
      </c>
      <c r="AG110" s="18">
        <f>IF(Table8[[#This Row],[Fabrication Type]]="Welded",Table8[[#This Row],[d1]],Table8[[#This Row],[d]])*Table8[[#This Row],[tw]]</f>
        <v>7.784999999999999E-4</v>
      </c>
      <c r="AH110" s="11">
        <f>Table8[[#This Row],[Aw]]*Table8[[#This Row],[fy_web]]*0.6</f>
        <v>149471.99999999997</v>
      </c>
      <c r="AI110" s="35">
        <f>82/SQRT(Table8[[#This Row],[fy_web]]/250000000)</f>
        <v>72.478445071621124</v>
      </c>
      <c r="AJ11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10" s="38" t="str">
        <f>IF(Table8[[#This Row],[Fabrication Type]]="Welded",IF(Table8[[#This Row],[tw]]&gt;0.016,0.016*Table8[[#This Row],[fu]],Table8[[#This Row],[tw]]*Table8[[#This Row],[fu]]),"")</f>
        <v/>
      </c>
      <c r="AL110" s="13">
        <f>Table8[[#This Row],[d]]-Table8[[#This Row],[tf]]</f>
        <v>0.16599999999999998</v>
      </c>
      <c r="AM110" s="39">
        <f>Table8[[#This Row],[bf]]*Table8[[#This Row],[tf]]*(Table8[[#This Row],[df]]/2)</f>
        <v>5.2289999999999996E-5</v>
      </c>
      <c r="AN110" s="11" t="str">
        <f>IF(Table8[[#This Row],[Fabrication Type]]="Welded",Table8[[#This Row],[vw]]*Table8[[#This Row],[Ix]]/Table8[[#This Row],[Qflange]],"")</f>
        <v/>
      </c>
      <c r="AO110" s="11">
        <f>Table8[[#This Row],[tw]]*MIN(Table8[[#This Row],[fy_web]], Table8[[#This Row],[fy_flange]])*0.6*Table8[[#This Row],[Ix]]/Table8[[#This Row],[Qflange]]</f>
        <v>175146.29948364891</v>
      </c>
      <c r="AP110" s="50">
        <f ca="1">INDEX(tbllkpkt[kt],MATCH(RANDBETWEEN(1,4),tbllkpkt[Index],0))</f>
        <v>0.9</v>
      </c>
      <c r="AQ110" s="48">
        <f t="shared" ca="1" si="3"/>
        <v>0.94</v>
      </c>
      <c r="AR110" s="18">
        <f ca="1">Table8[[#This Row],[Ag]]*Table8[[#This Row],[Deduction_for_An]]</f>
        <v>1.9176E-3</v>
      </c>
      <c r="AS110" s="11">
        <f>Table8[[#This Row],[fy]]*Table8[[#This Row],[Ag]]</f>
        <v>652800</v>
      </c>
      <c r="AT110" s="11">
        <f ca="1">Table8[[#This Row],[αu]]*Table8[[#This Row],[kt]]*Table8[[#This Row],[An]]*Table8[[#This Row],[fu]]</f>
        <v>645464.16</v>
      </c>
      <c r="AU110" s="11">
        <f ca="1">MIN(Table8[[#This Row],[Nty]],Table8[[#This Row],[Ntu]])</f>
        <v>645464.16</v>
      </c>
    </row>
    <row r="111" spans="2:47" x14ac:dyDescent="0.25">
      <c r="B111" s="15" t="str">
        <f>Table8[[#This Row],[Section]]&amp;"-"&amp;TEXT(Table8[[#This Row],[Grade]],"0")</f>
        <v>150UB18.0-300HR</v>
      </c>
      <c r="C111" s="3" t="s">
        <v>101</v>
      </c>
      <c r="D111" s="3" t="s">
        <v>106</v>
      </c>
      <c r="E111" s="3" t="s">
        <v>104</v>
      </c>
      <c r="F111" s="4">
        <v>18</v>
      </c>
      <c r="G111" s="3" t="s">
        <v>13</v>
      </c>
      <c r="H111" s="3" t="s">
        <v>105</v>
      </c>
      <c r="I111" s="5">
        <v>0.155</v>
      </c>
      <c r="J111" s="5">
        <v>7.4999999999999997E-2</v>
      </c>
      <c r="K111" s="5">
        <v>9.4999999999999998E-3</v>
      </c>
      <c r="L111" s="5">
        <v>6.0000000000000001E-3</v>
      </c>
      <c r="M111" s="5">
        <v>8.0000000000000002E-3</v>
      </c>
      <c r="N111" s="5">
        <v>0.13600000000000001</v>
      </c>
      <c r="O111" s="6">
        <v>22.666666666666668</v>
      </c>
      <c r="P111" s="6">
        <v>3.6315789473684208</v>
      </c>
      <c r="Q111" s="7">
        <v>2.3E-3</v>
      </c>
      <c r="R111" s="8">
        <v>9.0499999999999997E-6</v>
      </c>
      <c r="S111" s="9">
        <v>1.17E-4</v>
      </c>
      <c r="T111" s="9">
        <v>1.35E-4</v>
      </c>
      <c r="U111" s="5">
        <v>6.2799999999999995E-2</v>
      </c>
      <c r="V111" s="8">
        <v>6.7199999999999998E-7</v>
      </c>
      <c r="W111" s="9">
        <v>1.7900000000000001E-5</v>
      </c>
      <c r="X111" s="9">
        <v>2.8200000000000001E-5</v>
      </c>
      <c r="Y111" s="5">
        <v>6.2799999999999995E-2</v>
      </c>
      <c r="Z111" s="8">
        <v>6.0500000000000006E-8</v>
      </c>
      <c r="AA111" s="10">
        <v>3.5600000000000001E-9</v>
      </c>
      <c r="AB111" s="45">
        <v>0.85</v>
      </c>
      <c r="AC111" s="17">
        <f t="array" ref="AC111">INDEX(tbllkpSteelGrades[fy],MATCH(1,(Table8[[#This Row],[Grade]]=tbllkpSteelGrades[Grade])*(Table8[[#This Row],[tw]]&lt;=tbllkpSteelGrades[Thickness]),0))</f>
        <v>320000000</v>
      </c>
      <c r="AD111" s="17">
        <f t="array" ref="AD111">INDEX(tbllkpSteelGrades[fy],MATCH(1,(Table8[[#This Row],[Grade]]=tbllkpSteelGrades[Grade])*(Table8[[#This Row],[tf]]&lt;=tbllkpSteelGrades[Thickness]),0))</f>
        <v>320000000</v>
      </c>
      <c r="AE111" s="17">
        <f>MIN(Table8[[#This Row],[fy_web]],Table8[[#This Row],[fy_flange]])</f>
        <v>320000000</v>
      </c>
      <c r="AF111" s="17">
        <f t="array" ref="AF111">INDEX(tbllkpSteelGrades[fu],MATCH(1,(Table8[[#This Row],[Grade]]=tbllkpSteelGrades[Grade])*(Table8[[#This Row],[tw]]&lt;=tbllkpSteelGrades[Thickness]),0))</f>
        <v>440000000</v>
      </c>
      <c r="AG111" s="18">
        <f>IF(Table8[[#This Row],[Fabrication Type]]="Welded",Table8[[#This Row],[d1]],Table8[[#This Row],[d]])*Table8[[#This Row],[tw]]</f>
        <v>9.3000000000000005E-4</v>
      </c>
      <c r="AH111" s="11">
        <f>Table8[[#This Row],[Aw]]*Table8[[#This Row],[fy_web]]*0.6</f>
        <v>178560</v>
      </c>
      <c r="AI111" s="35">
        <f>82/SQRT(Table8[[#This Row],[fy_web]]/250000000)</f>
        <v>72.478445071621124</v>
      </c>
      <c r="AJ11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11" s="38" t="str">
        <f>IF(Table8[[#This Row],[Fabrication Type]]="Welded",IF(Table8[[#This Row],[tw]]&gt;0.016,0.016*Table8[[#This Row],[fu]],Table8[[#This Row],[tw]]*Table8[[#This Row],[fu]]),"")</f>
        <v/>
      </c>
      <c r="AL111" s="13">
        <f>Table8[[#This Row],[d]]-Table8[[#This Row],[tf]]</f>
        <v>0.14549999999999999</v>
      </c>
      <c r="AM111" s="39">
        <f>Table8[[#This Row],[bf]]*Table8[[#This Row],[tf]]*(Table8[[#This Row],[df]]/2)</f>
        <v>5.1834374999999991E-5</v>
      </c>
      <c r="AN111" s="11" t="str">
        <f>IF(Table8[[#This Row],[Fabrication Type]]="Welded",Table8[[#This Row],[vw]]*Table8[[#This Row],[Ix]]/Table8[[#This Row],[Qflange]],"")</f>
        <v/>
      </c>
      <c r="AO111" s="11">
        <f>Table8[[#This Row],[tw]]*MIN(Table8[[#This Row],[fy_web]], Table8[[#This Row],[fy_flange]])*0.6*Table8[[#This Row],[Ix]]/Table8[[#This Row],[Qflange]]</f>
        <v>201132.93543136193</v>
      </c>
      <c r="AP111" s="50">
        <f ca="1">INDEX(tbllkpkt[kt],MATCH(RANDBETWEEN(1,4),tbllkpkt[Index],0))</f>
        <v>0.9</v>
      </c>
      <c r="AQ111" s="48">
        <f t="shared" ca="1" si="3"/>
        <v>0.95</v>
      </c>
      <c r="AR111" s="18">
        <f ca="1">Table8[[#This Row],[Ag]]*Table8[[#This Row],[Deduction_for_An]]</f>
        <v>2.1849999999999999E-3</v>
      </c>
      <c r="AS111" s="11">
        <f>Table8[[#This Row],[fy]]*Table8[[#This Row],[Ag]]</f>
        <v>736000</v>
      </c>
      <c r="AT111" s="11">
        <f ca="1">Table8[[#This Row],[αu]]*Table8[[#This Row],[kt]]*Table8[[#This Row],[An]]*Table8[[#This Row],[fu]]</f>
        <v>735471</v>
      </c>
      <c r="AU111" s="11">
        <f ca="1">MIN(Table8[[#This Row],[Nty]],Table8[[#This Row],[Ntu]])</f>
        <v>735471</v>
      </c>
    </row>
    <row r="112" spans="2:47" x14ac:dyDescent="0.25">
      <c r="B112" s="15" t="str">
        <f>Table8[[#This Row],[Section]]&amp;"-"&amp;TEXT(Table8[[#This Row],[Grade]],"0")</f>
        <v>150UB14.0-300HR</v>
      </c>
      <c r="C112" s="3" t="s">
        <v>102</v>
      </c>
      <c r="D112" s="3" t="s">
        <v>106</v>
      </c>
      <c r="E112" s="3" t="s">
        <v>104</v>
      </c>
      <c r="F112" s="4">
        <v>14</v>
      </c>
      <c r="G112" s="3" t="s">
        <v>13</v>
      </c>
      <c r="H112" s="3" t="s">
        <v>105</v>
      </c>
      <c r="I112" s="5">
        <v>0.15</v>
      </c>
      <c r="J112" s="5">
        <v>7.4999999999999997E-2</v>
      </c>
      <c r="K112" s="5">
        <v>7.0000000000000001E-3</v>
      </c>
      <c r="L112" s="5">
        <v>5.0000000000000001E-3</v>
      </c>
      <c r="M112" s="5">
        <v>8.0000000000000002E-3</v>
      </c>
      <c r="N112" s="5">
        <v>0.13599999999999998</v>
      </c>
      <c r="O112" s="6">
        <v>27.199999999999996</v>
      </c>
      <c r="P112" s="6">
        <v>4.9999999999999991</v>
      </c>
      <c r="Q112" s="7">
        <v>1.7799999999999999E-3</v>
      </c>
      <c r="R112" s="8">
        <v>6.6599999999999998E-6</v>
      </c>
      <c r="S112" s="9">
        <v>8.8800000000000004E-5</v>
      </c>
      <c r="T112" s="9">
        <v>1.02E-4</v>
      </c>
      <c r="U112" s="5">
        <v>6.1100000000000002E-2</v>
      </c>
      <c r="V112" s="8">
        <v>4.9500000000000003E-7</v>
      </c>
      <c r="W112" s="9">
        <v>1.3200000000000001E-5</v>
      </c>
      <c r="X112" s="9">
        <v>2.0800000000000001E-5</v>
      </c>
      <c r="Y112" s="5">
        <v>6.1100000000000002E-2</v>
      </c>
      <c r="Z112" s="8">
        <v>2.81E-8</v>
      </c>
      <c r="AA112" s="10">
        <v>2.5300000000000002E-9</v>
      </c>
      <c r="AB112" s="45">
        <v>0.85</v>
      </c>
      <c r="AC112" s="17">
        <f t="array" ref="AC112">INDEX(tbllkpSteelGrades[fy],MATCH(1,(Table8[[#This Row],[Grade]]=tbllkpSteelGrades[Grade])*(Table8[[#This Row],[tw]]&lt;=tbllkpSteelGrades[Thickness]),0))</f>
        <v>320000000</v>
      </c>
      <c r="AD112" s="17">
        <f t="array" ref="AD112">INDEX(tbllkpSteelGrades[fy],MATCH(1,(Table8[[#This Row],[Grade]]=tbllkpSteelGrades[Grade])*(Table8[[#This Row],[tf]]&lt;=tbllkpSteelGrades[Thickness]),0))</f>
        <v>320000000</v>
      </c>
      <c r="AE112" s="17">
        <f>MIN(Table8[[#This Row],[fy_web]],Table8[[#This Row],[fy_flange]])</f>
        <v>320000000</v>
      </c>
      <c r="AF112" s="17">
        <f t="array" ref="AF112">INDEX(tbllkpSteelGrades[fu],MATCH(1,(Table8[[#This Row],[Grade]]=tbllkpSteelGrades[Grade])*(Table8[[#This Row],[tw]]&lt;=tbllkpSteelGrades[Thickness]),0))</f>
        <v>440000000</v>
      </c>
      <c r="AG112" s="18">
        <f>IF(Table8[[#This Row],[Fabrication Type]]="Welded",Table8[[#This Row],[d1]],Table8[[#This Row],[d]])*Table8[[#This Row],[tw]]</f>
        <v>7.5000000000000002E-4</v>
      </c>
      <c r="AH112" s="11">
        <f>Table8[[#This Row],[Aw]]*Table8[[#This Row],[fy_web]]*0.6</f>
        <v>144000</v>
      </c>
      <c r="AI112" s="35">
        <f>82/SQRT(Table8[[#This Row],[fy_web]]/250000000)</f>
        <v>72.478445071621124</v>
      </c>
      <c r="AJ11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12" s="38" t="str">
        <f>IF(Table8[[#This Row],[Fabrication Type]]="Welded",IF(Table8[[#This Row],[tw]]&gt;0.016,0.016*Table8[[#This Row],[fu]],Table8[[#This Row],[tw]]*Table8[[#This Row],[fu]]),"")</f>
        <v/>
      </c>
      <c r="AL112" s="13">
        <f>Table8[[#This Row],[d]]-Table8[[#This Row],[tf]]</f>
        <v>0.14299999999999999</v>
      </c>
      <c r="AM112" s="39">
        <f>Table8[[#This Row],[bf]]*Table8[[#This Row],[tf]]*(Table8[[#This Row],[df]]/2)</f>
        <v>3.7537499999999998E-5</v>
      </c>
      <c r="AN112" s="11" t="str">
        <f>IF(Table8[[#This Row],[Fabrication Type]]="Welded",Table8[[#This Row],[vw]]*Table8[[#This Row],[Ix]]/Table8[[#This Row],[Qflange]],"")</f>
        <v/>
      </c>
      <c r="AO112" s="11">
        <f>Table8[[#This Row],[tw]]*MIN(Table8[[#This Row],[fy_web]], Table8[[#This Row],[fy_flange]])*0.6*Table8[[#This Row],[Ix]]/Table8[[#This Row],[Qflange]]</f>
        <v>170325.67432567434</v>
      </c>
      <c r="AP112" s="50">
        <f ca="1">INDEX(tbllkpkt[kt],MATCH(RANDBETWEEN(1,4),tbllkpkt[Index],0))</f>
        <v>0.85</v>
      </c>
      <c r="AQ112" s="48">
        <f t="shared" ca="1" si="3"/>
        <v>1</v>
      </c>
      <c r="AR112" s="18">
        <f ca="1">Table8[[#This Row],[Ag]]*Table8[[#This Row],[Deduction_for_An]]</f>
        <v>1.7799999999999999E-3</v>
      </c>
      <c r="AS112" s="11">
        <f>Table8[[#This Row],[fy]]*Table8[[#This Row],[Ag]]</f>
        <v>569600</v>
      </c>
      <c r="AT112" s="11">
        <f ca="1">Table8[[#This Row],[αu]]*Table8[[#This Row],[kt]]*Table8[[#This Row],[An]]*Table8[[#This Row],[fu]]</f>
        <v>565861.99999999988</v>
      </c>
      <c r="AU112" s="11">
        <f ca="1">MIN(Table8[[#This Row],[Nty]],Table8[[#This Row],[Ntu]])</f>
        <v>565861.99999999988</v>
      </c>
    </row>
    <row r="113" spans="2:47" x14ac:dyDescent="0.25">
      <c r="B113" s="15" t="str">
        <f>Table8[[#This Row],[Section]]&amp;"-"&amp;TEXT(Table8[[#This Row],[Grade]],"0")</f>
        <v>310UC96.8-300HR</v>
      </c>
      <c r="C113" s="3" t="s">
        <v>108</v>
      </c>
      <c r="D113" s="3" t="s">
        <v>106</v>
      </c>
      <c r="E113" s="3" t="s">
        <v>121</v>
      </c>
      <c r="F113" s="4">
        <v>96.8</v>
      </c>
      <c r="G113" s="3" t="s">
        <v>13</v>
      </c>
      <c r="H113" s="3" t="s">
        <v>105</v>
      </c>
      <c r="I113" s="5">
        <v>0.308</v>
      </c>
      <c r="J113" s="5">
        <v>0.30499999999999999</v>
      </c>
      <c r="K113" s="5">
        <v>1.54E-2</v>
      </c>
      <c r="L113" s="5">
        <v>9.9000000000000008E-3</v>
      </c>
      <c r="M113" s="5">
        <v>1.6500000000000001E-2</v>
      </c>
      <c r="N113" s="5">
        <v>0.2772</v>
      </c>
      <c r="O113" s="6">
        <v>27.999999999999996</v>
      </c>
      <c r="P113" s="6">
        <v>9.5811688311688297</v>
      </c>
      <c r="Q113" s="7">
        <v>1.24E-2</v>
      </c>
      <c r="R113" s="8">
        <v>2.23E-4</v>
      </c>
      <c r="S113" s="9">
        <v>1.4499999999999999E-3</v>
      </c>
      <c r="T113" s="9">
        <v>1.6000000000000001E-3</v>
      </c>
      <c r="U113" s="5">
        <v>0.13400000000000001</v>
      </c>
      <c r="V113" s="8">
        <v>7.2899999999999997E-5</v>
      </c>
      <c r="W113" s="9">
        <v>4.7800000000000002E-4</v>
      </c>
      <c r="X113" s="9">
        <v>7.2499999999999995E-4</v>
      </c>
      <c r="Y113" s="5">
        <v>0.13400000000000001</v>
      </c>
      <c r="Z113" s="8">
        <v>9.2800000000000005E-7</v>
      </c>
      <c r="AA113" s="10">
        <v>1.5600000000000001E-6</v>
      </c>
      <c r="AB113" s="45">
        <v>0.85</v>
      </c>
      <c r="AC113" s="17">
        <f t="array" ref="AC113">INDEX(tbllkpSteelGrades[fy],MATCH(1,(Table8[[#This Row],[Grade]]=tbllkpSteelGrades[Grade])*(Table8[[#This Row],[tw]]&lt;=tbllkpSteelGrades[Thickness]),0))</f>
        <v>320000000</v>
      </c>
      <c r="AD113" s="17">
        <f t="array" ref="AD113">INDEX(tbllkpSteelGrades[fy],MATCH(1,(Table8[[#This Row],[Grade]]=tbllkpSteelGrades[Grade])*(Table8[[#This Row],[tf]]&lt;=tbllkpSteelGrades[Thickness]),0))</f>
        <v>300000000</v>
      </c>
      <c r="AE113" s="17">
        <f>MIN(Table8[[#This Row],[fy_web]],Table8[[#This Row],[fy_flange]])</f>
        <v>300000000</v>
      </c>
      <c r="AF113" s="17">
        <f t="array" ref="AF113">INDEX(tbllkpSteelGrades[fu],MATCH(1,(Table8[[#This Row],[Grade]]=tbllkpSteelGrades[Grade])*(Table8[[#This Row],[tw]]&lt;=tbllkpSteelGrades[Thickness]),0))</f>
        <v>440000000</v>
      </c>
      <c r="AG113" s="18">
        <f>IF(Table8[[#This Row],[Fabrication Type]]="Welded",Table8[[#This Row],[d1]],Table8[[#This Row],[d]])*Table8[[#This Row],[tw]]</f>
        <v>3.0492000000000002E-3</v>
      </c>
      <c r="AH113" s="11">
        <f>Table8[[#This Row],[Aw]]*Table8[[#This Row],[fy_web]]*0.6</f>
        <v>585446.40000000002</v>
      </c>
      <c r="AI113" s="35">
        <f>82/SQRT(Table8[[#This Row],[fy_web]]/250000000)</f>
        <v>72.478445071621124</v>
      </c>
      <c r="AJ11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13" s="38" t="str">
        <f>IF(Table8[[#This Row],[Fabrication Type]]="Welded",IF(Table8[[#This Row],[tw]]&gt;0.016,0.016*Table8[[#This Row],[fu]],Table8[[#This Row],[tw]]*Table8[[#This Row],[fu]]),"")</f>
        <v/>
      </c>
      <c r="AL113" s="13">
        <f>Table8[[#This Row],[d]]-Table8[[#This Row],[tf]]</f>
        <v>0.29259999999999997</v>
      </c>
      <c r="AM113" s="39">
        <f>Table8[[#This Row],[bf]]*Table8[[#This Row],[tf]]*(Table8[[#This Row],[df]]/2)</f>
        <v>6.8717109999999991E-4</v>
      </c>
      <c r="AN113" s="11" t="str">
        <f>IF(Table8[[#This Row],[Fabrication Type]]="Welded",Table8[[#This Row],[vw]]*Table8[[#This Row],[Ix]]/Table8[[#This Row],[Qflange]],"")</f>
        <v/>
      </c>
      <c r="AO113" s="11">
        <f>Table8[[#This Row],[tw]]*MIN(Table8[[#This Row],[fy_web]], Table8[[#This Row],[fy_flange]])*0.6*Table8[[#This Row],[Ix]]/Table8[[#This Row],[Qflange]]</f>
        <v>578292.65520625073</v>
      </c>
      <c r="AP113" s="50">
        <f ca="1">INDEX(tbllkpkt[kt],MATCH(RANDBETWEEN(1,4),tbllkpkt[Index],0))</f>
        <v>0.75</v>
      </c>
      <c r="AQ113" s="48">
        <f t="shared" ca="1" si="3"/>
        <v>0.98</v>
      </c>
      <c r="AR113" s="18">
        <f ca="1">Table8[[#This Row],[Ag]]*Table8[[#This Row],[Deduction_for_An]]</f>
        <v>1.2152E-2</v>
      </c>
      <c r="AS113" s="11">
        <f>Table8[[#This Row],[fy]]*Table8[[#This Row],[Ag]]</f>
        <v>3720000</v>
      </c>
      <c r="AT113" s="11">
        <f ca="1">Table8[[#This Row],[αu]]*Table8[[#This Row],[kt]]*Table8[[#This Row],[An]]*Table8[[#This Row],[fu]]</f>
        <v>3408635.9999999995</v>
      </c>
      <c r="AU113" s="11">
        <f ca="1">MIN(Table8[[#This Row],[Nty]],Table8[[#This Row],[Ntu]])</f>
        <v>3408635.9999999995</v>
      </c>
    </row>
    <row r="114" spans="2:47" x14ac:dyDescent="0.25">
      <c r="B114" s="15" t="str">
        <f>Table8[[#This Row],[Section]]&amp;"-"&amp;TEXT(Table8[[#This Row],[Grade]],"0")</f>
        <v>310UC158-300HR</v>
      </c>
      <c r="C114" s="3" t="s">
        <v>109</v>
      </c>
      <c r="D114" s="3" t="s">
        <v>106</v>
      </c>
      <c r="E114" s="3" t="s">
        <v>121</v>
      </c>
      <c r="F114" s="4">
        <v>158</v>
      </c>
      <c r="G114" s="3" t="s">
        <v>13</v>
      </c>
      <c r="H114" s="3" t="s">
        <v>105</v>
      </c>
      <c r="I114" s="5">
        <v>0.32700000000000001</v>
      </c>
      <c r="J114" s="5">
        <v>0.311</v>
      </c>
      <c r="K114" s="5">
        <v>2.5000000000000001E-2</v>
      </c>
      <c r="L114" s="5">
        <v>1.5699999999999999E-2</v>
      </c>
      <c r="M114" s="5">
        <v>1.6500000000000001E-2</v>
      </c>
      <c r="N114" s="5">
        <v>0.27700000000000002</v>
      </c>
      <c r="O114" s="6">
        <v>17.64331210191083</v>
      </c>
      <c r="P114" s="6">
        <v>5.9059999999999997</v>
      </c>
      <c r="Q114" s="7">
        <v>2.01E-2</v>
      </c>
      <c r="R114" s="8">
        <v>3.88E-4</v>
      </c>
      <c r="S114" s="9">
        <v>2.3700000000000001E-3</v>
      </c>
      <c r="T114" s="9">
        <v>2.6800000000000001E-3</v>
      </c>
      <c r="U114" s="5">
        <v>0.13900000000000001</v>
      </c>
      <c r="V114" s="8">
        <v>1.25E-4</v>
      </c>
      <c r="W114" s="9">
        <v>8.0699999999999999E-4</v>
      </c>
      <c r="X114" s="9">
        <v>1.23E-3</v>
      </c>
      <c r="Y114" s="5">
        <v>0.13900000000000001</v>
      </c>
      <c r="Z114" s="8">
        <v>3.8099999999999999E-6</v>
      </c>
      <c r="AA114" s="10">
        <v>2.8600000000000001E-6</v>
      </c>
      <c r="AB114" s="45">
        <v>0.85</v>
      </c>
      <c r="AC114" s="17">
        <f t="array" ref="AC114">INDEX(tbllkpSteelGrades[fy],MATCH(1,(Table8[[#This Row],[Grade]]=tbllkpSteelGrades[Grade])*(Table8[[#This Row],[tw]]&lt;=tbllkpSteelGrades[Thickness]),0))</f>
        <v>300000000</v>
      </c>
      <c r="AD114" s="17">
        <f t="array" ref="AD114">INDEX(tbllkpSteelGrades[fy],MATCH(1,(Table8[[#This Row],[Grade]]=tbllkpSteelGrades[Grade])*(Table8[[#This Row],[tf]]&lt;=tbllkpSteelGrades[Thickness]),0))</f>
        <v>280000000</v>
      </c>
      <c r="AE114" s="17">
        <f>MIN(Table8[[#This Row],[fy_web]],Table8[[#This Row],[fy_flange]])</f>
        <v>280000000</v>
      </c>
      <c r="AF114" s="17">
        <f t="array" ref="AF114">INDEX(tbllkpSteelGrades[fu],MATCH(1,(Table8[[#This Row],[Grade]]=tbllkpSteelGrades[Grade])*(Table8[[#This Row],[tw]]&lt;=tbllkpSteelGrades[Thickness]),0))</f>
        <v>440000000</v>
      </c>
      <c r="AG114" s="18">
        <f>IF(Table8[[#This Row],[Fabrication Type]]="Welded",Table8[[#This Row],[d1]],Table8[[#This Row],[d]])*Table8[[#This Row],[tw]]</f>
        <v>5.1338999999999994E-3</v>
      </c>
      <c r="AH114" s="11">
        <f>Table8[[#This Row],[Aw]]*Table8[[#This Row],[fy_web]]*0.6</f>
        <v>924101.99999999988</v>
      </c>
      <c r="AI114" s="35">
        <f>82/SQRT(Table8[[#This Row],[fy_web]]/250000000)</f>
        <v>74.855416192372701</v>
      </c>
      <c r="AJ11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14" s="38" t="str">
        <f>IF(Table8[[#This Row],[Fabrication Type]]="Welded",IF(Table8[[#This Row],[tw]]&gt;0.016,0.016*Table8[[#This Row],[fu]],Table8[[#This Row],[tw]]*Table8[[#This Row],[fu]]),"")</f>
        <v/>
      </c>
      <c r="AL114" s="13">
        <f>Table8[[#This Row],[d]]-Table8[[#This Row],[tf]]</f>
        <v>0.30199999999999999</v>
      </c>
      <c r="AM114" s="39">
        <f>Table8[[#This Row],[bf]]*Table8[[#This Row],[tf]]*(Table8[[#This Row],[df]]/2)</f>
        <v>1.174025E-3</v>
      </c>
      <c r="AN114" s="11" t="str">
        <f>IF(Table8[[#This Row],[Fabrication Type]]="Welded",Table8[[#This Row],[vw]]*Table8[[#This Row],[Ix]]/Table8[[#This Row],[Qflange]],"")</f>
        <v/>
      </c>
      <c r="AO114" s="11">
        <f>Table8[[#This Row],[tw]]*MIN(Table8[[#This Row],[fy_web]], Table8[[#This Row],[fy_flange]])*0.6*Table8[[#This Row],[Ix]]/Table8[[#This Row],[Qflange]]</f>
        <v>871692.51080683968</v>
      </c>
      <c r="AP114" s="50">
        <f ca="1">INDEX(tbllkpkt[kt],MATCH(RANDBETWEEN(1,4),tbllkpkt[Index],0))</f>
        <v>0.75</v>
      </c>
      <c r="AQ114" s="48">
        <f t="shared" ca="1" si="3"/>
        <v>0.91</v>
      </c>
      <c r="AR114" s="18">
        <f ca="1">Table8[[#This Row],[Ag]]*Table8[[#This Row],[Deduction_for_An]]</f>
        <v>1.8291000000000002E-2</v>
      </c>
      <c r="AS114" s="11">
        <f>Table8[[#This Row],[fy]]*Table8[[#This Row],[Ag]]</f>
        <v>5628000</v>
      </c>
      <c r="AT114" s="11">
        <f ca="1">Table8[[#This Row],[αu]]*Table8[[#This Row],[kt]]*Table8[[#This Row],[An]]*Table8[[#This Row],[fu]]</f>
        <v>5130625.5000000009</v>
      </c>
      <c r="AU114" s="11">
        <f ca="1">MIN(Table8[[#This Row],[Nty]],Table8[[#This Row],[Ntu]])</f>
        <v>5130625.5000000009</v>
      </c>
    </row>
    <row r="115" spans="2:47" x14ac:dyDescent="0.25">
      <c r="B115" s="15" t="str">
        <f>Table8[[#This Row],[Section]]&amp;"-"&amp;TEXT(Table8[[#This Row],[Grade]],"0")</f>
        <v>310UC137-300HR</v>
      </c>
      <c r="C115" s="3" t="s">
        <v>110</v>
      </c>
      <c r="D115" s="3" t="s">
        <v>106</v>
      </c>
      <c r="E115" s="3" t="s">
        <v>121</v>
      </c>
      <c r="F115" s="4">
        <v>137</v>
      </c>
      <c r="G115" s="3" t="s">
        <v>13</v>
      </c>
      <c r="H115" s="3" t="s">
        <v>105</v>
      </c>
      <c r="I115" s="5">
        <v>0.32100000000000001</v>
      </c>
      <c r="J115" s="5">
        <v>0.309</v>
      </c>
      <c r="K115" s="5">
        <v>2.1700000000000001E-2</v>
      </c>
      <c r="L115" s="5">
        <v>1.3800000000000002E-2</v>
      </c>
      <c r="M115" s="5">
        <v>1.6500000000000001E-2</v>
      </c>
      <c r="N115" s="5">
        <v>0.27760000000000001</v>
      </c>
      <c r="O115" s="6">
        <v>20.115942028985508</v>
      </c>
      <c r="P115" s="6">
        <v>6.8018433179723505</v>
      </c>
      <c r="Q115" s="7">
        <v>1.7500000000000002E-2</v>
      </c>
      <c r="R115" s="8">
        <v>3.2899999999999997E-4</v>
      </c>
      <c r="S115" s="9">
        <v>2.0500000000000002E-3</v>
      </c>
      <c r="T115" s="9">
        <v>2.3E-3</v>
      </c>
      <c r="U115" s="5">
        <v>0.13700000000000001</v>
      </c>
      <c r="V115" s="8">
        <v>1.07E-4</v>
      </c>
      <c r="W115" s="9">
        <v>6.9099999999999999E-4</v>
      </c>
      <c r="X115" s="9">
        <v>1.0499999999999999E-3</v>
      </c>
      <c r="Y115" s="5">
        <v>0.13700000000000001</v>
      </c>
      <c r="Z115" s="8">
        <v>2.52E-6</v>
      </c>
      <c r="AA115" s="10">
        <v>2.39E-6</v>
      </c>
      <c r="AB115" s="45">
        <v>0.85</v>
      </c>
      <c r="AC115" s="17">
        <f t="array" ref="AC115">INDEX(tbllkpSteelGrades[fy],MATCH(1,(Table8[[#This Row],[Grade]]=tbllkpSteelGrades[Grade])*(Table8[[#This Row],[tw]]&lt;=tbllkpSteelGrades[Thickness]),0))</f>
        <v>300000000</v>
      </c>
      <c r="AD115" s="17">
        <f t="array" ref="AD115">INDEX(tbllkpSteelGrades[fy],MATCH(1,(Table8[[#This Row],[Grade]]=tbllkpSteelGrades[Grade])*(Table8[[#This Row],[tf]]&lt;=tbllkpSteelGrades[Thickness]),0))</f>
        <v>280000000</v>
      </c>
      <c r="AE115" s="17">
        <f>MIN(Table8[[#This Row],[fy_web]],Table8[[#This Row],[fy_flange]])</f>
        <v>280000000</v>
      </c>
      <c r="AF115" s="17">
        <f t="array" ref="AF115">INDEX(tbllkpSteelGrades[fu],MATCH(1,(Table8[[#This Row],[Grade]]=tbllkpSteelGrades[Grade])*(Table8[[#This Row],[tw]]&lt;=tbllkpSteelGrades[Thickness]),0))</f>
        <v>440000000</v>
      </c>
      <c r="AG115" s="18">
        <f>IF(Table8[[#This Row],[Fabrication Type]]="Welded",Table8[[#This Row],[d1]],Table8[[#This Row],[d]])*Table8[[#This Row],[tw]]</f>
        <v>4.4298000000000002E-3</v>
      </c>
      <c r="AH115" s="11">
        <f>Table8[[#This Row],[Aw]]*Table8[[#This Row],[fy_web]]*0.6</f>
        <v>797364</v>
      </c>
      <c r="AI115" s="35">
        <f>82/SQRT(Table8[[#This Row],[fy_web]]/250000000)</f>
        <v>74.855416192372701</v>
      </c>
      <c r="AJ11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15" s="38" t="str">
        <f>IF(Table8[[#This Row],[Fabrication Type]]="Welded",IF(Table8[[#This Row],[tw]]&gt;0.016,0.016*Table8[[#This Row],[fu]],Table8[[#This Row],[tw]]*Table8[[#This Row],[fu]]),"")</f>
        <v/>
      </c>
      <c r="AL115" s="13">
        <f>Table8[[#This Row],[d]]-Table8[[#This Row],[tf]]</f>
        <v>0.29930000000000001</v>
      </c>
      <c r="AM115" s="39">
        <f>Table8[[#This Row],[bf]]*Table8[[#This Row],[tf]]*(Table8[[#This Row],[df]]/2)</f>
        <v>1.003448145E-3</v>
      </c>
      <c r="AN115" s="11" t="str">
        <f>IF(Table8[[#This Row],[Fabrication Type]]="Welded",Table8[[#This Row],[vw]]*Table8[[#This Row],[Ix]]/Table8[[#This Row],[Qflange]],"")</f>
        <v/>
      </c>
      <c r="AO115" s="11">
        <f>Table8[[#This Row],[tw]]*MIN(Table8[[#This Row],[fy_web]], Table8[[#This Row],[fy_flange]])*0.6*Table8[[#This Row],[Ix]]/Table8[[#This Row],[Qflange]]</f>
        <v>760132.55273893592</v>
      </c>
      <c r="AP115" s="50">
        <f ca="1">INDEX(tbllkpkt[kt],MATCH(RANDBETWEEN(1,4),tbllkpkt[Index],0))</f>
        <v>0.9</v>
      </c>
      <c r="AQ115" s="48">
        <f t="shared" ca="1" si="3"/>
        <v>0.94</v>
      </c>
      <c r="AR115" s="18">
        <f ca="1">Table8[[#This Row],[Ag]]*Table8[[#This Row],[Deduction_for_An]]</f>
        <v>1.6449999999999999E-2</v>
      </c>
      <c r="AS115" s="11">
        <f>Table8[[#This Row],[fy]]*Table8[[#This Row],[Ag]]</f>
        <v>4900000.0000000009</v>
      </c>
      <c r="AT115" s="11">
        <f ca="1">Table8[[#This Row],[αu]]*Table8[[#This Row],[kt]]*Table8[[#This Row],[An]]*Table8[[#This Row],[fu]]</f>
        <v>5537070</v>
      </c>
      <c r="AU115" s="11">
        <f ca="1">MIN(Table8[[#This Row],[Nty]],Table8[[#This Row],[Ntu]])</f>
        <v>4900000.0000000009</v>
      </c>
    </row>
    <row r="116" spans="2:47" x14ac:dyDescent="0.25">
      <c r="B116" s="15" t="str">
        <f>Table8[[#This Row],[Section]]&amp;"-"&amp;TEXT(Table8[[#This Row],[Grade]],"0")</f>
        <v>310UC118-300HR</v>
      </c>
      <c r="C116" s="3" t="s">
        <v>111</v>
      </c>
      <c r="D116" s="3" t="s">
        <v>106</v>
      </c>
      <c r="E116" s="3" t="s">
        <v>121</v>
      </c>
      <c r="F116" s="4">
        <v>118</v>
      </c>
      <c r="G116" s="3" t="s">
        <v>13</v>
      </c>
      <c r="H116" s="3" t="s">
        <v>105</v>
      </c>
      <c r="I116" s="5">
        <v>0.315</v>
      </c>
      <c r="J116" s="5">
        <v>0.307</v>
      </c>
      <c r="K116" s="5">
        <v>1.8699999999999998E-2</v>
      </c>
      <c r="L116" s="5">
        <v>1.1900000000000001E-2</v>
      </c>
      <c r="M116" s="5">
        <v>1.6500000000000001E-2</v>
      </c>
      <c r="N116" s="5">
        <v>0.27760000000000001</v>
      </c>
      <c r="O116" s="6">
        <v>23.327731092436974</v>
      </c>
      <c r="P116" s="6">
        <v>7.8903743315508024</v>
      </c>
      <c r="Q116" s="7">
        <v>1.4999999999999999E-2</v>
      </c>
      <c r="R116" s="8">
        <v>2.7700000000000001E-4</v>
      </c>
      <c r="S116" s="9">
        <v>1.7600000000000001E-3</v>
      </c>
      <c r="T116" s="9">
        <v>1.9599999999999999E-3</v>
      </c>
      <c r="U116" s="5">
        <v>0.13600000000000001</v>
      </c>
      <c r="V116" s="8">
        <v>9.0199999999999997E-5</v>
      </c>
      <c r="W116" s="9">
        <v>5.8799999999999998E-4</v>
      </c>
      <c r="X116" s="9">
        <v>8.9300000000000002E-4</v>
      </c>
      <c r="Y116" s="5">
        <v>0.13600000000000001</v>
      </c>
      <c r="Z116" s="8">
        <v>1.6300000000000001E-6</v>
      </c>
      <c r="AA116" s="10">
        <v>1.9800000000000001E-6</v>
      </c>
      <c r="AB116" s="45">
        <v>0.85</v>
      </c>
      <c r="AC116" s="17">
        <f t="array" ref="AC116">INDEX(tbllkpSteelGrades[fy],MATCH(1,(Table8[[#This Row],[Grade]]=tbllkpSteelGrades[Grade])*(Table8[[#This Row],[tw]]&lt;=tbllkpSteelGrades[Thickness]),0))</f>
        <v>300000000</v>
      </c>
      <c r="AD116" s="17">
        <f t="array" ref="AD116">INDEX(tbllkpSteelGrades[fy],MATCH(1,(Table8[[#This Row],[Grade]]=tbllkpSteelGrades[Grade])*(Table8[[#This Row],[tf]]&lt;=tbllkpSteelGrades[Thickness]),0))</f>
        <v>280000000</v>
      </c>
      <c r="AE116" s="17">
        <f>MIN(Table8[[#This Row],[fy_web]],Table8[[#This Row],[fy_flange]])</f>
        <v>280000000</v>
      </c>
      <c r="AF116" s="17">
        <f t="array" ref="AF116">INDEX(tbllkpSteelGrades[fu],MATCH(1,(Table8[[#This Row],[Grade]]=tbllkpSteelGrades[Grade])*(Table8[[#This Row],[tw]]&lt;=tbllkpSteelGrades[Thickness]),0))</f>
        <v>440000000</v>
      </c>
      <c r="AG116" s="18">
        <f>IF(Table8[[#This Row],[Fabrication Type]]="Welded",Table8[[#This Row],[d1]],Table8[[#This Row],[d]])*Table8[[#This Row],[tw]]</f>
        <v>3.7485000000000001E-3</v>
      </c>
      <c r="AH116" s="11">
        <f>Table8[[#This Row],[Aw]]*Table8[[#This Row],[fy_web]]*0.6</f>
        <v>674730</v>
      </c>
      <c r="AI116" s="35">
        <f>82/SQRT(Table8[[#This Row],[fy_web]]/250000000)</f>
        <v>74.855416192372701</v>
      </c>
      <c r="AJ11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16" s="38" t="str">
        <f>IF(Table8[[#This Row],[Fabrication Type]]="Welded",IF(Table8[[#This Row],[tw]]&gt;0.016,0.016*Table8[[#This Row],[fu]],Table8[[#This Row],[tw]]*Table8[[#This Row],[fu]]),"")</f>
        <v/>
      </c>
      <c r="AL116" s="13">
        <f>Table8[[#This Row],[d]]-Table8[[#This Row],[tf]]</f>
        <v>0.29630000000000001</v>
      </c>
      <c r="AM116" s="39">
        <f>Table8[[#This Row],[bf]]*Table8[[#This Row],[tf]]*(Table8[[#This Row],[df]]/2)</f>
        <v>8.5051433499999988E-4</v>
      </c>
      <c r="AN116" s="11" t="str">
        <f>IF(Table8[[#This Row],[Fabrication Type]]="Welded",Table8[[#This Row],[vw]]*Table8[[#This Row],[Ix]]/Table8[[#This Row],[Qflange]],"")</f>
        <v/>
      </c>
      <c r="AO116" s="11">
        <f>Table8[[#This Row],[tw]]*MIN(Table8[[#This Row],[fy_web]], Table8[[#This Row],[fy_flange]])*0.6*Table8[[#This Row],[Ix]]/Table8[[#This Row],[Qflange]]</f>
        <v>651110.01333093364</v>
      </c>
      <c r="AP116" s="50">
        <f ca="1">INDEX(tbllkpkt[kt],MATCH(RANDBETWEEN(1,4),tbllkpkt[Index],0))</f>
        <v>0.9</v>
      </c>
      <c r="AQ116" s="48">
        <f t="shared" ca="1" si="3"/>
        <v>0.94</v>
      </c>
      <c r="AR116" s="18">
        <f ca="1">Table8[[#This Row],[Ag]]*Table8[[#This Row],[Deduction_for_An]]</f>
        <v>1.4099999999999998E-2</v>
      </c>
      <c r="AS116" s="11">
        <f>Table8[[#This Row],[fy]]*Table8[[#This Row],[Ag]]</f>
        <v>4200000</v>
      </c>
      <c r="AT116" s="11">
        <f ca="1">Table8[[#This Row],[αu]]*Table8[[#This Row],[kt]]*Table8[[#This Row],[An]]*Table8[[#This Row],[fu]]</f>
        <v>4746060</v>
      </c>
      <c r="AU116" s="11">
        <f ca="1">MIN(Table8[[#This Row],[Nty]],Table8[[#This Row],[Ntu]])</f>
        <v>4200000</v>
      </c>
    </row>
    <row r="117" spans="2:47" x14ac:dyDescent="0.25">
      <c r="B117" s="15" t="str">
        <f>Table8[[#This Row],[Section]]&amp;"-"&amp;TEXT(Table8[[#This Row],[Grade]],"0")</f>
        <v>250UC89.5-300HR</v>
      </c>
      <c r="C117" s="3" t="s">
        <v>112</v>
      </c>
      <c r="D117" s="3" t="s">
        <v>106</v>
      </c>
      <c r="E117" s="3" t="s">
        <v>121</v>
      </c>
      <c r="F117" s="4">
        <v>89.5</v>
      </c>
      <c r="G117" s="3" t="s">
        <v>13</v>
      </c>
      <c r="H117" s="3" t="s">
        <v>105</v>
      </c>
      <c r="I117" s="5">
        <v>0.26</v>
      </c>
      <c r="J117" s="5">
        <v>0.25600000000000001</v>
      </c>
      <c r="K117" s="5">
        <v>1.7299999999999999E-2</v>
      </c>
      <c r="L117" s="5">
        <v>1.0500000000000001E-2</v>
      </c>
      <c r="M117" s="5">
        <v>1.4E-2</v>
      </c>
      <c r="N117" s="5">
        <v>0.22540000000000002</v>
      </c>
      <c r="O117" s="6">
        <v>21.466666666666669</v>
      </c>
      <c r="P117" s="6">
        <v>7.0953757225433529</v>
      </c>
      <c r="Q117" s="7">
        <v>1.14E-2</v>
      </c>
      <c r="R117" s="8">
        <v>1.4300000000000001E-4</v>
      </c>
      <c r="S117" s="9">
        <v>1.1000000000000001E-3</v>
      </c>
      <c r="T117" s="9">
        <v>1.23E-3</v>
      </c>
      <c r="U117" s="5">
        <v>0.112</v>
      </c>
      <c r="V117" s="8">
        <v>4.8399999999999997E-5</v>
      </c>
      <c r="W117" s="9">
        <v>3.7800000000000003E-4</v>
      </c>
      <c r="X117" s="9">
        <v>5.7499999999999999E-4</v>
      </c>
      <c r="Y117" s="5">
        <v>0.112</v>
      </c>
      <c r="Z117" s="8">
        <v>1.04E-6</v>
      </c>
      <c r="AA117" s="10">
        <v>7.1299999999999999E-7</v>
      </c>
      <c r="AB117" s="45">
        <v>0.85</v>
      </c>
      <c r="AC117" s="17">
        <f t="array" ref="AC117">INDEX(tbllkpSteelGrades[fy],MATCH(1,(Table8[[#This Row],[Grade]]=tbllkpSteelGrades[Grade])*(Table8[[#This Row],[tw]]&lt;=tbllkpSteelGrades[Thickness]),0))</f>
        <v>320000000</v>
      </c>
      <c r="AD117" s="17">
        <f t="array" ref="AD117">INDEX(tbllkpSteelGrades[fy],MATCH(1,(Table8[[#This Row],[Grade]]=tbllkpSteelGrades[Grade])*(Table8[[#This Row],[tf]]&lt;=tbllkpSteelGrades[Thickness]),0))</f>
        <v>280000000</v>
      </c>
      <c r="AE117" s="17">
        <f>MIN(Table8[[#This Row],[fy_web]],Table8[[#This Row],[fy_flange]])</f>
        <v>280000000</v>
      </c>
      <c r="AF117" s="17">
        <f t="array" ref="AF117">INDEX(tbllkpSteelGrades[fu],MATCH(1,(Table8[[#This Row],[Grade]]=tbllkpSteelGrades[Grade])*(Table8[[#This Row],[tw]]&lt;=tbllkpSteelGrades[Thickness]),0))</f>
        <v>440000000</v>
      </c>
      <c r="AG117" s="18">
        <f>IF(Table8[[#This Row],[Fabrication Type]]="Welded",Table8[[#This Row],[d1]],Table8[[#This Row],[d]])*Table8[[#This Row],[tw]]</f>
        <v>2.7300000000000002E-3</v>
      </c>
      <c r="AH117" s="11">
        <f>Table8[[#This Row],[Aw]]*Table8[[#This Row],[fy_web]]*0.6</f>
        <v>524160.00000000006</v>
      </c>
      <c r="AI117" s="35">
        <f>82/SQRT(Table8[[#This Row],[fy_web]]/250000000)</f>
        <v>72.478445071621124</v>
      </c>
      <c r="AJ11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17" s="38" t="str">
        <f>IF(Table8[[#This Row],[Fabrication Type]]="Welded",IF(Table8[[#This Row],[tw]]&gt;0.016,0.016*Table8[[#This Row],[fu]],Table8[[#This Row],[tw]]*Table8[[#This Row],[fu]]),"")</f>
        <v/>
      </c>
      <c r="AL117" s="13">
        <f>Table8[[#This Row],[d]]-Table8[[#This Row],[tf]]</f>
        <v>0.2427</v>
      </c>
      <c r="AM117" s="39">
        <f>Table8[[#This Row],[bf]]*Table8[[#This Row],[tf]]*(Table8[[#This Row],[df]]/2)</f>
        <v>5.3743488E-4</v>
      </c>
      <c r="AN117" s="11" t="str">
        <f>IF(Table8[[#This Row],[Fabrication Type]]="Welded",Table8[[#This Row],[vw]]*Table8[[#This Row],[Ix]]/Table8[[#This Row],[Qflange]],"")</f>
        <v/>
      </c>
      <c r="AO117" s="11">
        <f>Table8[[#This Row],[tw]]*MIN(Table8[[#This Row],[fy_web]], Table8[[#This Row],[fy_flange]])*0.6*Table8[[#This Row],[Ix]]/Table8[[#This Row],[Qflange]]</f>
        <v>469362.91146566445</v>
      </c>
      <c r="AP117" s="50">
        <f ca="1">INDEX(tbllkpkt[kt],MATCH(RANDBETWEEN(1,4),tbllkpkt[Index],0))</f>
        <v>0.85</v>
      </c>
      <c r="AQ117" s="48">
        <f t="shared" ca="1" si="3"/>
        <v>0.99</v>
      </c>
      <c r="AR117" s="18">
        <f ca="1">Table8[[#This Row],[Ag]]*Table8[[#This Row],[Deduction_for_An]]</f>
        <v>1.1286000000000001E-2</v>
      </c>
      <c r="AS117" s="11">
        <f>Table8[[#This Row],[fy]]*Table8[[#This Row],[Ag]]</f>
        <v>3192000</v>
      </c>
      <c r="AT117" s="11">
        <f ca="1">Table8[[#This Row],[αu]]*Table8[[#This Row],[kt]]*Table8[[#This Row],[An]]*Table8[[#This Row],[fu]]</f>
        <v>3587819.4</v>
      </c>
      <c r="AU117" s="11">
        <f ca="1">MIN(Table8[[#This Row],[Nty]],Table8[[#This Row],[Ntu]])</f>
        <v>3192000</v>
      </c>
    </row>
    <row r="118" spans="2:47" x14ac:dyDescent="0.25">
      <c r="B118" s="15" t="str">
        <f>Table8[[#This Row],[Section]]&amp;"-"&amp;TEXT(Table8[[#This Row],[Grade]],"0")</f>
        <v>250UC72.9-300HR</v>
      </c>
      <c r="C118" s="3" t="s">
        <v>113</v>
      </c>
      <c r="D118" s="3" t="s">
        <v>106</v>
      </c>
      <c r="E118" s="3" t="s">
        <v>121</v>
      </c>
      <c r="F118" s="4">
        <v>72.900000000000006</v>
      </c>
      <c r="G118" s="3" t="s">
        <v>13</v>
      </c>
      <c r="H118" s="3" t="s">
        <v>105</v>
      </c>
      <c r="I118" s="5">
        <v>0.254</v>
      </c>
      <c r="J118" s="5">
        <v>0.254</v>
      </c>
      <c r="K118" s="5">
        <v>1.4199999999999999E-2</v>
      </c>
      <c r="L118" s="5">
        <v>8.6E-3</v>
      </c>
      <c r="M118" s="5">
        <v>1.4E-2</v>
      </c>
      <c r="N118" s="5">
        <v>0.22559999999999999</v>
      </c>
      <c r="O118" s="6">
        <v>26.232558139534884</v>
      </c>
      <c r="P118" s="6">
        <v>8.6408450704225359</v>
      </c>
      <c r="Q118" s="7">
        <v>9.3200000000000002E-3</v>
      </c>
      <c r="R118" s="8">
        <v>1.1400000000000001E-4</v>
      </c>
      <c r="S118" s="9">
        <v>8.9700000000000001E-4</v>
      </c>
      <c r="T118" s="9">
        <v>9.9200000000000004E-4</v>
      </c>
      <c r="U118" s="5">
        <v>0.111</v>
      </c>
      <c r="V118" s="8">
        <v>3.8800000000000001E-5</v>
      </c>
      <c r="W118" s="9">
        <v>3.0600000000000001E-4</v>
      </c>
      <c r="X118" s="9">
        <v>4.6299999999999998E-4</v>
      </c>
      <c r="Y118" s="5">
        <v>0.111</v>
      </c>
      <c r="Z118" s="8">
        <v>5.8599999999999998E-7</v>
      </c>
      <c r="AA118" s="10">
        <v>5.5700000000000002E-7</v>
      </c>
      <c r="AB118" s="45">
        <v>0.85</v>
      </c>
      <c r="AC118" s="17">
        <f t="array" ref="AC118">INDEX(tbllkpSteelGrades[fy],MATCH(1,(Table8[[#This Row],[Grade]]=tbllkpSteelGrades[Grade])*(Table8[[#This Row],[tw]]&lt;=tbllkpSteelGrades[Thickness]),0))</f>
        <v>320000000</v>
      </c>
      <c r="AD118" s="17">
        <f t="array" ref="AD118">INDEX(tbllkpSteelGrades[fy],MATCH(1,(Table8[[#This Row],[Grade]]=tbllkpSteelGrades[Grade])*(Table8[[#This Row],[tf]]&lt;=tbllkpSteelGrades[Thickness]),0))</f>
        <v>300000000</v>
      </c>
      <c r="AE118" s="17">
        <f>MIN(Table8[[#This Row],[fy_web]],Table8[[#This Row],[fy_flange]])</f>
        <v>300000000</v>
      </c>
      <c r="AF118" s="17">
        <f t="array" ref="AF118">INDEX(tbllkpSteelGrades[fu],MATCH(1,(Table8[[#This Row],[Grade]]=tbllkpSteelGrades[Grade])*(Table8[[#This Row],[tw]]&lt;=tbllkpSteelGrades[Thickness]),0))</f>
        <v>440000000</v>
      </c>
      <c r="AG118" s="18">
        <f>IF(Table8[[#This Row],[Fabrication Type]]="Welded",Table8[[#This Row],[d1]],Table8[[#This Row],[d]])*Table8[[#This Row],[tw]]</f>
        <v>2.1844E-3</v>
      </c>
      <c r="AH118" s="11">
        <f>Table8[[#This Row],[Aw]]*Table8[[#This Row],[fy_web]]*0.6</f>
        <v>419404.79999999999</v>
      </c>
      <c r="AI118" s="35">
        <f>82/SQRT(Table8[[#This Row],[fy_web]]/250000000)</f>
        <v>72.478445071621124</v>
      </c>
      <c r="AJ11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18" s="38" t="str">
        <f>IF(Table8[[#This Row],[Fabrication Type]]="Welded",IF(Table8[[#This Row],[tw]]&gt;0.016,0.016*Table8[[#This Row],[fu]],Table8[[#This Row],[tw]]*Table8[[#This Row],[fu]]),"")</f>
        <v/>
      </c>
      <c r="AL118" s="13">
        <f>Table8[[#This Row],[d]]-Table8[[#This Row],[tf]]</f>
        <v>0.23980000000000001</v>
      </c>
      <c r="AM118" s="39">
        <f>Table8[[#This Row],[bf]]*Table8[[#This Row],[tf]]*(Table8[[#This Row],[df]]/2)</f>
        <v>4.3245532000000001E-4</v>
      </c>
      <c r="AN118" s="11" t="str">
        <f>IF(Table8[[#This Row],[Fabrication Type]]="Welded",Table8[[#This Row],[vw]]*Table8[[#This Row],[Ix]]/Table8[[#This Row],[Qflange]],"")</f>
        <v/>
      </c>
      <c r="AO118" s="11">
        <f>Table8[[#This Row],[tw]]*MIN(Table8[[#This Row],[fy_web]], Table8[[#This Row],[fy_flange]])*0.6*Table8[[#This Row],[Ix]]/Table8[[#This Row],[Qflange]]</f>
        <v>408069.90188026824</v>
      </c>
      <c r="AP118" s="50">
        <f ca="1">INDEX(tbllkpkt[kt],MATCH(RANDBETWEEN(1,4),tbllkpkt[Index],0))</f>
        <v>0.75</v>
      </c>
      <c r="AQ118" s="48">
        <f t="shared" ca="1" si="3"/>
        <v>0.99</v>
      </c>
      <c r="AR118" s="18">
        <f ca="1">Table8[[#This Row],[Ag]]*Table8[[#This Row],[Deduction_for_An]]</f>
        <v>9.2268000000000003E-3</v>
      </c>
      <c r="AS118" s="11">
        <f>Table8[[#This Row],[fy]]*Table8[[#This Row],[Ag]]</f>
        <v>2796000</v>
      </c>
      <c r="AT118" s="11">
        <f ca="1">Table8[[#This Row],[αu]]*Table8[[#This Row],[kt]]*Table8[[#This Row],[An]]*Table8[[#This Row],[fu]]</f>
        <v>2588117.4</v>
      </c>
      <c r="AU118" s="11">
        <f ca="1">MIN(Table8[[#This Row],[Nty]],Table8[[#This Row],[Ntu]])</f>
        <v>2588117.4</v>
      </c>
    </row>
    <row r="119" spans="2:47" x14ac:dyDescent="0.25">
      <c r="B119" s="15" t="str">
        <f>Table8[[#This Row],[Section]]&amp;"-"&amp;TEXT(Table8[[#This Row],[Grade]],"0")</f>
        <v>200UC59.5-300HR</v>
      </c>
      <c r="C119" s="3" t="s">
        <v>114</v>
      </c>
      <c r="D119" s="3" t="s">
        <v>106</v>
      </c>
      <c r="E119" s="3" t="s">
        <v>121</v>
      </c>
      <c r="F119" s="4">
        <v>59.3</v>
      </c>
      <c r="G119" s="3" t="s">
        <v>13</v>
      </c>
      <c r="H119" s="3" t="s">
        <v>105</v>
      </c>
      <c r="I119" s="5">
        <v>0.21</v>
      </c>
      <c r="J119" s="5">
        <v>0.20499999999999999</v>
      </c>
      <c r="K119" s="5">
        <v>1.4199999999999999E-2</v>
      </c>
      <c r="L119" s="5">
        <v>9.300000000000001E-3</v>
      </c>
      <c r="M119" s="5">
        <v>1.14E-2</v>
      </c>
      <c r="N119" s="5">
        <v>0.18159999999999998</v>
      </c>
      <c r="O119" s="6">
        <v>19.526881720430104</v>
      </c>
      <c r="P119" s="6">
        <v>6.890845070422535</v>
      </c>
      <c r="Q119" s="7">
        <v>7.62E-3</v>
      </c>
      <c r="R119" s="8">
        <v>6.1299999999999999E-5</v>
      </c>
      <c r="S119" s="9">
        <v>5.8399999999999999E-4</v>
      </c>
      <c r="T119" s="9">
        <v>6.5600000000000001E-4</v>
      </c>
      <c r="U119" s="5">
        <v>8.9700000000000002E-2</v>
      </c>
      <c r="V119" s="8">
        <v>2.0400000000000001E-5</v>
      </c>
      <c r="W119" s="9">
        <v>1.9900000000000001E-4</v>
      </c>
      <c r="X119" s="9">
        <v>3.0299999999999999E-4</v>
      </c>
      <c r="Y119" s="5">
        <v>8.9700000000000002E-2</v>
      </c>
      <c r="Z119" s="8">
        <v>4.7700000000000005E-7</v>
      </c>
      <c r="AA119" s="10">
        <v>1.9500000000000001E-7</v>
      </c>
      <c r="AB119" s="45">
        <v>0.85</v>
      </c>
      <c r="AC119" s="17">
        <f t="array" ref="AC119">INDEX(tbllkpSteelGrades[fy],MATCH(1,(Table8[[#This Row],[Grade]]=tbllkpSteelGrades[Grade])*(Table8[[#This Row],[tw]]&lt;=tbllkpSteelGrades[Thickness]),0))</f>
        <v>320000000</v>
      </c>
      <c r="AD119" s="17">
        <f t="array" ref="AD119">INDEX(tbllkpSteelGrades[fy],MATCH(1,(Table8[[#This Row],[Grade]]=tbllkpSteelGrades[Grade])*(Table8[[#This Row],[tf]]&lt;=tbllkpSteelGrades[Thickness]),0))</f>
        <v>300000000</v>
      </c>
      <c r="AE119" s="17">
        <f>MIN(Table8[[#This Row],[fy_web]],Table8[[#This Row],[fy_flange]])</f>
        <v>300000000</v>
      </c>
      <c r="AF119" s="17">
        <f t="array" ref="AF119">INDEX(tbllkpSteelGrades[fu],MATCH(1,(Table8[[#This Row],[Grade]]=tbllkpSteelGrades[Grade])*(Table8[[#This Row],[tw]]&lt;=tbllkpSteelGrades[Thickness]),0))</f>
        <v>440000000</v>
      </c>
      <c r="AG119" s="18">
        <f>IF(Table8[[#This Row],[Fabrication Type]]="Welded",Table8[[#This Row],[d1]],Table8[[#This Row],[d]])*Table8[[#This Row],[tw]]</f>
        <v>1.9530000000000001E-3</v>
      </c>
      <c r="AH119" s="11">
        <f>Table8[[#This Row],[Aw]]*Table8[[#This Row],[fy_web]]*0.6</f>
        <v>374976</v>
      </c>
      <c r="AI119" s="35">
        <f>82/SQRT(Table8[[#This Row],[fy_web]]/250000000)</f>
        <v>72.478445071621124</v>
      </c>
      <c r="AJ11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19" s="38" t="str">
        <f>IF(Table8[[#This Row],[Fabrication Type]]="Welded",IF(Table8[[#This Row],[tw]]&gt;0.016,0.016*Table8[[#This Row],[fu]],Table8[[#This Row],[tw]]*Table8[[#This Row],[fu]]),"")</f>
        <v/>
      </c>
      <c r="AL119" s="13">
        <f>Table8[[#This Row],[d]]-Table8[[#This Row],[tf]]</f>
        <v>0.1958</v>
      </c>
      <c r="AM119" s="39">
        <f>Table8[[#This Row],[bf]]*Table8[[#This Row],[tf]]*(Table8[[#This Row],[df]]/2)</f>
        <v>2.8498689999999997E-4</v>
      </c>
      <c r="AN119" s="11" t="str">
        <f>IF(Table8[[#This Row],[Fabrication Type]]="Welded",Table8[[#This Row],[vw]]*Table8[[#This Row],[Ix]]/Table8[[#This Row],[Qflange]],"")</f>
        <v/>
      </c>
      <c r="AO119" s="11">
        <f>Table8[[#This Row],[tw]]*MIN(Table8[[#This Row],[fy_web]], Table8[[#This Row],[fy_flange]])*0.6*Table8[[#This Row],[Ix]]/Table8[[#This Row],[Qflange]]</f>
        <v>360073.39284718008</v>
      </c>
      <c r="AP119" s="50">
        <f ca="1">INDEX(tbllkpkt[kt],MATCH(RANDBETWEEN(1,4),tbllkpkt[Index],0))</f>
        <v>0.75</v>
      </c>
      <c r="AQ119" s="48">
        <f t="shared" ca="1" si="3"/>
        <v>0.98</v>
      </c>
      <c r="AR119" s="18">
        <f ca="1">Table8[[#This Row],[Ag]]*Table8[[#This Row],[Deduction_for_An]]</f>
        <v>7.4675999999999996E-3</v>
      </c>
      <c r="AS119" s="11">
        <f>Table8[[#This Row],[fy]]*Table8[[#This Row],[Ag]]</f>
        <v>2286000</v>
      </c>
      <c r="AT119" s="11">
        <f ca="1">Table8[[#This Row],[αu]]*Table8[[#This Row],[kt]]*Table8[[#This Row],[An]]*Table8[[#This Row],[fu]]</f>
        <v>2094661.7999999998</v>
      </c>
      <c r="AU119" s="11">
        <f ca="1">MIN(Table8[[#This Row],[Nty]],Table8[[#This Row],[Ntu]])</f>
        <v>2094661.7999999998</v>
      </c>
    </row>
    <row r="120" spans="2:47" x14ac:dyDescent="0.25">
      <c r="B120" s="15" t="str">
        <f>Table8[[#This Row],[Section]]&amp;"-"&amp;TEXT(Table8[[#This Row],[Grade]],"0")</f>
        <v>200UC52.2-300HR</v>
      </c>
      <c r="C120" s="3" t="s">
        <v>115</v>
      </c>
      <c r="D120" s="3" t="s">
        <v>106</v>
      </c>
      <c r="E120" s="3" t="s">
        <v>121</v>
      </c>
      <c r="F120" s="4">
        <v>52.2</v>
      </c>
      <c r="G120" s="3" t="s">
        <v>13</v>
      </c>
      <c r="H120" s="3" t="s">
        <v>105</v>
      </c>
      <c r="I120" s="5">
        <v>0.20599999999999999</v>
      </c>
      <c r="J120" s="5">
        <v>0.20399999999999999</v>
      </c>
      <c r="K120" s="5">
        <v>1.2500000000000001E-2</v>
      </c>
      <c r="L120" s="5">
        <v>8.0000000000000002E-3</v>
      </c>
      <c r="M120" s="5">
        <v>1.14E-2</v>
      </c>
      <c r="N120" s="5">
        <v>0.18099999999999999</v>
      </c>
      <c r="O120" s="6">
        <v>22.625</v>
      </c>
      <c r="P120" s="6">
        <v>7.839999999999999</v>
      </c>
      <c r="Q120" s="7">
        <v>6.6600000000000001E-3</v>
      </c>
      <c r="R120" s="8">
        <v>5.2800000000000003E-5</v>
      </c>
      <c r="S120" s="9">
        <v>5.1199999999999998E-4</v>
      </c>
      <c r="T120" s="9">
        <v>5.6999999999999998E-4</v>
      </c>
      <c r="U120" s="5">
        <v>8.9099999999999999E-2</v>
      </c>
      <c r="V120" s="8">
        <v>1.77E-5</v>
      </c>
      <c r="W120" s="9">
        <v>1.74E-4</v>
      </c>
      <c r="X120" s="9">
        <v>2.6400000000000002E-4</v>
      </c>
      <c r="Y120" s="5">
        <v>8.9099999999999999E-2</v>
      </c>
      <c r="Z120" s="8">
        <v>3.2500000000000001E-7</v>
      </c>
      <c r="AA120" s="10">
        <v>1.66E-7</v>
      </c>
      <c r="AB120" s="45">
        <v>0.85</v>
      </c>
      <c r="AC120" s="17">
        <f t="array" ref="AC120">INDEX(tbllkpSteelGrades[fy],MATCH(1,(Table8[[#This Row],[Grade]]=tbllkpSteelGrades[Grade])*(Table8[[#This Row],[tw]]&lt;=tbllkpSteelGrades[Thickness]),0))</f>
        <v>320000000</v>
      </c>
      <c r="AD120" s="17">
        <f t="array" ref="AD120">INDEX(tbllkpSteelGrades[fy],MATCH(1,(Table8[[#This Row],[Grade]]=tbllkpSteelGrades[Grade])*(Table8[[#This Row],[tf]]&lt;=tbllkpSteelGrades[Thickness]),0))</f>
        <v>300000000</v>
      </c>
      <c r="AE120" s="17">
        <f>MIN(Table8[[#This Row],[fy_web]],Table8[[#This Row],[fy_flange]])</f>
        <v>300000000</v>
      </c>
      <c r="AF120" s="17">
        <f t="array" ref="AF120">INDEX(tbllkpSteelGrades[fu],MATCH(1,(Table8[[#This Row],[Grade]]=tbllkpSteelGrades[Grade])*(Table8[[#This Row],[tw]]&lt;=tbllkpSteelGrades[Thickness]),0))</f>
        <v>440000000</v>
      </c>
      <c r="AG120" s="18">
        <f>IF(Table8[[#This Row],[Fabrication Type]]="Welded",Table8[[#This Row],[d1]],Table8[[#This Row],[d]])*Table8[[#This Row],[tw]]</f>
        <v>1.6479999999999999E-3</v>
      </c>
      <c r="AH120" s="11">
        <f>Table8[[#This Row],[Aw]]*Table8[[#This Row],[fy_web]]*0.6</f>
        <v>316416</v>
      </c>
      <c r="AI120" s="35">
        <f>82/SQRT(Table8[[#This Row],[fy_web]]/250000000)</f>
        <v>72.478445071621124</v>
      </c>
      <c r="AJ12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20" s="38" t="str">
        <f>IF(Table8[[#This Row],[Fabrication Type]]="Welded",IF(Table8[[#This Row],[tw]]&gt;0.016,0.016*Table8[[#This Row],[fu]],Table8[[#This Row],[tw]]*Table8[[#This Row],[fu]]),"")</f>
        <v/>
      </c>
      <c r="AL120" s="13">
        <f>Table8[[#This Row],[d]]-Table8[[#This Row],[tf]]</f>
        <v>0.19349999999999998</v>
      </c>
      <c r="AM120" s="39">
        <f>Table8[[#This Row],[bf]]*Table8[[#This Row],[tf]]*(Table8[[#This Row],[df]]/2)</f>
        <v>2.4671250000000001E-4</v>
      </c>
      <c r="AN120" s="11" t="str">
        <f>IF(Table8[[#This Row],[Fabrication Type]]="Welded",Table8[[#This Row],[vw]]*Table8[[#This Row],[Ix]]/Table8[[#This Row],[Qflange]],"")</f>
        <v/>
      </c>
      <c r="AO120" s="11">
        <f>Table8[[#This Row],[tw]]*MIN(Table8[[#This Row],[fy_web]], Table8[[#This Row],[fy_flange]])*0.6*Table8[[#This Row],[Ix]]/Table8[[#This Row],[Qflange]]</f>
        <v>308180.57455540361</v>
      </c>
      <c r="AP120" s="50">
        <f ca="1">INDEX(tbllkpkt[kt],MATCH(RANDBETWEEN(1,4),tbllkpkt[Index],0))</f>
        <v>0.85</v>
      </c>
      <c r="AQ120" s="48">
        <f t="shared" ca="1" si="3"/>
        <v>0.92999999999999994</v>
      </c>
      <c r="AR120" s="18">
        <f ca="1">Table8[[#This Row],[Ag]]*Table8[[#This Row],[Deduction_for_An]]</f>
        <v>6.1937999999999993E-3</v>
      </c>
      <c r="AS120" s="11">
        <f>Table8[[#This Row],[fy]]*Table8[[#This Row],[Ag]]</f>
        <v>1998000</v>
      </c>
      <c r="AT120" s="11">
        <f ca="1">Table8[[#This Row],[αu]]*Table8[[#This Row],[kt]]*Table8[[#This Row],[An]]*Table8[[#This Row],[fu]]</f>
        <v>1969009.0199999998</v>
      </c>
      <c r="AU120" s="11">
        <f ca="1">MIN(Table8[[#This Row],[Nty]],Table8[[#This Row],[Ntu]])</f>
        <v>1969009.0199999998</v>
      </c>
    </row>
    <row r="121" spans="2:47" x14ac:dyDescent="0.25">
      <c r="B121" s="15" t="str">
        <f>Table8[[#This Row],[Section]]&amp;"-"&amp;TEXT(Table8[[#This Row],[Grade]],"0")</f>
        <v>200UC46.2-300HR</v>
      </c>
      <c r="C121" s="3" t="s">
        <v>116</v>
      </c>
      <c r="D121" s="3" t="s">
        <v>106</v>
      </c>
      <c r="E121" s="3" t="s">
        <v>121</v>
      </c>
      <c r="F121" s="4">
        <v>46.2</v>
      </c>
      <c r="G121" s="3" t="s">
        <v>13</v>
      </c>
      <c r="H121" s="3" t="s">
        <v>105</v>
      </c>
      <c r="I121" s="5">
        <v>0.20300000000000001</v>
      </c>
      <c r="J121" s="5">
        <v>0.20300000000000001</v>
      </c>
      <c r="K121" s="5">
        <v>1.0999999999999999E-2</v>
      </c>
      <c r="L121" s="5">
        <v>7.3000000000000001E-3</v>
      </c>
      <c r="M121" s="5">
        <v>1.14E-2</v>
      </c>
      <c r="N121" s="5">
        <v>0.18100000000000002</v>
      </c>
      <c r="O121" s="6">
        <v>24.794520547945208</v>
      </c>
      <c r="P121" s="6">
        <v>8.8954545454545464</v>
      </c>
      <c r="Q121" s="7">
        <v>5.8999999999999999E-3</v>
      </c>
      <c r="R121" s="8">
        <v>4.5899999999999998E-5</v>
      </c>
      <c r="S121" s="9">
        <v>4.5100000000000001E-4</v>
      </c>
      <c r="T121" s="9">
        <v>5.0000000000000001E-4</v>
      </c>
      <c r="U121" s="5">
        <v>8.8200000000000001E-2</v>
      </c>
      <c r="V121" s="8">
        <v>1.5299999999999999E-5</v>
      </c>
      <c r="W121" s="9">
        <v>1.5100000000000001E-4</v>
      </c>
      <c r="X121" s="9">
        <v>2.3000000000000001E-4</v>
      </c>
      <c r="Y121" s="5">
        <v>8.8200000000000001E-2</v>
      </c>
      <c r="Z121" s="8">
        <v>2.28E-7</v>
      </c>
      <c r="AA121" s="10">
        <v>1.42E-7</v>
      </c>
      <c r="AB121" s="45">
        <v>0.85</v>
      </c>
      <c r="AC121" s="17">
        <f t="array" ref="AC121">INDEX(tbllkpSteelGrades[fy],MATCH(1,(Table8[[#This Row],[Grade]]=tbllkpSteelGrades[Grade])*(Table8[[#This Row],[tw]]&lt;=tbllkpSteelGrades[Thickness]),0))</f>
        <v>320000000</v>
      </c>
      <c r="AD121" s="17">
        <f t="array" ref="AD121">INDEX(tbllkpSteelGrades[fy],MATCH(1,(Table8[[#This Row],[Grade]]=tbllkpSteelGrades[Grade])*(Table8[[#This Row],[tf]]&lt;=tbllkpSteelGrades[Thickness]),0))</f>
        <v>320000000</v>
      </c>
      <c r="AE121" s="17">
        <f>MIN(Table8[[#This Row],[fy_web]],Table8[[#This Row],[fy_flange]])</f>
        <v>320000000</v>
      </c>
      <c r="AF121" s="17">
        <f t="array" ref="AF121">INDEX(tbllkpSteelGrades[fu],MATCH(1,(Table8[[#This Row],[Grade]]=tbllkpSteelGrades[Grade])*(Table8[[#This Row],[tw]]&lt;=tbllkpSteelGrades[Thickness]),0))</f>
        <v>440000000</v>
      </c>
      <c r="AG121" s="18">
        <f>IF(Table8[[#This Row],[Fabrication Type]]="Welded",Table8[[#This Row],[d1]],Table8[[#This Row],[d]])*Table8[[#This Row],[tw]]</f>
        <v>1.4819000000000002E-3</v>
      </c>
      <c r="AH121" s="11">
        <f>Table8[[#This Row],[Aw]]*Table8[[#This Row],[fy_web]]*0.6</f>
        <v>284524.80000000005</v>
      </c>
      <c r="AI121" s="35">
        <f>82/SQRT(Table8[[#This Row],[fy_web]]/250000000)</f>
        <v>72.478445071621124</v>
      </c>
      <c r="AJ12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21" s="38" t="str">
        <f>IF(Table8[[#This Row],[Fabrication Type]]="Welded",IF(Table8[[#This Row],[tw]]&gt;0.016,0.016*Table8[[#This Row],[fu]],Table8[[#This Row],[tw]]*Table8[[#This Row],[fu]]),"")</f>
        <v/>
      </c>
      <c r="AL121" s="13">
        <f>Table8[[#This Row],[d]]-Table8[[#This Row],[tf]]</f>
        <v>0.192</v>
      </c>
      <c r="AM121" s="39">
        <f>Table8[[#This Row],[bf]]*Table8[[#This Row],[tf]]*(Table8[[#This Row],[df]]/2)</f>
        <v>2.1436800000000002E-4</v>
      </c>
      <c r="AN121" s="11" t="str">
        <f>IF(Table8[[#This Row],[Fabrication Type]]="Welded",Table8[[#This Row],[vw]]*Table8[[#This Row],[Ix]]/Table8[[#This Row],[Qflange]],"")</f>
        <v/>
      </c>
      <c r="AO121" s="11">
        <f>Table8[[#This Row],[tw]]*MIN(Table8[[#This Row],[fy_web]], Table8[[#This Row],[fy_flange]])*0.6*Table8[[#This Row],[Ix]]/Table8[[#This Row],[Qflange]]</f>
        <v>300107.47872816835</v>
      </c>
      <c r="AP121" s="50">
        <f ca="1">INDEX(tbllkpkt[kt],MATCH(RANDBETWEEN(1,4),tbllkpkt[Index],0))</f>
        <v>0.9</v>
      </c>
      <c r="AQ121" s="48">
        <f t="shared" ca="1" si="3"/>
        <v>0.95</v>
      </c>
      <c r="AR121" s="18">
        <f ca="1">Table8[[#This Row],[Ag]]*Table8[[#This Row],[Deduction_for_An]]</f>
        <v>5.6049999999999997E-3</v>
      </c>
      <c r="AS121" s="11">
        <f>Table8[[#This Row],[fy]]*Table8[[#This Row],[Ag]]</f>
        <v>1888000</v>
      </c>
      <c r="AT121" s="11">
        <f ca="1">Table8[[#This Row],[αu]]*Table8[[#This Row],[kt]]*Table8[[#This Row],[An]]*Table8[[#This Row],[fu]]</f>
        <v>1886642.9999999998</v>
      </c>
      <c r="AU121" s="11">
        <f ca="1">MIN(Table8[[#This Row],[Nty]],Table8[[#This Row],[Ntu]])</f>
        <v>1886642.9999999998</v>
      </c>
    </row>
    <row r="122" spans="2:47" x14ac:dyDescent="0.25">
      <c r="B122" s="15" t="str">
        <f>Table8[[#This Row],[Section]]&amp;"-"&amp;TEXT(Table8[[#This Row],[Grade]],"0")</f>
        <v>150UC37.2-300HR</v>
      </c>
      <c r="C122" s="3" t="s">
        <v>117</v>
      </c>
      <c r="D122" s="3" t="s">
        <v>106</v>
      </c>
      <c r="E122" s="3" t="s">
        <v>121</v>
      </c>
      <c r="F122" s="4">
        <v>37.200000000000003</v>
      </c>
      <c r="G122" s="3" t="s">
        <v>13</v>
      </c>
      <c r="H122" s="3" t="s">
        <v>105</v>
      </c>
      <c r="I122" s="5">
        <v>0.16200000000000001</v>
      </c>
      <c r="J122" s="5">
        <v>0.154</v>
      </c>
      <c r="K122" s="5">
        <v>1.15E-2</v>
      </c>
      <c r="L122" s="5">
        <v>8.0999999999999996E-3</v>
      </c>
      <c r="M122" s="5">
        <v>8.8999999999999999E-3</v>
      </c>
      <c r="N122" s="5">
        <v>0.13900000000000001</v>
      </c>
      <c r="O122" s="6">
        <v>17.160493827160497</v>
      </c>
      <c r="P122" s="6">
        <v>6.3434782608695652</v>
      </c>
      <c r="Q122" s="7">
        <v>4.7299999999999998E-3</v>
      </c>
      <c r="R122" s="8">
        <v>2.2200000000000001E-5</v>
      </c>
      <c r="S122" s="9">
        <v>2.7399999999999999E-4</v>
      </c>
      <c r="T122" s="9">
        <v>3.1E-4</v>
      </c>
      <c r="U122" s="5">
        <v>6.8400000000000002E-2</v>
      </c>
      <c r="V122" s="8">
        <v>7.0099999999999998E-6</v>
      </c>
      <c r="W122" s="9">
        <v>9.1000000000000003E-5</v>
      </c>
      <c r="X122" s="9">
        <v>1.3899999999999999E-4</v>
      </c>
      <c r="Y122" s="5">
        <v>6.8400000000000002E-2</v>
      </c>
      <c r="Z122" s="8">
        <v>1.97E-7</v>
      </c>
      <c r="AA122" s="10">
        <v>3.9599999999999997E-8</v>
      </c>
      <c r="AB122" s="45">
        <v>0.85</v>
      </c>
      <c r="AC122" s="17">
        <f t="array" ref="AC122">INDEX(tbllkpSteelGrades[fy],MATCH(1,(Table8[[#This Row],[Grade]]=tbllkpSteelGrades[Grade])*(Table8[[#This Row],[tw]]&lt;=tbllkpSteelGrades[Thickness]),0))</f>
        <v>320000000</v>
      </c>
      <c r="AD122" s="17">
        <f t="array" ref="AD122">INDEX(tbllkpSteelGrades[fy],MATCH(1,(Table8[[#This Row],[Grade]]=tbllkpSteelGrades[Grade])*(Table8[[#This Row],[tf]]&lt;=tbllkpSteelGrades[Thickness]),0))</f>
        <v>300000000</v>
      </c>
      <c r="AE122" s="17">
        <f>MIN(Table8[[#This Row],[fy_web]],Table8[[#This Row],[fy_flange]])</f>
        <v>300000000</v>
      </c>
      <c r="AF122" s="17">
        <f t="array" ref="AF122">INDEX(tbllkpSteelGrades[fu],MATCH(1,(Table8[[#This Row],[Grade]]=tbllkpSteelGrades[Grade])*(Table8[[#This Row],[tw]]&lt;=tbllkpSteelGrades[Thickness]),0))</f>
        <v>440000000</v>
      </c>
      <c r="AG122" s="18">
        <f>IF(Table8[[#This Row],[Fabrication Type]]="Welded",Table8[[#This Row],[d1]],Table8[[#This Row],[d]])*Table8[[#This Row],[tw]]</f>
        <v>1.3121999999999999E-3</v>
      </c>
      <c r="AH122" s="11">
        <f>Table8[[#This Row],[Aw]]*Table8[[#This Row],[fy_web]]*0.6</f>
        <v>251942.39999999999</v>
      </c>
      <c r="AI122" s="35">
        <f>82/SQRT(Table8[[#This Row],[fy_web]]/250000000)</f>
        <v>72.478445071621124</v>
      </c>
      <c r="AJ12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22" s="38" t="str">
        <f>IF(Table8[[#This Row],[Fabrication Type]]="Welded",IF(Table8[[#This Row],[tw]]&gt;0.016,0.016*Table8[[#This Row],[fu]],Table8[[#This Row],[tw]]*Table8[[#This Row],[fu]]),"")</f>
        <v/>
      </c>
      <c r="AL122" s="13">
        <f>Table8[[#This Row],[d]]-Table8[[#This Row],[tf]]</f>
        <v>0.15049999999999999</v>
      </c>
      <c r="AM122" s="39">
        <f>Table8[[#This Row],[bf]]*Table8[[#This Row],[tf]]*(Table8[[#This Row],[df]]/2)</f>
        <v>1.3326774999999999E-4</v>
      </c>
      <c r="AN122" s="11" t="str">
        <f>IF(Table8[[#This Row],[Fabrication Type]]="Welded",Table8[[#This Row],[vw]]*Table8[[#This Row],[Ix]]/Table8[[#This Row],[Qflange]],"")</f>
        <v/>
      </c>
      <c r="AO122" s="11">
        <f>Table8[[#This Row],[tw]]*MIN(Table8[[#This Row],[fy_web]], Table8[[#This Row],[fy_flange]])*0.6*Table8[[#This Row],[Ix]]/Table8[[#This Row],[Qflange]]</f>
        <v>242876.46486115362</v>
      </c>
      <c r="AP122" s="50">
        <f ca="1">INDEX(tbllkpkt[kt],MATCH(RANDBETWEEN(1,4),tbllkpkt[Index],0))</f>
        <v>0.75</v>
      </c>
      <c r="AQ122" s="48">
        <f t="shared" ca="1" si="3"/>
        <v>0.91</v>
      </c>
      <c r="AR122" s="18">
        <f ca="1">Table8[[#This Row],[Ag]]*Table8[[#This Row],[Deduction_for_An]]</f>
        <v>4.3042999999999996E-3</v>
      </c>
      <c r="AS122" s="11">
        <f>Table8[[#This Row],[fy]]*Table8[[#This Row],[Ag]]</f>
        <v>1419000</v>
      </c>
      <c r="AT122" s="11">
        <f ca="1">Table8[[#This Row],[αu]]*Table8[[#This Row],[kt]]*Table8[[#This Row],[An]]*Table8[[#This Row],[fu]]</f>
        <v>1207356.1499999999</v>
      </c>
      <c r="AU122" s="11">
        <f ca="1">MIN(Table8[[#This Row],[Nty]],Table8[[#This Row],[Ntu]])</f>
        <v>1207356.1499999999</v>
      </c>
    </row>
    <row r="123" spans="2:47" x14ac:dyDescent="0.25">
      <c r="B123" s="15" t="str">
        <f>Table8[[#This Row],[Section]]&amp;"-"&amp;TEXT(Table8[[#This Row],[Grade]],"0")</f>
        <v>150UC30.0-300HR</v>
      </c>
      <c r="C123" s="3" t="s">
        <v>118</v>
      </c>
      <c r="D123" s="3" t="s">
        <v>106</v>
      </c>
      <c r="E123" s="3" t="s">
        <v>121</v>
      </c>
      <c r="F123" s="4">
        <v>30</v>
      </c>
      <c r="G123" s="3" t="s">
        <v>13</v>
      </c>
      <c r="H123" s="3" t="s">
        <v>105</v>
      </c>
      <c r="I123" s="5">
        <v>0.158</v>
      </c>
      <c r="J123" s="5">
        <v>0.153</v>
      </c>
      <c r="K123" s="5">
        <v>9.4000000000000004E-3</v>
      </c>
      <c r="L123" s="5">
        <v>6.6E-3</v>
      </c>
      <c r="M123" s="5">
        <v>8.8999999999999999E-3</v>
      </c>
      <c r="N123" s="5">
        <v>0.13919999999999999</v>
      </c>
      <c r="O123" s="6">
        <v>21.09090909090909</v>
      </c>
      <c r="P123" s="6">
        <v>7.787234042553191</v>
      </c>
      <c r="Q123" s="7">
        <v>3.8600000000000001E-3</v>
      </c>
      <c r="R123" s="8">
        <v>1.7600000000000001E-5</v>
      </c>
      <c r="S123" s="9">
        <v>2.23E-4</v>
      </c>
      <c r="T123" s="9">
        <v>2.5000000000000001E-4</v>
      </c>
      <c r="U123" s="5">
        <v>6.7500000000000004E-2</v>
      </c>
      <c r="V123" s="8">
        <v>5.6200000000000004E-6</v>
      </c>
      <c r="W123" s="9">
        <v>7.3399999999999995E-5</v>
      </c>
      <c r="X123" s="9">
        <v>1.12E-4</v>
      </c>
      <c r="Y123" s="5">
        <v>6.7500000000000004E-2</v>
      </c>
      <c r="Z123" s="8">
        <v>1.09E-7</v>
      </c>
      <c r="AA123" s="10">
        <v>3.0799999999999998E-8</v>
      </c>
      <c r="AB123" s="45">
        <v>0.85</v>
      </c>
      <c r="AC123" s="17">
        <f t="array" ref="AC123">INDEX(tbllkpSteelGrades[fy],MATCH(1,(Table8[[#This Row],[Grade]]=tbllkpSteelGrades[Grade])*(Table8[[#This Row],[tw]]&lt;=tbllkpSteelGrades[Thickness]),0))</f>
        <v>320000000</v>
      </c>
      <c r="AD123" s="17">
        <f t="array" ref="AD123">INDEX(tbllkpSteelGrades[fy],MATCH(1,(Table8[[#This Row],[Grade]]=tbllkpSteelGrades[Grade])*(Table8[[#This Row],[tf]]&lt;=tbllkpSteelGrades[Thickness]),0))</f>
        <v>320000000</v>
      </c>
      <c r="AE123" s="17">
        <f>MIN(Table8[[#This Row],[fy_web]],Table8[[#This Row],[fy_flange]])</f>
        <v>320000000</v>
      </c>
      <c r="AF123" s="17">
        <f t="array" ref="AF123">INDEX(tbllkpSteelGrades[fu],MATCH(1,(Table8[[#This Row],[Grade]]=tbllkpSteelGrades[Grade])*(Table8[[#This Row],[tw]]&lt;=tbllkpSteelGrades[Thickness]),0))</f>
        <v>440000000</v>
      </c>
      <c r="AG123" s="18">
        <f>IF(Table8[[#This Row],[Fabrication Type]]="Welded",Table8[[#This Row],[d1]],Table8[[#This Row],[d]])*Table8[[#This Row],[tw]]</f>
        <v>1.0428E-3</v>
      </c>
      <c r="AH123" s="11">
        <f>Table8[[#This Row],[Aw]]*Table8[[#This Row],[fy_web]]*0.6</f>
        <v>200217.60000000001</v>
      </c>
      <c r="AI123" s="35">
        <f>82/SQRT(Table8[[#This Row],[fy_web]]/250000000)</f>
        <v>72.478445071621124</v>
      </c>
      <c r="AJ123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23" s="38" t="str">
        <f>IF(Table8[[#This Row],[Fabrication Type]]="Welded",IF(Table8[[#This Row],[tw]]&gt;0.016,0.016*Table8[[#This Row],[fu]],Table8[[#This Row],[tw]]*Table8[[#This Row],[fu]]),"")</f>
        <v/>
      </c>
      <c r="AL123" s="13">
        <f>Table8[[#This Row],[d]]-Table8[[#This Row],[tf]]</f>
        <v>0.14860000000000001</v>
      </c>
      <c r="AM123" s="39">
        <f>Table8[[#This Row],[bf]]*Table8[[#This Row],[tf]]*(Table8[[#This Row],[df]]/2)</f>
        <v>1.0685826E-4</v>
      </c>
      <c r="AN123" s="11" t="str">
        <f>IF(Table8[[#This Row],[Fabrication Type]]="Welded",Table8[[#This Row],[vw]]*Table8[[#This Row],[Ix]]/Table8[[#This Row],[Qflange]],"")</f>
        <v/>
      </c>
      <c r="AO123" s="11">
        <f>Table8[[#This Row],[tw]]*MIN(Table8[[#This Row],[fy_web]], Table8[[#This Row],[fy_flange]])*0.6*Table8[[#This Row],[Ix]]/Table8[[#This Row],[Qflange]]</f>
        <v>208713.11211692946</v>
      </c>
      <c r="AP123" s="50">
        <f ca="1">INDEX(tbllkpkt[kt],MATCH(RANDBETWEEN(1,4),tbllkpkt[Index],0))</f>
        <v>0.85</v>
      </c>
      <c r="AQ123" s="48">
        <f t="shared" ca="1" si="3"/>
        <v>0.9</v>
      </c>
      <c r="AR123" s="18">
        <f ca="1">Table8[[#This Row],[Ag]]*Table8[[#This Row],[Deduction_for_An]]</f>
        <v>3.4740000000000001E-3</v>
      </c>
      <c r="AS123" s="11">
        <f>Table8[[#This Row],[fy]]*Table8[[#This Row],[Ag]]</f>
        <v>1235200</v>
      </c>
      <c r="AT123" s="11">
        <f ca="1">Table8[[#This Row],[αu]]*Table8[[#This Row],[kt]]*Table8[[#This Row],[An]]*Table8[[#This Row],[fu]]</f>
        <v>1104384.5999999999</v>
      </c>
      <c r="AU123" s="11">
        <f ca="1">MIN(Table8[[#This Row],[Nty]],Table8[[#This Row],[Ntu]])</f>
        <v>1104384.5999999999</v>
      </c>
    </row>
    <row r="124" spans="2:47" x14ac:dyDescent="0.25">
      <c r="B124" s="15" t="str">
        <f>Table8[[#This Row],[Section]]&amp;"-"&amp;TEXT(Table8[[#This Row],[Grade]],"0")</f>
        <v>150UC23.4-300HR</v>
      </c>
      <c r="C124" s="3" t="s">
        <v>119</v>
      </c>
      <c r="D124" s="3" t="s">
        <v>106</v>
      </c>
      <c r="E124" s="3" t="s">
        <v>121</v>
      </c>
      <c r="F124" s="4">
        <v>23.4</v>
      </c>
      <c r="G124" s="3" t="s">
        <v>13</v>
      </c>
      <c r="H124" s="3" t="s">
        <v>105</v>
      </c>
      <c r="I124" s="5">
        <v>0.152</v>
      </c>
      <c r="J124" s="5">
        <v>0.152</v>
      </c>
      <c r="K124" s="5">
        <v>6.7999999999999996E-3</v>
      </c>
      <c r="L124" s="5">
        <v>6.0999999999999995E-3</v>
      </c>
      <c r="M124" s="5">
        <v>8.8999999999999999E-3</v>
      </c>
      <c r="N124" s="5">
        <v>0.1384</v>
      </c>
      <c r="O124" s="6">
        <v>22.688524590163937</v>
      </c>
      <c r="P124" s="6">
        <v>10.727941176470589</v>
      </c>
      <c r="Q124" s="7">
        <v>2.98E-3</v>
      </c>
      <c r="R124" s="8">
        <v>1.26E-5</v>
      </c>
      <c r="S124" s="9">
        <v>1.66E-4</v>
      </c>
      <c r="T124" s="9">
        <v>1.84E-4</v>
      </c>
      <c r="U124" s="5">
        <v>6.5099999999999991E-2</v>
      </c>
      <c r="V124" s="8">
        <v>3.98E-6</v>
      </c>
      <c r="W124" s="9">
        <v>5.24E-5</v>
      </c>
      <c r="X124" s="9">
        <v>8.0199999999999998E-5</v>
      </c>
      <c r="Y124" s="5">
        <v>6.5099999999999991E-2</v>
      </c>
      <c r="Z124" s="8">
        <v>5.02E-8</v>
      </c>
      <c r="AA124" s="10">
        <v>2.11E-8</v>
      </c>
      <c r="AB124" s="45">
        <v>0.85</v>
      </c>
      <c r="AC124" s="17">
        <f t="array" ref="AC124">INDEX(tbllkpSteelGrades[fy],MATCH(1,(Table8[[#This Row],[Grade]]=tbllkpSteelGrades[Grade])*(Table8[[#This Row],[tw]]&lt;=tbllkpSteelGrades[Thickness]),0))</f>
        <v>320000000</v>
      </c>
      <c r="AD124" s="17">
        <f t="array" ref="AD124">INDEX(tbllkpSteelGrades[fy],MATCH(1,(Table8[[#This Row],[Grade]]=tbllkpSteelGrades[Grade])*(Table8[[#This Row],[tf]]&lt;=tbllkpSteelGrades[Thickness]),0))</f>
        <v>320000000</v>
      </c>
      <c r="AE124" s="17">
        <f>MIN(Table8[[#This Row],[fy_web]],Table8[[#This Row],[fy_flange]])</f>
        <v>320000000</v>
      </c>
      <c r="AF124" s="17">
        <f t="array" ref="AF124">INDEX(tbllkpSteelGrades[fu],MATCH(1,(Table8[[#This Row],[Grade]]=tbllkpSteelGrades[Grade])*(Table8[[#This Row],[tw]]&lt;=tbllkpSteelGrades[Thickness]),0))</f>
        <v>440000000</v>
      </c>
      <c r="AG124" s="18">
        <f>IF(Table8[[#This Row],[Fabrication Type]]="Welded",Table8[[#This Row],[d1]],Table8[[#This Row],[d]])*Table8[[#This Row],[tw]]</f>
        <v>9.2719999999999988E-4</v>
      </c>
      <c r="AH124" s="11">
        <f>Table8[[#This Row],[Aw]]*Table8[[#This Row],[fy_web]]*0.6</f>
        <v>178022.39999999997</v>
      </c>
      <c r="AI124" s="35">
        <f>82/SQRT(Table8[[#This Row],[fy_web]]/250000000)</f>
        <v>72.478445071621124</v>
      </c>
      <c r="AJ124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24" s="38" t="str">
        <f>IF(Table8[[#This Row],[Fabrication Type]]="Welded",IF(Table8[[#This Row],[tw]]&gt;0.016,0.016*Table8[[#This Row],[fu]],Table8[[#This Row],[tw]]*Table8[[#This Row],[fu]]),"")</f>
        <v/>
      </c>
      <c r="AL124" s="13">
        <f>Table8[[#This Row],[d]]-Table8[[#This Row],[tf]]</f>
        <v>0.1452</v>
      </c>
      <c r="AM124" s="39">
        <f>Table8[[#This Row],[bf]]*Table8[[#This Row],[tf]]*(Table8[[#This Row],[df]]/2)</f>
        <v>7.5039359999999996E-5</v>
      </c>
      <c r="AN124" s="11" t="str">
        <f>IF(Table8[[#This Row],[Fabrication Type]]="Welded",Table8[[#This Row],[vw]]*Table8[[#This Row],[Ix]]/Table8[[#This Row],[Qflange]],"")</f>
        <v/>
      </c>
      <c r="AO124" s="11">
        <f>Table8[[#This Row],[tw]]*MIN(Table8[[#This Row],[fy_web]], Table8[[#This Row],[fy_flange]])*0.6*Table8[[#This Row],[Ix]]/Table8[[#This Row],[Qflange]]</f>
        <v>196658.39367499933</v>
      </c>
      <c r="AP124" s="50">
        <f ca="1">INDEX(tbllkpkt[kt],MATCH(RANDBETWEEN(1,4),tbllkpkt[Index],0))</f>
        <v>0.75</v>
      </c>
      <c r="AQ124" s="48">
        <f t="shared" ca="1" si="3"/>
        <v>0.92</v>
      </c>
      <c r="AR124" s="18">
        <f ca="1">Table8[[#This Row],[Ag]]*Table8[[#This Row],[Deduction_for_An]]</f>
        <v>2.7416000000000003E-3</v>
      </c>
      <c r="AS124" s="11">
        <f>Table8[[#This Row],[fy]]*Table8[[#This Row],[Ag]]</f>
        <v>953600</v>
      </c>
      <c r="AT124" s="11">
        <f ca="1">Table8[[#This Row],[αu]]*Table8[[#This Row],[kt]]*Table8[[#This Row],[An]]*Table8[[#This Row],[fu]]</f>
        <v>769018.8</v>
      </c>
      <c r="AU124" s="11">
        <f ca="1">MIN(Table8[[#This Row],[Nty]],Table8[[#This Row],[Ntu]])</f>
        <v>769018.8</v>
      </c>
    </row>
    <row r="125" spans="2:47" x14ac:dyDescent="0.25">
      <c r="B125" s="15" t="str">
        <f>Table8[[#This Row],[Section]]&amp;"-"&amp;TEXT(Table8[[#This Row],[Grade]],"0")</f>
        <v>100UC14.8-300HR</v>
      </c>
      <c r="C125" s="3" t="s">
        <v>120</v>
      </c>
      <c r="D125" s="3" t="s">
        <v>106</v>
      </c>
      <c r="E125" s="3" t="s">
        <v>121</v>
      </c>
      <c r="F125" s="4">
        <v>14.8</v>
      </c>
      <c r="G125" s="3" t="s">
        <v>13</v>
      </c>
      <c r="H125" s="3" t="s">
        <v>105</v>
      </c>
      <c r="I125" s="5">
        <v>9.7000000000000003E-2</v>
      </c>
      <c r="J125" s="5">
        <v>9.9000000000000005E-2</v>
      </c>
      <c r="K125" s="5">
        <v>7.0000000000000001E-3</v>
      </c>
      <c r="L125" s="5">
        <v>5.0000000000000001E-3</v>
      </c>
      <c r="M125" s="5">
        <v>0.01</v>
      </c>
      <c r="N125" s="5">
        <v>8.3000000000000004E-2</v>
      </c>
      <c r="O125" s="6">
        <v>16.600000000000001</v>
      </c>
      <c r="P125" s="6">
        <v>6.7142857142857144</v>
      </c>
      <c r="Q125" s="7">
        <v>1.89E-3</v>
      </c>
      <c r="R125" s="8">
        <v>3.18E-6</v>
      </c>
      <c r="S125" s="9">
        <v>6.5599999999999995E-5</v>
      </c>
      <c r="T125" s="9">
        <v>7.4400000000000006E-5</v>
      </c>
      <c r="U125" s="5">
        <v>4.1100000000000005E-2</v>
      </c>
      <c r="V125" s="8">
        <v>1.1400000000000001E-6</v>
      </c>
      <c r="W125" s="9">
        <v>2.2900000000000001E-5</v>
      </c>
      <c r="X125" s="9">
        <v>3.5200000000000002E-5</v>
      </c>
      <c r="Y125" s="5">
        <v>4.1100000000000005E-2</v>
      </c>
      <c r="Z125" s="8">
        <v>3.4900000000000001E-8</v>
      </c>
      <c r="AA125" s="10">
        <v>2.2999999999999999E-9</v>
      </c>
      <c r="AB125" s="45">
        <v>0.85</v>
      </c>
      <c r="AC125" s="17">
        <f t="array" ref="AC125">INDEX(tbllkpSteelGrades[fy],MATCH(1,(Table8[[#This Row],[Grade]]=tbllkpSteelGrades[Grade])*(Table8[[#This Row],[tw]]&lt;=tbllkpSteelGrades[Thickness]),0))</f>
        <v>320000000</v>
      </c>
      <c r="AD125" s="17">
        <f t="array" ref="AD125">INDEX(tbllkpSteelGrades[fy],MATCH(1,(Table8[[#This Row],[Grade]]=tbllkpSteelGrades[Grade])*(Table8[[#This Row],[tf]]&lt;=tbllkpSteelGrades[Thickness]),0))</f>
        <v>320000000</v>
      </c>
      <c r="AE125" s="17">
        <f>MIN(Table8[[#This Row],[fy_web]],Table8[[#This Row],[fy_flange]])</f>
        <v>320000000</v>
      </c>
      <c r="AF125" s="17">
        <f t="array" ref="AF125">INDEX(tbllkpSteelGrades[fu],MATCH(1,(Table8[[#This Row],[Grade]]=tbllkpSteelGrades[Grade])*(Table8[[#This Row],[tw]]&lt;=tbllkpSteelGrades[Thickness]),0))</f>
        <v>440000000</v>
      </c>
      <c r="AG125" s="18">
        <f>IF(Table8[[#This Row],[Fabrication Type]]="Welded",Table8[[#This Row],[d1]],Table8[[#This Row],[d]])*Table8[[#This Row],[tw]]</f>
        <v>4.8500000000000003E-4</v>
      </c>
      <c r="AH125" s="11">
        <f>Table8[[#This Row],[Aw]]*Table8[[#This Row],[fy_web]]*0.6</f>
        <v>93120</v>
      </c>
      <c r="AI125" s="35">
        <f>82/SQRT(Table8[[#This Row],[fy_web]]/250000000)</f>
        <v>72.478445071621124</v>
      </c>
      <c r="AJ125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25" s="38" t="str">
        <f>IF(Table8[[#This Row],[Fabrication Type]]="Welded",IF(Table8[[#This Row],[tw]]&gt;0.016,0.016*Table8[[#This Row],[fu]],Table8[[#This Row],[tw]]*Table8[[#This Row],[fu]]),"")</f>
        <v/>
      </c>
      <c r="AL125" s="13">
        <f>Table8[[#This Row],[d]]-Table8[[#This Row],[tf]]</f>
        <v>0.09</v>
      </c>
      <c r="AM125" s="39">
        <f>Table8[[#This Row],[bf]]*Table8[[#This Row],[tf]]*(Table8[[#This Row],[df]]/2)</f>
        <v>3.1185E-5</v>
      </c>
      <c r="AN125" s="11" t="str">
        <f>IF(Table8[[#This Row],[Fabrication Type]]="Welded",Table8[[#This Row],[vw]]*Table8[[#This Row],[Ix]]/Table8[[#This Row],[Qflange]],"")</f>
        <v/>
      </c>
      <c r="AO125" s="11">
        <f>Table8[[#This Row],[tw]]*MIN(Table8[[#This Row],[fy_web]], Table8[[#This Row],[fy_flange]])*0.6*Table8[[#This Row],[Ix]]/Table8[[#This Row],[Qflange]]</f>
        <v>97893.217893217894</v>
      </c>
      <c r="AP125" s="50">
        <f ca="1">INDEX(tbllkpkt[kt],MATCH(RANDBETWEEN(1,4),tbllkpkt[Index],0))</f>
        <v>0.75</v>
      </c>
      <c r="AQ125" s="48">
        <f t="shared" ca="1" si="3"/>
        <v>0.98</v>
      </c>
      <c r="AR125" s="18">
        <f ca="1">Table8[[#This Row],[Ag]]*Table8[[#This Row],[Deduction_for_An]]</f>
        <v>1.8522E-3</v>
      </c>
      <c r="AS125" s="11">
        <f>Table8[[#This Row],[fy]]*Table8[[#This Row],[Ag]]</f>
        <v>604800</v>
      </c>
      <c r="AT125" s="11">
        <f ca="1">Table8[[#This Row],[αu]]*Table8[[#This Row],[kt]]*Table8[[#This Row],[An]]*Table8[[#This Row],[fu]]</f>
        <v>519542.1</v>
      </c>
      <c r="AU125" s="11">
        <f ca="1">MIN(Table8[[#This Row],[Nty]],Table8[[#This Row],[Ntu]])</f>
        <v>519542.1</v>
      </c>
    </row>
    <row r="126" spans="2:47" x14ac:dyDescent="0.25">
      <c r="B126" s="15" t="str">
        <f>Table8[[#This Row],[Section]]&amp;"-"&amp;TEXT(Table8[[#This Row],[Grade]],"0")</f>
        <v>310UBP149-300HR</v>
      </c>
      <c r="C126" s="3" t="s">
        <v>123</v>
      </c>
      <c r="D126" s="3" t="s">
        <v>106</v>
      </c>
      <c r="E126" s="3" t="s">
        <v>122</v>
      </c>
      <c r="F126" s="4">
        <v>149</v>
      </c>
      <c r="G126" s="3" t="s">
        <v>13</v>
      </c>
      <c r="H126" s="3" t="s">
        <v>105</v>
      </c>
      <c r="I126" s="5">
        <v>0.318</v>
      </c>
      <c r="J126" s="5">
        <v>0.316</v>
      </c>
      <c r="K126" s="5">
        <v>2.07E-2</v>
      </c>
      <c r="L126" s="5">
        <v>2.0500000000000001E-2</v>
      </c>
      <c r="M126" s="5">
        <v>1.6500000000000001E-2</v>
      </c>
      <c r="N126" s="5">
        <v>0.27660000000000001</v>
      </c>
      <c r="O126" s="6">
        <v>13.492682926829268</v>
      </c>
      <c r="P126" s="6">
        <v>7.13768115942029</v>
      </c>
      <c r="Q126" s="7">
        <v>1.9E-2</v>
      </c>
      <c r="R126" s="8">
        <v>3.3E-4</v>
      </c>
      <c r="S126" s="9">
        <v>2.0799999999999998E-3</v>
      </c>
      <c r="T126" s="9">
        <v>2.3700000000000001E-3</v>
      </c>
      <c r="U126" s="5">
        <v>0.13200000000000001</v>
      </c>
      <c r="V126" s="8">
        <v>1.0900000000000001E-4</v>
      </c>
      <c r="W126" s="9">
        <v>6.9099999999999999E-4</v>
      </c>
      <c r="X126" s="9">
        <v>1.07E-3</v>
      </c>
      <c r="Y126" s="5">
        <v>0.13200000000000001</v>
      </c>
      <c r="Z126" s="8">
        <v>2.9699999999999999E-6</v>
      </c>
      <c r="AA126" s="10">
        <v>2.4099999999999998E-6</v>
      </c>
      <c r="AB126" s="45">
        <v>0.85</v>
      </c>
      <c r="AC126" s="17">
        <f t="array" ref="AC126">INDEX(tbllkpSteelGrades[fy],MATCH(1,(Table8[[#This Row],[Grade]]=tbllkpSteelGrades[Grade])*(Table8[[#This Row],[tw]]&lt;=tbllkpSteelGrades[Thickness]),0))</f>
        <v>280000000</v>
      </c>
      <c r="AD126" s="17">
        <f t="array" ref="AD126">INDEX(tbllkpSteelGrades[fy],MATCH(1,(Table8[[#This Row],[Grade]]=tbllkpSteelGrades[Grade])*(Table8[[#This Row],[tf]]&lt;=tbllkpSteelGrades[Thickness]),0))</f>
        <v>280000000</v>
      </c>
      <c r="AE126" s="17">
        <f>MIN(Table8[[#This Row],[fy_web]],Table8[[#This Row],[fy_flange]])</f>
        <v>280000000</v>
      </c>
      <c r="AF126" s="17">
        <f t="array" ref="AF126">INDEX(tbllkpSteelGrades[fu],MATCH(1,(Table8[[#This Row],[Grade]]=tbllkpSteelGrades[Grade])*(Table8[[#This Row],[tw]]&lt;=tbllkpSteelGrades[Thickness]),0))</f>
        <v>440000000</v>
      </c>
      <c r="AG126" s="18">
        <f>IF(Table8[[#This Row],[Fabrication Type]]="Welded",Table8[[#This Row],[d1]],Table8[[#This Row],[d]])*Table8[[#This Row],[tw]]</f>
        <v>6.5190000000000005E-3</v>
      </c>
      <c r="AH126" s="11">
        <f>Table8[[#This Row],[Aw]]*Table8[[#This Row],[fy_web]]*0.6</f>
        <v>1095192</v>
      </c>
      <c r="AI126" s="35">
        <f>82/SQRT(Table8[[#This Row],[fy_web]]/250000000)</f>
        <v>77.482716966891573</v>
      </c>
      <c r="AJ126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26" s="38" t="str">
        <f>IF(Table8[[#This Row],[Fabrication Type]]="Welded",IF(Table8[[#This Row],[tw]]&gt;0.016,0.016*Table8[[#This Row],[fu]],Table8[[#This Row],[tw]]*Table8[[#This Row],[fu]]),"")</f>
        <v/>
      </c>
      <c r="AL126" s="13">
        <f>Table8[[#This Row],[d]]-Table8[[#This Row],[tf]]</f>
        <v>0.29730000000000001</v>
      </c>
      <c r="AM126" s="39">
        <f>Table8[[#This Row],[bf]]*Table8[[#This Row],[tf]]*(Table8[[#This Row],[df]]/2)</f>
        <v>9.7234937999999996E-4</v>
      </c>
      <c r="AN126" s="11" t="str">
        <f>IF(Table8[[#This Row],[Fabrication Type]]="Welded",Table8[[#This Row],[vw]]*Table8[[#This Row],[Ix]]/Table8[[#This Row],[Qflange]],"")</f>
        <v/>
      </c>
      <c r="AO126" s="11">
        <f>Table8[[#This Row],[tw]]*MIN(Table8[[#This Row],[fy_web]], Table8[[#This Row],[fy_flange]])*0.6*Table8[[#This Row],[Ix]]/Table8[[#This Row],[Qflange]]</f>
        <v>1168839.1265287793</v>
      </c>
      <c r="AP126" s="50">
        <f ca="1">INDEX(tbllkpkt[kt],MATCH(RANDBETWEEN(1,4),tbllkpkt[Index],0))</f>
        <v>0.9</v>
      </c>
      <c r="AQ126" s="48">
        <f t="shared" ca="1" si="3"/>
        <v>0.92</v>
      </c>
      <c r="AR126" s="18">
        <f ca="1">Table8[[#This Row],[Ag]]*Table8[[#This Row],[Deduction_for_An]]</f>
        <v>1.7479999999999999E-2</v>
      </c>
      <c r="AS126" s="11">
        <f>Table8[[#This Row],[fy]]*Table8[[#This Row],[Ag]]</f>
        <v>5320000</v>
      </c>
      <c r="AT126" s="11">
        <f ca="1">Table8[[#This Row],[αu]]*Table8[[#This Row],[kt]]*Table8[[#This Row],[An]]*Table8[[#This Row],[fu]]</f>
        <v>5883768</v>
      </c>
      <c r="AU126" s="11">
        <f ca="1">MIN(Table8[[#This Row],[Nty]],Table8[[#This Row],[Ntu]])</f>
        <v>5320000</v>
      </c>
    </row>
    <row r="127" spans="2:47" x14ac:dyDescent="0.25">
      <c r="B127" s="15" t="str">
        <f>Table8[[#This Row],[Section]]&amp;"-"&amp;TEXT(Table8[[#This Row],[Grade]],"0")</f>
        <v>200UBP146-300HR</v>
      </c>
      <c r="C127" s="3" t="s">
        <v>124</v>
      </c>
      <c r="D127" s="3" t="s">
        <v>106</v>
      </c>
      <c r="E127" s="3" t="s">
        <v>122</v>
      </c>
      <c r="F127" s="4">
        <v>146</v>
      </c>
      <c r="G127" s="3" t="s">
        <v>13</v>
      </c>
      <c r="H127" s="3" t="s">
        <v>105</v>
      </c>
      <c r="I127" s="5">
        <v>0.245</v>
      </c>
      <c r="J127" s="5">
        <v>0.218</v>
      </c>
      <c r="K127" s="5">
        <v>3.2000000000000001E-2</v>
      </c>
      <c r="L127" s="5">
        <v>2.5000000000000001E-2</v>
      </c>
      <c r="M127" s="5">
        <v>1.14E-2</v>
      </c>
      <c r="N127" s="5">
        <v>0.18099999999999999</v>
      </c>
      <c r="O127" s="6">
        <v>7.2399999999999993</v>
      </c>
      <c r="P127" s="6">
        <v>3.015625</v>
      </c>
      <c r="Q127" s="7">
        <v>1.8599999999999998E-2</v>
      </c>
      <c r="R127" s="8">
        <v>1.73E-4</v>
      </c>
      <c r="S127" s="9">
        <v>1.41E-3</v>
      </c>
      <c r="T127" s="9">
        <v>1.6999999999999999E-3</v>
      </c>
      <c r="U127" s="5">
        <v>9.64E-2</v>
      </c>
      <c r="V127" s="8">
        <v>5.5500000000000001E-5</v>
      </c>
      <c r="W127" s="9">
        <v>5.0900000000000001E-4</v>
      </c>
      <c r="X127" s="9">
        <v>7.9000000000000001E-4</v>
      </c>
      <c r="Y127" s="5">
        <v>9.64E-2</v>
      </c>
      <c r="Z127" s="8">
        <v>5.9800000000000003E-6</v>
      </c>
      <c r="AA127" s="10">
        <v>6.3E-7</v>
      </c>
      <c r="AB127" s="45">
        <v>0.85</v>
      </c>
      <c r="AC127" s="17">
        <f t="array" ref="AC127">INDEX(tbllkpSteelGrades[fy],MATCH(1,(Table8[[#This Row],[Grade]]=tbllkpSteelGrades[Grade])*(Table8[[#This Row],[tw]]&lt;=tbllkpSteelGrades[Thickness]),0))</f>
        <v>280000000</v>
      </c>
      <c r="AD127" s="17">
        <f t="array" ref="AD127">INDEX(tbllkpSteelGrades[fy],MATCH(1,(Table8[[#This Row],[Grade]]=tbllkpSteelGrades[Grade])*(Table8[[#This Row],[tf]]&lt;=tbllkpSteelGrades[Thickness]),0))</f>
        <v>280000000</v>
      </c>
      <c r="AE127" s="17">
        <f>MIN(Table8[[#This Row],[fy_web]],Table8[[#This Row],[fy_flange]])</f>
        <v>280000000</v>
      </c>
      <c r="AF127" s="17">
        <f t="array" ref="AF127">INDEX(tbllkpSteelGrades[fu],MATCH(1,(Table8[[#This Row],[Grade]]=tbllkpSteelGrades[Grade])*(Table8[[#This Row],[tw]]&lt;=tbllkpSteelGrades[Thickness]),0))</f>
        <v>440000000</v>
      </c>
      <c r="AG127" s="18">
        <f>IF(Table8[[#This Row],[Fabrication Type]]="Welded",Table8[[#This Row],[d1]],Table8[[#This Row],[d]])*Table8[[#This Row],[tw]]</f>
        <v>6.1250000000000002E-3</v>
      </c>
      <c r="AH127" s="11">
        <f>Table8[[#This Row],[Aw]]*Table8[[#This Row],[fy_web]]*0.6</f>
        <v>1029000</v>
      </c>
      <c r="AI127" s="35">
        <f>82/SQRT(Table8[[#This Row],[fy_web]]/250000000)</f>
        <v>77.482716966891573</v>
      </c>
      <c r="AJ127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27" s="38" t="str">
        <f>IF(Table8[[#This Row],[Fabrication Type]]="Welded",IF(Table8[[#This Row],[tw]]&gt;0.016,0.016*Table8[[#This Row],[fu]],Table8[[#This Row],[tw]]*Table8[[#This Row],[fu]]),"")</f>
        <v/>
      </c>
      <c r="AL127" s="13">
        <f>Table8[[#This Row],[d]]-Table8[[#This Row],[tf]]</f>
        <v>0.21299999999999999</v>
      </c>
      <c r="AM127" s="39">
        <f>Table8[[#This Row],[bf]]*Table8[[#This Row],[tf]]*(Table8[[#This Row],[df]]/2)</f>
        <v>7.4294400000000005E-4</v>
      </c>
      <c r="AN127" s="11" t="str">
        <f>IF(Table8[[#This Row],[Fabrication Type]]="Welded",Table8[[#This Row],[vw]]*Table8[[#This Row],[Ix]]/Table8[[#This Row],[Qflange]],"")</f>
        <v/>
      </c>
      <c r="AO127" s="11">
        <f>Table8[[#This Row],[tw]]*MIN(Table8[[#This Row],[fy_web]], Table8[[#This Row],[fy_flange]])*0.6*Table8[[#This Row],[Ix]]/Table8[[#This Row],[Qflange]]</f>
        <v>978001.03372528742</v>
      </c>
      <c r="AP127" s="50">
        <f ca="1">INDEX(tbllkpkt[kt],MATCH(RANDBETWEEN(1,4),tbllkpkt[Index],0))</f>
        <v>0.75</v>
      </c>
      <c r="AQ127" s="48">
        <f t="shared" ca="1" si="3"/>
        <v>0.94</v>
      </c>
      <c r="AR127" s="18">
        <f ca="1">Table8[[#This Row],[Ag]]*Table8[[#This Row],[Deduction_for_An]]</f>
        <v>1.7483999999999996E-2</v>
      </c>
      <c r="AS127" s="11">
        <f>Table8[[#This Row],[fy]]*Table8[[#This Row],[Ag]]</f>
        <v>5208000</v>
      </c>
      <c r="AT127" s="11">
        <f ca="1">Table8[[#This Row],[αu]]*Table8[[#This Row],[kt]]*Table8[[#This Row],[An]]*Table8[[#This Row],[fu]]</f>
        <v>4904261.9999999981</v>
      </c>
      <c r="AU127" s="11">
        <f ca="1">MIN(Table8[[#This Row],[Nty]],Table8[[#This Row],[Ntu]])</f>
        <v>4904261.9999999981</v>
      </c>
    </row>
    <row r="128" spans="2:47" x14ac:dyDescent="0.25">
      <c r="B128" s="15" t="str">
        <f>Table8[[#This Row],[Section]]&amp;"-"&amp;TEXT(Table8[[#This Row],[Grade]],"0")</f>
        <v>200UBP122-300HR</v>
      </c>
      <c r="C128" s="3" t="s">
        <v>125</v>
      </c>
      <c r="D128" s="3" t="s">
        <v>106</v>
      </c>
      <c r="E128" s="3" t="s">
        <v>122</v>
      </c>
      <c r="F128" s="4">
        <v>122</v>
      </c>
      <c r="G128" s="3" t="s">
        <v>13</v>
      </c>
      <c r="H128" s="3" t="s">
        <v>105</v>
      </c>
      <c r="I128" s="5">
        <v>0.23</v>
      </c>
      <c r="J128" s="5">
        <v>0.22</v>
      </c>
      <c r="K128" s="5">
        <v>2.5000000000000001E-2</v>
      </c>
      <c r="L128" s="5">
        <v>2.5000000000000001E-2</v>
      </c>
      <c r="M128" s="5">
        <v>1.14E-2</v>
      </c>
      <c r="N128" s="5">
        <v>0.18</v>
      </c>
      <c r="O128" s="6">
        <v>7.1999999999999993</v>
      </c>
      <c r="P128" s="6">
        <v>3.9</v>
      </c>
      <c r="Q128" s="7">
        <v>1.5599999999999999E-2</v>
      </c>
      <c r="R128" s="8">
        <v>1.2899999999999999E-4</v>
      </c>
      <c r="S128" s="9">
        <v>1.1199999999999999E-3</v>
      </c>
      <c r="T128" s="9">
        <v>1.34E-3</v>
      </c>
      <c r="U128" s="5">
        <v>9.0999999999999998E-2</v>
      </c>
      <c r="V128" s="8">
        <v>4.46E-5</v>
      </c>
      <c r="W128" s="9">
        <v>4.06E-4</v>
      </c>
      <c r="X128" s="9">
        <v>6.3500000000000004E-4</v>
      </c>
      <c r="Y128" s="5">
        <v>9.0999999999999998E-2</v>
      </c>
      <c r="Z128" s="8">
        <v>3.54E-6</v>
      </c>
      <c r="AA128" s="10">
        <v>4.6899999999999998E-7</v>
      </c>
      <c r="AB128" s="45">
        <v>0.85</v>
      </c>
      <c r="AC128" s="17">
        <f t="array" ref="AC128">INDEX(tbllkpSteelGrades[fy],MATCH(1,(Table8[[#This Row],[Grade]]=tbllkpSteelGrades[Grade])*(Table8[[#This Row],[tw]]&lt;=tbllkpSteelGrades[Thickness]),0))</f>
        <v>280000000</v>
      </c>
      <c r="AD128" s="17">
        <f t="array" ref="AD128">INDEX(tbllkpSteelGrades[fy],MATCH(1,(Table8[[#This Row],[Grade]]=tbllkpSteelGrades[Grade])*(Table8[[#This Row],[tf]]&lt;=tbllkpSteelGrades[Thickness]),0))</f>
        <v>280000000</v>
      </c>
      <c r="AE128" s="17">
        <f>MIN(Table8[[#This Row],[fy_web]],Table8[[#This Row],[fy_flange]])</f>
        <v>280000000</v>
      </c>
      <c r="AF128" s="17">
        <f t="array" ref="AF128">INDEX(tbllkpSteelGrades[fu],MATCH(1,(Table8[[#This Row],[Grade]]=tbllkpSteelGrades[Grade])*(Table8[[#This Row],[tw]]&lt;=tbllkpSteelGrades[Thickness]),0))</f>
        <v>440000000</v>
      </c>
      <c r="AG128" s="18">
        <f>IF(Table8[[#This Row],[Fabrication Type]]="Welded",Table8[[#This Row],[d1]],Table8[[#This Row],[d]])*Table8[[#This Row],[tw]]</f>
        <v>5.7500000000000008E-3</v>
      </c>
      <c r="AH128" s="11">
        <f>Table8[[#This Row],[Aw]]*Table8[[#This Row],[fy_web]]*0.6</f>
        <v>966000.00000000012</v>
      </c>
      <c r="AI128" s="35">
        <f>82/SQRT(Table8[[#This Row],[fy_web]]/250000000)</f>
        <v>77.482716966891573</v>
      </c>
      <c r="AJ128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28" s="38" t="str">
        <f>IF(Table8[[#This Row],[Fabrication Type]]="Welded",IF(Table8[[#This Row],[tw]]&gt;0.016,0.016*Table8[[#This Row],[fu]],Table8[[#This Row],[tw]]*Table8[[#This Row],[fu]]),"")</f>
        <v/>
      </c>
      <c r="AL128" s="13">
        <f>Table8[[#This Row],[d]]-Table8[[#This Row],[tf]]</f>
        <v>0.20500000000000002</v>
      </c>
      <c r="AM128" s="39">
        <f>Table8[[#This Row],[bf]]*Table8[[#This Row],[tf]]*(Table8[[#This Row],[df]]/2)</f>
        <v>5.6375000000000012E-4</v>
      </c>
      <c r="AN128" s="11" t="str">
        <f>IF(Table8[[#This Row],[Fabrication Type]]="Welded",Table8[[#This Row],[vw]]*Table8[[#This Row],[Ix]]/Table8[[#This Row],[Qflange]],"")</f>
        <v/>
      </c>
      <c r="AO128" s="11">
        <f>Table8[[#This Row],[tw]]*MIN(Table8[[#This Row],[fy_web]], Table8[[#This Row],[fy_flange]])*0.6*Table8[[#This Row],[Ix]]/Table8[[#This Row],[Qflange]]</f>
        <v>961064.30155210616</v>
      </c>
      <c r="AP128" s="50">
        <f ca="1">INDEX(tbllkpkt[kt],MATCH(RANDBETWEEN(1,4),tbllkpkt[Index],0))</f>
        <v>0.75</v>
      </c>
      <c r="AQ128" s="48">
        <f t="shared" ca="1" si="3"/>
        <v>0.95</v>
      </c>
      <c r="AR128" s="18">
        <f ca="1">Table8[[#This Row],[Ag]]*Table8[[#This Row],[Deduction_for_An]]</f>
        <v>1.4819999999999998E-2</v>
      </c>
      <c r="AS128" s="11">
        <f>Table8[[#This Row],[fy]]*Table8[[#This Row],[Ag]]</f>
        <v>4368000</v>
      </c>
      <c r="AT128" s="11">
        <f ca="1">Table8[[#This Row],[αu]]*Table8[[#This Row],[kt]]*Table8[[#This Row],[An]]*Table8[[#This Row],[fu]]</f>
        <v>4157009.9999999991</v>
      </c>
      <c r="AU128" s="11">
        <f ca="1">MIN(Table8[[#This Row],[Nty]],Table8[[#This Row],[Ntu]])</f>
        <v>4157009.9999999991</v>
      </c>
    </row>
    <row r="129" spans="2:47" x14ac:dyDescent="0.25">
      <c r="B129" s="15" t="str">
        <f>Table8[[#This Row],[Section]]&amp;"-"&amp;TEXT(Table8[[#This Row],[Grade]],"0")</f>
        <v>310UBP110-300HR</v>
      </c>
      <c r="C129" s="3" t="s">
        <v>126</v>
      </c>
      <c r="D129" s="3" t="s">
        <v>106</v>
      </c>
      <c r="E129" s="3" t="s">
        <v>122</v>
      </c>
      <c r="F129" s="4">
        <v>110</v>
      </c>
      <c r="G129" s="3" t="s">
        <v>13</v>
      </c>
      <c r="H129" s="3" t="s">
        <v>105</v>
      </c>
      <c r="I129" s="5">
        <v>0.308</v>
      </c>
      <c r="J129" s="5">
        <v>0.31</v>
      </c>
      <c r="K129" s="5">
        <v>1.54E-2</v>
      </c>
      <c r="L129" s="5">
        <v>1.5300000000000001E-2</v>
      </c>
      <c r="M129" s="5">
        <v>1.6500000000000001E-2</v>
      </c>
      <c r="N129" s="5">
        <v>0.2772</v>
      </c>
      <c r="O129" s="6">
        <v>18.117647058823529</v>
      </c>
      <c r="P129" s="6">
        <v>9.5681818181818183</v>
      </c>
      <c r="Q129" s="7">
        <v>1.4E-2</v>
      </c>
      <c r="R129" s="8">
        <v>2.3599999999999999E-4</v>
      </c>
      <c r="S129" s="9">
        <v>1.5299999999999999E-3</v>
      </c>
      <c r="T129" s="9">
        <v>1.72E-3</v>
      </c>
      <c r="U129" s="5">
        <v>0.13</v>
      </c>
      <c r="V129" s="8">
        <v>7.6600000000000005E-5</v>
      </c>
      <c r="W129" s="9">
        <v>4.9399999999999997E-4</v>
      </c>
      <c r="X129" s="9">
        <v>7.5900000000000002E-4</v>
      </c>
      <c r="Y129" s="5">
        <v>0.13</v>
      </c>
      <c r="Z129" s="8">
        <v>1.24E-6</v>
      </c>
      <c r="AA129" s="10">
        <v>1.64E-6</v>
      </c>
      <c r="AB129" s="45">
        <v>0.85</v>
      </c>
      <c r="AC129" s="17">
        <f t="array" ref="AC129">INDEX(tbllkpSteelGrades[fy],MATCH(1,(Table8[[#This Row],[Grade]]=tbllkpSteelGrades[Grade])*(Table8[[#This Row],[tw]]&lt;=tbllkpSteelGrades[Thickness]),0))</f>
        <v>300000000</v>
      </c>
      <c r="AD129" s="17">
        <f t="array" ref="AD129">INDEX(tbllkpSteelGrades[fy],MATCH(1,(Table8[[#This Row],[Grade]]=tbllkpSteelGrades[Grade])*(Table8[[#This Row],[tf]]&lt;=tbllkpSteelGrades[Thickness]),0))</f>
        <v>300000000</v>
      </c>
      <c r="AE129" s="17">
        <f>MIN(Table8[[#This Row],[fy_web]],Table8[[#This Row],[fy_flange]])</f>
        <v>300000000</v>
      </c>
      <c r="AF129" s="17">
        <f t="array" ref="AF129">INDEX(tbllkpSteelGrades[fu],MATCH(1,(Table8[[#This Row],[Grade]]=tbllkpSteelGrades[Grade])*(Table8[[#This Row],[tw]]&lt;=tbllkpSteelGrades[Thickness]),0))</f>
        <v>440000000</v>
      </c>
      <c r="AG129" s="18">
        <f>IF(Table8[[#This Row],[Fabrication Type]]="Welded",Table8[[#This Row],[d1]],Table8[[#This Row],[d]])*Table8[[#This Row],[tw]]</f>
        <v>4.7124000000000003E-3</v>
      </c>
      <c r="AH129" s="11">
        <f>Table8[[#This Row],[Aw]]*Table8[[#This Row],[fy_web]]*0.6</f>
        <v>848232</v>
      </c>
      <c r="AI129" s="35">
        <f>82/SQRT(Table8[[#This Row],[fy_web]]/250000000)</f>
        <v>74.855416192372701</v>
      </c>
      <c r="AJ129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29" s="38" t="str">
        <f>IF(Table8[[#This Row],[Fabrication Type]]="Welded",IF(Table8[[#This Row],[tw]]&gt;0.016,0.016*Table8[[#This Row],[fu]],Table8[[#This Row],[tw]]*Table8[[#This Row],[fu]]),"")</f>
        <v/>
      </c>
      <c r="AL129" s="13">
        <f>Table8[[#This Row],[d]]-Table8[[#This Row],[tf]]</f>
        <v>0.29259999999999997</v>
      </c>
      <c r="AM129" s="39">
        <f>Table8[[#This Row],[bf]]*Table8[[#This Row],[tf]]*(Table8[[#This Row],[df]]/2)</f>
        <v>6.9843620000000005E-4</v>
      </c>
      <c r="AN129" s="11" t="str">
        <f>IF(Table8[[#This Row],[Fabrication Type]]="Welded",Table8[[#This Row],[vw]]*Table8[[#This Row],[Ix]]/Table8[[#This Row],[Qflange]],"")</f>
        <v/>
      </c>
      <c r="AO129" s="11">
        <f>Table8[[#This Row],[tw]]*MIN(Table8[[#This Row],[fy_web]], Table8[[#This Row],[fy_flange]])*0.6*Table8[[#This Row],[Ix]]/Table8[[#This Row],[Qflange]]</f>
        <v>930570.32267227827</v>
      </c>
      <c r="AP129" s="50">
        <f ca="1">INDEX(tbllkpkt[kt],MATCH(RANDBETWEEN(1,4),tbllkpkt[Index],0))</f>
        <v>0.85</v>
      </c>
      <c r="AQ129" s="48">
        <f t="shared" ca="1" si="3"/>
        <v>0.97</v>
      </c>
      <c r="AR129" s="18">
        <f ca="1">Table8[[#This Row],[Ag]]*Table8[[#This Row],[Deduction_for_An]]</f>
        <v>1.358E-2</v>
      </c>
      <c r="AS129" s="11">
        <f>Table8[[#This Row],[fy]]*Table8[[#This Row],[Ag]]</f>
        <v>4200000</v>
      </c>
      <c r="AT129" s="11">
        <f ca="1">Table8[[#This Row],[αu]]*Table8[[#This Row],[kt]]*Table8[[#This Row],[An]]*Table8[[#This Row],[fu]]</f>
        <v>4317081.9999999991</v>
      </c>
      <c r="AU129" s="11">
        <f ca="1">MIN(Table8[[#This Row],[Nty]],Table8[[#This Row],[Ntu]])</f>
        <v>4200000</v>
      </c>
    </row>
    <row r="130" spans="2:47" x14ac:dyDescent="0.25">
      <c r="B130" s="15" t="str">
        <f>Table8[[#This Row],[Section]]&amp;"-"&amp;TEXT(Table8[[#This Row],[Grade]],"0")</f>
        <v>250UBP84.9-300HR</v>
      </c>
      <c r="C130" s="3" t="s">
        <v>127</v>
      </c>
      <c r="D130" s="3" t="s">
        <v>106</v>
      </c>
      <c r="E130" s="3" t="s">
        <v>122</v>
      </c>
      <c r="F130" s="4">
        <v>84.9</v>
      </c>
      <c r="G130" s="3" t="s">
        <v>13</v>
      </c>
      <c r="H130" s="3" t="s">
        <v>105</v>
      </c>
      <c r="I130" s="5">
        <v>0.254</v>
      </c>
      <c r="J130" s="5">
        <v>0.26</v>
      </c>
      <c r="K130" s="5">
        <v>1.43E-2</v>
      </c>
      <c r="L130" s="5">
        <v>1.43E-2</v>
      </c>
      <c r="M130" s="5">
        <v>1.4E-2</v>
      </c>
      <c r="N130" s="5">
        <v>0.22539999999999999</v>
      </c>
      <c r="O130" s="6">
        <v>15.762237762237762</v>
      </c>
      <c r="P130" s="6">
        <v>8.5909090909090917</v>
      </c>
      <c r="Q130" s="7">
        <v>1.0800000000000001E-2</v>
      </c>
      <c r="R130" s="8">
        <v>1.2300000000000001E-4</v>
      </c>
      <c r="S130" s="9">
        <v>9.6500000000000004E-4</v>
      </c>
      <c r="T130" s="9">
        <v>1.09E-3</v>
      </c>
      <c r="U130" s="5">
        <v>0.106</v>
      </c>
      <c r="V130" s="8">
        <v>4.1999999999999998E-5</v>
      </c>
      <c r="W130" s="9">
        <v>3.2299999999999999E-4</v>
      </c>
      <c r="X130" s="9">
        <v>4.9700000000000005E-4</v>
      </c>
      <c r="Y130" s="5">
        <v>0.106</v>
      </c>
      <c r="Z130" s="8">
        <v>8.2699999999999998E-7</v>
      </c>
      <c r="AA130" s="10">
        <v>6.0299999999999999E-7</v>
      </c>
      <c r="AB130" s="45">
        <v>0.85</v>
      </c>
      <c r="AC130" s="17">
        <f t="array" ref="AC130">INDEX(tbllkpSteelGrades[fy],MATCH(1,(Table8[[#This Row],[Grade]]=tbllkpSteelGrades[Grade])*(Table8[[#This Row],[tw]]&lt;=tbllkpSteelGrades[Thickness]),0))</f>
        <v>300000000</v>
      </c>
      <c r="AD130" s="17">
        <f t="array" ref="AD130">INDEX(tbllkpSteelGrades[fy],MATCH(1,(Table8[[#This Row],[Grade]]=tbllkpSteelGrades[Grade])*(Table8[[#This Row],[tf]]&lt;=tbllkpSteelGrades[Thickness]),0))</f>
        <v>300000000</v>
      </c>
      <c r="AE130" s="17">
        <f>MIN(Table8[[#This Row],[fy_web]],Table8[[#This Row],[fy_flange]])</f>
        <v>300000000</v>
      </c>
      <c r="AF130" s="17">
        <f t="array" ref="AF130">INDEX(tbllkpSteelGrades[fu],MATCH(1,(Table8[[#This Row],[Grade]]=tbllkpSteelGrades[Grade])*(Table8[[#This Row],[tw]]&lt;=tbllkpSteelGrades[Thickness]),0))</f>
        <v>440000000</v>
      </c>
      <c r="AG130" s="18">
        <f>IF(Table8[[#This Row],[Fabrication Type]]="Welded",Table8[[#This Row],[d1]],Table8[[#This Row],[d]])*Table8[[#This Row],[tw]]</f>
        <v>3.6321999999999999E-3</v>
      </c>
      <c r="AH130" s="11">
        <f>Table8[[#This Row],[Aw]]*Table8[[#This Row],[fy_web]]*0.6</f>
        <v>653796</v>
      </c>
      <c r="AI130" s="35">
        <f>82/SQRT(Table8[[#This Row],[fy_web]]/250000000)</f>
        <v>74.855416192372701</v>
      </c>
      <c r="AJ130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30" s="38" t="str">
        <f>IF(Table8[[#This Row],[Fabrication Type]]="Welded",IF(Table8[[#This Row],[tw]]&gt;0.016,0.016*Table8[[#This Row],[fu]],Table8[[#This Row],[tw]]*Table8[[#This Row],[fu]]),"")</f>
        <v/>
      </c>
      <c r="AL130" s="13">
        <f>Table8[[#This Row],[d]]-Table8[[#This Row],[tf]]</f>
        <v>0.2397</v>
      </c>
      <c r="AM130" s="39">
        <f>Table8[[#This Row],[bf]]*Table8[[#This Row],[tf]]*(Table8[[#This Row],[df]]/2)</f>
        <v>4.4560230000000001E-4</v>
      </c>
      <c r="AN130" s="11" t="str">
        <f>IF(Table8[[#This Row],[Fabrication Type]]="Welded",Table8[[#This Row],[vw]]*Table8[[#This Row],[Ix]]/Table8[[#This Row],[Qflange]],"")</f>
        <v/>
      </c>
      <c r="AO130" s="11">
        <f>Table8[[#This Row],[tw]]*MIN(Table8[[#This Row],[fy_web]], Table8[[#This Row],[fy_flange]])*0.6*Table8[[#This Row],[Ix]]/Table8[[#This Row],[Qflange]]</f>
        <v>710503.51400789456</v>
      </c>
      <c r="AP130" s="50">
        <f ca="1">INDEX(tbllkpkt[kt],MATCH(RANDBETWEEN(1,4),tbllkpkt[Index],0))</f>
        <v>0.75</v>
      </c>
      <c r="AQ130" s="48">
        <f t="shared" ca="1" si="3"/>
        <v>0.91</v>
      </c>
      <c r="AR130" s="18">
        <f ca="1">Table8[[#This Row],[Ag]]*Table8[[#This Row],[Deduction_for_An]]</f>
        <v>9.8280000000000017E-3</v>
      </c>
      <c r="AS130" s="11">
        <f>Table8[[#This Row],[fy]]*Table8[[#This Row],[Ag]]</f>
        <v>3240000</v>
      </c>
      <c r="AT130" s="11">
        <f ca="1">Table8[[#This Row],[αu]]*Table8[[#This Row],[kt]]*Table8[[#This Row],[An]]*Table8[[#This Row],[fu]]</f>
        <v>2756754</v>
      </c>
      <c r="AU130" s="11">
        <f ca="1">MIN(Table8[[#This Row],[Nty]],Table8[[#This Row],[Ntu]])</f>
        <v>2756754</v>
      </c>
    </row>
    <row r="131" spans="2:47" x14ac:dyDescent="0.25">
      <c r="B131" s="15" t="str">
        <f>Table8[[#This Row],[Section]]&amp;"-"&amp;TEXT(Table8[[#This Row],[Grade]],"0")</f>
        <v>310UBP78.8-300HR</v>
      </c>
      <c r="C131" s="3" t="s">
        <v>128</v>
      </c>
      <c r="D131" s="3" t="s">
        <v>106</v>
      </c>
      <c r="E131" s="3" t="s">
        <v>122</v>
      </c>
      <c r="F131" s="4">
        <v>78.8</v>
      </c>
      <c r="G131" s="3" t="s">
        <v>13</v>
      </c>
      <c r="H131" s="3" t="s">
        <v>105</v>
      </c>
      <c r="I131" s="5">
        <v>0.29899999999999999</v>
      </c>
      <c r="J131" s="5">
        <v>0.30599999999999999</v>
      </c>
      <c r="K131" s="5">
        <v>1.11E-2</v>
      </c>
      <c r="L131" s="5">
        <v>1.11E-2</v>
      </c>
      <c r="M131" s="5">
        <v>1.6500000000000001E-2</v>
      </c>
      <c r="N131" s="5">
        <v>0.27679999999999999</v>
      </c>
      <c r="O131" s="6">
        <v>24.936936936936934</v>
      </c>
      <c r="P131" s="6">
        <v>13.283783783783782</v>
      </c>
      <c r="Q131" s="7">
        <v>1.01E-2</v>
      </c>
      <c r="R131" s="8">
        <v>1.65E-4</v>
      </c>
      <c r="S131" s="9">
        <v>1.1000000000000001E-3</v>
      </c>
      <c r="T131" s="9">
        <v>1.2199999999999999E-3</v>
      </c>
      <c r="U131" s="5">
        <v>0.128</v>
      </c>
      <c r="V131" s="8">
        <v>5.3100000000000003E-5</v>
      </c>
      <c r="W131" s="9">
        <v>3.4699999999999998E-4</v>
      </c>
      <c r="X131" s="9">
        <v>5.2999999999999998E-4</v>
      </c>
      <c r="Y131" s="5">
        <v>0.128</v>
      </c>
      <c r="Z131" s="8">
        <v>4.8400000000000005E-7</v>
      </c>
      <c r="AA131" s="10">
        <v>1.1000000000000001E-6</v>
      </c>
      <c r="AB131" s="45">
        <v>0.85</v>
      </c>
      <c r="AC131" s="17">
        <f t="array" ref="AC131">INDEX(tbllkpSteelGrades[fy],MATCH(1,(Table8[[#This Row],[Grade]]=tbllkpSteelGrades[Grade])*(Table8[[#This Row],[tw]]&lt;=tbllkpSteelGrades[Thickness]),0))</f>
        <v>300000000</v>
      </c>
      <c r="AD131" s="17">
        <f t="array" ref="AD131">INDEX(tbllkpSteelGrades[fy],MATCH(1,(Table8[[#This Row],[Grade]]=tbllkpSteelGrades[Grade])*(Table8[[#This Row],[tf]]&lt;=tbllkpSteelGrades[Thickness]),0))</f>
        <v>300000000</v>
      </c>
      <c r="AE131" s="17">
        <f>MIN(Table8[[#This Row],[fy_web]],Table8[[#This Row],[fy_flange]])</f>
        <v>300000000</v>
      </c>
      <c r="AF131" s="17">
        <f t="array" ref="AF131">INDEX(tbllkpSteelGrades[fu],MATCH(1,(Table8[[#This Row],[Grade]]=tbllkpSteelGrades[Grade])*(Table8[[#This Row],[tw]]&lt;=tbllkpSteelGrades[Thickness]),0))</f>
        <v>440000000</v>
      </c>
      <c r="AG131" s="18">
        <f>IF(Table8[[#This Row],[Fabrication Type]]="Welded",Table8[[#This Row],[d1]],Table8[[#This Row],[d]])*Table8[[#This Row],[tw]]</f>
        <v>3.3189000000000001E-3</v>
      </c>
      <c r="AH131" s="11">
        <f>Table8[[#This Row],[Aw]]*Table8[[#This Row],[fy_web]]*0.6</f>
        <v>597402</v>
      </c>
      <c r="AI131" s="35">
        <f>82/SQRT(Table8[[#This Row],[fy_web]]/250000000)</f>
        <v>74.855416192372701</v>
      </c>
      <c r="AJ131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31" s="38" t="str">
        <f>IF(Table8[[#This Row],[Fabrication Type]]="Welded",IF(Table8[[#This Row],[tw]]&gt;0.016,0.016*Table8[[#This Row],[fu]],Table8[[#This Row],[tw]]*Table8[[#This Row],[fu]]),"")</f>
        <v/>
      </c>
      <c r="AL131" s="13">
        <f>Table8[[#This Row],[d]]-Table8[[#This Row],[tf]]</f>
        <v>0.28789999999999999</v>
      </c>
      <c r="AM131" s="39">
        <f>Table8[[#This Row],[bf]]*Table8[[#This Row],[tf]]*(Table8[[#This Row],[df]]/2)</f>
        <v>4.8894056999999999E-4</v>
      </c>
      <c r="AN131" s="11" t="str">
        <f>IF(Table8[[#This Row],[Fabrication Type]]="Welded",Table8[[#This Row],[vw]]*Table8[[#This Row],[Ix]]/Table8[[#This Row],[Qflange]],"")</f>
        <v/>
      </c>
      <c r="AO131" s="11">
        <f>Table8[[#This Row],[tw]]*MIN(Table8[[#This Row],[fy_web]], Table8[[#This Row],[fy_flange]])*0.6*Table8[[#This Row],[Ix]]/Table8[[#This Row],[Qflange]]</f>
        <v>674253.72371942876</v>
      </c>
      <c r="AP131" s="50">
        <f ca="1">INDEX(tbllkpkt[kt],MATCH(RANDBETWEEN(1,4),tbllkpkt[Index],0))</f>
        <v>0.75</v>
      </c>
      <c r="AQ131" s="48">
        <f t="shared" ca="1" si="3"/>
        <v>0.95</v>
      </c>
      <c r="AR131" s="18">
        <f ca="1">Table8[[#This Row],[Ag]]*Table8[[#This Row],[Deduction_for_An]]</f>
        <v>9.5949999999999994E-3</v>
      </c>
      <c r="AS131" s="11">
        <f>Table8[[#This Row],[fy]]*Table8[[#This Row],[Ag]]</f>
        <v>3030000</v>
      </c>
      <c r="AT131" s="11">
        <f ca="1">Table8[[#This Row],[αu]]*Table8[[#This Row],[kt]]*Table8[[#This Row],[An]]*Table8[[#This Row],[fu]]</f>
        <v>2691397.4999999995</v>
      </c>
      <c r="AU131" s="11">
        <f ca="1">MIN(Table8[[#This Row],[Nty]],Table8[[#This Row],[Ntu]])</f>
        <v>2691397.4999999995</v>
      </c>
    </row>
    <row r="132" spans="2:47" x14ac:dyDescent="0.25">
      <c r="B132" s="15" t="str">
        <f>Table8[[#This Row],[Section]]&amp;"-"&amp;TEXT(Table8[[#This Row],[Grade]],"0")</f>
        <v>250UBP62.6-300HR</v>
      </c>
      <c r="C132" s="3" t="s">
        <v>129</v>
      </c>
      <c r="D132" s="3" t="s">
        <v>106</v>
      </c>
      <c r="E132" s="3" t="s">
        <v>122</v>
      </c>
      <c r="F132" s="4">
        <v>62.6</v>
      </c>
      <c r="G132" s="3" t="s">
        <v>13</v>
      </c>
      <c r="H132" s="3" t="s">
        <v>105</v>
      </c>
      <c r="I132" s="5">
        <v>0.247</v>
      </c>
      <c r="J132" s="5">
        <v>0.25600000000000001</v>
      </c>
      <c r="K132" s="5">
        <v>1.06E-2</v>
      </c>
      <c r="L132" s="5">
        <v>1.06E-2</v>
      </c>
      <c r="M132" s="5">
        <v>1.4E-2</v>
      </c>
      <c r="N132" s="5">
        <v>0.2258</v>
      </c>
      <c r="O132" s="6">
        <v>21.30188679245283</v>
      </c>
      <c r="P132" s="6">
        <v>11.575471698113208</v>
      </c>
      <c r="Q132" s="7">
        <v>7.9900000000000006E-3</v>
      </c>
      <c r="R132" s="8">
        <v>8.81E-5</v>
      </c>
      <c r="S132" s="9">
        <v>7.1299999999999998E-4</v>
      </c>
      <c r="T132" s="9">
        <v>7.9500000000000003E-4</v>
      </c>
      <c r="U132" s="5">
        <v>0.105</v>
      </c>
      <c r="V132" s="8">
        <v>2.97E-5</v>
      </c>
      <c r="W132" s="9">
        <v>2.32E-4</v>
      </c>
      <c r="X132" s="9">
        <v>3.5500000000000001E-4</v>
      </c>
      <c r="Y132" s="5">
        <v>0.105</v>
      </c>
      <c r="Z132" s="8">
        <v>3.4499999999999998E-7</v>
      </c>
      <c r="AA132" s="10">
        <v>4.15E-7</v>
      </c>
      <c r="AB132" s="45">
        <v>0.85</v>
      </c>
      <c r="AC132" s="17">
        <f t="array" ref="AC132">INDEX(tbllkpSteelGrades[fy],MATCH(1,(Table8[[#This Row],[Grade]]=tbllkpSteelGrades[Grade])*(Table8[[#This Row],[tw]]&lt;=tbllkpSteelGrades[Thickness]),0))</f>
        <v>320000000</v>
      </c>
      <c r="AD132" s="17">
        <f t="array" ref="AD132">INDEX(tbllkpSteelGrades[fy],MATCH(1,(Table8[[#This Row],[Grade]]=tbllkpSteelGrades[Grade])*(Table8[[#This Row],[tf]]&lt;=tbllkpSteelGrades[Thickness]),0))</f>
        <v>320000000</v>
      </c>
      <c r="AE132" s="17">
        <f>MIN(Table8[[#This Row],[fy_web]],Table8[[#This Row],[fy_flange]])</f>
        <v>320000000</v>
      </c>
      <c r="AF132" s="17">
        <f t="array" ref="AF132">INDEX(tbllkpSteelGrades[fu],MATCH(1,(Table8[[#This Row],[Grade]]=tbllkpSteelGrades[Grade])*(Table8[[#This Row],[tw]]&lt;=tbllkpSteelGrades[Thickness]),0))</f>
        <v>440000000</v>
      </c>
      <c r="AG132" s="18">
        <f>IF(Table8[[#This Row],[Fabrication Type]]="Welded",Table8[[#This Row],[d1]],Table8[[#This Row],[d]])*Table8[[#This Row],[tw]]</f>
        <v>2.6181999999999998E-3</v>
      </c>
      <c r="AH132" s="11">
        <f>Table8[[#This Row],[Aw]]*Table8[[#This Row],[fy_web]]*0.6</f>
        <v>502694.39999999991</v>
      </c>
      <c r="AI132" s="35">
        <f>82/SQRT(Table8[[#This Row],[fy_web]]/250000000)</f>
        <v>72.478445071621124</v>
      </c>
      <c r="AJ132" s="36">
        <f>IF((Table8[[#This Row],[d1]]/Table8[[#This Row],[tw]])&gt;Table8[[#This Row],[limiting web slenderness]],(82/((Table8[[#This Row],[d1]]/Table8[[#This Row],[tw]])*SQRT(Table8[[#This Row],[fy_web]]/250000000)))^2,1)</f>
        <v>1</v>
      </c>
      <c r="AK132" s="38" t="str">
        <f>IF(Table8[[#This Row],[Fabrication Type]]="Welded",IF(Table8[[#This Row],[tw]]&gt;0.016,0.016*Table8[[#This Row],[fu]],Table8[[#This Row],[tw]]*Table8[[#This Row],[fu]]),"")</f>
        <v/>
      </c>
      <c r="AL132" s="13">
        <f>Table8[[#This Row],[d]]-Table8[[#This Row],[tf]]</f>
        <v>0.2364</v>
      </c>
      <c r="AM132" s="39">
        <f>Table8[[#This Row],[bf]]*Table8[[#This Row],[tf]]*(Table8[[#This Row],[df]]/2)</f>
        <v>3.2074752000000001E-4</v>
      </c>
      <c r="AN132" s="11" t="str">
        <f>IF(Table8[[#This Row],[Fabrication Type]]="Welded",Table8[[#This Row],[vw]]*Table8[[#This Row],[Ix]]/Table8[[#This Row],[Qflange]],"")</f>
        <v/>
      </c>
      <c r="AO132" s="11">
        <f>Table8[[#This Row],[tw]]*MIN(Table8[[#This Row],[fy_web]], Table8[[#This Row],[fy_flange]])*0.6*Table8[[#This Row],[Ix]]/Table8[[#This Row],[Qflange]]</f>
        <v>559010.15228426398</v>
      </c>
      <c r="AP132" s="50">
        <f ca="1">INDEX(tbllkpkt[kt],MATCH(RANDBETWEEN(1,4),tbllkpkt[Index],0))</f>
        <v>0.75</v>
      </c>
      <c r="AQ132" s="48">
        <f t="shared" ca="1" si="3"/>
        <v>0.97</v>
      </c>
      <c r="AR132" s="18">
        <f ca="1">Table8[[#This Row],[Ag]]*Table8[[#This Row],[Deduction_for_An]]</f>
        <v>7.7503000000000008E-3</v>
      </c>
      <c r="AS132" s="11">
        <f>Table8[[#This Row],[fy]]*Table8[[#This Row],[Ag]]</f>
        <v>2556800</v>
      </c>
      <c r="AT132" s="11">
        <f ca="1">Table8[[#This Row],[αu]]*Table8[[#This Row],[kt]]*Table8[[#This Row],[An]]*Table8[[#This Row],[fu]]</f>
        <v>2173959.1500000004</v>
      </c>
      <c r="AU132" s="11">
        <f ca="1">MIN(Table8[[#This Row],[Nty]],Table8[[#This Row],[Ntu]])</f>
        <v>2173959.1500000004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8603-8ED1-4A1F-8836-1A9DBBC119CD}">
  <dimension ref="B2:AV12"/>
  <sheetViews>
    <sheetView topLeftCell="AA1" workbookViewId="0">
      <selection activeCell="AT4" sqref="AT4"/>
    </sheetView>
  </sheetViews>
  <sheetFormatPr defaultRowHeight="15" x14ac:dyDescent="0.25"/>
  <cols>
    <col min="2" max="2" width="13.5703125" bestFit="1" customWidth="1"/>
    <col min="3" max="3" width="9" bestFit="1" customWidth="1"/>
    <col min="4" max="4" width="8" bestFit="1" customWidth="1"/>
    <col min="5" max="5" width="12.85546875" bestFit="1" customWidth="1"/>
    <col min="6" max="6" width="8" bestFit="1" customWidth="1"/>
    <col min="7" max="7" width="13" bestFit="1" customWidth="1"/>
    <col min="8" max="8" width="16.28515625" bestFit="1" customWidth="1"/>
    <col min="9" max="14" width="7.7109375" bestFit="1" customWidth="1"/>
    <col min="15" max="15" width="8.42578125" bestFit="1" customWidth="1"/>
    <col min="16" max="16" width="12" bestFit="1" customWidth="1"/>
    <col min="17" max="17" width="8.42578125" bestFit="1" customWidth="1"/>
    <col min="18" max="19" width="7.7109375" bestFit="1" customWidth="1"/>
    <col min="20" max="22" width="13.28515625" bestFit="1" customWidth="1"/>
    <col min="23" max="23" width="7.7109375" bestFit="1" customWidth="1"/>
    <col min="24" max="25" width="13.28515625" bestFit="1" customWidth="1"/>
    <col min="26" max="26" width="12.140625" bestFit="1" customWidth="1"/>
    <col min="27" max="27" width="13.28515625" bestFit="1" customWidth="1"/>
    <col min="28" max="28" width="7.7109375" bestFit="1" customWidth="1"/>
    <col min="29" max="30" width="13.28515625" bestFit="1" customWidth="1"/>
    <col min="31" max="31" width="4.85546875" bestFit="1" customWidth="1"/>
    <col min="32" max="32" width="10.5703125" bestFit="1" customWidth="1"/>
    <col min="33" max="35" width="10.5703125" customWidth="1"/>
    <col min="36" max="36" width="13.28515625" bestFit="1" customWidth="1"/>
    <col min="37" max="37" width="12.42578125" bestFit="1" customWidth="1"/>
    <col min="38" max="38" width="23.7109375" bestFit="1" customWidth="1"/>
    <col min="39" max="39" width="5.5703125" bestFit="1" customWidth="1"/>
    <col min="40" max="40" width="7.7109375" bestFit="1" customWidth="1"/>
    <col min="41" max="41" width="13.28515625" bestFit="1" customWidth="1"/>
    <col min="42" max="42" width="12.42578125" bestFit="1" customWidth="1"/>
    <col min="43" max="43" width="4.5703125" bestFit="1" customWidth="1"/>
    <col min="44" max="44" width="16" bestFit="1" customWidth="1"/>
    <col min="45" max="45" width="8.42578125" bestFit="1" customWidth="1"/>
    <col min="46" max="48" width="12.42578125" bestFit="1" customWidth="1"/>
  </cols>
  <sheetData>
    <row r="2" spans="2:48" ht="18" x14ac:dyDescent="0.35">
      <c r="B2" s="20" t="s">
        <v>130</v>
      </c>
      <c r="C2" s="19" t="s">
        <v>1</v>
      </c>
      <c r="D2" s="19" t="s">
        <v>55</v>
      </c>
      <c r="E2" s="19" t="s">
        <v>8</v>
      </c>
      <c r="F2" s="19" t="s">
        <v>9</v>
      </c>
      <c r="G2" s="19" t="s">
        <v>10</v>
      </c>
      <c r="H2" s="19" t="s">
        <v>11</v>
      </c>
      <c r="I2" s="1" t="s">
        <v>7</v>
      </c>
      <c r="J2" s="1" t="s">
        <v>37</v>
      </c>
      <c r="K2" s="1" t="s">
        <v>38</v>
      </c>
      <c r="L2" s="1" t="s">
        <v>39</v>
      </c>
      <c r="M2" s="2" t="s">
        <v>103</v>
      </c>
      <c r="N2" s="1" t="s">
        <v>40</v>
      </c>
      <c r="O2" s="1" t="s">
        <v>41</v>
      </c>
      <c r="P2" s="2" t="s">
        <v>144</v>
      </c>
      <c r="Q2" s="1" t="s">
        <v>43</v>
      </c>
      <c r="R2" s="2" t="s">
        <v>140</v>
      </c>
      <c r="S2" s="2" t="s">
        <v>141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2" t="s">
        <v>142</v>
      </c>
      <c r="Z2" s="2" t="s">
        <v>143</v>
      </c>
      <c r="AA2" s="1" t="s">
        <v>50</v>
      </c>
      <c r="AB2" s="1" t="s">
        <v>51</v>
      </c>
      <c r="AC2" s="1" t="s">
        <v>0</v>
      </c>
      <c r="AD2" s="1" t="s">
        <v>52</v>
      </c>
      <c r="AE2" s="34" t="s">
        <v>299</v>
      </c>
      <c r="AF2" s="21" t="s">
        <v>287</v>
      </c>
      <c r="AG2" s="22" t="s">
        <v>288</v>
      </c>
      <c r="AH2" s="22" t="s">
        <v>306</v>
      </c>
      <c r="AI2" s="22" t="s">
        <v>289</v>
      </c>
      <c r="AJ2" s="22" t="s">
        <v>145</v>
      </c>
      <c r="AK2" s="23" t="s">
        <v>146</v>
      </c>
      <c r="AL2" s="21" t="s">
        <v>252</v>
      </c>
      <c r="AM2" s="23" t="s">
        <v>253</v>
      </c>
      <c r="AN2" s="40" t="s">
        <v>290</v>
      </c>
      <c r="AO2" s="40" t="s">
        <v>291</v>
      </c>
      <c r="AP2" s="40" t="s">
        <v>292</v>
      </c>
      <c r="AQ2" s="1" t="s">
        <v>298</v>
      </c>
      <c r="AR2" s="1" t="s">
        <v>304</v>
      </c>
      <c r="AS2" s="1" t="s">
        <v>301</v>
      </c>
      <c r="AT2" s="40" t="s">
        <v>294</v>
      </c>
      <c r="AU2" s="40" t="s">
        <v>300</v>
      </c>
      <c r="AV2" s="40" t="s">
        <v>303</v>
      </c>
    </row>
    <row r="3" spans="2:48" x14ac:dyDescent="0.25">
      <c r="B3" s="14" t="str">
        <f>Table1[[#This Row],[Section]]&amp;"-"&amp;TEXT(Table1[[#This Row],[Grade]],"0")</f>
        <v>380PFC-300HR</v>
      </c>
      <c r="C3" s="3" t="s">
        <v>6</v>
      </c>
      <c r="D3" s="3" t="s">
        <v>106</v>
      </c>
      <c r="E3" s="3" t="s">
        <v>139</v>
      </c>
      <c r="F3" s="4">
        <v>55.2</v>
      </c>
      <c r="G3" s="3" t="s">
        <v>139</v>
      </c>
      <c r="H3" s="3" t="s">
        <v>105</v>
      </c>
      <c r="I3" s="5">
        <v>0.38</v>
      </c>
      <c r="J3" s="5">
        <v>0.1</v>
      </c>
      <c r="K3" s="5">
        <v>1.7500000000000002E-2</v>
      </c>
      <c r="L3" s="5">
        <v>0.01</v>
      </c>
      <c r="M3" s="5">
        <v>1.4E-2</v>
      </c>
      <c r="N3" s="5">
        <v>0.34499999999999997</v>
      </c>
      <c r="O3" s="6">
        <v>34.5</v>
      </c>
      <c r="P3" s="6">
        <v>5.1428571428571432</v>
      </c>
      <c r="Q3" s="7">
        <v>7.0299999999999998E-3</v>
      </c>
      <c r="R3" s="5">
        <v>2.75E-2</v>
      </c>
      <c r="S3" s="5">
        <v>5.67E-2</v>
      </c>
      <c r="T3" s="8">
        <v>1.5200000000000001E-4</v>
      </c>
      <c r="U3" s="9">
        <v>7.9799999999999999E-4</v>
      </c>
      <c r="V3" s="9">
        <v>9.4600000000000001E-4</v>
      </c>
      <c r="W3" s="5">
        <v>0.14699999999999999</v>
      </c>
      <c r="X3" s="8">
        <v>6.4799999999999998E-6</v>
      </c>
      <c r="Y3" s="9">
        <v>2.3599999999999999E-4</v>
      </c>
      <c r="Z3" s="9">
        <v>8.9400000000000005E-5</v>
      </c>
      <c r="AA3" s="9">
        <v>1.6100000000000001E-4</v>
      </c>
      <c r="AB3" s="5">
        <v>0.14699999999999999</v>
      </c>
      <c r="AC3" s="8">
        <v>4.7199999999999999E-7</v>
      </c>
      <c r="AD3" s="10">
        <v>1.5099999999999999E-7</v>
      </c>
      <c r="AE3" s="49">
        <v>0.85</v>
      </c>
      <c r="AF3" s="17">
        <f t="array" ref="AF3">INDEX(tbllkpSteelGrades[fy],MATCH(1,(Table1[[#This Row],[Grade]]=tbllkpSteelGrades[Grade])*(Table1[[#This Row],[tw]]&lt;=tbllkpSteelGrades[Thickness]),0))</f>
        <v>320000000</v>
      </c>
      <c r="AG3" s="17">
        <f t="array" ref="AG3">INDEX(tbllkpSteelGrades[fy],MATCH(1,(Table1[[#This Row],[Grade]]=tbllkpSteelGrades[Grade])*(Table1[[#This Row],[tf]]&lt;=tbllkpSteelGrades[Thickness]),0))</f>
        <v>280000000</v>
      </c>
      <c r="AH3" s="17">
        <f>MIN(Table1[[#This Row],[fy_web]],Table1[[#This Row],[fy_flange]])</f>
        <v>280000000</v>
      </c>
      <c r="AI3" s="17">
        <f t="array" ref="AI3">INDEX(tbllkpSteelGrades[fu],MATCH(1,(Table1[[#This Row],[Grade]]=tbllkpSteelGrades[Grade])*(Table1[[#This Row],[tw]]&lt;=tbllkpSteelGrades[Thickness]),0))</f>
        <v>440000000</v>
      </c>
      <c r="AJ3" s="18">
        <f>IF(Table1[[#This Row],[Fabrication Type]]="Welded",Table1[[#This Row],[d1]],Table1[[#This Row],[d]])*Table1[[#This Row],[tw]]</f>
        <v>3.8E-3</v>
      </c>
      <c r="AK3" s="11">
        <f>Table1[[#This Row],[Aw]]*Table1[[#This Row],[fy_web]]*0.6</f>
        <v>729600</v>
      </c>
      <c r="AL3" s="35">
        <f>82/SQRT(Table1[[#This Row],[fy_web]]/250000000)</f>
        <v>72.478445071621124</v>
      </c>
      <c r="AM3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N3" s="13">
        <f>Table1[[#This Row],[d]]-Table1[[#This Row],[tf]]</f>
        <v>0.36249999999999999</v>
      </c>
      <c r="AO3" s="39">
        <f>Table1[[#This Row],[bf]]*Table1[[#This Row],[tf]]*(Table1[[#This Row],[df]]/2)</f>
        <v>3.1718750000000003E-4</v>
      </c>
      <c r="AP3" s="11">
        <f>Table1[[#This Row],[tw]]*MIN(Table1[[#This Row],[fy_web]], Table1[[#This Row],[fy_flange]])*0.6*Table1[[#This Row],[Ix]]/Table1[[#This Row],[Qflange]]</f>
        <v>805075.86206896545</v>
      </c>
      <c r="AQ3" s="46">
        <f ca="1">INDEX(tbllkpkt[kt],MATCH(RANDBETWEEN(1,4),tbllkpkt[Index],0))</f>
        <v>0.85</v>
      </c>
      <c r="AR3" s="47">
        <f t="shared" ref="AR3:AR12" ca="1" si="0">1-RANDBETWEEN(0,10)/100</f>
        <v>0.95</v>
      </c>
      <c r="AS3" s="43">
        <f ca="1">Table1[[#This Row],[Ag]]*Table1[[#This Row],[Deduction_for_An]]</f>
        <v>6.6784999999999995E-3</v>
      </c>
      <c r="AT3" s="11">
        <f>Table1[[#This Row],[fy]]*Table1[[#This Row],[Ag]]</f>
        <v>1968400</v>
      </c>
      <c r="AU3" s="11">
        <f ca="1">Table1[[#This Row],[αu]]*Table1[[#This Row],[kt]]*Table1[[#This Row],[An]]*Table1[[#This Row],[fu]]</f>
        <v>2123095.1499999994</v>
      </c>
      <c r="AV3" s="11">
        <f ca="1">MIN(Table1[[#This Row],[Nty]],Table1[[#This Row],[Ntu]])</f>
        <v>1968400</v>
      </c>
    </row>
    <row r="4" spans="2:48" x14ac:dyDescent="0.25">
      <c r="B4" s="14" t="str">
        <f>Table1[[#This Row],[Section]]&amp;"-"&amp;TEXT(Table1[[#This Row],[Grade]],"0")</f>
        <v>300PFC-300HR</v>
      </c>
      <c r="C4" s="3" t="s">
        <v>131</v>
      </c>
      <c r="D4" s="3" t="s">
        <v>106</v>
      </c>
      <c r="E4" s="3" t="s">
        <v>139</v>
      </c>
      <c r="F4" s="4">
        <v>40.1</v>
      </c>
      <c r="G4" s="3" t="s">
        <v>139</v>
      </c>
      <c r="H4" s="3" t="s">
        <v>105</v>
      </c>
      <c r="I4" s="5">
        <v>0.3</v>
      </c>
      <c r="J4" s="5">
        <v>0.09</v>
      </c>
      <c r="K4" s="5">
        <v>1.6E-2</v>
      </c>
      <c r="L4" s="5">
        <v>8.0000000000000002E-3</v>
      </c>
      <c r="M4" s="5">
        <v>1.4E-2</v>
      </c>
      <c r="N4" s="5">
        <v>0.26800000000000002</v>
      </c>
      <c r="O4" s="6">
        <v>33.5</v>
      </c>
      <c r="P4" s="6">
        <v>5.1249999999999991</v>
      </c>
      <c r="Q4" s="7">
        <v>5.11E-3</v>
      </c>
      <c r="R4" s="5">
        <v>2.7199999999999998E-2</v>
      </c>
      <c r="S4" s="5">
        <v>5.6100000000000004E-2</v>
      </c>
      <c r="T4" s="8">
        <v>7.2399999999999998E-5</v>
      </c>
      <c r="U4" s="9">
        <v>4.8299999999999998E-4</v>
      </c>
      <c r="V4" s="9">
        <v>5.6400000000000005E-4</v>
      </c>
      <c r="W4" s="5">
        <v>0.11899999999999999</v>
      </c>
      <c r="X4" s="8">
        <v>4.0400000000000003E-6</v>
      </c>
      <c r="Y4" s="9">
        <v>1.4799999999999999E-4</v>
      </c>
      <c r="Z4" s="9">
        <v>6.4400000000000007E-5</v>
      </c>
      <c r="AA4" s="9">
        <v>1.17E-4</v>
      </c>
      <c r="AB4" s="5">
        <v>0.11899999999999999</v>
      </c>
      <c r="AC4" s="8">
        <v>2.8999999999999998E-7</v>
      </c>
      <c r="AD4" s="10">
        <v>5.8199999999999998E-8</v>
      </c>
      <c r="AE4" s="49">
        <v>0.85</v>
      </c>
      <c r="AF4" s="17">
        <f t="array" ref="AF4">INDEX(tbllkpSteelGrades[fy],MATCH(1,(Table1[[#This Row],[Grade]]=tbllkpSteelGrades[Grade])*(Table1[[#This Row],[tw]]&lt;=tbllkpSteelGrades[Thickness]),0))</f>
        <v>320000000</v>
      </c>
      <c r="AG4" s="17">
        <f t="array" ref="AG4">INDEX(tbllkpSteelGrades[fy],MATCH(1,(Table1[[#This Row],[Grade]]=tbllkpSteelGrades[Grade])*(Table1[[#This Row],[tf]]&lt;=tbllkpSteelGrades[Thickness]),0))</f>
        <v>300000000</v>
      </c>
      <c r="AH4" s="17">
        <f>MIN(Table1[[#This Row],[fy_web]],Table1[[#This Row],[fy_flange]])</f>
        <v>300000000</v>
      </c>
      <c r="AI4" s="17">
        <f t="array" ref="AI4">INDEX(tbllkpSteelGrades[fu],MATCH(1,(Table1[[#This Row],[Grade]]=tbllkpSteelGrades[Grade])*(Table1[[#This Row],[tw]]&lt;=tbllkpSteelGrades[Thickness]),0))</f>
        <v>440000000</v>
      </c>
      <c r="AJ4" s="18">
        <f>IF(Table1[[#This Row],[Fabrication Type]]="Welded",Table1[[#This Row],[d1]],Table1[[#This Row],[d]])*Table1[[#This Row],[tw]]</f>
        <v>2.3999999999999998E-3</v>
      </c>
      <c r="AK4" s="11">
        <f>Table1[[#This Row],[Aw]]*Table1[[#This Row],[fy_web]]*0.6</f>
        <v>460799.99999999994</v>
      </c>
      <c r="AL4" s="35">
        <f>82/SQRT(Table1[[#This Row],[fy_web]]/250000000)</f>
        <v>72.478445071621124</v>
      </c>
      <c r="AM4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N4" s="13">
        <f>Table1[[#This Row],[d]]-Table1[[#This Row],[tf]]</f>
        <v>0.28399999999999997</v>
      </c>
      <c r="AO4" s="39">
        <f>Table1[[#This Row],[bf]]*Table1[[#This Row],[tf]]*(Table1[[#This Row],[df]]/2)</f>
        <v>2.0447999999999997E-4</v>
      </c>
      <c r="AP4" s="11">
        <f>Table1[[#This Row],[tw]]*MIN(Table1[[#This Row],[fy_web]], Table1[[#This Row],[fy_flange]])*0.6*Table1[[#This Row],[Ix]]/Table1[[#This Row],[Qflange]]</f>
        <v>509859.15492957755</v>
      </c>
      <c r="AQ4" s="46">
        <f ca="1">INDEX(tbllkpkt[kt],MATCH(RANDBETWEEN(1,4),tbllkpkt[Index],0))</f>
        <v>0.75</v>
      </c>
      <c r="AR4" s="47">
        <f t="shared" ca="1" si="0"/>
        <v>0.92</v>
      </c>
      <c r="AS4" s="43">
        <f ca="1">Table1[[#This Row],[Ag]]*Table1[[#This Row],[Deduction_for_An]]</f>
        <v>4.7012E-3</v>
      </c>
      <c r="AT4" s="11">
        <f>Table1[[#This Row],[fy]]*Table1[[#This Row],[Ag]]</f>
        <v>1533000</v>
      </c>
      <c r="AU4" s="11">
        <f ca="1">Table1[[#This Row],[αu]]*Table1[[#This Row],[kt]]*Table1[[#This Row],[An]]*Table1[[#This Row],[fu]]</f>
        <v>1318686.5999999999</v>
      </c>
      <c r="AV4" s="11">
        <f ca="1">MIN(Table1[[#This Row],[Nty]],Table1[[#This Row],[Ntu]])</f>
        <v>1318686.5999999999</v>
      </c>
    </row>
    <row r="5" spans="2:48" x14ac:dyDescent="0.25">
      <c r="B5" s="14" t="str">
        <f>Table1[[#This Row],[Section]]&amp;"-"&amp;TEXT(Table1[[#This Row],[Grade]],"0")</f>
        <v>250PFC-300HR</v>
      </c>
      <c r="C5" s="3" t="s">
        <v>132</v>
      </c>
      <c r="D5" s="3" t="s">
        <v>106</v>
      </c>
      <c r="E5" s="3" t="s">
        <v>139</v>
      </c>
      <c r="F5" s="4">
        <v>35.5</v>
      </c>
      <c r="G5" s="3" t="s">
        <v>139</v>
      </c>
      <c r="H5" s="3" t="s">
        <v>105</v>
      </c>
      <c r="I5" s="5">
        <v>0.25</v>
      </c>
      <c r="J5" s="5">
        <v>0.09</v>
      </c>
      <c r="K5" s="5">
        <v>1.4999999999999999E-2</v>
      </c>
      <c r="L5" s="5">
        <v>8.0000000000000002E-3</v>
      </c>
      <c r="M5" s="5">
        <v>1.2E-2</v>
      </c>
      <c r="N5" s="5">
        <v>0.22</v>
      </c>
      <c r="O5" s="6">
        <v>27.5</v>
      </c>
      <c r="P5" s="6">
        <v>5.4666666666666659</v>
      </c>
      <c r="Q5" s="7">
        <v>4.5199999999999997E-3</v>
      </c>
      <c r="R5" s="5">
        <v>2.86E-2</v>
      </c>
      <c r="S5" s="5">
        <v>5.8500000000000003E-2</v>
      </c>
      <c r="T5" s="8">
        <v>4.5099999999999998E-5</v>
      </c>
      <c r="U5" s="9">
        <v>3.6099999999999999E-4</v>
      </c>
      <c r="V5" s="9">
        <v>4.2099999999999999E-4</v>
      </c>
      <c r="W5" s="5">
        <v>9.9900000000000003E-2</v>
      </c>
      <c r="X5" s="8">
        <v>3.6399999999999999E-6</v>
      </c>
      <c r="Y5" s="9">
        <v>1.27E-4</v>
      </c>
      <c r="Z5" s="9">
        <v>5.9299999999999998E-5</v>
      </c>
      <c r="AA5" s="9">
        <v>1.07E-4</v>
      </c>
      <c r="AB5" s="5">
        <v>9.9900000000000003E-2</v>
      </c>
      <c r="AC5" s="8">
        <v>2.3799999999999999E-7</v>
      </c>
      <c r="AD5" s="10">
        <v>3.5899999999999997E-8</v>
      </c>
      <c r="AE5" s="49">
        <v>0.85</v>
      </c>
      <c r="AF5" s="17">
        <f t="array" ref="AF5">INDEX(tbllkpSteelGrades[fy],MATCH(1,(Table1[[#This Row],[Grade]]=tbllkpSteelGrades[Grade])*(Table1[[#This Row],[tw]]&lt;=tbllkpSteelGrades[Thickness]),0))</f>
        <v>320000000</v>
      </c>
      <c r="AG5" s="17">
        <f t="array" ref="AG5">INDEX(tbllkpSteelGrades[fy],MATCH(1,(Table1[[#This Row],[Grade]]=tbllkpSteelGrades[Grade])*(Table1[[#This Row],[tf]]&lt;=tbllkpSteelGrades[Thickness]),0))</f>
        <v>300000000</v>
      </c>
      <c r="AH5" s="17">
        <f>MIN(Table1[[#This Row],[fy_web]],Table1[[#This Row],[fy_flange]])</f>
        <v>300000000</v>
      </c>
      <c r="AI5" s="17">
        <f t="array" ref="AI5">INDEX(tbllkpSteelGrades[fu],MATCH(1,(Table1[[#This Row],[Grade]]=tbllkpSteelGrades[Grade])*(Table1[[#This Row],[tw]]&lt;=tbllkpSteelGrades[Thickness]),0))</f>
        <v>440000000</v>
      </c>
      <c r="AJ5" s="18">
        <f>IF(Table1[[#This Row],[Fabrication Type]]="Welded",Table1[[#This Row],[d1]],Table1[[#This Row],[d]])*Table1[[#This Row],[tw]]</f>
        <v>2E-3</v>
      </c>
      <c r="AK5" s="11">
        <f>Table1[[#This Row],[Aw]]*Table1[[#This Row],[fy_web]]*0.6</f>
        <v>384000</v>
      </c>
      <c r="AL5" s="35">
        <f>82/SQRT(Table1[[#This Row],[fy_web]]/250000000)</f>
        <v>72.478445071621124</v>
      </c>
      <c r="AM5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N5" s="13">
        <f>Table1[[#This Row],[d]]-Table1[[#This Row],[tf]]</f>
        <v>0.23499999999999999</v>
      </c>
      <c r="AO5" s="39">
        <f>Table1[[#This Row],[bf]]*Table1[[#This Row],[tf]]*(Table1[[#This Row],[df]]/2)</f>
        <v>1.5862499999999997E-4</v>
      </c>
      <c r="AP5" s="11">
        <f>Table1[[#This Row],[tw]]*MIN(Table1[[#This Row],[fy_web]], Table1[[#This Row],[fy_flange]])*0.6*Table1[[#This Row],[Ix]]/Table1[[#This Row],[Qflange]]</f>
        <v>409418.43971631216</v>
      </c>
      <c r="AQ5" s="46">
        <f ca="1">INDEX(tbllkpkt[kt],MATCH(RANDBETWEEN(1,4),tbllkpkt[Index],0))</f>
        <v>0.75</v>
      </c>
      <c r="AR5" s="47">
        <f t="shared" ca="1" si="0"/>
        <v>0.94</v>
      </c>
      <c r="AS5" s="43">
        <f ca="1">Table1[[#This Row],[Ag]]*Table1[[#This Row],[Deduction_for_An]]</f>
        <v>4.2487999999999996E-3</v>
      </c>
      <c r="AT5" s="11">
        <f>Table1[[#This Row],[fy]]*Table1[[#This Row],[Ag]]</f>
        <v>1356000</v>
      </c>
      <c r="AU5" s="11">
        <f ca="1">Table1[[#This Row],[αu]]*Table1[[#This Row],[kt]]*Table1[[#This Row],[An]]*Table1[[#This Row],[fu]]</f>
        <v>1191788.3999999999</v>
      </c>
      <c r="AV5" s="11">
        <f ca="1">MIN(Table1[[#This Row],[Nty]],Table1[[#This Row],[Ntu]])</f>
        <v>1191788.3999999999</v>
      </c>
    </row>
    <row r="6" spans="2:48" x14ac:dyDescent="0.25">
      <c r="B6" s="14" t="str">
        <f>Table1[[#This Row],[Section]]&amp;"-"&amp;TEXT(Table1[[#This Row],[Grade]],"0")</f>
        <v>230PFC-300HR</v>
      </c>
      <c r="C6" s="3" t="s">
        <v>133</v>
      </c>
      <c r="D6" s="3" t="s">
        <v>106</v>
      </c>
      <c r="E6" s="3" t="s">
        <v>139</v>
      </c>
      <c r="F6" s="4">
        <v>25.1</v>
      </c>
      <c r="G6" s="3" t="s">
        <v>139</v>
      </c>
      <c r="H6" s="3" t="s">
        <v>105</v>
      </c>
      <c r="I6" s="5">
        <v>0.23</v>
      </c>
      <c r="J6" s="5">
        <v>7.4999999999999997E-2</v>
      </c>
      <c r="K6" s="5">
        <v>1.2E-2</v>
      </c>
      <c r="L6" s="5">
        <v>6.4999999999999997E-3</v>
      </c>
      <c r="M6" s="5">
        <v>1.2E-2</v>
      </c>
      <c r="N6" s="5">
        <v>0.20600000000000002</v>
      </c>
      <c r="O6" s="6">
        <v>31.692307692307697</v>
      </c>
      <c r="P6" s="6">
        <v>5.7083333333333321</v>
      </c>
      <c r="Q6" s="7">
        <v>3.2000000000000002E-3</v>
      </c>
      <c r="R6" s="5">
        <v>2.2600000000000002E-2</v>
      </c>
      <c r="S6" s="5">
        <v>4.6700000000000005E-2</v>
      </c>
      <c r="T6" s="8">
        <v>2.6800000000000001E-5</v>
      </c>
      <c r="U6" s="9">
        <v>2.33E-4</v>
      </c>
      <c r="V6" s="9">
        <v>2.7099999999999997E-4</v>
      </c>
      <c r="W6" s="5">
        <v>9.1400000000000009E-2</v>
      </c>
      <c r="X6" s="8">
        <v>1.7600000000000001E-6</v>
      </c>
      <c r="Y6" s="9">
        <v>7.7799999999999994E-5</v>
      </c>
      <c r="Z6" s="9">
        <v>3.3599999999999997E-5</v>
      </c>
      <c r="AA6" s="9">
        <v>6.0999999999999999E-5</v>
      </c>
      <c r="AB6" s="5">
        <v>9.1400000000000009E-2</v>
      </c>
      <c r="AC6" s="8">
        <v>1.08E-7</v>
      </c>
      <c r="AD6" s="10">
        <v>1.4999999999999999E-8</v>
      </c>
      <c r="AE6" s="49">
        <v>0.85</v>
      </c>
      <c r="AF6" s="17">
        <f t="array" ref="AF6">INDEX(tbllkpSteelGrades[fy],MATCH(1,(Table1[[#This Row],[Grade]]=tbllkpSteelGrades[Grade])*(Table1[[#This Row],[tw]]&lt;=tbllkpSteelGrades[Thickness]),0))</f>
        <v>320000000</v>
      </c>
      <c r="AG6" s="17">
        <f t="array" ref="AG6">INDEX(tbllkpSteelGrades[fy],MATCH(1,(Table1[[#This Row],[Grade]]=tbllkpSteelGrades[Grade])*(Table1[[#This Row],[tf]]&lt;=tbllkpSteelGrades[Thickness]),0))</f>
        <v>300000000</v>
      </c>
      <c r="AH6" s="17">
        <f>MIN(Table1[[#This Row],[fy_web]],Table1[[#This Row],[fy_flange]])</f>
        <v>300000000</v>
      </c>
      <c r="AI6" s="17">
        <f t="array" ref="AI6">INDEX(tbllkpSteelGrades[fu],MATCH(1,(Table1[[#This Row],[Grade]]=tbllkpSteelGrades[Grade])*(Table1[[#This Row],[tw]]&lt;=tbllkpSteelGrades[Thickness]),0))</f>
        <v>440000000</v>
      </c>
      <c r="AJ6" s="18">
        <f>IF(Table1[[#This Row],[Fabrication Type]]="Welded",Table1[[#This Row],[d1]],Table1[[#This Row],[d]])*Table1[[#This Row],[tw]]</f>
        <v>1.495E-3</v>
      </c>
      <c r="AK6" s="11">
        <f>Table1[[#This Row],[Aw]]*Table1[[#This Row],[fy_web]]*0.6</f>
        <v>287040</v>
      </c>
      <c r="AL6" s="35">
        <f>82/SQRT(Table1[[#This Row],[fy_web]]/250000000)</f>
        <v>72.478445071621124</v>
      </c>
      <c r="AM6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N6" s="13">
        <f>Table1[[#This Row],[d]]-Table1[[#This Row],[tf]]</f>
        <v>0.218</v>
      </c>
      <c r="AO6" s="39">
        <f>Table1[[#This Row],[bf]]*Table1[[#This Row],[tf]]*(Table1[[#This Row],[df]]/2)</f>
        <v>9.8099999999999999E-5</v>
      </c>
      <c r="AP6" s="11">
        <f>Table1[[#This Row],[tw]]*MIN(Table1[[#This Row],[fy_web]], Table1[[#This Row],[fy_flange]])*0.6*Table1[[#This Row],[Ix]]/Table1[[#This Row],[Qflange]]</f>
        <v>319633.02752293582</v>
      </c>
      <c r="AQ6" s="46">
        <f ca="1">INDEX(tbllkpkt[kt],MATCH(RANDBETWEEN(1,4),tbllkpkt[Index],0))</f>
        <v>0.75</v>
      </c>
      <c r="AR6" s="47">
        <f t="shared" ca="1" si="0"/>
        <v>0.92999999999999994</v>
      </c>
      <c r="AS6" s="43">
        <f ca="1">Table1[[#This Row],[Ag]]*Table1[[#This Row],[Deduction_for_An]]</f>
        <v>2.9759999999999999E-3</v>
      </c>
      <c r="AT6" s="11">
        <f>Table1[[#This Row],[fy]]*Table1[[#This Row],[Ag]]</f>
        <v>960000</v>
      </c>
      <c r="AU6" s="11">
        <f ca="1">Table1[[#This Row],[αu]]*Table1[[#This Row],[kt]]*Table1[[#This Row],[An]]*Table1[[#This Row],[fu]]</f>
        <v>834767.99999999988</v>
      </c>
      <c r="AV6" s="11">
        <f ca="1">MIN(Table1[[#This Row],[Nty]],Table1[[#This Row],[Ntu]])</f>
        <v>834767.99999999988</v>
      </c>
    </row>
    <row r="7" spans="2:48" x14ac:dyDescent="0.25">
      <c r="B7" s="14" t="str">
        <f>Table1[[#This Row],[Section]]&amp;"-"&amp;TEXT(Table1[[#This Row],[Grade]],"0")</f>
        <v>200PFC-300HR</v>
      </c>
      <c r="C7" s="3" t="s">
        <v>134</v>
      </c>
      <c r="D7" s="3" t="s">
        <v>106</v>
      </c>
      <c r="E7" s="3" t="s">
        <v>139</v>
      </c>
      <c r="F7" s="4">
        <v>22.9</v>
      </c>
      <c r="G7" s="3" t="s">
        <v>139</v>
      </c>
      <c r="H7" s="3" t="s">
        <v>105</v>
      </c>
      <c r="I7" s="5">
        <v>0.2</v>
      </c>
      <c r="J7" s="5">
        <v>7.4999999999999997E-2</v>
      </c>
      <c r="K7" s="5">
        <v>1.2E-2</v>
      </c>
      <c r="L7" s="5">
        <v>6.0000000000000001E-3</v>
      </c>
      <c r="M7" s="5">
        <v>1.2E-2</v>
      </c>
      <c r="N7" s="5">
        <v>0.17600000000000002</v>
      </c>
      <c r="O7" s="6">
        <v>29.333333333333336</v>
      </c>
      <c r="P7" s="6">
        <v>5.7499999999999991</v>
      </c>
      <c r="Q7" s="7">
        <v>2.9199999999999999E-3</v>
      </c>
      <c r="R7" s="5">
        <v>2.4399999999999998E-2</v>
      </c>
      <c r="S7" s="5">
        <v>5.0500000000000003E-2</v>
      </c>
      <c r="T7" s="8">
        <v>1.91E-5</v>
      </c>
      <c r="U7" s="9">
        <v>1.9100000000000001E-4</v>
      </c>
      <c r="V7" s="9">
        <v>2.2100000000000001E-4</v>
      </c>
      <c r="W7" s="5">
        <v>8.09E-2</v>
      </c>
      <c r="X7" s="8">
        <v>1.6500000000000001E-6</v>
      </c>
      <c r="Y7" s="9">
        <v>6.7799999999999995E-5</v>
      </c>
      <c r="Z7" s="9">
        <v>3.2700000000000002E-5</v>
      </c>
      <c r="AA7" s="9">
        <v>5.8900000000000002E-5</v>
      </c>
      <c r="AB7" s="5">
        <v>8.09E-2</v>
      </c>
      <c r="AC7" s="8">
        <v>1.01E-7</v>
      </c>
      <c r="AD7" s="10">
        <v>1.0600000000000001E-8</v>
      </c>
      <c r="AE7" s="49">
        <v>0.85</v>
      </c>
      <c r="AF7" s="17">
        <f t="array" ref="AF7">INDEX(tbllkpSteelGrades[fy],MATCH(1,(Table1[[#This Row],[Grade]]=tbllkpSteelGrades[Grade])*(Table1[[#This Row],[tw]]&lt;=tbllkpSteelGrades[Thickness]),0))</f>
        <v>320000000</v>
      </c>
      <c r="AG7" s="17">
        <f t="array" ref="AG7">INDEX(tbllkpSteelGrades[fy],MATCH(1,(Table1[[#This Row],[Grade]]=tbllkpSteelGrades[Grade])*(Table1[[#This Row],[tf]]&lt;=tbllkpSteelGrades[Thickness]),0))</f>
        <v>300000000</v>
      </c>
      <c r="AH7" s="17">
        <f>MIN(Table1[[#This Row],[fy_web]],Table1[[#This Row],[fy_flange]])</f>
        <v>300000000</v>
      </c>
      <c r="AI7" s="17">
        <f t="array" ref="AI7">INDEX(tbllkpSteelGrades[fu],MATCH(1,(Table1[[#This Row],[Grade]]=tbllkpSteelGrades[Grade])*(Table1[[#This Row],[tw]]&lt;=tbllkpSteelGrades[Thickness]),0))</f>
        <v>440000000</v>
      </c>
      <c r="AJ7" s="18">
        <f>IF(Table1[[#This Row],[Fabrication Type]]="Welded",Table1[[#This Row],[d1]],Table1[[#This Row],[d]])*Table1[[#This Row],[tw]]</f>
        <v>1.2000000000000001E-3</v>
      </c>
      <c r="AK7" s="11">
        <f>Table1[[#This Row],[Aw]]*Table1[[#This Row],[fy_web]]*0.6</f>
        <v>230400.00000000003</v>
      </c>
      <c r="AL7" s="35">
        <f>82/SQRT(Table1[[#This Row],[fy_web]]/250000000)</f>
        <v>72.478445071621124</v>
      </c>
      <c r="AM7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N7" s="13">
        <f>Table1[[#This Row],[d]]-Table1[[#This Row],[tf]]</f>
        <v>0.188</v>
      </c>
      <c r="AO7" s="39">
        <f>Table1[[#This Row],[bf]]*Table1[[#This Row],[tf]]*(Table1[[#This Row],[df]]/2)</f>
        <v>8.4599999999999996E-5</v>
      </c>
      <c r="AP7" s="11">
        <f>Table1[[#This Row],[tw]]*MIN(Table1[[#This Row],[fy_web]], Table1[[#This Row],[fy_flange]])*0.6*Table1[[#This Row],[Ix]]/Table1[[#This Row],[Qflange]]</f>
        <v>243829.78723404257</v>
      </c>
      <c r="AQ7" s="46">
        <f ca="1">INDEX(tbllkpkt[kt],MATCH(RANDBETWEEN(1,4),tbllkpkt[Index],0))</f>
        <v>0.75</v>
      </c>
      <c r="AR7" s="47">
        <f t="shared" ca="1" si="0"/>
        <v>0.96</v>
      </c>
      <c r="AS7" s="43">
        <f ca="1">Table1[[#This Row],[Ag]]*Table1[[#This Row],[Deduction_for_An]]</f>
        <v>2.8031999999999996E-3</v>
      </c>
      <c r="AT7" s="11">
        <f>Table1[[#This Row],[fy]]*Table1[[#This Row],[Ag]]</f>
        <v>876000</v>
      </c>
      <c r="AU7" s="11">
        <f ca="1">Table1[[#This Row],[αu]]*Table1[[#This Row],[kt]]*Table1[[#This Row],[An]]*Table1[[#This Row],[fu]]</f>
        <v>786297.59999999986</v>
      </c>
      <c r="AV7" s="11">
        <f ca="1">MIN(Table1[[#This Row],[Nty]],Table1[[#This Row],[Ntu]])</f>
        <v>786297.59999999986</v>
      </c>
    </row>
    <row r="8" spans="2:48" x14ac:dyDescent="0.25">
      <c r="B8" s="14" t="str">
        <f>Table1[[#This Row],[Section]]&amp;"-"&amp;TEXT(Table1[[#This Row],[Grade]],"0")</f>
        <v>180PFC-300HR</v>
      </c>
      <c r="C8" s="3" t="s">
        <v>135</v>
      </c>
      <c r="D8" s="3" t="s">
        <v>106</v>
      </c>
      <c r="E8" s="3" t="s">
        <v>139</v>
      </c>
      <c r="F8" s="4">
        <v>20.9</v>
      </c>
      <c r="G8" s="3" t="s">
        <v>139</v>
      </c>
      <c r="H8" s="3" t="s">
        <v>105</v>
      </c>
      <c r="I8" s="5">
        <v>0.18</v>
      </c>
      <c r="J8" s="5">
        <v>7.4999999999999997E-2</v>
      </c>
      <c r="K8" s="5">
        <v>1.0999999999999999E-2</v>
      </c>
      <c r="L8" s="5">
        <v>6.0000000000000001E-3</v>
      </c>
      <c r="M8" s="5">
        <v>1.2E-2</v>
      </c>
      <c r="N8" s="5">
        <v>0.158</v>
      </c>
      <c r="O8" s="6">
        <v>26.333333333333332</v>
      </c>
      <c r="P8" s="6">
        <v>6.2727272727272725</v>
      </c>
      <c r="Q8" s="7">
        <v>2.66E-3</v>
      </c>
      <c r="R8" s="5">
        <v>2.4500000000000001E-2</v>
      </c>
      <c r="S8" s="5">
        <v>5.0299999999999997E-2</v>
      </c>
      <c r="T8" s="8">
        <v>1.4100000000000001E-5</v>
      </c>
      <c r="U8" s="9">
        <v>1.5699999999999999E-4</v>
      </c>
      <c r="V8" s="9">
        <v>1.8200000000000001E-4</v>
      </c>
      <c r="W8" s="5">
        <v>7.2900000000000006E-2</v>
      </c>
      <c r="X8" s="8">
        <v>1.5099999999999999E-6</v>
      </c>
      <c r="Y8" s="9">
        <v>6.1500000000000004E-5</v>
      </c>
      <c r="Z8" s="9">
        <v>2.9899999999999998E-5</v>
      </c>
      <c r="AA8" s="9">
        <v>5.38E-5</v>
      </c>
      <c r="AB8" s="5">
        <v>7.2900000000000006E-2</v>
      </c>
      <c r="AC8" s="8">
        <v>8.1400000000000001E-8</v>
      </c>
      <c r="AD8" s="10">
        <v>7.8199999999999999E-9</v>
      </c>
      <c r="AE8" s="49">
        <v>0.85</v>
      </c>
      <c r="AF8" s="17">
        <f t="array" ref="AF8">INDEX(tbllkpSteelGrades[fy],MATCH(1,(Table1[[#This Row],[Grade]]=tbllkpSteelGrades[Grade])*(Table1[[#This Row],[tw]]&lt;=tbllkpSteelGrades[Thickness]),0))</f>
        <v>320000000</v>
      </c>
      <c r="AG8" s="17">
        <f t="array" ref="AG8">INDEX(tbllkpSteelGrades[fy],MATCH(1,(Table1[[#This Row],[Grade]]=tbllkpSteelGrades[Grade])*(Table1[[#This Row],[tf]]&lt;=tbllkpSteelGrades[Thickness]),0))</f>
        <v>320000000</v>
      </c>
      <c r="AH8" s="17">
        <f>MIN(Table1[[#This Row],[fy_web]],Table1[[#This Row],[fy_flange]])</f>
        <v>320000000</v>
      </c>
      <c r="AI8" s="17">
        <f t="array" ref="AI8">INDEX(tbllkpSteelGrades[fu],MATCH(1,(Table1[[#This Row],[Grade]]=tbllkpSteelGrades[Grade])*(Table1[[#This Row],[tw]]&lt;=tbllkpSteelGrades[Thickness]),0))</f>
        <v>440000000</v>
      </c>
      <c r="AJ8" s="18">
        <f>IF(Table1[[#This Row],[Fabrication Type]]="Welded",Table1[[#This Row],[d1]],Table1[[#This Row],[d]])*Table1[[#This Row],[tw]]</f>
        <v>1.08E-3</v>
      </c>
      <c r="AK8" s="11">
        <f>Table1[[#This Row],[Aw]]*Table1[[#This Row],[fy_web]]*0.6</f>
        <v>207360</v>
      </c>
      <c r="AL8" s="35">
        <f>82/SQRT(Table1[[#This Row],[fy_web]]/250000000)</f>
        <v>72.478445071621124</v>
      </c>
      <c r="AM8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N8" s="13">
        <f>Table1[[#This Row],[d]]-Table1[[#This Row],[tf]]</f>
        <v>0.16899999999999998</v>
      </c>
      <c r="AO8" s="39">
        <f>Table1[[#This Row],[bf]]*Table1[[#This Row],[tf]]*(Table1[[#This Row],[df]]/2)</f>
        <v>6.971249999999998E-5</v>
      </c>
      <c r="AP8" s="11">
        <f>Table1[[#This Row],[tw]]*MIN(Table1[[#This Row],[fy_web]], Table1[[#This Row],[fy_flange]])*0.6*Table1[[#This Row],[Ix]]/Table1[[#This Row],[Qflange]]</f>
        <v>233002.68961807434</v>
      </c>
      <c r="AQ8" s="46">
        <f ca="1">INDEX(tbllkpkt[kt],MATCH(RANDBETWEEN(1,4),tbllkpkt[Index],0))</f>
        <v>1</v>
      </c>
      <c r="AR8" s="47">
        <f t="shared" ca="1" si="0"/>
        <v>0.99</v>
      </c>
      <c r="AS8" s="43">
        <f ca="1">Table1[[#This Row],[Ag]]*Table1[[#This Row],[Deduction_for_An]]</f>
        <v>2.6334000000000002E-3</v>
      </c>
      <c r="AT8" s="11">
        <f>Table1[[#This Row],[fy]]*Table1[[#This Row],[Ag]]</f>
        <v>851200</v>
      </c>
      <c r="AU8" s="11">
        <f ca="1">Table1[[#This Row],[αu]]*Table1[[#This Row],[kt]]*Table1[[#This Row],[An]]*Table1[[#This Row],[fu]]</f>
        <v>984891.60000000009</v>
      </c>
      <c r="AV8" s="11">
        <f ca="1">MIN(Table1[[#This Row],[Nty]],Table1[[#This Row],[Ntu]])</f>
        <v>851200</v>
      </c>
    </row>
    <row r="9" spans="2:48" x14ac:dyDescent="0.25">
      <c r="B9" s="14" t="str">
        <f>Table1[[#This Row],[Section]]&amp;"-"&amp;TEXT(Table1[[#This Row],[Grade]],"0")</f>
        <v>150PFC-300HR</v>
      </c>
      <c r="C9" s="3" t="s">
        <v>136</v>
      </c>
      <c r="D9" s="3" t="s">
        <v>106</v>
      </c>
      <c r="E9" s="3" t="s">
        <v>139</v>
      </c>
      <c r="F9" s="4">
        <v>17.7</v>
      </c>
      <c r="G9" s="3" t="s">
        <v>139</v>
      </c>
      <c r="H9" s="3" t="s">
        <v>105</v>
      </c>
      <c r="I9" s="5">
        <v>0.15</v>
      </c>
      <c r="J9" s="5">
        <v>7.4999999999999997E-2</v>
      </c>
      <c r="K9" s="5">
        <v>9.4999999999999998E-3</v>
      </c>
      <c r="L9" s="5">
        <v>6.0000000000000001E-3</v>
      </c>
      <c r="M9" s="5">
        <v>0.01</v>
      </c>
      <c r="N9" s="5">
        <v>0.13100000000000001</v>
      </c>
      <c r="O9" s="6">
        <v>21.833333333333332</v>
      </c>
      <c r="P9" s="6">
        <v>7.2631578947368416</v>
      </c>
      <c r="Q9" s="7">
        <v>2.2499999999999998E-3</v>
      </c>
      <c r="R9" s="5">
        <v>2.4899999999999999E-2</v>
      </c>
      <c r="S9" s="5">
        <v>5.0999999999999997E-2</v>
      </c>
      <c r="T9" s="8">
        <v>8.3399999999999998E-6</v>
      </c>
      <c r="U9" s="9">
        <v>1.11E-4</v>
      </c>
      <c r="V9" s="9">
        <v>1.2899999999999999E-4</v>
      </c>
      <c r="W9" s="5">
        <v>6.08E-2</v>
      </c>
      <c r="X9" s="8">
        <v>1.2899999999999999E-6</v>
      </c>
      <c r="Y9" s="9">
        <v>5.1600000000000001E-5</v>
      </c>
      <c r="Z9" s="9">
        <v>2.5700000000000001E-5</v>
      </c>
      <c r="AA9" s="9">
        <v>4.6E-5</v>
      </c>
      <c r="AB9" s="5">
        <v>6.08E-2</v>
      </c>
      <c r="AC9" s="8">
        <v>5.4900000000000002E-8</v>
      </c>
      <c r="AD9" s="10">
        <v>4.5900000000000001E-9</v>
      </c>
      <c r="AE9" s="49">
        <v>0.85</v>
      </c>
      <c r="AF9" s="17">
        <f t="array" ref="AF9">INDEX(tbllkpSteelGrades[fy],MATCH(1,(Table1[[#This Row],[Grade]]=tbllkpSteelGrades[Grade])*(Table1[[#This Row],[tw]]&lt;=tbllkpSteelGrades[Thickness]),0))</f>
        <v>320000000</v>
      </c>
      <c r="AG9" s="17">
        <f t="array" ref="AG9">INDEX(tbllkpSteelGrades[fy],MATCH(1,(Table1[[#This Row],[Grade]]=tbllkpSteelGrades[Grade])*(Table1[[#This Row],[tf]]&lt;=tbllkpSteelGrades[Thickness]),0))</f>
        <v>320000000</v>
      </c>
      <c r="AH9" s="17">
        <f>MIN(Table1[[#This Row],[fy_web]],Table1[[#This Row],[fy_flange]])</f>
        <v>320000000</v>
      </c>
      <c r="AI9" s="17">
        <f t="array" ref="AI9">INDEX(tbllkpSteelGrades[fu],MATCH(1,(Table1[[#This Row],[Grade]]=tbllkpSteelGrades[Grade])*(Table1[[#This Row],[tw]]&lt;=tbllkpSteelGrades[Thickness]),0))</f>
        <v>440000000</v>
      </c>
      <c r="AJ9" s="18">
        <f>IF(Table1[[#This Row],[Fabrication Type]]="Welded",Table1[[#This Row],[d1]],Table1[[#This Row],[d]])*Table1[[#This Row],[tw]]</f>
        <v>8.9999999999999998E-4</v>
      </c>
      <c r="AK9" s="11">
        <f>Table1[[#This Row],[Aw]]*Table1[[#This Row],[fy_web]]*0.6</f>
        <v>172800</v>
      </c>
      <c r="AL9" s="35">
        <f>82/SQRT(Table1[[#This Row],[fy_web]]/250000000)</f>
        <v>72.478445071621124</v>
      </c>
      <c r="AM9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N9" s="13">
        <f>Table1[[#This Row],[d]]-Table1[[#This Row],[tf]]</f>
        <v>0.14049999999999999</v>
      </c>
      <c r="AO9" s="39">
        <f>Table1[[#This Row],[bf]]*Table1[[#This Row],[tf]]*(Table1[[#This Row],[df]]/2)</f>
        <v>5.0053124999999992E-5</v>
      </c>
      <c r="AP9" s="11">
        <f>Table1[[#This Row],[tw]]*MIN(Table1[[#This Row],[fy_web]], Table1[[#This Row],[fy_flange]])*0.6*Table1[[#This Row],[Ix]]/Table1[[#This Row],[Qflange]]</f>
        <v>191949.65349316355</v>
      </c>
      <c r="AQ9" s="46">
        <f ca="1">INDEX(tbllkpkt[kt],MATCH(RANDBETWEEN(1,4),tbllkpkt[Index],0))</f>
        <v>0.75</v>
      </c>
      <c r="AR9" s="47">
        <f t="shared" ca="1" si="0"/>
        <v>0.91</v>
      </c>
      <c r="AS9" s="43">
        <f ca="1">Table1[[#This Row],[Ag]]*Table1[[#This Row],[Deduction_for_An]]</f>
        <v>2.0474999999999998E-3</v>
      </c>
      <c r="AT9" s="11">
        <f>Table1[[#This Row],[fy]]*Table1[[#This Row],[Ag]]</f>
        <v>720000</v>
      </c>
      <c r="AU9" s="11">
        <f ca="1">Table1[[#This Row],[αu]]*Table1[[#This Row],[kt]]*Table1[[#This Row],[An]]*Table1[[#This Row],[fu]]</f>
        <v>574323.74999999988</v>
      </c>
      <c r="AV9" s="11">
        <f ca="1">MIN(Table1[[#This Row],[Nty]],Table1[[#This Row],[Ntu]])</f>
        <v>574323.74999999988</v>
      </c>
    </row>
    <row r="10" spans="2:48" x14ac:dyDescent="0.25">
      <c r="B10" s="14" t="str">
        <f>Table1[[#This Row],[Section]]&amp;"-"&amp;TEXT(Table1[[#This Row],[Grade]],"0")</f>
        <v>125PFC-300HR</v>
      </c>
      <c r="C10" s="3" t="s">
        <v>137</v>
      </c>
      <c r="D10" s="3" t="s">
        <v>106</v>
      </c>
      <c r="E10" s="3" t="s">
        <v>139</v>
      </c>
      <c r="F10" s="4">
        <v>11.9</v>
      </c>
      <c r="G10" s="3" t="s">
        <v>139</v>
      </c>
      <c r="H10" s="3" t="s">
        <v>105</v>
      </c>
      <c r="I10" s="5">
        <v>0.125</v>
      </c>
      <c r="J10" s="5">
        <v>6.5000000000000002E-2</v>
      </c>
      <c r="K10" s="5">
        <v>7.4999999999999997E-3</v>
      </c>
      <c r="L10" s="5">
        <v>4.7000000000000002E-3</v>
      </c>
      <c r="M10" s="5">
        <v>8.0000000000000002E-3</v>
      </c>
      <c r="N10" s="5">
        <v>0.11</v>
      </c>
      <c r="O10" s="6">
        <v>23.404255319148934</v>
      </c>
      <c r="P10" s="6">
        <v>8.0400000000000009</v>
      </c>
      <c r="Q10" s="7">
        <v>1.5200000000000001E-3</v>
      </c>
      <c r="R10" s="5">
        <v>2.18E-2</v>
      </c>
      <c r="S10" s="5">
        <v>4.4999999999999998E-2</v>
      </c>
      <c r="T10" s="8">
        <v>3.9700000000000001E-6</v>
      </c>
      <c r="U10" s="9">
        <v>6.3499999999999999E-5</v>
      </c>
      <c r="V10" s="9">
        <v>7.2999999999999999E-5</v>
      </c>
      <c r="W10" s="5">
        <v>5.11E-2</v>
      </c>
      <c r="X10" s="8">
        <v>6.5799999999999999E-7</v>
      </c>
      <c r="Y10" s="9">
        <v>3.0199999999999999E-5</v>
      </c>
      <c r="Z10" s="9">
        <v>1.52E-5</v>
      </c>
      <c r="AA10" s="9">
        <v>2.72E-5</v>
      </c>
      <c r="AB10" s="5">
        <v>5.11E-2</v>
      </c>
      <c r="AC10" s="8">
        <v>2.3099999999999998E-8</v>
      </c>
      <c r="AD10" s="10">
        <v>1.6399999999999999E-9</v>
      </c>
      <c r="AE10" s="49">
        <v>0.85</v>
      </c>
      <c r="AF10" s="17">
        <f t="array" ref="AF10">INDEX(tbllkpSteelGrades[fy],MATCH(1,(Table1[[#This Row],[Grade]]=tbllkpSteelGrades[Grade])*(Table1[[#This Row],[tw]]&lt;=tbllkpSteelGrades[Thickness]),0))</f>
        <v>320000000</v>
      </c>
      <c r="AG10" s="17">
        <f t="array" ref="AG10">INDEX(tbllkpSteelGrades[fy],MATCH(1,(Table1[[#This Row],[Grade]]=tbllkpSteelGrades[Grade])*(Table1[[#This Row],[tf]]&lt;=tbllkpSteelGrades[Thickness]),0))</f>
        <v>320000000</v>
      </c>
      <c r="AH10" s="17">
        <f>MIN(Table1[[#This Row],[fy_web]],Table1[[#This Row],[fy_flange]])</f>
        <v>320000000</v>
      </c>
      <c r="AI10" s="17">
        <f t="array" ref="AI10">INDEX(tbllkpSteelGrades[fu],MATCH(1,(Table1[[#This Row],[Grade]]=tbllkpSteelGrades[Grade])*(Table1[[#This Row],[tw]]&lt;=tbllkpSteelGrades[Thickness]),0))</f>
        <v>440000000</v>
      </c>
      <c r="AJ10" s="18">
        <f>IF(Table1[[#This Row],[Fabrication Type]]="Welded",Table1[[#This Row],[d1]],Table1[[#This Row],[d]])*Table1[[#This Row],[tw]]</f>
        <v>5.8750000000000002E-4</v>
      </c>
      <c r="AK10" s="11">
        <f>Table1[[#This Row],[Aw]]*Table1[[#This Row],[fy_web]]*0.6</f>
        <v>112800</v>
      </c>
      <c r="AL10" s="35">
        <f>82/SQRT(Table1[[#This Row],[fy_web]]/250000000)</f>
        <v>72.478445071621124</v>
      </c>
      <c r="AM10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N10" s="13">
        <f>Table1[[#This Row],[d]]-Table1[[#This Row],[tf]]</f>
        <v>0.11749999999999999</v>
      </c>
      <c r="AO10" s="39">
        <f>Table1[[#This Row],[bf]]*Table1[[#This Row],[tf]]*(Table1[[#This Row],[df]]/2)</f>
        <v>2.8640624999999997E-5</v>
      </c>
      <c r="AP10" s="11">
        <f>Table1[[#This Row],[tw]]*MIN(Table1[[#This Row],[fy_web]], Table1[[#This Row],[fy_flange]])*0.6*Table1[[#This Row],[Ix]]/Table1[[#This Row],[Qflange]]</f>
        <v>125085.53846153847</v>
      </c>
      <c r="AQ10" s="46">
        <f ca="1">INDEX(tbllkpkt[kt],MATCH(RANDBETWEEN(1,4),tbllkpkt[Index],0))</f>
        <v>0.9</v>
      </c>
      <c r="AR10" s="47">
        <f t="shared" ca="1" si="0"/>
        <v>0.92999999999999994</v>
      </c>
      <c r="AS10" s="43">
        <f ca="1">Table1[[#This Row],[Ag]]*Table1[[#This Row],[Deduction_for_An]]</f>
        <v>1.4135999999999999E-3</v>
      </c>
      <c r="AT10" s="11">
        <f>Table1[[#This Row],[fy]]*Table1[[#This Row],[Ag]]</f>
        <v>486400</v>
      </c>
      <c r="AU10" s="11">
        <f ca="1">Table1[[#This Row],[αu]]*Table1[[#This Row],[kt]]*Table1[[#This Row],[An]]*Table1[[#This Row],[fu]]</f>
        <v>475817.76</v>
      </c>
      <c r="AV10" s="11">
        <f ca="1">MIN(Table1[[#This Row],[Nty]],Table1[[#This Row],[Ntu]])</f>
        <v>475817.76</v>
      </c>
    </row>
    <row r="11" spans="2:48" x14ac:dyDescent="0.25">
      <c r="B11" s="14" t="str">
        <f>Table1[[#This Row],[Section]]&amp;"-"&amp;TEXT(Table1[[#This Row],[Grade]],"0")</f>
        <v>100PFC-300HR</v>
      </c>
      <c r="C11" s="3" t="s">
        <v>138</v>
      </c>
      <c r="D11" s="3" t="s">
        <v>106</v>
      </c>
      <c r="E11" s="3" t="s">
        <v>139</v>
      </c>
      <c r="F11" s="4">
        <v>8.31</v>
      </c>
      <c r="G11" s="3" t="s">
        <v>139</v>
      </c>
      <c r="H11" s="3" t="s">
        <v>105</v>
      </c>
      <c r="I11" s="5">
        <v>0.1</v>
      </c>
      <c r="J11" s="5">
        <v>0.05</v>
      </c>
      <c r="K11" s="5">
        <v>6.7000000000000002E-3</v>
      </c>
      <c r="L11" s="5">
        <v>4.2000000000000006E-3</v>
      </c>
      <c r="M11" s="5">
        <v>8.0000000000000002E-3</v>
      </c>
      <c r="N11" s="5">
        <v>8.660000000000001E-2</v>
      </c>
      <c r="O11" s="6">
        <v>20.619047619047617</v>
      </c>
      <c r="P11" s="6">
        <v>6.8358208955223878</v>
      </c>
      <c r="Q11" s="7">
        <v>1.06E-3</v>
      </c>
      <c r="R11" s="5">
        <v>1.67E-2</v>
      </c>
      <c r="S11" s="5">
        <v>3.39E-2</v>
      </c>
      <c r="T11" s="8">
        <v>1.7400000000000001E-6</v>
      </c>
      <c r="U11" s="9">
        <v>3.4700000000000003E-5</v>
      </c>
      <c r="V11" s="9">
        <v>4.0299999999999997E-5</v>
      </c>
      <c r="W11" s="5">
        <v>4.0399999999999998E-2</v>
      </c>
      <c r="X11" s="8">
        <v>2.67E-7</v>
      </c>
      <c r="Y11" s="9">
        <v>1.5999999999999999E-5</v>
      </c>
      <c r="Z11" s="9">
        <v>8.0099999999999995E-6</v>
      </c>
      <c r="AA11" s="9">
        <v>1.4399999999999999E-5</v>
      </c>
      <c r="AB11" s="5">
        <v>4.0399999999999998E-2</v>
      </c>
      <c r="AC11" s="8">
        <v>1.3200000000000001E-8</v>
      </c>
      <c r="AD11" s="10">
        <v>4.2399999999999998E-10</v>
      </c>
      <c r="AE11" s="49">
        <v>0.85</v>
      </c>
      <c r="AF11" s="17">
        <f t="array" ref="AF11">INDEX(tbllkpSteelGrades[fy],MATCH(1,(Table1[[#This Row],[Grade]]=tbllkpSteelGrades[Grade])*(Table1[[#This Row],[tw]]&lt;=tbllkpSteelGrades[Thickness]),0))</f>
        <v>320000000</v>
      </c>
      <c r="AG11" s="17">
        <f t="array" ref="AG11">INDEX(tbllkpSteelGrades[fy],MATCH(1,(Table1[[#This Row],[Grade]]=tbllkpSteelGrades[Grade])*(Table1[[#This Row],[tf]]&lt;=tbllkpSteelGrades[Thickness]),0))</f>
        <v>320000000</v>
      </c>
      <c r="AH11" s="17">
        <f>MIN(Table1[[#This Row],[fy_web]],Table1[[#This Row],[fy_flange]])</f>
        <v>320000000</v>
      </c>
      <c r="AI11" s="17">
        <f t="array" ref="AI11">INDEX(tbllkpSteelGrades[fu],MATCH(1,(Table1[[#This Row],[Grade]]=tbllkpSteelGrades[Grade])*(Table1[[#This Row],[tw]]&lt;=tbllkpSteelGrades[Thickness]),0))</f>
        <v>440000000</v>
      </c>
      <c r="AJ11" s="18">
        <f>IF(Table1[[#This Row],[Fabrication Type]]="Welded",Table1[[#This Row],[d1]],Table1[[#This Row],[d]])*Table1[[#This Row],[tw]]</f>
        <v>4.2000000000000007E-4</v>
      </c>
      <c r="AK11" s="11">
        <f>Table1[[#This Row],[Aw]]*Table1[[#This Row],[fy_web]]*0.6</f>
        <v>80640.000000000015</v>
      </c>
      <c r="AL11" s="35">
        <f>82/SQRT(Table1[[#This Row],[fy_web]]/250000000)</f>
        <v>72.478445071621124</v>
      </c>
      <c r="AM11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N11" s="13">
        <f>Table1[[#This Row],[d]]-Table1[[#This Row],[tf]]</f>
        <v>9.3300000000000008E-2</v>
      </c>
      <c r="AO11" s="39">
        <f>Table1[[#This Row],[bf]]*Table1[[#This Row],[tf]]*(Table1[[#This Row],[df]]/2)</f>
        <v>1.5627750000000003E-5</v>
      </c>
      <c r="AP11" s="11">
        <f>Table1[[#This Row],[tw]]*MIN(Table1[[#This Row],[fy_web]], Table1[[#This Row],[fy_flange]])*0.6*Table1[[#This Row],[Ix]]/Table1[[#This Row],[Qflange]]</f>
        <v>89784.901857273115</v>
      </c>
      <c r="AQ11" s="46">
        <f ca="1">INDEX(tbllkpkt[kt],MATCH(RANDBETWEEN(1,4),tbllkpkt[Index],0))</f>
        <v>0.9</v>
      </c>
      <c r="AR11" s="47">
        <f t="shared" ca="1" si="0"/>
        <v>0.96</v>
      </c>
      <c r="AS11" s="43">
        <f ca="1">Table1[[#This Row],[Ag]]*Table1[[#This Row],[Deduction_for_An]]</f>
        <v>1.0176E-3</v>
      </c>
      <c r="AT11" s="11">
        <f>Table1[[#This Row],[fy]]*Table1[[#This Row],[Ag]]</f>
        <v>339200</v>
      </c>
      <c r="AU11" s="11">
        <f ca="1">Table1[[#This Row],[αu]]*Table1[[#This Row],[kt]]*Table1[[#This Row],[An]]*Table1[[#This Row],[fu]]</f>
        <v>342524.15999999997</v>
      </c>
      <c r="AV11" s="11">
        <f ca="1">MIN(Table1[[#This Row],[Nty]],Table1[[#This Row],[Ntu]])</f>
        <v>339200</v>
      </c>
    </row>
    <row r="12" spans="2:48" x14ac:dyDescent="0.25">
      <c r="B12" s="14" t="str">
        <f>Table1[[#This Row],[Section]]&amp;"-"&amp;TEXT(Table1[[#This Row],[Grade]],"0")</f>
        <v>75PFC-300HR</v>
      </c>
      <c r="C12" s="3" t="s">
        <v>4</v>
      </c>
      <c r="D12" s="3" t="s">
        <v>106</v>
      </c>
      <c r="E12" s="3" t="s">
        <v>139</v>
      </c>
      <c r="F12" s="4">
        <v>5.92</v>
      </c>
      <c r="G12" s="3" t="s">
        <v>139</v>
      </c>
      <c r="H12" s="3" t="s">
        <v>105</v>
      </c>
      <c r="I12" s="5">
        <v>7.4999999999999997E-2</v>
      </c>
      <c r="J12" s="5">
        <v>0.04</v>
      </c>
      <c r="K12" s="5">
        <v>6.0999999999999995E-3</v>
      </c>
      <c r="L12" s="5">
        <v>3.8E-3</v>
      </c>
      <c r="M12" s="5">
        <v>8.0000000000000002E-3</v>
      </c>
      <c r="N12" s="5">
        <v>6.2799999999999995E-2</v>
      </c>
      <c r="O12" s="6">
        <v>16.526315789473681</v>
      </c>
      <c r="P12" s="6">
        <v>5.9344262295081975</v>
      </c>
      <c r="Q12" s="7">
        <v>7.54E-4</v>
      </c>
      <c r="R12" s="5">
        <v>1.3699999999999999E-2</v>
      </c>
      <c r="S12" s="5">
        <v>2.7199999999999998E-2</v>
      </c>
      <c r="T12" s="8">
        <v>6.8299999999999996E-7</v>
      </c>
      <c r="U12" s="9">
        <v>1.8199999999999999E-5</v>
      </c>
      <c r="V12" s="9">
        <v>2.1399999999999998E-5</v>
      </c>
      <c r="W12" s="5">
        <v>3.0100000000000002E-2</v>
      </c>
      <c r="X12" s="8">
        <v>1.1999999999999999E-7</v>
      </c>
      <c r="Y12" s="9">
        <v>8.7099999999999996E-6</v>
      </c>
      <c r="Z12" s="9">
        <v>4.5600000000000004E-6</v>
      </c>
      <c r="AA12" s="9">
        <v>8.1999999999999994E-6</v>
      </c>
      <c r="AB12" s="5">
        <v>3.0100000000000002E-2</v>
      </c>
      <c r="AC12" s="8">
        <v>8.1300000000000007E-9</v>
      </c>
      <c r="AD12" s="10">
        <v>1.06E-10</v>
      </c>
      <c r="AE12" s="49">
        <v>0.85</v>
      </c>
      <c r="AF12" s="17">
        <f t="array" ref="AF12">INDEX(tbllkpSteelGrades[fy],MATCH(1,(Table1[[#This Row],[Grade]]=tbllkpSteelGrades[Grade])*(Table1[[#This Row],[tw]]&lt;=tbllkpSteelGrades[Thickness]),0))</f>
        <v>320000000</v>
      </c>
      <c r="AG12" s="17">
        <f t="array" ref="AG12">INDEX(tbllkpSteelGrades[fy],MATCH(1,(Table1[[#This Row],[Grade]]=tbllkpSteelGrades[Grade])*(Table1[[#This Row],[tf]]&lt;=tbllkpSteelGrades[Thickness]),0))</f>
        <v>320000000</v>
      </c>
      <c r="AH12" s="17">
        <f>MIN(Table1[[#This Row],[fy_web]],Table1[[#This Row],[fy_flange]])</f>
        <v>320000000</v>
      </c>
      <c r="AI12" s="17">
        <f t="array" ref="AI12">INDEX(tbllkpSteelGrades[fu],MATCH(1,(Table1[[#This Row],[Grade]]=tbllkpSteelGrades[Grade])*(Table1[[#This Row],[tw]]&lt;=tbllkpSteelGrades[Thickness]),0))</f>
        <v>440000000</v>
      </c>
      <c r="AJ12" s="18">
        <f>IF(Table1[[#This Row],[Fabrication Type]]="Welded",Table1[[#This Row],[d1]],Table1[[#This Row],[d]])*Table1[[#This Row],[tw]]</f>
        <v>2.8499999999999999E-4</v>
      </c>
      <c r="AK12" s="11">
        <f>Table1[[#This Row],[Aw]]*Table1[[#This Row],[fy_web]]*0.6</f>
        <v>54720</v>
      </c>
      <c r="AL12" s="35">
        <f>82/SQRT(Table1[[#This Row],[fy_web]]/250000000)</f>
        <v>72.478445071621124</v>
      </c>
      <c r="AM12" s="36">
        <f>IF((Table1[[#This Row],[d1]]/Table1[[#This Row],[tw]])&gt;Table1[[#This Row],[limiting web slenderness]],(82/((Table1[[#This Row],[d1]]/Table1[[#This Row],[tw]])*SQRT(Table1[[#This Row],[fy_web]]/250000000)))^2,1)</f>
        <v>1</v>
      </c>
      <c r="AN12" s="13">
        <f>Table1[[#This Row],[d]]-Table1[[#This Row],[tf]]</f>
        <v>6.8900000000000003E-2</v>
      </c>
      <c r="AO12" s="39">
        <f>Table1[[#This Row],[bf]]*Table1[[#This Row],[tf]]*(Table1[[#This Row],[df]]/2)</f>
        <v>8.4058000000000001E-6</v>
      </c>
      <c r="AP12" s="11">
        <f>Table1[[#This Row],[tw]]*MIN(Table1[[#This Row],[fy_web]], Table1[[#This Row],[fy_flange]])*0.6*Table1[[#This Row],[Ix]]/Table1[[#This Row],[Qflange]]</f>
        <v>59282.49541982916</v>
      </c>
      <c r="AQ12" s="46">
        <f ca="1">INDEX(tbllkpkt[kt],MATCH(RANDBETWEEN(1,4),tbllkpkt[Index],0))</f>
        <v>0.75</v>
      </c>
      <c r="AR12" s="47">
        <f t="shared" ca="1" si="0"/>
        <v>0.9</v>
      </c>
      <c r="AS12" s="43">
        <f ca="1">Table1[[#This Row],[Ag]]*Table1[[#This Row],[Deduction_for_An]]</f>
        <v>6.7860000000000001E-4</v>
      </c>
      <c r="AT12" s="11">
        <f>Table1[[#This Row],[fy]]*Table1[[#This Row],[Ag]]</f>
        <v>241280</v>
      </c>
      <c r="AU12" s="11">
        <f ca="1">Table1[[#This Row],[αu]]*Table1[[#This Row],[kt]]*Table1[[#This Row],[An]]*Table1[[#This Row],[fu]]</f>
        <v>190347.3</v>
      </c>
      <c r="AV12" s="11">
        <f ca="1">MIN(Table1[[#This Row],[Nty]],Table1[[#This Row],[Ntu]])</f>
        <v>190347.3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E13B-E63F-4692-A5FE-1D44D79940EF}">
  <dimension ref="B2:AD89"/>
  <sheetViews>
    <sheetView workbookViewId="0">
      <selection activeCell="AA2" sqref="AA2"/>
    </sheetView>
  </sheetViews>
  <sheetFormatPr defaultRowHeight="15" x14ac:dyDescent="0.25"/>
  <cols>
    <col min="1" max="1" width="3.7109375" customWidth="1"/>
    <col min="2" max="2" width="21.5703125" bestFit="1" customWidth="1"/>
    <col min="3" max="3" width="15" bestFit="1" customWidth="1"/>
    <col min="4" max="4" width="8.5703125" bestFit="1" customWidth="1"/>
    <col min="5" max="5" width="9.85546875" bestFit="1" customWidth="1"/>
    <col min="6" max="6" width="14.5703125" bestFit="1" customWidth="1"/>
    <col min="7" max="7" width="18" bestFit="1" customWidth="1"/>
    <col min="8" max="9" width="7.7109375" bestFit="1" customWidth="1"/>
    <col min="10" max="10" width="6.85546875" bestFit="1" customWidth="1"/>
    <col min="11" max="14" width="13.28515625" bestFit="1" customWidth="1"/>
    <col min="15" max="15" width="7.7109375" bestFit="1" customWidth="1"/>
    <col min="16" max="17" width="13.28515625" bestFit="1" customWidth="1"/>
    <col min="18" max="18" width="5.5703125" bestFit="1" customWidth="1"/>
    <col min="19" max="19" width="15" bestFit="1" customWidth="1"/>
    <col min="20" max="20" width="13.28515625" bestFit="1" customWidth="1"/>
    <col min="21" max="21" width="4.85546875" bestFit="1" customWidth="1"/>
    <col min="22" max="22" width="13.28515625" bestFit="1" customWidth="1"/>
    <col min="23" max="23" width="13.28515625" customWidth="1"/>
    <col min="24" max="24" width="12.42578125" bestFit="1" customWidth="1"/>
    <col min="25" max="25" width="4.5703125" bestFit="1" customWidth="1"/>
    <col min="26" max="26" width="16" bestFit="1" customWidth="1"/>
    <col min="27" max="27" width="13.28515625" bestFit="1" customWidth="1"/>
    <col min="28" max="30" width="12.42578125" bestFit="1" customWidth="1"/>
  </cols>
  <sheetData>
    <row r="2" spans="2:30" ht="18" x14ac:dyDescent="0.35">
      <c r="B2" s="25" t="s">
        <v>130</v>
      </c>
      <c r="C2" t="s">
        <v>1</v>
      </c>
      <c r="D2" t="s">
        <v>55</v>
      </c>
      <c r="E2" t="s">
        <v>9</v>
      </c>
      <c r="F2" t="s">
        <v>10</v>
      </c>
      <c r="G2" t="s">
        <v>11</v>
      </c>
      <c r="H2" t="s">
        <v>7</v>
      </c>
      <c r="I2" t="s">
        <v>147</v>
      </c>
      <c r="J2" t="s">
        <v>148</v>
      </c>
      <c r="K2" t="s">
        <v>43</v>
      </c>
      <c r="L2" t="s">
        <v>13</v>
      </c>
      <c r="M2" t="s">
        <v>149</v>
      </c>
      <c r="N2" t="s">
        <v>150</v>
      </c>
      <c r="O2" t="s">
        <v>151</v>
      </c>
      <c r="P2" t="s">
        <v>0</v>
      </c>
      <c r="Q2" t="s">
        <v>152</v>
      </c>
      <c r="R2" t="s">
        <v>247</v>
      </c>
      <c r="S2" t="s">
        <v>153</v>
      </c>
      <c r="T2" t="s">
        <v>248</v>
      </c>
      <c r="U2" s="34" t="s">
        <v>299</v>
      </c>
      <c r="V2" t="s">
        <v>246</v>
      </c>
      <c r="W2" t="s">
        <v>250</v>
      </c>
      <c r="X2" s="23" t="s">
        <v>146</v>
      </c>
      <c r="Y2" s="1" t="s">
        <v>298</v>
      </c>
      <c r="Z2" s="1" t="s">
        <v>304</v>
      </c>
      <c r="AA2" s="1" t="s">
        <v>301</v>
      </c>
      <c r="AB2" s="40" t="s">
        <v>294</v>
      </c>
      <c r="AC2" s="40" t="s">
        <v>300</v>
      </c>
      <c r="AD2" s="40" t="s">
        <v>303</v>
      </c>
    </row>
    <row r="3" spans="2:30" ht="15.75" thickBot="1" x14ac:dyDescent="0.3">
      <c r="B3" s="24" t="str">
        <f>Table4[[#This Row],[Section]]&amp;"-"&amp;Table4[[#This Row],[Grade]]</f>
        <v>508 x 16 CHS-CF 350</v>
      </c>
      <c r="C3" s="26" t="s">
        <v>154</v>
      </c>
      <c r="D3" s="26" t="s">
        <v>155</v>
      </c>
      <c r="E3" s="27">
        <v>194</v>
      </c>
      <c r="F3" s="26" t="s">
        <v>243</v>
      </c>
      <c r="G3" s="26" t="s">
        <v>244</v>
      </c>
      <c r="H3" s="28">
        <v>0.50800000000000001</v>
      </c>
      <c r="I3" s="28">
        <v>1.6E-2</v>
      </c>
      <c r="J3" s="29">
        <v>31.75</v>
      </c>
      <c r="K3" s="30">
        <v>2.47E-2</v>
      </c>
      <c r="L3" s="31">
        <v>7.4899999999999999E-4</v>
      </c>
      <c r="M3" s="32">
        <v>2.9499999999999999E-3</v>
      </c>
      <c r="N3" s="32">
        <v>3.8700000000000002E-3</v>
      </c>
      <c r="O3" s="28">
        <v>0.17399999999999999</v>
      </c>
      <c r="P3" s="31">
        <v>1.5E-3</v>
      </c>
      <c r="Q3" s="32">
        <v>5.8999999999999999E-3</v>
      </c>
      <c r="R3" s="33">
        <v>1</v>
      </c>
      <c r="S3" s="26" t="s">
        <v>152</v>
      </c>
      <c r="T3" s="32">
        <v>3.8700000000000002E-3</v>
      </c>
      <c r="U3" s="51">
        <v>0.85</v>
      </c>
      <c r="V3" s="12">
        <f t="array" ref="V3">INDEX(tbllkpSteelGrades[fy],MATCH(1,(Table4[[#This Row],[Grade]]=tbllkpSteelGrades[Grade])*(Table4[[#This Row],[t]]&lt;=tbllkpSteelGrades[Thickness]),0))</f>
        <v>350000000</v>
      </c>
      <c r="W3" s="12">
        <f t="array" ref="W3">INDEX(tbllkpSteelGrades[fu],MATCH(1,(Table4[[#This Row],[Grade]]=tbllkpSteelGrades[Grade])*(Table4[[#This Row],[t]]&lt;=tbllkpSteelGrades[Thickness]),0))</f>
        <v>430000000</v>
      </c>
      <c r="X3" s="11">
        <f>Table4[[#This Row],[fy]]*Table4[[#This Row],[Ag]]*0.36</f>
        <v>3112200</v>
      </c>
      <c r="Y3" s="50">
        <f ca="1">INDEX(tbllkpkt[kt],MATCH(RANDBETWEEN(1,4),tbllkpkt[Index],0))</f>
        <v>0.75</v>
      </c>
      <c r="Z3" s="48">
        <f t="shared" ref="Z3:Z34" ca="1" si="0">1-RANDBETWEEN(0,10)/100</f>
        <v>0.96</v>
      </c>
      <c r="AA3" s="18">
        <f ca="1">Table4[[#This Row],[Ag]]*Table4[[#This Row],[Deduction_for_An]]</f>
        <v>2.3712E-2</v>
      </c>
      <c r="AB3" s="11">
        <f>Table4[[#This Row],[fy]]*Table4[[#This Row],[Ag]]</f>
        <v>8645000</v>
      </c>
      <c r="AC3" s="11">
        <f ca="1">Table4[[#This Row],[αu]]*Table4[[#This Row],[kt]]*Table4[[#This Row],[An]]*Table4[[#This Row],[fu]]</f>
        <v>6500051.9999999991</v>
      </c>
      <c r="AD3" s="11">
        <f ca="1">MIN(Table4[[#This Row],[Nty]],Table4[[#This Row],[Ntu]])</f>
        <v>6500051.9999999991</v>
      </c>
    </row>
    <row r="4" spans="2:30" x14ac:dyDescent="0.25">
      <c r="B4" t="str">
        <f>Table4[[#This Row],[Section]]&amp;"-"&amp;Table4[[#This Row],[Grade]]</f>
        <v>508 x 12.5 CHS-CF 350</v>
      </c>
      <c r="C4" s="26" t="s">
        <v>156</v>
      </c>
      <c r="D4" s="26" t="s">
        <v>155</v>
      </c>
      <c r="E4" s="27">
        <v>153</v>
      </c>
      <c r="F4" s="26" t="s">
        <v>243</v>
      </c>
      <c r="G4" s="26" t="s">
        <v>244</v>
      </c>
      <c r="H4" s="28">
        <v>0.50800000000000001</v>
      </c>
      <c r="I4" s="28">
        <v>1.2500000000000001E-2</v>
      </c>
      <c r="J4" s="29">
        <v>40.64</v>
      </c>
      <c r="K4" s="30">
        <v>1.95E-2</v>
      </c>
      <c r="L4" s="31">
        <v>5.9800000000000001E-4</v>
      </c>
      <c r="M4" s="32">
        <v>2.3500000000000001E-3</v>
      </c>
      <c r="N4" s="32">
        <v>3.0699999999999998E-3</v>
      </c>
      <c r="O4" s="28">
        <v>0.17499999999999999</v>
      </c>
      <c r="P4" s="31">
        <v>1.1999999999999999E-3</v>
      </c>
      <c r="Q4" s="32">
        <v>4.7099999999999998E-3</v>
      </c>
      <c r="R4" s="33">
        <v>1</v>
      </c>
      <c r="S4" s="26" t="s">
        <v>245</v>
      </c>
      <c r="T4" s="32">
        <v>3.0000000000000001E-3</v>
      </c>
      <c r="U4" s="51">
        <v>0.85</v>
      </c>
      <c r="V4" s="12">
        <f t="array" ref="V4">INDEX(tbllkpSteelGrades[fy],MATCH(1,(Table4[[#This Row],[Grade]]=tbllkpSteelGrades[Grade])*(Table4[[#This Row],[t]]&lt;=tbllkpSteelGrades[Thickness]),0))</f>
        <v>350000000</v>
      </c>
      <c r="W4" s="12">
        <f t="array" ref="W4">INDEX(tbllkpSteelGrades[fu],MATCH(1,(Table4[[#This Row],[Grade]]=tbllkpSteelGrades[Grade])*(Table4[[#This Row],[t]]&lt;=tbllkpSteelGrades[Thickness]),0))</f>
        <v>430000000</v>
      </c>
      <c r="X4" s="11">
        <f>Table4[[#This Row],[fy]]*Table4[[#This Row],[Ag]]*0.36</f>
        <v>2457000</v>
      </c>
      <c r="Y4" s="50">
        <f ca="1">INDEX(tbllkpkt[kt],MATCH(RANDBETWEEN(1,4),tbllkpkt[Index],0))</f>
        <v>0.75</v>
      </c>
      <c r="Z4" s="48">
        <f t="shared" ca="1" si="0"/>
        <v>0.94</v>
      </c>
      <c r="AA4" s="18">
        <f ca="1">Table4[[#This Row],[Ag]]*Table4[[#This Row],[Deduction_for_An]]</f>
        <v>1.8329999999999999E-2</v>
      </c>
      <c r="AB4" s="11">
        <f>Table4[[#This Row],[fy]]*Table4[[#This Row],[Ag]]</f>
        <v>6825000</v>
      </c>
      <c r="AC4" s="11">
        <f ca="1">Table4[[#This Row],[αu]]*Table4[[#This Row],[kt]]*Table4[[#This Row],[An]]*Table4[[#This Row],[fu]]</f>
        <v>5024711.2499999991</v>
      </c>
      <c r="AD4" s="11">
        <f ca="1">MIN(Table4[[#This Row],[Nty]],Table4[[#This Row],[Ntu]])</f>
        <v>5024711.2499999991</v>
      </c>
    </row>
    <row r="5" spans="2:30" x14ac:dyDescent="0.25">
      <c r="B5" t="str">
        <f>Table4[[#This Row],[Section]]&amp;"-"&amp;Table4[[#This Row],[Grade]]</f>
        <v>508 x 10 CHS-CF 350</v>
      </c>
      <c r="C5" s="26" t="s">
        <v>157</v>
      </c>
      <c r="D5" s="26" t="s">
        <v>155</v>
      </c>
      <c r="E5" s="27">
        <v>123</v>
      </c>
      <c r="F5" s="26" t="s">
        <v>243</v>
      </c>
      <c r="G5" s="26" t="s">
        <v>244</v>
      </c>
      <c r="H5" s="28">
        <v>0.50800000000000001</v>
      </c>
      <c r="I5" s="28">
        <v>0.01</v>
      </c>
      <c r="J5" s="29">
        <v>50.8</v>
      </c>
      <c r="K5" s="30">
        <v>1.5599999999999999E-2</v>
      </c>
      <c r="L5" s="31">
        <v>4.8500000000000003E-4</v>
      </c>
      <c r="M5" s="32">
        <v>1.91E-3</v>
      </c>
      <c r="N5" s="32">
        <v>2.48E-3</v>
      </c>
      <c r="O5" s="28">
        <v>0.17599999999999999</v>
      </c>
      <c r="P5" s="31">
        <v>9.7000000000000005E-4</v>
      </c>
      <c r="Q5" s="32">
        <v>3.82E-3</v>
      </c>
      <c r="R5" s="33">
        <v>1</v>
      </c>
      <c r="S5" s="26" t="s">
        <v>245</v>
      </c>
      <c r="T5" s="32">
        <v>2.31E-3</v>
      </c>
      <c r="U5" s="51">
        <v>0.85</v>
      </c>
      <c r="V5" s="12">
        <f t="array" ref="V5">INDEX(tbllkpSteelGrades[fy],MATCH(1,(Table4[[#This Row],[Grade]]=tbllkpSteelGrades[Grade])*(Table4[[#This Row],[t]]&lt;=tbllkpSteelGrades[Thickness]),0))</f>
        <v>350000000</v>
      </c>
      <c r="W5" s="12">
        <f t="array" ref="W5">INDEX(tbllkpSteelGrades[fu],MATCH(1,(Table4[[#This Row],[Grade]]=tbllkpSteelGrades[Grade])*(Table4[[#This Row],[t]]&lt;=tbllkpSteelGrades[Thickness]),0))</f>
        <v>430000000</v>
      </c>
      <c r="X5" s="11">
        <f>Table4[[#This Row],[fy]]*Table4[[#This Row],[Ag]]*0.36</f>
        <v>1965600</v>
      </c>
      <c r="Y5" s="50">
        <f ca="1">INDEX(tbllkpkt[kt],MATCH(RANDBETWEEN(1,4),tbllkpkt[Index],0))</f>
        <v>0.75</v>
      </c>
      <c r="Z5" s="48">
        <f t="shared" ca="1" si="0"/>
        <v>0.91</v>
      </c>
      <c r="AA5" s="18">
        <f ca="1">Table4[[#This Row],[Ag]]*Table4[[#This Row],[Deduction_for_An]]</f>
        <v>1.4196E-2</v>
      </c>
      <c r="AB5" s="11">
        <f>Table4[[#This Row],[fy]]*Table4[[#This Row],[Ag]]</f>
        <v>5460000</v>
      </c>
      <c r="AC5" s="11">
        <f ca="1">Table4[[#This Row],[αu]]*Table4[[#This Row],[kt]]*Table4[[#This Row],[An]]*Table4[[#This Row],[fu]]</f>
        <v>3891478.4999999995</v>
      </c>
      <c r="AD5" s="11">
        <f ca="1">MIN(Table4[[#This Row],[Nty]],Table4[[#This Row],[Ntu]])</f>
        <v>3891478.4999999995</v>
      </c>
    </row>
    <row r="6" spans="2:30" x14ac:dyDescent="0.25">
      <c r="B6" t="str">
        <f>Table4[[#This Row],[Section]]&amp;"-"&amp;Table4[[#This Row],[Grade]]</f>
        <v>457 x 16 CHS-CF 350</v>
      </c>
      <c r="C6" s="26" t="s">
        <v>158</v>
      </c>
      <c r="D6" s="26" t="s">
        <v>155</v>
      </c>
      <c r="E6" s="27">
        <v>174</v>
      </c>
      <c r="F6" s="26" t="s">
        <v>243</v>
      </c>
      <c r="G6" s="26" t="s">
        <v>244</v>
      </c>
      <c r="H6" s="28">
        <v>0.45700000000000002</v>
      </c>
      <c r="I6" s="28">
        <v>1.6E-2</v>
      </c>
      <c r="J6" s="29">
        <v>28.5625</v>
      </c>
      <c r="K6" s="30">
        <v>2.2200000000000001E-2</v>
      </c>
      <c r="L6" s="31">
        <v>5.4000000000000001E-4</v>
      </c>
      <c r="M6" s="32">
        <v>2.3600000000000001E-3</v>
      </c>
      <c r="N6" s="32">
        <v>3.1099999999999999E-3</v>
      </c>
      <c r="O6" s="28">
        <v>0.156</v>
      </c>
      <c r="P6" s="31">
        <v>1.08E-3</v>
      </c>
      <c r="Q6" s="32">
        <v>4.7200000000000002E-3</v>
      </c>
      <c r="R6" s="33">
        <v>1</v>
      </c>
      <c r="S6" s="26" t="s">
        <v>152</v>
      </c>
      <c r="T6" s="32">
        <v>3.1099999999999999E-3</v>
      </c>
      <c r="U6" s="51">
        <v>0.85</v>
      </c>
      <c r="V6" s="12">
        <f t="array" ref="V6">INDEX(tbllkpSteelGrades[fy],MATCH(1,(Table4[[#This Row],[Grade]]=tbllkpSteelGrades[Grade])*(Table4[[#This Row],[t]]&lt;=tbllkpSteelGrades[Thickness]),0))</f>
        <v>350000000</v>
      </c>
      <c r="W6" s="12">
        <f t="array" ref="W6">INDEX(tbllkpSteelGrades[fu],MATCH(1,(Table4[[#This Row],[Grade]]=tbllkpSteelGrades[Grade])*(Table4[[#This Row],[t]]&lt;=tbllkpSteelGrades[Thickness]),0))</f>
        <v>430000000</v>
      </c>
      <c r="X6" s="11">
        <f>Table4[[#This Row],[fy]]*Table4[[#This Row],[Ag]]*0.36</f>
        <v>2797200</v>
      </c>
      <c r="Y6" s="50">
        <f ca="1">INDEX(tbllkpkt[kt],MATCH(RANDBETWEEN(1,4),tbllkpkt[Index],0))</f>
        <v>0.75</v>
      </c>
      <c r="Z6" s="48">
        <f t="shared" ca="1" si="0"/>
        <v>0.96</v>
      </c>
      <c r="AA6" s="18">
        <f ca="1">Table4[[#This Row],[Ag]]*Table4[[#This Row],[Deduction_for_An]]</f>
        <v>2.1312000000000001E-2</v>
      </c>
      <c r="AB6" s="11">
        <f>Table4[[#This Row],[fy]]*Table4[[#This Row],[Ag]]</f>
        <v>7770000</v>
      </c>
      <c r="AC6" s="11">
        <f ca="1">Table4[[#This Row],[αu]]*Table4[[#This Row],[kt]]*Table4[[#This Row],[An]]*Table4[[#This Row],[fu]]</f>
        <v>5842152</v>
      </c>
      <c r="AD6" s="11">
        <f ca="1">MIN(Table4[[#This Row],[Nty]],Table4[[#This Row],[Ntu]])</f>
        <v>5842152</v>
      </c>
    </row>
    <row r="7" spans="2:30" x14ac:dyDescent="0.25">
      <c r="B7" t="str">
        <f>Table4[[#This Row],[Section]]&amp;"-"&amp;Table4[[#This Row],[Grade]]</f>
        <v>457 x 12.5 CHS-CF 350</v>
      </c>
      <c r="C7" s="26" t="s">
        <v>159</v>
      </c>
      <c r="D7" s="26" t="s">
        <v>155</v>
      </c>
      <c r="E7" s="27">
        <v>137</v>
      </c>
      <c r="F7" s="26" t="s">
        <v>243</v>
      </c>
      <c r="G7" s="26" t="s">
        <v>244</v>
      </c>
      <c r="H7" s="28">
        <v>0.45700000000000002</v>
      </c>
      <c r="I7" s="28">
        <v>1.2500000000000001E-2</v>
      </c>
      <c r="J7" s="29">
        <v>36.56</v>
      </c>
      <c r="K7" s="30">
        <v>1.7500000000000002E-2</v>
      </c>
      <c r="L7" s="31">
        <v>4.3100000000000001E-4</v>
      </c>
      <c r="M7" s="32">
        <v>1.89E-3</v>
      </c>
      <c r="N7" s="32">
        <v>2.47E-3</v>
      </c>
      <c r="O7" s="28">
        <v>0.157</v>
      </c>
      <c r="P7" s="31">
        <v>8.6300000000000005E-4</v>
      </c>
      <c r="Q7" s="32">
        <v>3.7799999999999999E-3</v>
      </c>
      <c r="R7" s="33">
        <v>1</v>
      </c>
      <c r="S7" s="26" t="s">
        <v>245</v>
      </c>
      <c r="T7" s="32">
        <v>2.4599999999999999E-3</v>
      </c>
      <c r="U7" s="51">
        <v>0.85</v>
      </c>
      <c r="V7" s="12">
        <f t="array" ref="V7">INDEX(tbllkpSteelGrades[fy],MATCH(1,(Table4[[#This Row],[Grade]]=tbllkpSteelGrades[Grade])*(Table4[[#This Row],[t]]&lt;=tbllkpSteelGrades[Thickness]),0))</f>
        <v>350000000</v>
      </c>
      <c r="W7" s="12">
        <f t="array" ref="W7">INDEX(tbllkpSteelGrades[fu],MATCH(1,(Table4[[#This Row],[Grade]]=tbllkpSteelGrades[Grade])*(Table4[[#This Row],[t]]&lt;=tbllkpSteelGrades[Thickness]),0))</f>
        <v>430000000</v>
      </c>
      <c r="X7" s="11">
        <f>Table4[[#This Row],[fy]]*Table4[[#This Row],[Ag]]*0.36</f>
        <v>2205000.0000000005</v>
      </c>
      <c r="Y7" s="50">
        <f ca="1">INDEX(tbllkpkt[kt],MATCH(RANDBETWEEN(1,4),tbllkpkt[Index],0))</f>
        <v>1</v>
      </c>
      <c r="Z7" s="48">
        <f t="shared" ca="1" si="0"/>
        <v>0.94</v>
      </c>
      <c r="AA7" s="18">
        <f ca="1">Table4[[#This Row],[Ag]]*Table4[[#This Row],[Deduction_for_An]]</f>
        <v>1.6449999999999999E-2</v>
      </c>
      <c r="AB7" s="11">
        <f>Table4[[#This Row],[fy]]*Table4[[#This Row],[Ag]]</f>
        <v>6125000.0000000009</v>
      </c>
      <c r="AC7" s="11">
        <f ca="1">Table4[[#This Row],[αu]]*Table4[[#This Row],[kt]]*Table4[[#This Row],[An]]*Table4[[#This Row],[fu]]</f>
        <v>6012474.9999999991</v>
      </c>
      <c r="AD7" s="11">
        <f ca="1">MIN(Table4[[#This Row],[Nty]],Table4[[#This Row],[Ntu]])</f>
        <v>6012474.9999999991</v>
      </c>
    </row>
    <row r="8" spans="2:30" x14ac:dyDescent="0.25">
      <c r="B8" t="str">
        <f>Table4[[#This Row],[Section]]&amp;"-"&amp;Table4[[#This Row],[Grade]]</f>
        <v>457 x 10 CHS-CF 350</v>
      </c>
      <c r="C8" s="26" t="s">
        <v>160</v>
      </c>
      <c r="D8" s="26" t="s">
        <v>155</v>
      </c>
      <c r="E8" s="27">
        <v>110</v>
      </c>
      <c r="F8" s="26" t="s">
        <v>243</v>
      </c>
      <c r="G8" s="26" t="s">
        <v>244</v>
      </c>
      <c r="H8" s="28">
        <v>0.45700000000000002</v>
      </c>
      <c r="I8" s="28">
        <v>0.01</v>
      </c>
      <c r="J8" s="29">
        <v>45.7</v>
      </c>
      <c r="K8" s="30">
        <v>1.4E-2</v>
      </c>
      <c r="L8" s="31">
        <v>3.5100000000000002E-4</v>
      </c>
      <c r="M8" s="32">
        <v>1.5399999999999999E-3</v>
      </c>
      <c r="N8" s="32">
        <v>2E-3</v>
      </c>
      <c r="O8" s="28">
        <v>0.158</v>
      </c>
      <c r="P8" s="31">
        <v>7.0200000000000004E-4</v>
      </c>
      <c r="Q8" s="32">
        <v>3.0699999999999998E-3</v>
      </c>
      <c r="R8" s="33">
        <v>1</v>
      </c>
      <c r="S8" s="26" t="s">
        <v>245</v>
      </c>
      <c r="T8" s="32">
        <v>1.91E-3</v>
      </c>
      <c r="U8" s="51">
        <v>0.85</v>
      </c>
      <c r="V8" s="12">
        <f t="array" ref="V8">INDEX(tbllkpSteelGrades[fy],MATCH(1,(Table4[[#This Row],[Grade]]=tbllkpSteelGrades[Grade])*(Table4[[#This Row],[t]]&lt;=tbllkpSteelGrades[Thickness]),0))</f>
        <v>350000000</v>
      </c>
      <c r="W8" s="12">
        <f t="array" ref="W8">INDEX(tbllkpSteelGrades[fu],MATCH(1,(Table4[[#This Row],[Grade]]=tbllkpSteelGrades[Grade])*(Table4[[#This Row],[t]]&lt;=tbllkpSteelGrades[Thickness]),0))</f>
        <v>430000000</v>
      </c>
      <c r="X8" s="11">
        <f>Table4[[#This Row],[fy]]*Table4[[#This Row],[Ag]]*0.36</f>
        <v>1764000</v>
      </c>
      <c r="Y8" s="50">
        <f ca="1">INDEX(tbllkpkt[kt],MATCH(RANDBETWEEN(1,4),tbllkpkt[Index],0))</f>
        <v>0.9</v>
      </c>
      <c r="Z8" s="48">
        <f t="shared" ca="1" si="0"/>
        <v>0.91</v>
      </c>
      <c r="AA8" s="18">
        <f ca="1">Table4[[#This Row],[Ag]]*Table4[[#This Row],[Deduction_for_An]]</f>
        <v>1.2740000000000001E-2</v>
      </c>
      <c r="AB8" s="11">
        <f>Table4[[#This Row],[fy]]*Table4[[#This Row],[Ag]]</f>
        <v>4900000</v>
      </c>
      <c r="AC8" s="11">
        <f ca="1">Table4[[#This Row],[αu]]*Table4[[#This Row],[kt]]*Table4[[#This Row],[An]]*Table4[[#This Row],[fu]]</f>
        <v>4190823.0000000005</v>
      </c>
      <c r="AD8" s="11">
        <f ca="1">MIN(Table4[[#This Row],[Nty]],Table4[[#This Row],[Ntu]])</f>
        <v>4190823.0000000005</v>
      </c>
    </row>
    <row r="9" spans="2:30" x14ac:dyDescent="0.25">
      <c r="B9" t="str">
        <f>Table4[[#This Row],[Section]]&amp;"-"&amp;Table4[[#This Row],[Grade]]</f>
        <v>406.4 x 16 CHS-CF 350</v>
      </c>
      <c r="C9" s="26" t="s">
        <v>161</v>
      </c>
      <c r="D9" s="26" t="s">
        <v>155</v>
      </c>
      <c r="E9" s="27">
        <v>154</v>
      </c>
      <c r="F9" s="26" t="s">
        <v>243</v>
      </c>
      <c r="G9" s="26" t="s">
        <v>244</v>
      </c>
      <c r="H9" s="28">
        <v>0.40639999999999998</v>
      </c>
      <c r="I9" s="28">
        <v>1.6E-2</v>
      </c>
      <c r="J9" s="29">
        <v>25.4</v>
      </c>
      <c r="K9" s="30">
        <v>1.9599999999999999E-2</v>
      </c>
      <c r="L9" s="31">
        <v>3.7399999999999998E-4</v>
      </c>
      <c r="M9" s="32">
        <v>1.8400000000000001E-3</v>
      </c>
      <c r="N9" s="32">
        <v>2.4399999999999999E-3</v>
      </c>
      <c r="O9" s="28">
        <v>0.13800000000000001</v>
      </c>
      <c r="P9" s="31">
        <v>7.4899999999999999E-4</v>
      </c>
      <c r="Q9" s="32">
        <v>3.6900000000000001E-3</v>
      </c>
      <c r="R9" s="33">
        <v>1</v>
      </c>
      <c r="S9" s="26" t="s">
        <v>152</v>
      </c>
      <c r="T9" s="32">
        <v>2.4399999999999999E-3</v>
      </c>
      <c r="U9" s="51">
        <v>0.85</v>
      </c>
      <c r="V9" s="12">
        <f t="array" ref="V9">INDEX(tbllkpSteelGrades[fy],MATCH(1,(Table4[[#This Row],[Grade]]=tbllkpSteelGrades[Grade])*(Table4[[#This Row],[t]]&lt;=tbllkpSteelGrades[Thickness]),0))</f>
        <v>350000000</v>
      </c>
      <c r="W9" s="12">
        <f t="array" ref="W9">INDEX(tbllkpSteelGrades[fu],MATCH(1,(Table4[[#This Row],[Grade]]=tbllkpSteelGrades[Grade])*(Table4[[#This Row],[t]]&lt;=tbllkpSteelGrades[Thickness]),0))</f>
        <v>430000000</v>
      </c>
      <c r="X9" s="11">
        <f>Table4[[#This Row],[fy]]*Table4[[#This Row],[Ag]]*0.36</f>
        <v>2469600</v>
      </c>
      <c r="Y9" s="50">
        <f ca="1">INDEX(tbllkpkt[kt],MATCH(RANDBETWEEN(1,4),tbllkpkt[Index],0))</f>
        <v>0.9</v>
      </c>
      <c r="Z9" s="48">
        <f t="shared" ca="1" si="0"/>
        <v>0.96</v>
      </c>
      <c r="AA9" s="18">
        <f ca="1">Table4[[#This Row],[Ag]]*Table4[[#This Row],[Deduction_for_An]]</f>
        <v>1.8815999999999999E-2</v>
      </c>
      <c r="AB9" s="11">
        <f>Table4[[#This Row],[fy]]*Table4[[#This Row],[Ag]]</f>
        <v>6860000</v>
      </c>
      <c r="AC9" s="11">
        <f ca="1">Table4[[#This Row],[αu]]*Table4[[#This Row],[kt]]*Table4[[#This Row],[An]]*Table4[[#This Row],[fu]]</f>
        <v>6189523.1999999993</v>
      </c>
      <c r="AD9" s="11">
        <f ca="1">MIN(Table4[[#This Row],[Nty]],Table4[[#This Row],[Ntu]])</f>
        <v>6189523.1999999993</v>
      </c>
    </row>
    <row r="10" spans="2:30" x14ac:dyDescent="0.25">
      <c r="B10" t="str">
        <f>Table4[[#This Row],[Section]]&amp;"-"&amp;Table4[[#This Row],[Grade]]</f>
        <v>406.4 x 12.5 CHS-CF 350</v>
      </c>
      <c r="C10" s="26" t="s">
        <v>162</v>
      </c>
      <c r="D10" s="26" t="s">
        <v>155</v>
      </c>
      <c r="E10" s="27">
        <v>121</v>
      </c>
      <c r="F10" s="26" t="s">
        <v>243</v>
      </c>
      <c r="G10" s="26" t="s">
        <v>244</v>
      </c>
      <c r="H10" s="28">
        <v>0.40639999999999998</v>
      </c>
      <c r="I10" s="28">
        <v>1.2500000000000001E-2</v>
      </c>
      <c r="J10" s="29">
        <v>32.511999999999993</v>
      </c>
      <c r="K10" s="30">
        <v>1.55E-2</v>
      </c>
      <c r="L10" s="31">
        <v>2.9999999999999997E-4</v>
      </c>
      <c r="M10" s="32">
        <v>1.48E-3</v>
      </c>
      <c r="N10" s="32">
        <v>1.9400000000000001E-3</v>
      </c>
      <c r="O10" s="28">
        <v>0.13900000000000001</v>
      </c>
      <c r="P10" s="31">
        <v>6.0099999999999997E-4</v>
      </c>
      <c r="Q10" s="32">
        <v>2.96E-3</v>
      </c>
      <c r="R10" s="33">
        <v>1</v>
      </c>
      <c r="S10" s="26" t="s">
        <v>152</v>
      </c>
      <c r="T10" s="32">
        <v>1.9400000000000001E-3</v>
      </c>
      <c r="U10" s="51">
        <v>0.85</v>
      </c>
      <c r="V10" s="12">
        <f t="array" ref="V10">INDEX(tbllkpSteelGrades[fy],MATCH(1,(Table4[[#This Row],[Grade]]=tbllkpSteelGrades[Grade])*(Table4[[#This Row],[t]]&lt;=tbllkpSteelGrades[Thickness]),0))</f>
        <v>350000000</v>
      </c>
      <c r="W10" s="12">
        <f t="array" ref="W10">INDEX(tbllkpSteelGrades[fu],MATCH(1,(Table4[[#This Row],[Grade]]=tbllkpSteelGrades[Grade])*(Table4[[#This Row],[t]]&lt;=tbllkpSteelGrades[Thickness]),0))</f>
        <v>430000000</v>
      </c>
      <c r="X10" s="11">
        <f>Table4[[#This Row],[fy]]*Table4[[#This Row],[Ag]]*0.36</f>
        <v>1953000</v>
      </c>
      <c r="Y10" s="50">
        <f ca="1">INDEX(tbllkpkt[kt],MATCH(RANDBETWEEN(1,4),tbllkpkt[Index],0))</f>
        <v>1</v>
      </c>
      <c r="Z10" s="48">
        <f t="shared" ca="1" si="0"/>
        <v>0.92</v>
      </c>
      <c r="AA10" s="18">
        <f ca="1">Table4[[#This Row],[Ag]]*Table4[[#This Row],[Deduction_for_An]]</f>
        <v>1.426E-2</v>
      </c>
      <c r="AB10" s="11">
        <f>Table4[[#This Row],[fy]]*Table4[[#This Row],[Ag]]</f>
        <v>5425000</v>
      </c>
      <c r="AC10" s="11">
        <f ca="1">Table4[[#This Row],[αu]]*Table4[[#This Row],[kt]]*Table4[[#This Row],[An]]*Table4[[#This Row],[fu]]</f>
        <v>5212030</v>
      </c>
      <c r="AD10" s="11">
        <f ca="1">MIN(Table4[[#This Row],[Nty]],Table4[[#This Row],[Ntu]])</f>
        <v>5212030</v>
      </c>
    </row>
    <row r="11" spans="2:30" x14ac:dyDescent="0.25">
      <c r="B11" t="str">
        <f>Table4[[#This Row],[Section]]&amp;"-"&amp;Table4[[#This Row],[Grade]]</f>
        <v>406.4 x 10 CHS-CF 350</v>
      </c>
      <c r="C11" s="26" t="s">
        <v>163</v>
      </c>
      <c r="D11" s="26" t="s">
        <v>155</v>
      </c>
      <c r="E11" s="27">
        <v>97.8</v>
      </c>
      <c r="F11" s="26" t="s">
        <v>243</v>
      </c>
      <c r="G11" s="26" t="s">
        <v>244</v>
      </c>
      <c r="H11" s="28">
        <v>0.40639999999999998</v>
      </c>
      <c r="I11" s="28">
        <v>0.01</v>
      </c>
      <c r="J11" s="29">
        <v>40.64</v>
      </c>
      <c r="K11" s="30">
        <v>1.2500000000000001E-2</v>
      </c>
      <c r="L11" s="31">
        <v>2.4499999999999999E-4</v>
      </c>
      <c r="M11" s="32">
        <v>1.1999999999999999E-3</v>
      </c>
      <c r="N11" s="32">
        <v>1.57E-3</v>
      </c>
      <c r="O11" s="28">
        <v>0.14000000000000001</v>
      </c>
      <c r="P11" s="31">
        <v>4.8999999999999998E-4</v>
      </c>
      <c r="Q11" s="32">
        <v>2.4099999999999998E-3</v>
      </c>
      <c r="R11" s="33">
        <v>1</v>
      </c>
      <c r="S11" s="26" t="s">
        <v>245</v>
      </c>
      <c r="T11" s="32">
        <v>1.5399999999999999E-3</v>
      </c>
      <c r="U11" s="51">
        <v>0.85</v>
      </c>
      <c r="V11" s="12">
        <f t="array" ref="V11">INDEX(tbllkpSteelGrades[fy],MATCH(1,(Table4[[#This Row],[Grade]]=tbllkpSteelGrades[Grade])*(Table4[[#This Row],[t]]&lt;=tbllkpSteelGrades[Thickness]),0))</f>
        <v>350000000</v>
      </c>
      <c r="W11" s="12">
        <f t="array" ref="W11">INDEX(tbllkpSteelGrades[fu],MATCH(1,(Table4[[#This Row],[Grade]]=tbllkpSteelGrades[Grade])*(Table4[[#This Row],[t]]&lt;=tbllkpSteelGrades[Thickness]),0))</f>
        <v>430000000</v>
      </c>
      <c r="X11" s="11">
        <f>Table4[[#This Row],[fy]]*Table4[[#This Row],[Ag]]*0.36</f>
        <v>1575000</v>
      </c>
      <c r="Y11" s="50">
        <f ca="1">INDEX(tbllkpkt[kt],MATCH(RANDBETWEEN(1,4),tbllkpkt[Index],0))</f>
        <v>1</v>
      </c>
      <c r="Z11" s="48">
        <f t="shared" ca="1" si="0"/>
        <v>0.91</v>
      </c>
      <c r="AA11" s="18">
        <f ca="1">Table4[[#This Row],[Ag]]*Table4[[#This Row],[Deduction_for_An]]</f>
        <v>1.1375000000000001E-2</v>
      </c>
      <c r="AB11" s="11">
        <f>Table4[[#This Row],[fy]]*Table4[[#This Row],[Ag]]</f>
        <v>4375000</v>
      </c>
      <c r="AC11" s="11">
        <f ca="1">Table4[[#This Row],[αu]]*Table4[[#This Row],[kt]]*Table4[[#This Row],[An]]*Table4[[#This Row],[fu]]</f>
        <v>4157562.5</v>
      </c>
      <c r="AD11" s="11">
        <f ca="1">MIN(Table4[[#This Row],[Nty]],Table4[[#This Row],[Ntu]])</f>
        <v>4157562.5</v>
      </c>
    </row>
    <row r="12" spans="2:30" x14ac:dyDescent="0.25">
      <c r="B12" t="str">
        <f>Table4[[#This Row],[Section]]&amp;"-"&amp;Table4[[#This Row],[Grade]]</f>
        <v>406.4 x 8 CHS-CF 350</v>
      </c>
      <c r="C12" s="26" t="s">
        <v>164</v>
      </c>
      <c r="D12" s="26" t="s">
        <v>155</v>
      </c>
      <c r="E12" s="27">
        <v>78.599999999999994</v>
      </c>
      <c r="F12" s="26" t="s">
        <v>243</v>
      </c>
      <c r="G12" s="26" t="s">
        <v>244</v>
      </c>
      <c r="H12" s="28">
        <v>0.40639999999999998</v>
      </c>
      <c r="I12" s="28">
        <v>8.0000000000000002E-3</v>
      </c>
      <c r="J12" s="29">
        <v>50.8</v>
      </c>
      <c r="K12" s="30">
        <v>0.01</v>
      </c>
      <c r="L12" s="31">
        <v>1.9900000000000001E-4</v>
      </c>
      <c r="M12" s="32">
        <v>9.7799999999999992E-4</v>
      </c>
      <c r="N12" s="32">
        <v>1.2700000000000001E-3</v>
      </c>
      <c r="O12" s="28">
        <v>0.14099999999999999</v>
      </c>
      <c r="P12" s="31">
        <v>3.97E-4</v>
      </c>
      <c r="Q12" s="32">
        <v>1.9599999999999999E-3</v>
      </c>
      <c r="R12" s="33">
        <v>1</v>
      </c>
      <c r="S12" s="26" t="s">
        <v>245</v>
      </c>
      <c r="T12" s="32">
        <v>1.1800000000000001E-3</v>
      </c>
      <c r="U12" s="51">
        <v>0.85</v>
      </c>
      <c r="V12" s="12">
        <f t="array" ref="V12">INDEX(tbllkpSteelGrades[fy],MATCH(1,(Table4[[#This Row],[Grade]]=tbllkpSteelGrades[Grade])*(Table4[[#This Row],[t]]&lt;=tbllkpSteelGrades[Thickness]),0))</f>
        <v>350000000</v>
      </c>
      <c r="W12" s="12">
        <f t="array" ref="W12">INDEX(tbllkpSteelGrades[fu],MATCH(1,(Table4[[#This Row],[Grade]]=tbllkpSteelGrades[Grade])*(Table4[[#This Row],[t]]&lt;=tbllkpSteelGrades[Thickness]),0))</f>
        <v>430000000</v>
      </c>
      <c r="X12" s="11">
        <f>Table4[[#This Row],[fy]]*Table4[[#This Row],[Ag]]*0.36</f>
        <v>1260000</v>
      </c>
      <c r="Y12" s="50">
        <f ca="1">INDEX(tbllkpkt[kt],MATCH(RANDBETWEEN(1,4),tbllkpkt[Index],0))</f>
        <v>1</v>
      </c>
      <c r="Z12" s="48">
        <f t="shared" ca="1" si="0"/>
        <v>0.97</v>
      </c>
      <c r="AA12" s="18">
        <f ca="1">Table4[[#This Row],[Ag]]*Table4[[#This Row],[Deduction_for_An]]</f>
        <v>9.7000000000000003E-3</v>
      </c>
      <c r="AB12" s="11">
        <f>Table4[[#This Row],[fy]]*Table4[[#This Row],[Ag]]</f>
        <v>3500000</v>
      </c>
      <c r="AC12" s="11">
        <f ca="1">Table4[[#This Row],[αu]]*Table4[[#This Row],[kt]]*Table4[[#This Row],[An]]*Table4[[#This Row],[fu]]</f>
        <v>3545350.0000000005</v>
      </c>
      <c r="AD12" s="11">
        <f ca="1">MIN(Table4[[#This Row],[Nty]],Table4[[#This Row],[Ntu]])</f>
        <v>3500000</v>
      </c>
    </row>
    <row r="13" spans="2:30" x14ac:dyDescent="0.25">
      <c r="B13" t="str">
        <f>Table4[[#This Row],[Section]]&amp;"-"&amp;Table4[[#This Row],[Grade]]</f>
        <v>355.6 x 16 CHS-CF 350</v>
      </c>
      <c r="C13" s="26" t="s">
        <v>165</v>
      </c>
      <c r="D13" s="26" t="s">
        <v>155</v>
      </c>
      <c r="E13" s="27">
        <v>134</v>
      </c>
      <c r="F13" s="26" t="s">
        <v>243</v>
      </c>
      <c r="G13" s="26" t="s">
        <v>244</v>
      </c>
      <c r="H13" s="28">
        <v>0.35560000000000003</v>
      </c>
      <c r="I13" s="28">
        <v>1.6E-2</v>
      </c>
      <c r="J13" s="29">
        <v>22.225000000000001</v>
      </c>
      <c r="K13" s="30">
        <v>1.7100000000000001E-2</v>
      </c>
      <c r="L13" s="31">
        <v>2.4699999999999999E-4</v>
      </c>
      <c r="M13" s="32">
        <v>1.39E-3</v>
      </c>
      <c r="N13" s="32">
        <v>1.8500000000000001E-3</v>
      </c>
      <c r="O13" s="28">
        <v>0.12</v>
      </c>
      <c r="P13" s="31">
        <v>4.9299999999999995E-4</v>
      </c>
      <c r="Q13" s="32">
        <v>2.7699999999999999E-3</v>
      </c>
      <c r="R13" s="33">
        <v>1</v>
      </c>
      <c r="S13" s="26" t="s">
        <v>152</v>
      </c>
      <c r="T13" s="32">
        <v>1.8500000000000001E-3</v>
      </c>
      <c r="U13" s="51">
        <v>0.85</v>
      </c>
      <c r="V13" s="12">
        <f t="array" ref="V13">INDEX(tbllkpSteelGrades[fy],MATCH(1,(Table4[[#This Row],[Grade]]=tbllkpSteelGrades[Grade])*(Table4[[#This Row],[t]]&lt;=tbllkpSteelGrades[Thickness]),0))</f>
        <v>350000000</v>
      </c>
      <c r="W13" s="12">
        <f t="array" ref="W13">INDEX(tbllkpSteelGrades[fu],MATCH(1,(Table4[[#This Row],[Grade]]=tbllkpSteelGrades[Grade])*(Table4[[#This Row],[t]]&lt;=tbllkpSteelGrades[Thickness]),0))</f>
        <v>430000000</v>
      </c>
      <c r="X13" s="11">
        <f>Table4[[#This Row],[fy]]*Table4[[#This Row],[Ag]]*0.36</f>
        <v>2154600</v>
      </c>
      <c r="Y13" s="50">
        <f ca="1">INDEX(tbllkpkt[kt],MATCH(RANDBETWEEN(1,4),tbllkpkt[Index],0))</f>
        <v>0.9</v>
      </c>
      <c r="Z13" s="48">
        <f t="shared" ca="1" si="0"/>
        <v>0.92999999999999994</v>
      </c>
      <c r="AA13" s="18">
        <f ca="1">Table4[[#This Row],[Ag]]*Table4[[#This Row],[Deduction_for_An]]</f>
        <v>1.5903E-2</v>
      </c>
      <c r="AB13" s="11">
        <f>Table4[[#This Row],[fy]]*Table4[[#This Row],[Ag]]</f>
        <v>5985000</v>
      </c>
      <c r="AC13" s="11">
        <f ca="1">Table4[[#This Row],[αu]]*Table4[[#This Row],[kt]]*Table4[[#This Row],[An]]*Table4[[#This Row],[fu]]</f>
        <v>5231291.8499999996</v>
      </c>
      <c r="AD13" s="11">
        <f ca="1">MIN(Table4[[#This Row],[Nty]],Table4[[#This Row],[Ntu]])</f>
        <v>5231291.8499999996</v>
      </c>
    </row>
    <row r="14" spans="2:30" x14ac:dyDescent="0.25">
      <c r="B14" t="str">
        <f>Table4[[#This Row],[Section]]&amp;"-"&amp;Table4[[#This Row],[Grade]]</f>
        <v>355.6 x 12.5 CHS-CF 350</v>
      </c>
      <c r="C14" s="26" t="s">
        <v>166</v>
      </c>
      <c r="D14" s="26" t="s">
        <v>155</v>
      </c>
      <c r="E14" s="27">
        <v>106</v>
      </c>
      <c r="F14" s="26" t="s">
        <v>243</v>
      </c>
      <c r="G14" s="26" t="s">
        <v>244</v>
      </c>
      <c r="H14" s="28">
        <v>0.35560000000000003</v>
      </c>
      <c r="I14" s="28">
        <v>1.2500000000000001E-2</v>
      </c>
      <c r="J14" s="29">
        <v>28.448</v>
      </c>
      <c r="K14" s="30">
        <v>1.35E-2</v>
      </c>
      <c r="L14" s="31">
        <v>1.9900000000000001E-4</v>
      </c>
      <c r="M14" s="32">
        <v>1.1199999999999999E-3</v>
      </c>
      <c r="N14" s="32">
        <v>1.47E-3</v>
      </c>
      <c r="O14" s="28">
        <v>0.121</v>
      </c>
      <c r="P14" s="31">
        <v>3.97E-4</v>
      </c>
      <c r="Q14" s="32">
        <v>2.2300000000000002E-3</v>
      </c>
      <c r="R14" s="33">
        <v>1</v>
      </c>
      <c r="S14" s="26" t="s">
        <v>152</v>
      </c>
      <c r="T14" s="32">
        <v>1.47E-3</v>
      </c>
      <c r="U14" s="51">
        <v>0.85</v>
      </c>
      <c r="V14" s="12">
        <f t="array" ref="V14">INDEX(tbllkpSteelGrades[fy],MATCH(1,(Table4[[#This Row],[Grade]]=tbllkpSteelGrades[Grade])*(Table4[[#This Row],[t]]&lt;=tbllkpSteelGrades[Thickness]),0))</f>
        <v>350000000</v>
      </c>
      <c r="W14" s="12">
        <f t="array" ref="W14">INDEX(tbllkpSteelGrades[fu],MATCH(1,(Table4[[#This Row],[Grade]]=tbllkpSteelGrades[Grade])*(Table4[[#This Row],[t]]&lt;=tbllkpSteelGrades[Thickness]),0))</f>
        <v>430000000</v>
      </c>
      <c r="X14" s="11">
        <f>Table4[[#This Row],[fy]]*Table4[[#This Row],[Ag]]*0.36</f>
        <v>1701000</v>
      </c>
      <c r="Y14" s="50">
        <f ca="1">INDEX(tbllkpkt[kt],MATCH(RANDBETWEEN(1,4),tbllkpkt[Index],0))</f>
        <v>1</v>
      </c>
      <c r="Z14" s="48">
        <f t="shared" ca="1" si="0"/>
        <v>0.98</v>
      </c>
      <c r="AA14" s="18">
        <f ca="1">Table4[[#This Row],[Ag]]*Table4[[#This Row],[Deduction_for_An]]</f>
        <v>1.323E-2</v>
      </c>
      <c r="AB14" s="11">
        <f>Table4[[#This Row],[fy]]*Table4[[#This Row],[Ag]]</f>
        <v>4725000</v>
      </c>
      <c r="AC14" s="11">
        <f ca="1">Table4[[#This Row],[αu]]*Table4[[#This Row],[kt]]*Table4[[#This Row],[An]]*Table4[[#This Row],[fu]]</f>
        <v>4835565</v>
      </c>
      <c r="AD14" s="11">
        <f ca="1">MIN(Table4[[#This Row],[Nty]],Table4[[#This Row],[Ntu]])</f>
        <v>4725000</v>
      </c>
    </row>
    <row r="15" spans="2:30" x14ac:dyDescent="0.25">
      <c r="B15" t="str">
        <f>Table4[[#This Row],[Section]]&amp;"-"&amp;Table4[[#This Row],[Grade]]</f>
        <v>355.6 x 10 CHS-CF 350</v>
      </c>
      <c r="C15" s="26" t="s">
        <v>167</v>
      </c>
      <c r="D15" s="26" t="s">
        <v>155</v>
      </c>
      <c r="E15" s="27">
        <v>85.2</v>
      </c>
      <c r="F15" s="26" t="s">
        <v>243</v>
      </c>
      <c r="G15" s="26" t="s">
        <v>244</v>
      </c>
      <c r="H15" s="28">
        <v>0.35560000000000003</v>
      </c>
      <c r="I15" s="28">
        <v>0.01</v>
      </c>
      <c r="J15" s="29">
        <v>35.56</v>
      </c>
      <c r="K15" s="30">
        <v>1.09E-2</v>
      </c>
      <c r="L15" s="31">
        <v>1.6200000000000001E-4</v>
      </c>
      <c r="M15" s="32">
        <v>9.1200000000000005E-4</v>
      </c>
      <c r="N15" s="32">
        <v>1.1900000000000001E-3</v>
      </c>
      <c r="O15" s="28">
        <v>0.122</v>
      </c>
      <c r="P15" s="31">
        <v>3.2400000000000001E-4</v>
      </c>
      <c r="Q15" s="32">
        <v>1.82E-3</v>
      </c>
      <c r="R15" s="33">
        <v>1</v>
      </c>
      <c r="S15" s="26" t="s">
        <v>152</v>
      </c>
      <c r="T15" s="32">
        <v>1.1900000000000001E-3</v>
      </c>
      <c r="U15" s="51">
        <v>0.85</v>
      </c>
      <c r="V15" s="12">
        <f t="array" ref="V15">INDEX(tbllkpSteelGrades[fy],MATCH(1,(Table4[[#This Row],[Grade]]=tbllkpSteelGrades[Grade])*(Table4[[#This Row],[t]]&lt;=tbllkpSteelGrades[Thickness]),0))</f>
        <v>350000000</v>
      </c>
      <c r="W15" s="12">
        <f t="array" ref="W15">INDEX(tbllkpSteelGrades[fu],MATCH(1,(Table4[[#This Row],[Grade]]=tbllkpSteelGrades[Grade])*(Table4[[#This Row],[t]]&lt;=tbllkpSteelGrades[Thickness]),0))</f>
        <v>430000000</v>
      </c>
      <c r="X15" s="11">
        <f>Table4[[#This Row],[fy]]*Table4[[#This Row],[Ag]]*0.36</f>
        <v>1373400</v>
      </c>
      <c r="Y15" s="50">
        <f ca="1">INDEX(tbllkpkt[kt],MATCH(RANDBETWEEN(1,4),tbllkpkt[Index],0))</f>
        <v>1</v>
      </c>
      <c r="Z15" s="48">
        <f t="shared" ca="1" si="0"/>
        <v>0.95</v>
      </c>
      <c r="AA15" s="18">
        <f ca="1">Table4[[#This Row],[Ag]]*Table4[[#This Row],[Deduction_for_An]]</f>
        <v>1.0355E-2</v>
      </c>
      <c r="AB15" s="11">
        <f>Table4[[#This Row],[fy]]*Table4[[#This Row],[Ag]]</f>
        <v>3815000</v>
      </c>
      <c r="AC15" s="11">
        <f ca="1">Table4[[#This Row],[αu]]*Table4[[#This Row],[kt]]*Table4[[#This Row],[An]]*Table4[[#This Row],[fu]]</f>
        <v>3784752.4999999995</v>
      </c>
      <c r="AD15" s="11">
        <f ca="1">MIN(Table4[[#This Row],[Nty]],Table4[[#This Row],[Ntu]])</f>
        <v>3784752.4999999995</v>
      </c>
    </row>
    <row r="16" spans="2:30" x14ac:dyDescent="0.25">
      <c r="B16" t="str">
        <f>Table4[[#This Row],[Section]]&amp;"-"&amp;Table4[[#This Row],[Grade]]</f>
        <v>355.6 x 8 CHS-CF 350</v>
      </c>
      <c r="C16" s="26" t="s">
        <v>168</v>
      </c>
      <c r="D16" s="26" t="s">
        <v>155</v>
      </c>
      <c r="E16" s="27">
        <v>68.599999999999994</v>
      </c>
      <c r="F16" s="26" t="s">
        <v>243</v>
      </c>
      <c r="G16" s="26" t="s">
        <v>244</v>
      </c>
      <c r="H16" s="28">
        <v>0.35560000000000003</v>
      </c>
      <c r="I16" s="28">
        <v>8.0000000000000002E-3</v>
      </c>
      <c r="J16" s="29">
        <v>44.45</v>
      </c>
      <c r="K16" s="30">
        <v>8.7399999999999995E-3</v>
      </c>
      <c r="L16" s="31">
        <v>1.3200000000000001E-4</v>
      </c>
      <c r="M16" s="32">
        <v>7.4200000000000004E-4</v>
      </c>
      <c r="N16" s="32">
        <v>9.6699999999999998E-4</v>
      </c>
      <c r="O16" s="28">
        <v>0.123</v>
      </c>
      <c r="P16" s="31">
        <v>2.6400000000000002E-4</v>
      </c>
      <c r="Q16" s="32">
        <v>1.48E-3</v>
      </c>
      <c r="R16" s="33">
        <v>1</v>
      </c>
      <c r="S16" s="26" t="s">
        <v>245</v>
      </c>
      <c r="T16" s="32">
        <v>9.2800000000000001E-4</v>
      </c>
      <c r="U16" s="51">
        <v>0.85</v>
      </c>
      <c r="V16" s="12">
        <f t="array" ref="V16">INDEX(tbllkpSteelGrades[fy],MATCH(1,(Table4[[#This Row],[Grade]]=tbllkpSteelGrades[Grade])*(Table4[[#This Row],[t]]&lt;=tbllkpSteelGrades[Thickness]),0))</f>
        <v>350000000</v>
      </c>
      <c r="W16" s="12">
        <f t="array" ref="W16">INDEX(tbllkpSteelGrades[fu],MATCH(1,(Table4[[#This Row],[Grade]]=tbllkpSteelGrades[Grade])*(Table4[[#This Row],[t]]&lt;=tbllkpSteelGrades[Thickness]),0))</f>
        <v>430000000</v>
      </c>
      <c r="X16" s="11">
        <f>Table4[[#This Row],[fy]]*Table4[[#This Row],[Ag]]*0.36</f>
        <v>1101240</v>
      </c>
      <c r="Y16" s="50">
        <f ca="1">INDEX(tbllkpkt[kt],MATCH(RANDBETWEEN(1,4),tbllkpkt[Index],0))</f>
        <v>1</v>
      </c>
      <c r="Z16" s="48">
        <f t="shared" ca="1" si="0"/>
        <v>0.94</v>
      </c>
      <c r="AA16" s="18">
        <f ca="1">Table4[[#This Row],[Ag]]*Table4[[#This Row],[Deduction_for_An]]</f>
        <v>8.2155999999999983E-3</v>
      </c>
      <c r="AB16" s="11">
        <f>Table4[[#This Row],[fy]]*Table4[[#This Row],[Ag]]</f>
        <v>3059000</v>
      </c>
      <c r="AC16" s="11">
        <f ca="1">Table4[[#This Row],[αu]]*Table4[[#This Row],[kt]]*Table4[[#This Row],[An]]*Table4[[#This Row],[fu]]</f>
        <v>3002801.7999999993</v>
      </c>
      <c r="AD16" s="11">
        <f ca="1">MIN(Table4[[#This Row],[Nty]],Table4[[#This Row],[Ntu]])</f>
        <v>3002801.7999999993</v>
      </c>
    </row>
    <row r="17" spans="2:30" x14ac:dyDescent="0.25">
      <c r="B17" t="str">
        <f>Table4[[#This Row],[Section]]&amp;"-"&amp;Table4[[#This Row],[Grade]]</f>
        <v>323.9 x 12.5 CHS-CF 350</v>
      </c>
      <c r="C17" s="26" t="s">
        <v>169</v>
      </c>
      <c r="D17" s="26" t="s">
        <v>155</v>
      </c>
      <c r="E17" s="27">
        <v>96</v>
      </c>
      <c r="F17" s="26" t="s">
        <v>243</v>
      </c>
      <c r="G17" s="26" t="s">
        <v>244</v>
      </c>
      <c r="H17" s="28">
        <v>0.32389999999999997</v>
      </c>
      <c r="I17" s="28">
        <v>1.2500000000000001E-2</v>
      </c>
      <c r="J17" s="29">
        <v>25.911999999999995</v>
      </c>
      <c r="K17" s="30">
        <v>1.2200000000000001E-2</v>
      </c>
      <c r="L17" s="31">
        <v>1.4799999999999999E-4</v>
      </c>
      <c r="M17" s="32">
        <v>9.1699999999999995E-4</v>
      </c>
      <c r="N17" s="32">
        <v>1.2099999999999999E-3</v>
      </c>
      <c r="O17" s="28">
        <v>0.11</v>
      </c>
      <c r="P17" s="31">
        <v>2.9700000000000001E-4</v>
      </c>
      <c r="Q17" s="32">
        <v>1.83E-3</v>
      </c>
      <c r="R17" s="33">
        <v>1</v>
      </c>
      <c r="S17" s="26" t="s">
        <v>152</v>
      </c>
      <c r="T17" s="32">
        <v>1.2099999999999999E-3</v>
      </c>
      <c r="U17" s="51">
        <v>0.85</v>
      </c>
      <c r="V17" s="12">
        <f t="array" ref="V17">INDEX(tbllkpSteelGrades[fy],MATCH(1,(Table4[[#This Row],[Grade]]=tbllkpSteelGrades[Grade])*(Table4[[#This Row],[t]]&lt;=tbllkpSteelGrades[Thickness]),0))</f>
        <v>350000000</v>
      </c>
      <c r="W17" s="12">
        <f t="array" ref="W17">INDEX(tbllkpSteelGrades[fu],MATCH(1,(Table4[[#This Row],[Grade]]=tbllkpSteelGrades[Grade])*(Table4[[#This Row],[t]]&lt;=tbllkpSteelGrades[Thickness]),0))</f>
        <v>430000000</v>
      </c>
      <c r="X17" s="11">
        <f>Table4[[#This Row],[fy]]*Table4[[#This Row],[Ag]]*0.36</f>
        <v>1537200</v>
      </c>
      <c r="Y17" s="50">
        <f ca="1">INDEX(tbllkpkt[kt],MATCH(RANDBETWEEN(1,4),tbllkpkt[Index],0))</f>
        <v>1</v>
      </c>
      <c r="Z17" s="48">
        <f t="shared" ca="1" si="0"/>
        <v>0.9</v>
      </c>
      <c r="AA17" s="18">
        <f ca="1">Table4[[#This Row],[Ag]]*Table4[[#This Row],[Deduction_for_An]]</f>
        <v>1.098E-2</v>
      </c>
      <c r="AB17" s="11">
        <f>Table4[[#This Row],[fy]]*Table4[[#This Row],[Ag]]</f>
        <v>4270000</v>
      </c>
      <c r="AC17" s="11">
        <f ca="1">Table4[[#This Row],[αu]]*Table4[[#This Row],[kt]]*Table4[[#This Row],[An]]*Table4[[#This Row],[fu]]</f>
        <v>4013189.9999999995</v>
      </c>
      <c r="AD17" s="11">
        <f ca="1">MIN(Table4[[#This Row],[Nty]],Table4[[#This Row],[Ntu]])</f>
        <v>4013189.9999999995</v>
      </c>
    </row>
    <row r="18" spans="2:30" x14ac:dyDescent="0.25">
      <c r="B18" t="str">
        <f>Table4[[#This Row],[Section]]&amp;"-"&amp;Table4[[#This Row],[Grade]]</f>
        <v>323.9 x 10 CHS-CF 350</v>
      </c>
      <c r="C18" s="26" t="s">
        <v>170</v>
      </c>
      <c r="D18" s="26" t="s">
        <v>155</v>
      </c>
      <c r="E18" s="27">
        <v>77.400000000000006</v>
      </c>
      <c r="F18" s="26" t="s">
        <v>243</v>
      </c>
      <c r="G18" s="26" t="s">
        <v>244</v>
      </c>
      <c r="H18" s="28">
        <v>0.32389999999999997</v>
      </c>
      <c r="I18" s="28">
        <v>0.01</v>
      </c>
      <c r="J18" s="29">
        <v>32.389999999999993</v>
      </c>
      <c r="K18" s="30">
        <v>9.8600000000000007E-3</v>
      </c>
      <c r="L18" s="31">
        <v>1.22E-4</v>
      </c>
      <c r="M18" s="32">
        <v>7.5100000000000004E-4</v>
      </c>
      <c r="N18" s="32">
        <v>9.859999999999999E-4</v>
      </c>
      <c r="O18" s="28">
        <v>0.111</v>
      </c>
      <c r="P18" s="31">
        <v>2.43E-4</v>
      </c>
      <c r="Q18" s="32">
        <v>1.5E-3</v>
      </c>
      <c r="R18" s="33">
        <v>1</v>
      </c>
      <c r="S18" s="26" t="s">
        <v>152</v>
      </c>
      <c r="T18" s="32">
        <v>9.859999999999999E-4</v>
      </c>
      <c r="U18" s="51">
        <v>0.85</v>
      </c>
      <c r="V18" s="12">
        <f t="array" ref="V18">INDEX(tbllkpSteelGrades[fy],MATCH(1,(Table4[[#This Row],[Grade]]=tbllkpSteelGrades[Grade])*(Table4[[#This Row],[t]]&lt;=tbllkpSteelGrades[Thickness]),0))</f>
        <v>350000000</v>
      </c>
      <c r="W18" s="12">
        <f t="array" ref="W18">INDEX(tbllkpSteelGrades[fu],MATCH(1,(Table4[[#This Row],[Grade]]=tbllkpSteelGrades[Grade])*(Table4[[#This Row],[t]]&lt;=tbllkpSteelGrades[Thickness]),0))</f>
        <v>430000000</v>
      </c>
      <c r="X18" s="11">
        <f>Table4[[#This Row],[fy]]*Table4[[#This Row],[Ag]]*0.36</f>
        <v>1242360.0000000002</v>
      </c>
      <c r="Y18" s="50">
        <f ca="1">INDEX(tbllkpkt[kt],MATCH(RANDBETWEEN(1,4),tbllkpkt[Index],0))</f>
        <v>0.9</v>
      </c>
      <c r="Z18" s="48">
        <f t="shared" ca="1" si="0"/>
        <v>0.98</v>
      </c>
      <c r="AA18" s="18">
        <f ca="1">Table4[[#This Row],[Ag]]*Table4[[#This Row],[Deduction_for_An]]</f>
        <v>9.6628000000000009E-3</v>
      </c>
      <c r="AB18" s="11">
        <f>Table4[[#This Row],[fy]]*Table4[[#This Row],[Ag]]</f>
        <v>3451000.0000000005</v>
      </c>
      <c r="AC18" s="11">
        <f ca="1">Table4[[#This Row],[αu]]*Table4[[#This Row],[kt]]*Table4[[#This Row],[An]]*Table4[[#This Row],[fu]]</f>
        <v>3178578.06</v>
      </c>
      <c r="AD18" s="11">
        <f ca="1">MIN(Table4[[#This Row],[Nty]],Table4[[#This Row],[Ntu]])</f>
        <v>3178578.06</v>
      </c>
    </row>
    <row r="19" spans="2:30" x14ac:dyDescent="0.25">
      <c r="B19" t="str">
        <f>Table4[[#This Row],[Section]]&amp;"-"&amp;Table4[[#This Row],[Grade]]</f>
        <v>323.9 x 8 CHS-CF 350</v>
      </c>
      <c r="C19" s="26" t="s">
        <v>171</v>
      </c>
      <c r="D19" s="26" t="s">
        <v>155</v>
      </c>
      <c r="E19" s="27">
        <v>62.3</v>
      </c>
      <c r="F19" s="26" t="s">
        <v>243</v>
      </c>
      <c r="G19" s="26" t="s">
        <v>244</v>
      </c>
      <c r="H19" s="28">
        <v>0.32389999999999997</v>
      </c>
      <c r="I19" s="28">
        <v>8.0000000000000002E-3</v>
      </c>
      <c r="J19" s="29">
        <v>40.487499999999997</v>
      </c>
      <c r="K19" s="30">
        <v>7.9399999999999991E-3</v>
      </c>
      <c r="L19" s="31">
        <v>9.9099999999999996E-5</v>
      </c>
      <c r="M19" s="32">
        <v>6.1200000000000002E-4</v>
      </c>
      <c r="N19" s="32">
        <v>7.9900000000000001E-4</v>
      </c>
      <c r="O19" s="28">
        <v>0.112</v>
      </c>
      <c r="P19" s="31">
        <v>1.9799999999999999E-4</v>
      </c>
      <c r="Q19" s="32">
        <v>1.2199999999999999E-3</v>
      </c>
      <c r="R19" s="33">
        <v>1</v>
      </c>
      <c r="S19" s="26" t="s">
        <v>245</v>
      </c>
      <c r="T19" s="32">
        <v>7.8100000000000001E-4</v>
      </c>
      <c r="U19" s="51">
        <v>0.85</v>
      </c>
      <c r="V19" s="12">
        <f t="array" ref="V19">INDEX(tbllkpSteelGrades[fy],MATCH(1,(Table4[[#This Row],[Grade]]=tbllkpSteelGrades[Grade])*(Table4[[#This Row],[t]]&lt;=tbllkpSteelGrades[Thickness]),0))</f>
        <v>350000000</v>
      </c>
      <c r="W19" s="12">
        <f t="array" ref="W19">INDEX(tbllkpSteelGrades[fu],MATCH(1,(Table4[[#This Row],[Grade]]=tbllkpSteelGrades[Grade])*(Table4[[#This Row],[t]]&lt;=tbllkpSteelGrades[Thickness]),0))</f>
        <v>430000000</v>
      </c>
      <c r="X19" s="11">
        <f>Table4[[#This Row],[fy]]*Table4[[#This Row],[Ag]]*0.36</f>
        <v>1000439.9999999998</v>
      </c>
      <c r="Y19" s="50">
        <f ca="1">INDEX(tbllkpkt[kt],MATCH(RANDBETWEEN(1,4),tbllkpkt[Index],0))</f>
        <v>0.75</v>
      </c>
      <c r="Z19" s="48">
        <f t="shared" ca="1" si="0"/>
        <v>1</v>
      </c>
      <c r="AA19" s="18">
        <f ca="1">Table4[[#This Row],[Ag]]*Table4[[#This Row],[Deduction_for_An]]</f>
        <v>7.9399999999999991E-3</v>
      </c>
      <c r="AB19" s="11">
        <f>Table4[[#This Row],[fy]]*Table4[[#This Row],[Ag]]</f>
        <v>2778999.9999999995</v>
      </c>
      <c r="AC19" s="11">
        <f ca="1">Table4[[#This Row],[αu]]*Table4[[#This Row],[kt]]*Table4[[#This Row],[An]]*Table4[[#This Row],[fu]]</f>
        <v>2176552.4999999995</v>
      </c>
      <c r="AD19" s="11">
        <f ca="1">MIN(Table4[[#This Row],[Nty]],Table4[[#This Row],[Ntu]])</f>
        <v>2176552.4999999995</v>
      </c>
    </row>
    <row r="20" spans="2:30" x14ac:dyDescent="0.25">
      <c r="B20" t="str">
        <f>Table4[[#This Row],[Section]]&amp;"-"&amp;Table4[[#This Row],[Grade]]</f>
        <v>323.9 x 6 CHS-CF 350</v>
      </c>
      <c r="C20" s="26" t="s">
        <v>172</v>
      </c>
      <c r="D20" s="26" t="s">
        <v>155</v>
      </c>
      <c r="E20" s="27">
        <v>47</v>
      </c>
      <c r="F20" s="26" t="s">
        <v>243</v>
      </c>
      <c r="G20" s="26" t="s">
        <v>244</v>
      </c>
      <c r="H20" s="28">
        <v>0.32389999999999997</v>
      </c>
      <c r="I20" s="28">
        <v>6.0000000000000001E-3</v>
      </c>
      <c r="J20" s="29">
        <v>53.983333333333327</v>
      </c>
      <c r="K20" s="30">
        <v>5.9899999999999997E-3</v>
      </c>
      <c r="L20" s="31">
        <v>7.5699999999999997E-5</v>
      </c>
      <c r="M20" s="32">
        <v>4.6799999999999999E-4</v>
      </c>
      <c r="N20" s="32">
        <v>6.0599999999999998E-4</v>
      </c>
      <c r="O20" s="28">
        <v>0.112</v>
      </c>
      <c r="P20" s="31">
        <v>1.5100000000000001E-4</v>
      </c>
      <c r="Q20" s="32">
        <v>9.3499999999999996E-4</v>
      </c>
      <c r="R20" s="33">
        <v>1</v>
      </c>
      <c r="S20" s="26" t="s">
        <v>245</v>
      </c>
      <c r="T20" s="32">
        <v>5.5599999999999996E-4</v>
      </c>
      <c r="U20" s="51">
        <v>0.85</v>
      </c>
      <c r="V20" s="12">
        <f t="array" ref="V20">INDEX(tbllkpSteelGrades[fy],MATCH(1,(Table4[[#This Row],[Grade]]=tbllkpSteelGrades[Grade])*(Table4[[#This Row],[t]]&lt;=tbllkpSteelGrades[Thickness]),0))</f>
        <v>350000000</v>
      </c>
      <c r="W20" s="12">
        <f t="array" ref="W20">INDEX(tbllkpSteelGrades[fu],MATCH(1,(Table4[[#This Row],[Grade]]=tbllkpSteelGrades[Grade])*(Table4[[#This Row],[t]]&lt;=tbllkpSteelGrades[Thickness]),0))</f>
        <v>430000000</v>
      </c>
      <c r="X20" s="11">
        <f>Table4[[#This Row],[fy]]*Table4[[#This Row],[Ag]]*0.36</f>
        <v>754739.99999999988</v>
      </c>
      <c r="Y20" s="50">
        <f ca="1">INDEX(tbllkpkt[kt],MATCH(RANDBETWEEN(1,4),tbllkpkt[Index],0))</f>
        <v>0.85</v>
      </c>
      <c r="Z20" s="48">
        <f t="shared" ca="1" si="0"/>
        <v>0.99</v>
      </c>
      <c r="AA20" s="18">
        <f ca="1">Table4[[#This Row],[Ag]]*Table4[[#This Row],[Deduction_for_An]]</f>
        <v>5.9300999999999998E-3</v>
      </c>
      <c r="AB20" s="11">
        <f>Table4[[#This Row],[fy]]*Table4[[#This Row],[Ag]]</f>
        <v>2096499.9999999998</v>
      </c>
      <c r="AC20" s="11">
        <f ca="1">Table4[[#This Row],[αu]]*Table4[[#This Row],[kt]]*Table4[[#This Row],[An]]*Table4[[#This Row],[fu]]</f>
        <v>1842333.8174999997</v>
      </c>
      <c r="AD20" s="11">
        <f ca="1">MIN(Table4[[#This Row],[Nty]],Table4[[#This Row],[Ntu]])</f>
        <v>1842333.8174999997</v>
      </c>
    </row>
    <row r="21" spans="2:30" x14ac:dyDescent="0.25">
      <c r="B21" t="str">
        <f>Table4[[#This Row],[Section]]&amp;"-"&amp;Table4[[#This Row],[Grade]]</f>
        <v>273.1 x 12.5 CHS-CF 350</v>
      </c>
      <c r="C21" s="26" t="s">
        <v>173</v>
      </c>
      <c r="D21" s="26" t="s">
        <v>155</v>
      </c>
      <c r="E21" s="27">
        <v>80.3</v>
      </c>
      <c r="F21" s="26" t="s">
        <v>243</v>
      </c>
      <c r="G21" s="26" t="s">
        <v>244</v>
      </c>
      <c r="H21" s="28">
        <v>0.27310000000000001</v>
      </c>
      <c r="I21" s="28">
        <v>1.2500000000000001E-2</v>
      </c>
      <c r="J21" s="29">
        <v>21.847999999999999</v>
      </c>
      <c r="K21" s="30">
        <v>1.0200000000000001E-2</v>
      </c>
      <c r="L21" s="31">
        <v>8.7100000000000003E-5</v>
      </c>
      <c r="M21" s="32">
        <v>6.38E-4</v>
      </c>
      <c r="N21" s="32">
        <v>8.4999999999999995E-4</v>
      </c>
      <c r="O21" s="28">
        <v>9.2200000000000004E-2</v>
      </c>
      <c r="P21" s="31">
        <v>1.74E-4</v>
      </c>
      <c r="Q21" s="32">
        <v>1.2800000000000001E-3</v>
      </c>
      <c r="R21" s="33">
        <v>1</v>
      </c>
      <c r="S21" s="26" t="s">
        <v>152</v>
      </c>
      <c r="T21" s="32">
        <v>8.4999999999999995E-4</v>
      </c>
      <c r="U21" s="51">
        <v>0.85</v>
      </c>
      <c r="V21" s="12">
        <f t="array" ref="V21">INDEX(tbllkpSteelGrades[fy],MATCH(1,(Table4[[#This Row],[Grade]]=tbllkpSteelGrades[Grade])*(Table4[[#This Row],[t]]&lt;=tbllkpSteelGrades[Thickness]),0))</f>
        <v>350000000</v>
      </c>
      <c r="W21" s="12">
        <f t="array" ref="W21">INDEX(tbllkpSteelGrades[fu],MATCH(1,(Table4[[#This Row],[Grade]]=tbllkpSteelGrades[Grade])*(Table4[[#This Row],[t]]&lt;=tbllkpSteelGrades[Thickness]),0))</f>
        <v>430000000</v>
      </c>
      <c r="X21" s="11">
        <f>Table4[[#This Row],[fy]]*Table4[[#This Row],[Ag]]*0.36</f>
        <v>1285200.0000000002</v>
      </c>
      <c r="Y21" s="50">
        <f ca="1">INDEX(tbllkpkt[kt],MATCH(RANDBETWEEN(1,4),tbllkpkt[Index],0))</f>
        <v>0.75</v>
      </c>
      <c r="Z21" s="48">
        <f t="shared" ca="1" si="0"/>
        <v>0.9</v>
      </c>
      <c r="AA21" s="18">
        <f ca="1">Table4[[#This Row],[Ag]]*Table4[[#This Row],[Deduction_for_An]]</f>
        <v>9.1800000000000007E-3</v>
      </c>
      <c r="AB21" s="11">
        <f>Table4[[#This Row],[fy]]*Table4[[#This Row],[Ag]]</f>
        <v>3570000.0000000005</v>
      </c>
      <c r="AC21" s="11">
        <f ca="1">Table4[[#This Row],[αu]]*Table4[[#This Row],[kt]]*Table4[[#This Row],[An]]*Table4[[#This Row],[fu]]</f>
        <v>2516467.5</v>
      </c>
      <c r="AD21" s="11">
        <f ca="1">MIN(Table4[[#This Row],[Nty]],Table4[[#This Row],[Ntu]])</f>
        <v>2516467.5</v>
      </c>
    </row>
    <row r="22" spans="2:30" x14ac:dyDescent="0.25">
      <c r="B22" t="str">
        <f>Table4[[#This Row],[Section]]&amp;"-"&amp;Table4[[#This Row],[Grade]]</f>
        <v>273.1 x 10 CHS-CF 350</v>
      </c>
      <c r="C22" s="26" t="s">
        <v>174</v>
      </c>
      <c r="D22" s="26" t="s">
        <v>155</v>
      </c>
      <c r="E22" s="27">
        <v>64.900000000000006</v>
      </c>
      <c r="F22" s="26" t="s">
        <v>243</v>
      </c>
      <c r="G22" s="26" t="s">
        <v>244</v>
      </c>
      <c r="H22" s="28">
        <v>0.27310000000000001</v>
      </c>
      <c r="I22" s="28">
        <v>0.01</v>
      </c>
      <c r="J22" s="29">
        <v>27.31</v>
      </c>
      <c r="K22" s="30">
        <v>8.2699999999999996E-3</v>
      </c>
      <c r="L22" s="31">
        <v>7.1600000000000006E-5</v>
      </c>
      <c r="M22" s="32">
        <v>5.2499999999999997E-4</v>
      </c>
      <c r="N22" s="32">
        <v>6.9300000000000004E-4</v>
      </c>
      <c r="O22" s="28">
        <v>9.3099999999999988E-2</v>
      </c>
      <c r="P22" s="31">
        <v>1.4300000000000001E-4</v>
      </c>
      <c r="Q22" s="32">
        <v>1.0499999999999999E-3</v>
      </c>
      <c r="R22" s="33">
        <v>1</v>
      </c>
      <c r="S22" s="26" t="s">
        <v>152</v>
      </c>
      <c r="T22" s="32">
        <v>6.9300000000000004E-4</v>
      </c>
      <c r="U22" s="51">
        <v>0.85</v>
      </c>
      <c r="V22" s="12">
        <f t="array" ref="V22">INDEX(tbllkpSteelGrades[fy],MATCH(1,(Table4[[#This Row],[Grade]]=tbllkpSteelGrades[Grade])*(Table4[[#This Row],[t]]&lt;=tbllkpSteelGrades[Thickness]),0))</f>
        <v>350000000</v>
      </c>
      <c r="W22" s="12">
        <f t="array" ref="W22">INDEX(tbllkpSteelGrades[fu],MATCH(1,(Table4[[#This Row],[Grade]]=tbllkpSteelGrades[Grade])*(Table4[[#This Row],[t]]&lt;=tbllkpSteelGrades[Thickness]),0))</f>
        <v>430000000</v>
      </c>
      <c r="X22" s="11">
        <f>Table4[[#This Row],[fy]]*Table4[[#This Row],[Ag]]*0.36</f>
        <v>1042020</v>
      </c>
      <c r="Y22" s="50">
        <f ca="1">INDEX(tbllkpkt[kt],MATCH(RANDBETWEEN(1,4),tbllkpkt[Index],0))</f>
        <v>0.9</v>
      </c>
      <c r="Z22" s="48">
        <f t="shared" ca="1" si="0"/>
        <v>1</v>
      </c>
      <c r="AA22" s="18">
        <f ca="1">Table4[[#This Row],[Ag]]*Table4[[#This Row],[Deduction_for_An]]</f>
        <v>8.2699999999999996E-3</v>
      </c>
      <c r="AB22" s="11">
        <f>Table4[[#This Row],[fy]]*Table4[[#This Row],[Ag]]</f>
        <v>2894500</v>
      </c>
      <c r="AC22" s="11">
        <f ca="1">Table4[[#This Row],[αu]]*Table4[[#This Row],[kt]]*Table4[[#This Row],[An]]*Table4[[#This Row],[fu]]</f>
        <v>2720416.4999999995</v>
      </c>
      <c r="AD22" s="11">
        <f ca="1">MIN(Table4[[#This Row],[Nty]],Table4[[#This Row],[Ntu]])</f>
        <v>2720416.4999999995</v>
      </c>
    </row>
    <row r="23" spans="2:30" x14ac:dyDescent="0.25">
      <c r="B23" t="str">
        <f>Table4[[#This Row],[Section]]&amp;"-"&amp;Table4[[#This Row],[Grade]]</f>
        <v>273.1 x 8 CHS-CF 350</v>
      </c>
      <c r="C23" s="26" t="s">
        <v>175</v>
      </c>
      <c r="D23" s="26" t="s">
        <v>155</v>
      </c>
      <c r="E23" s="27">
        <v>52.3</v>
      </c>
      <c r="F23" s="26" t="s">
        <v>243</v>
      </c>
      <c r="G23" s="26" t="s">
        <v>244</v>
      </c>
      <c r="H23" s="28">
        <v>0.27310000000000001</v>
      </c>
      <c r="I23" s="28">
        <v>8.0000000000000002E-3</v>
      </c>
      <c r="J23" s="29">
        <v>34.137500000000003</v>
      </c>
      <c r="K23" s="30">
        <v>6.6600000000000001E-3</v>
      </c>
      <c r="L23" s="31">
        <v>5.8600000000000001E-5</v>
      </c>
      <c r="M23" s="32">
        <v>4.2900000000000002E-4</v>
      </c>
      <c r="N23" s="32">
        <v>5.62E-4</v>
      </c>
      <c r="O23" s="28">
        <v>9.3799999999999994E-2</v>
      </c>
      <c r="P23" s="31">
        <v>1.17E-4</v>
      </c>
      <c r="Q23" s="32">
        <v>8.5800000000000004E-4</v>
      </c>
      <c r="R23" s="33">
        <v>1</v>
      </c>
      <c r="S23" s="26" t="s">
        <v>152</v>
      </c>
      <c r="T23" s="32">
        <v>5.62E-4</v>
      </c>
      <c r="U23" s="51">
        <v>0.85</v>
      </c>
      <c r="V23" s="12">
        <f t="array" ref="V23">INDEX(tbllkpSteelGrades[fy],MATCH(1,(Table4[[#This Row],[Grade]]=tbllkpSteelGrades[Grade])*(Table4[[#This Row],[t]]&lt;=tbllkpSteelGrades[Thickness]),0))</f>
        <v>350000000</v>
      </c>
      <c r="W23" s="12">
        <f t="array" ref="W23">INDEX(tbllkpSteelGrades[fu],MATCH(1,(Table4[[#This Row],[Grade]]=tbllkpSteelGrades[Grade])*(Table4[[#This Row],[t]]&lt;=tbllkpSteelGrades[Thickness]),0))</f>
        <v>430000000</v>
      </c>
      <c r="X23" s="11">
        <f>Table4[[#This Row],[fy]]*Table4[[#This Row],[Ag]]*0.36</f>
        <v>839160</v>
      </c>
      <c r="Y23" s="50">
        <f ca="1">INDEX(tbllkpkt[kt],MATCH(RANDBETWEEN(1,4),tbllkpkt[Index],0))</f>
        <v>0.85</v>
      </c>
      <c r="Z23" s="48">
        <f t="shared" ca="1" si="0"/>
        <v>0.9</v>
      </c>
      <c r="AA23" s="18">
        <f ca="1">Table4[[#This Row],[Ag]]*Table4[[#This Row],[Deduction_for_An]]</f>
        <v>5.9940000000000002E-3</v>
      </c>
      <c r="AB23" s="11">
        <f>Table4[[#This Row],[fy]]*Table4[[#This Row],[Ag]]</f>
        <v>2331000</v>
      </c>
      <c r="AC23" s="11">
        <f ca="1">Table4[[#This Row],[αu]]*Table4[[#This Row],[kt]]*Table4[[#This Row],[An]]*Table4[[#This Row],[fu]]</f>
        <v>1862185.95</v>
      </c>
      <c r="AD23" s="11">
        <f ca="1">MIN(Table4[[#This Row],[Nty]],Table4[[#This Row],[Ntu]])</f>
        <v>1862185.95</v>
      </c>
    </row>
    <row r="24" spans="2:30" x14ac:dyDescent="0.25">
      <c r="B24" t="str">
        <f>Table4[[#This Row],[Section]]&amp;"-"&amp;Table4[[#This Row],[Grade]]</f>
        <v>273.1 x 6 CHS-CF 350</v>
      </c>
      <c r="C24" s="26" t="s">
        <v>176</v>
      </c>
      <c r="D24" s="26" t="s">
        <v>155</v>
      </c>
      <c r="E24" s="27">
        <v>39.5</v>
      </c>
      <c r="F24" s="26" t="s">
        <v>243</v>
      </c>
      <c r="G24" s="26" t="s">
        <v>244</v>
      </c>
      <c r="H24" s="28">
        <v>0.27310000000000001</v>
      </c>
      <c r="I24" s="28">
        <v>6.0000000000000001E-3</v>
      </c>
      <c r="J24" s="29">
        <v>45.516666666666666</v>
      </c>
      <c r="K24" s="30">
        <v>5.0299999999999997E-3</v>
      </c>
      <c r="L24" s="31">
        <v>4.49E-5</v>
      </c>
      <c r="M24" s="32">
        <v>3.2899999999999997E-4</v>
      </c>
      <c r="N24" s="32">
        <v>4.28E-4</v>
      </c>
      <c r="O24" s="28">
        <v>9.4500000000000001E-2</v>
      </c>
      <c r="P24" s="31">
        <v>8.9800000000000001E-5</v>
      </c>
      <c r="Q24" s="32">
        <v>6.5799999999999995E-4</v>
      </c>
      <c r="R24" s="33">
        <v>1</v>
      </c>
      <c r="S24" s="26" t="s">
        <v>245</v>
      </c>
      <c r="T24" s="32">
        <v>4.0900000000000002E-4</v>
      </c>
      <c r="U24" s="51">
        <v>0.85</v>
      </c>
      <c r="V24" s="12">
        <f t="array" ref="V24">INDEX(tbllkpSteelGrades[fy],MATCH(1,(Table4[[#This Row],[Grade]]=tbllkpSteelGrades[Grade])*(Table4[[#This Row],[t]]&lt;=tbllkpSteelGrades[Thickness]),0))</f>
        <v>350000000</v>
      </c>
      <c r="W24" s="12">
        <f t="array" ref="W24">INDEX(tbllkpSteelGrades[fu],MATCH(1,(Table4[[#This Row],[Grade]]=tbllkpSteelGrades[Grade])*(Table4[[#This Row],[t]]&lt;=tbllkpSteelGrades[Thickness]),0))</f>
        <v>430000000</v>
      </c>
      <c r="X24" s="11">
        <f>Table4[[#This Row],[fy]]*Table4[[#This Row],[Ag]]*0.36</f>
        <v>633780</v>
      </c>
      <c r="Y24" s="50">
        <f ca="1">INDEX(tbllkpkt[kt],MATCH(RANDBETWEEN(1,4),tbllkpkt[Index],0))</f>
        <v>0.75</v>
      </c>
      <c r="Z24" s="48">
        <f t="shared" ca="1" si="0"/>
        <v>0.91</v>
      </c>
      <c r="AA24" s="18">
        <f ca="1">Table4[[#This Row],[Ag]]*Table4[[#This Row],[Deduction_for_An]]</f>
        <v>4.5773000000000003E-3</v>
      </c>
      <c r="AB24" s="11">
        <f>Table4[[#This Row],[fy]]*Table4[[#This Row],[Ag]]</f>
        <v>1760500</v>
      </c>
      <c r="AC24" s="11">
        <f ca="1">Table4[[#This Row],[αu]]*Table4[[#This Row],[kt]]*Table4[[#This Row],[An]]*Table4[[#This Row],[fu]]</f>
        <v>1254752.3625</v>
      </c>
      <c r="AD24" s="11">
        <f ca="1">MIN(Table4[[#This Row],[Nty]],Table4[[#This Row],[Ntu]])</f>
        <v>1254752.3625</v>
      </c>
    </row>
    <row r="25" spans="2:30" x14ac:dyDescent="0.25">
      <c r="B25" t="str">
        <f>Table4[[#This Row],[Section]]&amp;"-"&amp;Table4[[#This Row],[Grade]]</f>
        <v>273.1 x 5 CHS-CF 350</v>
      </c>
      <c r="C25" s="26" t="s">
        <v>177</v>
      </c>
      <c r="D25" s="26" t="s">
        <v>155</v>
      </c>
      <c r="E25" s="27">
        <v>33.1</v>
      </c>
      <c r="F25" s="26" t="s">
        <v>243</v>
      </c>
      <c r="G25" s="26" t="s">
        <v>244</v>
      </c>
      <c r="H25" s="28">
        <v>0.27310000000000001</v>
      </c>
      <c r="I25" s="28">
        <v>5.0000000000000001E-3</v>
      </c>
      <c r="J25" s="29">
        <v>54.62</v>
      </c>
      <c r="K25" s="30">
        <v>4.2100000000000002E-3</v>
      </c>
      <c r="L25" s="31">
        <v>3.79E-5</v>
      </c>
      <c r="M25" s="32">
        <v>2.7700000000000001E-4</v>
      </c>
      <c r="N25" s="32">
        <v>3.59E-4</v>
      </c>
      <c r="O25" s="28">
        <v>9.4799999999999995E-2</v>
      </c>
      <c r="P25" s="31">
        <v>7.5699999999999997E-5</v>
      </c>
      <c r="Q25" s="32">
        <v>5.5400000000000002E-4</v>
      </c>
      <c r="R25" s="33">
        <v>1</v>
      </c>
      <c r="S25" s="26" t="s">
        <v>245</v>
      </c>
      <c r="T25" s="32">
        <v>3.28E-4</v>
      </c>
      <c r="U25" s="51">
        <v>0.85</v>
      </c>
      <c r="V25" s="12">
        <f t="array" ref="V25">INDEX(tbllkpSteelGrades[fy],MATCH(1,(Table4[[#This Row],[Grade]]=tbllkpSteelGrades[Grade])*(Table4[[#This Row],[t]]&lt;=tbllkpSteelGrades[Thickness]),0))</f>
        <v>350000000</v>
      </c>
      <c r="W25" s="12">
        <f t="array" ref="W25">INDEX(tbllkpSteelGrades[fu],MATCH(1,(Table4[[#This Row],[Grade]]=tbllkpSteelGrades[Grade])*(Table4[[#This Row],[t]]&lt;=tbllkpSteelGrades[Thickness]),0))</f>
        <v>430000000</v>
      </c>
      <c r="X25" s="11">
        <f>Table4[[#This Row],[fy]]*Table4[[#This Row],[Ag]]*0.36</f>
        <v>530460</v>
      </c>
      <c r="Y25" s="50">
        <f ca="1">INDEX(tbllkpkt[kt],MATCH(RANDBETWEEN(1,4),tbllkpkt[Index],0))</f>
        <v>0.9</v>
      </c>
      <c r="Z25" s="48">
        <f t="shared" ca="1" si="0"/>
        <v>0.99</v>
      </c>
      <c r="AA25" s="18">
        <f ca="1">Table4[[#This Row],[Ag]]*Table4[[#This Row],[Deduction_for_An]]</f>
        <v>4.1679000000000004E-3</v>
      </c>
      <c r="AB25" s="11">
        <f>Table4[[#This Row],[fy]]*Table4[[#This Row],[Ag]]</f>
        <v>1473500</v>
      </c>
      <c r="AC25" s="11">
        <f ca="1">Table4[[#This Row],[αu]]*Table4[[#This Row],[kt]]*Table4[[#This Row],[An]]*Table4[[#This Row],[fu]]</f>
        <v>1371030.7050000001</v>
      </c>
      <c r="AD25" s="11">
        <f ca="1">MIN(Table4[[#This Row],[Nty]],Table4[[#This Row],[Ntu]])</f>
        <v>1371030.7050000001</v>
      </c>
    </row>
    <row r="26" spans="2:30" x14ac:dyDescent="0.25">
      <c r="B26" t="str">
        <f>Table4[[#This Row],[Section]]&amp;"-"&amp;Table4[[#This Row],[Grade]]</f>
        <v>219.1 x 12.5 CHS-CF 350</v>
      </c>
      <c r="C26" s="26" t="s">
        <v>178</v>
      </c>
      <c r="D26" s="26" t="s">
        <v>155</v>
      </c>
      <c r="E26" s="27">
        <v>63.7</v>
      </c>
      <c r="F26" s="26" t="s">
        <v>243</v>
      </c>
      <c r="G26" s="26" t="s">
        <v>244</v>
      </c>
      <c r="H26" s="28">
        <v>0.21909999999999999</v>
      </c>
      <c r="I26" s="28">
        <v>1.2500000000000001E-2</v>
      </c>
      <c r="J26" s="29">
        <v>17.527999999999999</v>
      </c>
      <c r="K26" s="30">
        <v>8.1099999999999992E-3</v>
      </c>
      <c r="L26" s="31">
        <v>4.3399999999999998E-5</v>
      </c>
      <c r="M26" s="32">
        <v>3.97E-4</v>
      </c>
      <c r="N26" s="32">
        <v>5.3399999999999997E-4</v>
      </c>
      <c r="O26" s="28">
        <v>7.3200000000000001E-2</v>
      </c>
      <c r="P26" s="31">
        <v>8.6899999999999998E-5</v>
      </c>
      <c r="Q26" s="32">
        <v>7.9299999999999998E-4</v>
      </c>
      <c r="R26" s="33">
        <v>1</v>
      </c>
      <c r="S26" s="26" t="s">
        <v>152</v>
      </c>
      <c r="T26" s="32">
        <v>5.3399999999999997E-4</v>
      </c>
      <c r="U26" s="51">
        <v>0.85</v>
      </c>
      <c r="V26" s="12">
        <f t="array" ref="V26">INDEX(tbllkpSteelGrades[fy],MATCH(1,(Table4[[#This Row],[Grade]]=tbllkpSteelGrades[Grade])*(Table4[[#This Row],[t]]&lt;=tbllkpSteelGrades[Thickness]),0))</f>
        <v>350000000</v>
      </c>
      <c r="W26" s="12">
        <f t="array" ref="W26">INDEX(tbllkpSteelGrades[fu],MATCH(1,(Table4[[#This Row],[Grade]]=tbllkpSteelGrades[Grade])*(Table4[[#This Row],[t]]&lt;=tbllkpSteelGrades[Thickness]),0))</f>
        <v>430000000</v>
      </c>
      <c r="X26" s="11">
        <f>Table4[[#This Row],[fy]]*Table4[[#This Row],[Ag]]*0.36</f>
        <v>1021859.9999999998</v>
      </c>
      <c r="Y26" s="50">
        <f ca="1">INDEX(tbllkpkt[kt],MATCH(RANDBETWEEN(1,4),tbllkpkt[Index],0))</f>
        <v>0.9</v>
      </c>
      <c r="Z26" s="48">
        <f t="shared" ca="1" si="0"/>
        <v>0.96</v>
      </c>
      <c r="AA26" s="18">
        <f ca="1">Table4[[#This Row],[Ag]]*Table4[[#This Row],[Deduction_for_An]]</f>
        <v>7.7855999999999993E-3</v>
      </c>
      <c r="AB26" s="11">
        <f>Table4[[#This Row],[fy]]*Table4[[#This Row],[Ag]]</f>
        <v>2838499.9999999995</v>
      </c>
      <c r="AC26" s="11">
        <f ca="1">Table4[[#This Row],[αu]]*Table4[[#This Row],[kt]]*Table4[[#This Row],[An]]*Table4[[#This Row],[fu]]</f>
        <v>2561073.1199999996</v>
      </c>
      <c r="AD26" s="11">
        <f ca="1">MIN(Table4[[#This Row],[Nty]],Table4[[#This Row],[Ntu]])</f>
        <v>2561073.1199999996</v>
      </c>
    </row>
    <row r="27" spans="2:30" x14ac:dyDescent="0.25">
      <c r="B27" t="str">
        <f>Table4[[#This Row],[Section]]&amp;"-"&amp;Table4[[#This Row],[Grade]]</f>
        <v>219.1 x 10 CHS-CF 350</v>
      </c>
      <c r="C27" s="26" t="s">
        <v>179</v>
      </c>
      <c r="D27" s="26" t="s">
        <v>155</v>
      </c>
      <c r="E27" s="27">
        <v>51.6</v>
      </c>
      <c r="F27" s="26" t="s">
        <v>243</v>
      </c>
      <c r="G27" s="26" t="s">
        <v>244</v>
      </c>
      <c r="H27" s="28">
        <v>0.21909999999999999</v>
      </c>
      <c r="I27" s="28">
        <v>0.01</v>
      </c>
      <c r="J27" s="29">
        <v>21.91</v>
      </c>
      <c r="K27" s="30">
        <v>6.5700000000000003E-3</v>
      </c>
      <c r="L27" s="31">
        <v>3.6000000000000001E-5</v>
      </c>
      <c r="M27" s="32">
        <v>3.28E-4</v>
      </c>
      <c r="N27" s="32">
        <v>4.3800000000000002E-4</v>
      </c>
      <c r="O27" s="28">
        <v>7.3999999999999996E-2</v>
      </c>
      <c r="P27" s="31">
        <v>7.2000000000000002E-5</v>
      </c>
      <c r="Q27" s="32">
        <v>6.5700000000000003E-4</v>
      </c>
      <c r="R27" s="33">
        <v>1</v>
      </c>
      <c r="S27" s="26" t="s">
        <v>152</v>
      </c>
      <c r="T27" s="32">
        <v>4.3800000000000002E-4</v>
      </c>
      <c r="U27" s="51">
        <v>0.85</v>
      </c>
      <c r="V27" s="12">
        <f t="array" ref="V27">INDEX(tbllkpSteelGrades[fy],MATCH(1,(Table4[[#This Row],[Grade]]=tbllkpSteelGrades[Grade])*(Table4[[#This Row],[t]]&lt;=tbllkpSteelGrades[Thickness]),0))</f>
        <v>350000000</v>
      </c>
      <c r="W27" s="12">
        <f t="array" ref="W27">INDEX(tbllkpSteelGrades[fu],MATCH(1,(Table4[[#This Row],[Grade]]=tbllkpSteelGrades[Grade])*(Table4[[#This Row],[t]]&lt;=tbllkpSteelGrades[Thickness]),0))</f>
        <v>430000000</v>
      </c>
      <c r="X27" s="11">
        <f>Table4[[#This Row],[fy]]*Table4[[#This Row],[Ag]]*0.36</f>
        <v>827820</v>
      </c>
      <c r="Y27" s="50">
        <f ca="1">INDEX(tbllkpkt[kt],MATCH(RANDBETWEEN(1,4),tbllkpkt[Index],0))</f>
        <v>0.85</v>
      </c>
      <c r="Z27" s="48">
        <f t="shared" ca="1" si="0"/>
        <v>1</v>
      </c>
      <c r="AA27" s="18">
        <f ca="1">Table4[[#This Row],[Ag]]*Table4[[#This Row],[Deduction_for_An]]</f>
        <v>6.5700000000000003E-3</v>
      </c>
      <c r="AB27" s="11">
        <f>Table4[[#This Row],[fy]]*Table4[[#This Row],[Ag]]</f>
        <v>2299500</v>
      </c>
      <c r="AC27" s="11">
        <f ca="1">Table4[[#This Row],[αu]]*Table4[[#This Row],[kt]]*Table4[[#This Row],[An]]*Table4[[#This Row],[fu]]</f>
        <v>2041134.7499999998</v>
      </c>
      <c r="AD27" s="11">
        <f ca="1">MIN(Table4[[#This Row],[Nty]],Table4[[#This Row],[Ntu]])</f>
        <v>2041134.7499999998</v>
      </c>
    </row>
    <row r="28" spans="2:30" x14ac:dyDescent="0.25">
      <c r="B28" t="str">
        <f>Table4[[#This Row],[Section]]&amp;"-"&amp;Table4[[#This Row],[Grade]]</f>
        <v>219.1 x 8 CHS-CF 350</v>
      </c>
      <c r="C28" s="26" t="s">
        <v>180</v>
      </c>
      <c r="D28" s="26" t="s">
        <v>155</v>
      </c>
      <c r="E28" s="27">
        <v>41.6</v>
      </c>
      <c r="F28" s="26" t="s">
        <v>243</v>
      </c>
      <c r="G28" s="26" t="s">
        <v>244</v>
      </c>
      <c r="H28" s="28">
        <v>0.21909999999999999</v>
      </c>
      <c r="I28" s="28">
        <v>8.0000000000000002E-3</v>
      </c>
      <c r="J28" s="29">
        <v>27.387499999999999</v>
      </c>
      <c r="K28" s="30">
        <v>5.3099999999999996E-3</v>
      </c>
      <c r="L28" s="31">
        <v>2.9600000000000001E-5</v>
      </c>
      <c r="M28" s="32">
        <v>2.7E-4</v>
      </c>
      <c r="N28" s="32">
        <v>3.57E-4</v>
      </c>
      <c r="O28" s="28">
        <v>7.4700000000000003E-2</v>
      </c>
      <c r="P28" s="31">
        <v>5.9200000000000002E-5</v>
      </c>
      <c r="Q28" s="32">
        <v>5.4000000000000001E-4</v>
      </c>
      <c r="R28" s="33">
        <v>1</v>
      </c>
      <c r="S28" s="26" t="s">
        <v>152</v>
      </c>
      <c r="T28" s="32">
        <v>3.57E-4</v>
      </c>
      <c r="U28" s="51">
        <v>0.85</v>
      </c>
      <c r="V28" s="12">
        <f t="array" ref="V28">INDEX(tbllkpSteelGrades[fy],MATCH(1,(Table4[[#This Row],[Grade]]=tbllkpSteelGrades[Grade])*(Table4[[#This Row],[t]]&lt;=tbllkpSteelGrades[Thickness]),0))</f>
        <v>350000000</v>
      </c>
      <c r="W28" s="12">
        <f t="array" ref="W28">INDEX(tbllkpSteelGrades[fu],MATCH(1,(Table4[[#This Row],[Grade]]=tbllkpSteelGrades[Grade])*(Table4[[#This Row],[t]]&lt;=tbllkpSteelGrades[Thickness]),0))</f>
        <v>430000000</v>
      </c>
      <c r="X28" s="11">
        <f>Table4[[#This Row],[fy]]*Table4[[#This Row],[Ag]]*0.36</f>
        <v>669059.99999999988</v>
      </c>
      <c r="Y28" s="50">
        <f ca="1">INDEX(tbllkpkt[kt],MATCH(RANDBETWEEN(1,4),tbllkpkt[Index],0))</f>
        <v>0.9</v>
      </c>
      <c r="Z28" s="48">
        <f t="shared" ca="1" si="0"/>
        <v>0.9</v>
      </c>
      <c r="AA28" s="18">
        <f ca="1">Table4[[#This Row],[Ag]]*Table4[[#This Row],[Deduction_for_An]]</f>
        <v>4.7789999999999994E-3</v>
      </c>
      <c r="AB28" s="11">
        <f>Table4[[#This Row],[fy]]*Table4[[#This Row],[Ag]]</f>
        <v>1858499.9999999998</v>
      </c>
      <c r="AC28" s="11">
        <f ca="1">Table4[[#This Row],[αu]]*Table4[[#This Row],[kt]]*Table4[[#This Row],[An]]*Table4[[#This Row],[fu]]</f>
        <v>1572052.0499999998</v>
      </c>
      <c r="AD28" s="11">
        <f ca="1">MIN(Table4[[#This Row],[Nty]],Table4[[#This Row],[Ntu]])</f>
        <v>1572052.0499999998</v>
      </c>
    </row>
    <row r="29" spans="2:30" x14ac:dyDescent="0.25">
      <c r="B29" t="str">
        <f>Table4[[#This Row],[Section]]&amp;"-"&amp;Table4[[#This Row],[Grade]]</f>
        <v>219.1 x 6 CHS-CF 350</v>
      </c>
      <c r="C29" s="26" t="s">
        <v>181</v>
      </c>
      <c r="D29" s="26" t="s">
        <v>155</v>
      </c>
      <c r="E29" s="27">
        <v>31.5</v>
      </c>
      <c r="F29" s="26" t="s">
        <v>243</v>
      </c>
      <c r="G29" s="26" t="s">
        <v>244</v>
      </c>
      <c r="H29" s="28">
        <v>0.21909999999999999</v>
      </c>
      <c r="I29" s="28">
        <v>6.0000000000000001E-3</v>
      </c>
      <c r="J29" s="29">
        <v>36.516666666666666</v>
      </c>
      <c r="K29" s="30">
        <v>4.0200000000000001E-3</v>
      </c>
      <c r="L29" s="31">
        <v>2.2799999999999999E-5</v>
      </c>
      <c r="M29" s="32">
        <v>2.0799999999999999E-4</v>
      </c>
      <c r="N29" s="32">
        <v>2.7300000000000002E-4</v>
      </c>
      <c r="O29" s="28">
        <v>7.5400000000000009E-2</v>
      </c>
      <c r="P29" s="31">
        <v>4.5599999999999997E-5</v>
      </c>
      <c r="Q29" s="32">
        <v>4.17E-4</v>
      </c>
      <c r="R29" s="33">
        <v>1</v>
      </c>
      <c r="S29" s="26" t="s">
        <v>245</v>
      </c>
      <c r="T29" s="32">
        <v>2.72E-4</v>
      </c>
      <c r="U29" s="51">
        <v>0.85</v>
      </c>
      <c r="V29" s="12">
        <f t="array" ref="V29">INDEX(tbllkpSteelGrades[fy],MATCH(1,(Table4[[#This Row],[Grade]]=tbllkpSteelGrades[Grade])*(Table4[[#This Row],[t]]&lt;=tbllkpSteelGrades[Thickness]),0))</f>
        <v>350000000</v>
      </c>
      <c r="W29" s="12">
        <f t="array" ref="W29">INDEX(tbllkpSteelGrades[fu],MATCH(1,(Table4[[#This Row],[Grade]]=tbllkpSteelGrades[Grade])*(Table4[[#This Row],[t]]&lt;=tbllkpSteelGrades[Thickness]),0))</f>
        <v>430000000</v>
      </c>
      <c r="X29" s="11">
        <f>Table4[[#This Row],[fy]]*Table4[[#This Row],[Ag]]*0.36</f>
        <v>506520</v>
      </c>
      <c r="Y29" s="50">
        <f ca="1">INDEX(tbllkpkt[kt],MATCH(RANDBETWEEN(1,4),tbllkpkt[Index],0))</f>
        <v>0.9</v>
      </c>
      <c r="Z29" s="48">
        <f t="shared" ca="1" si="0"/>
        <v>0.99</v>
      </c>
      <c r="AA29" s="18">
        <f ca="1">Table4[[#This Row],[Ag]]*Table4[[#This Row],[Deduction_for_An]]</f>
        <v>3.9798000000000004E-3</v>
      </c>
      <c r="AB29" s="11">
        <f>Table4[[#This Row],[fy]]*Table4[[#This Row],[Ag]]</f>
        <v>1407000</v>
      </c>
      <c r="AC29" s="11">
        <f ca="1">Table4[[#This Row],[αu]]*Table4[[#This Row],[kt]]*Table4[[#This Row],[An]]*Table4[[#This Row],[fu]]</f>
        <v>1309155.2100000002</v>
      </c>
      <c r="AD29" s="11">
        <f ca="1">MIN(Table4[[#This Row],[Nty]],Table4[[#This Row],[Ntu]])</f>
        <v>1309155.2100000002</v>
      </c>
    </row>
    <row r="30" spans="2:30" x14ac:dyDescent="0.25">
      <c r="B30" t="str">
        <f>Table4[[#This Row],[Section]]&amp;"-"&amp;Table4[[#This Row],[Grade]]</f>
        <v>219.1 x 5 CHS-CF 350</v>
      </c>
      <c r="C30" s="26" t="s">
        <v>182</v>
      </c>
      <c r="D30" s="26" t="s">
        <v>155</v>
      </c>
      <c r="E30" s="27">
        <v>26.4</v>
      </c>
      <c r="F30" s="26" t="s">
        <v>243</v>
      </c>
      <c r="G30" s="26" t="s">
        <v>244</v>
      </c>
      <c r="H30" s="28">
        <v>0.21909999999999999</v>
      </c>
      <c r="I30" s="28">
        <v>5.0000000000000001E-3</v>
      </c>
      <c r="J30" s="29">
        <v>43.82</v>
      </c>
      <c r="K30" s="30">
        <v>3.3600000000000001E-3</v>
      </c>
      <c r="L30" s="31">
        <v>1.9300000000000002E-5</v>
      </c>
      <c r="M30" s="32">
        <v>1.76E-4</v>
      </c>
      <c r="N30" s="32">
        <v>2.2900000000000001E-4</v>
      </c>
      <c r="O30" s="28">
        <v>7.5700000000000003E-2</v>
      </c>
      <c r="P30" s="31">
        <v>3.8600000000000003E-5</v>
      </c>
      <c r="Q30" s="32">
        <v>3.5199999999999999E-4</v>
      </c>
      <c r="R30" s="33">
        <v>1</v>
      </c>
      <c r="S30" s="26" t="s">
        <v>245</v>
      </c>
      <c r="T30" s="32">
        <v>2.2100000000000001E-4</v>
      </c>
      <c r="U30" s="51">
        <v>0.85</v>
      </c>
      <c r="V30" s="12">
        <f t="array" ref="V30">INDEX(tbllkpSteelGrades[fy],MATCH(1,(Table4[[#This Row],[Grade]]=tbllkpSteelGrades[Grade])*(Table4[[#This Row],[t]]&lt;=tbllkpSteelGrades[Thickness]),0))</f>
        <v>350000000</v>
      </c>
      <c r="W30" s="12">
        <f t="array" ref="W30">INDEX(tbllkpSteelGrades[fu],MATCH(1,(Table4[[#This Row],[Grade]]=tbllkpSteelGrades[Grade])*(Table4[[#This Row],[t]]&lt;=tbllkpSteelGrades[Thickness]),0))</f>
        <v>430000000</v>
      </c>
      <c r="X30" s="11">
        <f>Table4[[#This Row],[fy]]*Table4[[#This Row],[Ag]]*0.36</f>
        <v>423360</v>
      </c>
      <c r="Y30" s="50">
        <f ca="1">INDEX(tbllkpkt[kt],MATCH(RANDBETWEEN(1,4),tbllkpkt[Index],0))</f>
        <v>0.9</v>
      </c>
      <c r="Z30" s="48">
        <f t="shared" ca="1" si="0"/>
        <v>0.96</v>
      </c>
      <c r="AA30" s="18">
        <f ca="1">Table4[[#This Row],[Ag]]*Table4[[#This Row],[Deduction_for_An]]</f>
        <v>3.2255999999999999E-3</v>
      </c>
      <c r="AB30" s="11">
        <f>Table4[[#This Row],[fy]]*Table4[[#This Row],[Ag]]</f>
        <v>1176000</v>
      </c>
      <c r="AC30" s="11">
        <f ca="1">Table4[[#This Row],[αu]]*Table4[[#This Row],[kt]]*Table4[[#This Row],[An]]*Table4[[#This Row],[fu]]</f>
        <v>1061061.1200000001</v>
      </c>
      <c r="AD30" s="11">
        <f ca="1">MIN(Table4[[#This Row],[Nty]],Table4[[#This Row],[Ntu]])</f>
        <v>1061061.1200000001</v>
      </c>
    </row>
    <row r="31" spans="2:30" x14ac:dyDescent="0.25">
      <c r="B31" t="str">
        <f>Table4[[#This Row],[Section]]&amp;"-"&amp;Table4[[#This Row],[Grade]]</f>
        <v>193.7 x 10 CHS-CF 350</v>
      </c>
      <c r="C31" s="26" t="s">
        <v>183</v>
      </c>
      <c r="D31" s="26" t="s">
        <v>155</v>
      </c>
      <c r="E31" s="27">
        <v>45.3</v>
      </c>
      <c r="F31" s="26" t="s">
        <v>243</v>
      </c>
      <c r="G31" s="26" t="s">
        <v>244</v>
      </c>
      <c r="H31" s="28">
        <v>0.19369999999999998</v>
      </c>
      <c r="I31" s="28">
        <v>0.01</v>
      </c>
      <c r="J31" s="29">
        <v>19.369999999999997</v>
      </c>
      <c r="K31" s="30">
        <v>5.77E-3</v>
      </c>
      <c r="L31" s="31">
        <v>2.44E-5</v>
      </c>
      <c r="M31" s="32">
        <v>2.52E-4</v>
      </c>
      <c r="N31" s="32">
        <v>3.3799999999999998E-4</v>
      </c>
      <c r="O31" s="28">
        <v>6.5000000000000002E-2</v>
      </c>
      <c r="P31" s="31">
        <v>4.88E-5</v>
      </c>
      <c r="Q31" s="32">
        <v>5.04E-4</v>
      </c>
      <c r="R31" s="33">
        <v>1</v>
      </c>
      <c r="S31" s="26" t="s">
        <v>152</v>
      </c>
      <c r="T31" s="32">
        <v>3.3799999999999998E-4</v>
      </c>
      <c r="U31" s="51">
        <v>0.85</v>
      </c>
      <c r="V31" s="12">
        <f t="array" ref="V31">INDEX(tbllkpSteelGrades[fy],MATCH(1,(Table4[[#This Row],[Grade]]=tbllkpSteelGrades[Grade])*(Table4[[#This Row],[t]]&lt;=tbllkpSteelGrades[Thickness]),0))</f>
        <v>350000000</v>
      </c>
      <c r="W31" s="12">
        <f t="array" ref="W31">INDEX(tbllkpSteelGrades[fu],MATCH(1,(Table4[[#This Row],[Grade]]=tbllkpSteelGrades[Grade])*(Table4[[#This Row],[t]]&lt;=tbllkpSteelGrades[Thickness]),0))</f>
        <v>430000000</v>
      </c>
      <c r="X31" s="11">
        <f>Table4[[#This Row],[fy]]*Table4[[#This Row],[Ag]]*0.36</f>
        <v>727020</v>
      </c>
      <c r="Y31" s="50">
        <f ca="1">INDEX(tbllkpkt[kt],MATCH(RANDBETWEEN(1,4),tbllkpkt[Index],0))</f>
        <v>0.9</v>
      </c>
      <c r="Z31" s="48">
        <f t="shared" ca="1" si="0"/>
        <v>1</v>
      </c>
      <c r="AA31" s="18">
        <f ca="1">Table4[[#This Row],[Ag]]*Table4[[#This Row],[Deduction_for_An]]</f>
        <v>5.77E-3</v>
      </c>
      <c r="AB31" s="11">
        <f>Table4[[#This Row],[fy]]*Table4[[#This Row],[Ag]]</f>
        <v>2019500</v>
      </c>
      <c r="AC31" s="11">
        <f ca="1">Table4[[#This Row],[αu]]*Table4[[#This Row],[kt]]*Table4[[#This Row],[An]]*Table4[[#This Row],[fu]]</f>
        <v>1898041.5</v>
      </c>
      <c r="AD31" s="11">
        <f ca="1">MIN(Table4[[#This Row],[Nty]],Table4[[#This Row],[Ntu]])</f>
        <v>1898041.5</v>
      </c>
    </row>
    <row r="32" spans="2:30" x14ac:dyDescent="0.25">
      <c r="B32" t="str">
        <f>Table4[[#This Row],[Section]]&amp;"-"&amp;Table4[[#This Row],[Grade]]</f>
        <v>193.7 x 8 CHS-CF 350</v>
      </c>
      <c r="C32" s="26" t="s">
        <v>184</v>
      </c>
      <c r="D32" s="26" t="s">
        <v>155</v>
      </c>
      <c r="E32" s="27">
        <v>36.6</v>
      </c>
      <c r="F32" s="26" t="s">
        <v>243</v>
      </c>
      <c r="G32" s="26" t="s">
        <v>244</v>
      </c>
      <c r="H32" s="28">
        <v>0.19369999999999998</v>
      </c>
      <c r="I32" s="28">
        <v>8.0000000000000002E-3</v>
      </c>
      <c r="J32" s="29">
        <v>24.212499999999999</v>
      </c>
      <c r="K32" s="30">
        <v>4.6699999999999997E-3</v>
      </c>
      <c r="L32" s="31">
        <v>2.02E-5</v>
      </c>
      <c r="M32" s="32">
        <v>2.0799999999999999E-4</v>
      </c>
      <c r="N32" s="32">
        <v>2.7599999999999999E-4</v>
      </c>
      <c r="O32" s="28">
        <v>6.5700000000000008E-2</v>
      </c>
      <c r="P32" s="31">
        <v>4.0299999999999997E-5</v>
      </c>
      <c r="Q32" s="32">
        <v>4.1599999999999997E-4</v>
      </c>
      <c r="R32" s="33">
        <v>1</v>
      </c>
      <c r="S32" s="26" t="s">
        <v>152</v>
      </c>
      <c r="T32" s="32">
        <v>2.7599999999999999E-4</v>
      </c>
      <c r="U32" s="51">
        <v>0.85</v>
      </c>
      <c r="V32" s="12">
        <f t="array" ref="V32">INDEX(tbllkpSteelGrades[fy],MATCH(1,(Table4[[#This Row],[Grade]]=tbllkpSteelGrades[Grade])*(Table4[[#This Row],[t]]&lt;=tbllkpSteelGrades[Thickness]),0))</f>
        <v>350000000</v>
      </c>
      <c r="W32" s="12">
        <f t="array" ref="W32">INDEX(tbllkpSteelGrades[fu],MATCH(1,(Table4[[#This Row],[Grade]]=tbllkpSteelGrades[Grade])*(Table4[[#This Row],[t]]&lt;=tbllkpSteelGrades[Thickness]),0))</f>
        <v>430000000</v>
      </c>
      <c r="X32" s="11">
        <f>Table4[[#This Row],[fy]]*Table4[[#This Row],[Ag]]*0.36</f>
        <v>588420</v>
      </c>
      <c r="Y32" s="50">
        <f ca="1">INDEX(tbllkpkt[kt],MATCH(RANDBETWEEN(1,4),tbllkpkt[Index],0))</f>
        <v>0.75</v>
      </c>
      <c r="Z32" s="48">
        <f t="shared" ca="1" si="0"/>
        <v>0.91</v>
      </c>
      <c r="AA32" s="18">
        <f ca="1">Table4[[#This Row],[Ag]]*Table4[[#This Row],[Deduction_for_An]]</f>
        <v>4.2496999999999995E-3</v>
      </c>
      <c r="AB32" s="11">
        <f>Table4[[#This Row],[fy]]*Table4[[#This Row],[Ag]]</f>
        <v>1634500</v>
      </c>
      <c r="AC32" s="11">
        <f ca="1">Table4[[#This Row],[αu]]*Table4[[#This Row],[kt]]*Table4[[#This Row],[An]]*Table4[[#This Row],[fu]]</f>
        <v>1164949.0124999997</v>
      </c>
      <c r="AD32" s="11">
        <f ca="1">MIN(Table4[[#This Row],[Nty]],Table4[[#This Row],[Ntu]])</f>
        <v>1164949.0124999997</v>
      </c>
    </row>
    <row r="33" spans="2:30" x14ac:dyDescent="0.25">
      <c r="B33" t="str">
        <f>Table4[[#This Row],[Section]]&amp;"-"&amp;Table4[[#This Row],[Grade]]</f>
        <v>193.7 x 6 CHS-CF 350</v>
      </c>
      <c r="C33" s="26" t="s">
        <v>185</v>
      </c>
      <c r="D33" s="26" t="s">
        <v>155</v>
      </c>
      <c r="E33" s="27">
        <v>27.8</v>
      </c>
      <c r="F33" s="26" t="s">
        <v>243</v>
      </c>
      <c r="G33" s="26" t="s">
        <v>244</v>
      </c>
      <c r="H33" s="28">
        <v>0.19369999999999998</v>
      </c>
      <c r="I33" s="28">
        <v>6.0000000000000001E-3</v>
      </c>
      <c r="J33" s="29">
        <v>32.283333333333331</v>
      </c>
      <c r="K33" s="30">
        <v>3.5400000000000002E-3</v>
      </c>
      <c r="L33" s="31">
        <v>1.56E-5</v>
      </c>
      <c r="M33" s="32">
        <v>1.6100000000000001E-4</v>
      </c>
      <c r="N33" s="32">
        <v>2.1100000000000001E-4</v>
      </c>
      <c r="O33" s="28">
        <v>6.6400000000000001E-2</v>
      </c>
      <c r="P33" s="31">
        <v>3.1199999999999999E-5</v>
      </c>
      <c r="Q33" s="32">
        <v>3.2200000000000002E-4</v>
      </c>
      <c r="R33" s="33">
        <v>1</v>
      </c>
      <c r="S33" s="26" t="s">
        <v>152</v>
      </c>
      <c r="T33" s="32">
        <v>2.1100000000000001E-4</v>
      </c>
      <c r="U33" s="51">
        <v>0.85</v>
      </c>
      <c r="V33" s="12">
        <f t="array" ref="V33">INDEX(tbllkpSteelGrades[fy],MATCH(1,(Table4[[#This Row],[Grade]]=tbllkpSteelGrades[Grade])*(Table4[[#This Row],[t]]&lt;=tbllkpSteelGrades[Thickness]),0))</f>
        <v>350000000</v>
      </c>
      <c r="W33" s="12">
        <f t="array" ref="W33">INDEX(tbllkpSteelGrades[fu],MATCH(1,(Table4[[#This Row],[Grade]]=tbllkpSteelGrades[Grade])*(Table4[[#This Row],[t]]&lt;=tbllkpSteelGrades[Thickness]),0))</f>
        <v>430000000</v>
      </c>
      <c r="X33" s="11">
        <f>Table4[[#This Row],[fy]]*Table4[[#This Row],[Ag]]*0.36</f>
        <v>446040</v>
      </c>
      <c r="Y33" s="50">
        <f ca="1">INDEX(tbllkpkt[kt],MATCH(RANDBETWEEN(1,4),tbllkpkt[Index],0))</f>
        <v>0.75</v>
      </c>
      <c r="Z33" s="48">
        <f t="shared" ca="1" si="0"/>
        <v>0.96</v>
      </c>
      <c r="AA33" s="18">
        <f ca="1">Table4[[#This Row],[Ag]]*Table4[[#This Row],[Deduction_for_An]]</f>
        <v>3.3984000000000002E-3</v>
      </c>
      <c r="AB33" s="11">
        <f>Table4[[#This Row],[fy]]*Table4[[#This Row],[Ag]]</f>
        <v>1239000</v>
      </c>
      <c r="AC33" s="11">
        <f ca="1">Table4[[#This Row],[αu]]*Table4[[#This Row],[kt]]*Table4[[#This Row],[An]]*Table4[[#This Row],[fu]]</f>
        <v>931586.4</v>
      </c>
      <c r="AD33" s="11">
        <f ca="1">MIN(Table4[[#This Row],[Nty]],Table4[[#This Row],[Ntu]])</f>
        <v>931586.4</v>
      </c>
    </row>
    <row r="34" spans="2:30" x14ac:dyDescent="0.25">
      <c r="B34" t="str">
        <f>Table4[[#This Row],[Section]]&amp;"-"&amp;Table4[[#This Row],[Grade]]</f>
        <v>193.7 x 5 CHS-CF 350</v>
      </c>
      <c r="C34" s="26" t="s">
        <v>186</v>
      </c>
      <c r="D34" s="26" t="s">
        <v>155</v>
      </c>
      <c r="E34" s="27">
        <v>23.3</v>
      </c>
      <c r="F34" s="26" t="s">
        <v>243</v>
      </c>
      <c r="G34" s="26" t="s">
        <v>244</v>
      </c>
      <c r="H34" s="28">
        <v>0.19369999999999998</v>
      </c>
      <c r="I34" s="28">
        <v>5.0000000000000001E-3</v>
      </c>
      <c r="J34" s="29">
        <v>38.739999999999995</v>
      </c>
      <c r="K34" s="30">
        <v>2.96E-3</v>
      </c>
      <c r="L34" s="31">
        <v>1.3200000000000001E-5</v>
      </c>
      <c r="M34" s="32">
        <v>1.36E-4</v>
      </c>
      <c r="N34" s="32">
        <v>1.7799999999999999E-4</v>
      </c>
      <c r="O34" s="28">
        <v>6.6700000000000009E-2</v>
      </c>
      <c r="P34" s="31">
        <v>2.6400000000000001E-5</v>
      </c>
      <c r="Q34" s="32">
        <v>2.7300000000000002E-4</v>
      </c>
      <c r="R34" s="33">
        <v>1</v>
      </c>
      <c r="S34" s="26" t="s">
        <v>245</v>
      </c>
      <c r="T34" s="32">
        <v>1.76E-4</v>
      </c>
      <c r="U34" s="51">
        <v>0.85</v>
      </c>
      <c r="V34" s="12">
        <f t="array" ref="V34">INDEX(tbllkpSteelGrades[fy],MATCH(1,(Table4[[#This Row],[Grade]]=tbllkpSteelGrades[Grade])*(Table4[[#This Row],[t]]&lt;=tbllkpSteelGrades[Thickness]),0))</f>
        <v>350000000</v>
      </c>
      <c r="W34" s="12">
        <f t="array" ref="W34">INDEX(tbllkpSteelGrades[fu],MATCH(1,(Table4[[#This Row],[Grade]]=tbllkpSteelGrades[Grade])*(Table4[[#This Row],[t]]&lt;=tbllkpSteelGrades[Thickness]),0))</f>
        <v>430000000</v>
      </c>
      <c r="X34" s="11">
        <f>Table4[[#This Row],[fy]]*Table4[[#This Row],[Ag]]*0.36</f>
        <v>372960</v>
      </c>
      <c r="Y34" s="50">
        <f ca="1">INDEX(tbllkpkt[kt],MATCH(RANDBETWEEN(1,4),tbllkpkt[Index],0))</f>
        <v>1</v>
      </c>
      <c r="Z34" s="48">
        <f t="shared" ca="1" si="0"/>
        <v>0.97</v>
      </c>
      <c r="AA34" s="18">
        <f ca="1">Table4[[#This Row],[Ag]]*Table4[[#This Row],[Deduction_for_An]]</f>
        <v>2.8712E-3</v>
      </c>
      <c r="AB34" s="11">
        <f>Table4[[#This Row],[fy]]*Table4[[#This Row],[Ag]]</f>
        <v>1036000</v>
      </c>
      <c r="AC34" s="11">
        <f ca="1">Table4[[#This Row],[αu]]*Table4[[#This Row],[kt]]*Table4[[#This Row],[An]]*Table4[[#This Row],[fu]]</f>
        <v>1049423.5999999999</v>
      </c>
      <c r="AD34" s="11">
        <f ca="1">MIN(Table4[[#This Row],[Nty]],Table4[[#This Row],[Ntu]])</f>
        <v>1036000</v>
      </c>
    </row>
    <row r="35" spans="2:30" x14ac:dyDescent="0.25">
      <c r="B35" t="str">
        <f>Table4[[#This Row],[Section]]&amp;"-"&amp;Table4[[#This Row],[Grade]]</f>
        <v>168.3 x 10 CHS-CF 350</v>
      </c>
      <c r="C35" s="26" t="s">
        <v>187</v>
      </c>
      <c r="D35" s="26" t="s">
        <v>155</v>
      </c>
      <c r="E35" s="27">
        <v>39</v>
      </c>
      <c r="F35" s="26" t="s">
        <v>243</v>
      </c>
      <c r="G35" s="26" t="s">
        <v>244</v>
      </c>
      <c r="H35" s="28">
        <v>0.16830000000000001</v>
      </c>
      <c r="I35" s="28">
        <v>0.01</v>
      </c>
      <c r="J35" s="29">
        <v>16.830000000000002</v>
      </c>
      <c r="K35" s="30">
        <v>4.9699999999999996E-3</v>
      </c>
      <c r="L35" s="31">
        <v>1.56E-5</v>
      </c>
      <c r="M35" s="32">
        <v>1.8599999999999999E-4</v>
      </c>
      <c r="N35" s="32">
        <v>2.5099999999999998E-4</v>
      </c>
      <c r="O35" s="28">
        <v>5.6100000000000004E-2</v>
      </c>
      <c r="P35" s="31">
        <v>3.1300000000000002E-5</v>
      </c>
      <c r="Q35" s="32">
        <v>3.7199999999999999E-4</v>
      </c>
      <c r="R35" s="33">
        <v>1</v>
      </c>
      <c r="S35" s="26" t="s">
        <v>152</v>
      </c>
      <c r="T35" s="32">
        <v>2.5099999999999998E-4</v>
      </c>
      <c r="U35" s="51">
        <v>0.85</v>
      </c>
      <c r="V35" s="12">
        <f t="array" ref="V35">INDEX(tbllkpSteelGrades[fy],MATCH(1,(Table4[[#This Row],[Grade]]=tbllkpSteelGrades[Grade])*(Table4[[#This Row],[t]]&lt;=tbllkpSteelGrades[Thickness]),0))</f>
        <v>350000000</v>
      </c>
      <c r="W35" s="12">
        <f t="array" ref="W35">INDEX(tbllkpSteelGrades[fu],MATCH(1,(Table4[[#This Row],[Grade]]=tbllkpSteelGrades[Grade])*(Table4[[#This Row],[t]]&lt;=tbllkpSteelGrades[Thickness]),0))</f>
        <v>430000000</v>
      </c>
      <c r="X35" s="11">
        <f>Table4[[#This Row],[fy]]*Table4[[#This Row],[Ag]]*0.36</f>
        <v>626219.99999999988</v>
      </c>
      <c r="Y35" s="50">
        <f ca="1">INDEX(tbllkpkt[kt],MATCH(RANDBETWEEN(1,4),tbllkpkt[Index],0))</f>
        <v>0.75</v>
      </c>
      <c r="Z35" s="48">
        <f t="shared" ref="Z35:Z66" ca="1" si="1">1-RANDBETWEEN(0,10)/100</f>
        <v>0.9</v>
      </c>
      <c r="AA35" s="18">
        <f ca="1">Table4[[#This Row],[Ag]]*Table4[[#This Row],[Deduction_for_An]]</f>
        <v>4.4729999999999995E-3</v>
      </c>
      <c r="AB35" s="11">
        <f>Table4[[#This Row],[fy]]*Table4[[#This Row],[Ag]]</f>
        <v>1739499.9999999998</v>
      </c>
      <c r="AC35" s="11">
        <f ca="1">Table4[[#This Row],[αu]]*Table4[[#This Row],[kt]]*Table4[[#This Row],[An]]*Table4[[#This Row],[fu]]</f>
        <v>1226161.1249999998</v>
      </c>
      <c r="AD35" s="11">
        <f ca="1">MIN(Table4[[#This Row],[Nty]],Table4[[#This Row],[Ntu]])</f>
        <v>1226161.1249999998</v>
      </c>
    </row>
    <row r="36" spans="2:30" x14ac:dyDescent="0.25">
      <c r="B36" t="str">
        <f>Table4[[#This Row],[Section]]&amp;"-"&amp;Table4[[#This Row],[Grade]]</f>
        <v>168.3 x 8 CHS-CF 350</v>
      </c>
      <c r="C36" s="26" t="s">
        <v>188</v>
      </c>
      <c r="D36" s="26" t="s">
        <v>155</v>
      </c>
      <c r="E36" s="27">
        <v>31.6</v>
      </c>
      <c r="F36" s="26" t="s">
        <v>243</v>
      </c>
      <c r="G36" s="26" t="s">
        <v>244</v>
      </c>
      <c r="H36" s="28">
        <v>0.16830000000000001</v>
      </c>
      <c r="I36" s="28">
        <v>8.0000000000000002E-3</v>
      </c>
      <c r="J36" s="29">
        <v>21.037500000000001</v>
      </c>
      <c r="K36" s="30">
        <v>4.0299999999999997E-3</v>
      </c>
      <c r="L36" s="31">
        <v>1.2999999999999999E-5</v>
      </c>
      <c r="M36" s="32">
        <v>1.54E-4</v>
      </c>
      <c r="N36" s="32">
        <v>2.0599999999999999E-4</v>
      </c>
      <c r="O36" s="28">
        <v>5.67E-2</v>
      </c>
      <c r="P36" s="31">
        <v>2.5899999999999999E-5</v>
      </c>
      <c r="Q36" s="32">
        <v>3.0800000000000001E-4</v>
      </c>
      <c r="R36" s="33">
        <v>1</v>
      </c>
      <c r="S36" s="26" t="s">
        <v>152</v>
      </c>
      <c r="T36" s="32">
        <v>2.0599999999999999E-4</v>
      </c>
      <c r="U36" s="51">
        <v>0.85</v>
      </c>
      <c r="V36" s="12">
        <f t="array" ref="V36">INDEX(tbllkpSteelGrades[fy],MATCH(1,(Table4[[#This Row],[Grade]]=tbllkpSteelGrades[Grade])*(Table4[[#This Row],[t]]&lt;=tbllkpSteelGrades[Thickness]),0))</f>
        <v>350000000</v>
      </c>
      <c r="W36" s="12">
        <f t="array" ref="W36">INDEX(tbllkpSteelGrades[fu],MATCH(1,(Table4[[#This Row],[Grade]]=tbllkpSteelGrades[Grade])*(Table4[[#This Row],[t]]&lt;=tbllkpSteelGrades[Thickness]),0))</f>
        <v>430000000</v>
      </c>
      <c r="X36" s="11">
        <f>Table4[[#This Row],[fy]]*Table4[[#This Row],[Ag]]*0.36</f>
        <v>507780</v>
      </c>
      <c r="Y36" s="50">
        <f ca="1">INDEX(tbllkpkt[kt],MATCH(RANDBETWEEN(1,4),tbllkpkt[Index],0))</f>
        <v>0.9</v>
      </c>
      <c r="Z36" s="48">
        <f t="shared" ca="1" si="1"/>
        <v>0.99</v>
      </c>
      <c r="AA36" s="18">
        <f ca="1">Table4[[#This Row],[Ag]]*Table4[[#This Row],[Deduction_for_An]]</f>
        <v>3.9896999999999997E-3</v>
      </c>
      <c r="AB36" s="11">
        <f>Table4[[#This Row],[fy]]*Table4[[#This Row],[Ag]]</f>
        <v>1410500</v>
      </c>
      <c r="AC36" s="11">
        <f ca="1">Table4[[#This Row],[αu]]*Table4[[#This Row],[kt]]*Table4[[#This Row],[An]]*Table4[[#This Row],[fu]]</f>
        <v>1312411.8149999999</v>
      </c>
      <c r="AD36" s="11">
        <f ca="1">MIN(Table4[[#This Row],[Nty]],Table4[[#This Row],[Ntu]])</f>
        <v>1312411.8149999999</v>
      </c>
    </row>
    <row r="37" spans="2:30" x14ac:dyDescent="0.25">
      <c r="B37" t="str">
        <f>Table4[[#This Row],[Section]]&amp;"-"&amp;Table4[[#This Row],[Grade]]</f>
        <v>168.3 x 6 CHS-CF 350</v>
      </c>
      <c r="C37" s="26" t="s">
        <v>189</v>
      </c>
      <c r="D37" s="26" t="s">
        <v>155</v>
      </c>
      <c r="E37" s="27">
        <v>24</v>
      </c>
      <c r="F37" s="26" t="s">
        <v>243</v>
      </c>
      <c r="G37" s="26" t="s">
        <v>244</v>
      </c>
      <c r="H37" s="28">
        <v>0.16830000000000001</v>
      </c>
      <c r="I37" s="28">
        <v>6.0000000000000001E-3</v>
      </c>
      <c r="J37" s="29">
        <v>28.05</v>
      </c>
      <c r="K37" s="30">
        <v>3.0599999999999998E-3</v>
      </c>
      <c r="L37" s="31">
        <v>1.01E-5</v>
      </c>
      <c r="M37" s="32">
        <v>1.2E-4</v>
      </c>
      <c r="N37" s="32">
        <v>1.5799999999999999E-4</v>
      </c>
      <c r="O37" s="28">
        <v>5.74E-2</v>
      </c>
      <c r="P37" s="31">
        <v>2.02E-5</v>
      </c>
      <c r="Q37" s="32">
        <v>2.4000000000000001E-4</v>
      </c>
      <c r="R37" s="33">
        <v>1</v>
      </c>
      <c r="S37" s="26" t="s">
        <v>152</v>
      </c>
      <c r="T37" s="32">
        <v>1.5799999999999999E-4</v>
      </c>
      <c r="U37" s="51">
        <v>0.85</v>
      </c>
      <c r="V37" s="12">
        <f t="array" ref="V37">INDEX(tbllkpSteelGrades[fy],MATCH(1,(Table4[[#This Row],[Grade]]=tbllkpSteelGrades[Grade])*(Table4[[#This Row],[t]]&lt;=tbllkpSteelGrades[Thickness]),0))</f>
        <v>350000000</v>
      </c>
      <c r="W37" s="12">
        <f t="array" ref="W37">INDEX(tbllkpSteelGrades[fu],MATCH(1,(Table4[[#This Row],[Grade]]=tbllkpSteelGrades[Grade])*(Table4[[#This Row],[t]]&lt;=tbllkpSteelGrades[Thickness]),0))</f>
        <v>430000000</v>
      </c>
      <c r="X37" s="11">
        <f>Table4[[#This Row],[fy]]*Table4[[#This Row],[Ag]]*0.36</f>
        <v>385560</v>
      </c>
      <c r="Y37" s="50">
        <f ca="1">INDEX(tbllkpkt[kt],MATCH(RANDBETWEEN(1,4),tbllkpkt[Index],0))</f>
        <v>0.85</v>
      </c>
      <c r="Z37" s="48">
        <f t="shared" ca="1" si="1"/>
        <v>0.94</v>
      </c>
      <c r="AA37" s="18">
        <f ca="1">Table4[[#This Row],[Ag]]*Table4[[#This Row],[Deduction_for_An]]</f>
        <v>2.8763999999999994E-3</v>
      </c>
      <c r="AB37" s="11">
        <f>Table4[[#This Row],[fy]]*Table4[[#This Row],[Ag]]</f>
        <v>1071000</v>
      </c>
      <c r="AC37" s="11">
        <f ca="1">Table4[[#This Row],[αu]]*Table4[[#This Row],[kt]]*Table4[[#This Row],[An]]*Table4[[#This Row],[fu]]</f>
        <v>893625.56999999972</v>
      </c>
      <c r="AD37" s="11">
        <f ca="1">MIN(Table4[[#This Row],[Nty]],Table4[[#This Row],[Ntu]])</f>
        <v>893625.56999999972</v>
      </c>
    </row>
    <row r="38" spans="2:30" x14ac:dyDescent="0.25">
      <c r="B38" t="str">
        <f>Table4[[#This Row],[Section]]&amp;"-"&amp;Table4[[#This Row],[Grade]]</f>
        <v>168.3 x 5 CHS-CF 350</v>
      </c>
      <c r="C38" s="26" t="s">
        <v>190</v>
      </c>
      <c r="D38" s="26" t="s">
        <v>155</v>
      </c>
      <c r="E38" s="27">
        <v>20.100000000000001</v>
      </c>
      <c r="F38" s="26" t="s">
        <v>243</v>
      </c>
      <c r="G38" s="26" t="s">
        <v>244</v>
      </c>
      <c r="H38" s="28">
        <v>0.16830000000000001</v>
      </c>
      <c r="I38" s="28">
        <v>5.0000000000000001E-3</v>
      </c>
      <c r="J38" s="29">
        <v>33.660000000000004</v>
      </c>
      <c r="K38" s="30">
        <v>2.5699999999999998E-3</v>
      </c>
      <c r="L38" s="31">
        <v>8.5599999999999994E-6</v>
      </c>
      <c r="M38" s="32">
        <v>1.02E-4</v>
      </c>
      <c r="N38" s="32">
        <v>1.3300000000000001E-4</v>
      </c>
      <c r="O38" s="28">
        <v>5.7799999999999997E-2</v>
      </c>
      <c r="P38" s="31">
        <v>1.7099999999999999E-5</v>
      </c>
      <c r="Q38" s="32">
        <v>2.03E-4</v>
      </c>
      <c r="R38" s="33">
        <v>1</v>
      </c>
      <c r="S38" s="26" t="s">
        <v>152</v>
      </c>
      <c r="T38" s="32">
        <v>1.3300000000000001E-4</v>
      </c>
      <c r="U38" s="51">
        <v>0.85</v>
      </c>
      <c r="V38" s="12">
        <f t="array" ref="V38">INDEX(tbllkpSteelGrades[fy],MATCH(1,(Table4[[#This Row],[Grade]]=tbllkpSteelGrades[Grade])*(Table4[[#This Row],[t]]&lt;=tbllkpSteelGrades[Thickness]),0))</f>
        <v>350000000</v>
      </c>
      <c r="W38" s="12">
        <f t="array" ref="W38">INDEX(tbllkpSteelGrades[fu],MATCH(1,(Table4[[#This Row],[Grade]]=tbllkpSteelGrades[Grade])*(Table4[[#This Row],[t]]&lt;=tbllkpSteelGrades[Thickness]),0))</f>
        <v>430000000</v>
      </c>
      <c r="X38" s="11">
        <f>Table4[[#This Row],[fy]]*Table4[[#This Row],[Ag]]*0.36</f>
        <v>323819.99999999994</v>
      </c>
      <c r="Y38" s="50">
        <f ca="1">INDEX(tbllkpkt[kt],MATCH(RANDBETWEEN(1,4),tbllkpkt[Index],0))</f>
        <v>0.85</v>
      </c>
      <c r="Z38" s="48">
        <f t="shared" ca="1" si="1"/>
        <v>0.95</v>
      </c>
      <c r="AA38" s="18">
        <f ca="1">Table4[[#This Row],[Ag]]*Table4[[#This Row],[Deduction_for_An]]</f>
        <v>2.4414999999999997E-3</v>
      </c>
      <c r="AB38" s="11">
        <f>Table4[[#This Row],[fy]]*Table4[[#This Row],[Ag]]</f>
        <v>899499.99999999988</v>
      </c>
      <c r="AC38" s="11">
        <f ca="1">Table4[[#This Row],[αu]]*Table4[[#This Row],[kt]]*Table4[[#This Row],[An]]*Table4[[#This Row],[fu]]</f>
        <v>758513.01249999984</v>
      </c>
      <c r="AD38" s="11">
        <f ca="1">MIN(Table4[[#This Row],[Nty]],Table4[[#This Row],[Ntu]])</f>
        <v>758513.01249999984</v>
      </c>
    </row>
    <row r="39" spans="2:30" x14ac:dyDescent="0.25">
      <c r="B39" t="str">
        <f>Table4[[#This Row],[Section]]&amp;"-"&amp;Table4[[#This Row],[Grade]]</f>
        <v>168.3 x 4 CHS-CF 350</v>
      </c>
      <c r="C39" s="26" t="s">
        <v>191</v>
      </c>
      <c r="D39" s="26" t="s">
        <v>155</v>
      </c>
      <c r="E39" s="27">
        <v>16.2</v>
      </c>
      <c r="F39" s="26" t="s">
        <v>243</v>
      </c>
      <c r="G39" s="26" t="s">
        <v>244</v>
      </c>
      <c r="H39" s="28">
        <v>0.16830000000000001</v>
      </c>
      <c r="I39" s="28">
        <v>4.0000000000000001E-3</v>
      </c>
      <c r="J39" s="29">
        <v>42.075000000000003</v>
      </c>
      <c r="K39" s="30">
        <v>2.0600000000000002E-3</v>
      </c>
      <c r="L39" s="31">
        <v>6.9700000000000002E-6</v>
      </c>
      <c r="M39" s="32">
        <v>8.2799999999999993E-5</v>
      </c>
      <c r="N39" s="32">
        <v>1.08E-4</v>
      </c>
      <c r="O39" s="28">
        <v>5.8099999999999999E-2</v>
      </c>
      <c r="P39" s="31">
        <v>1.3900000000000001E-5</v>
      </c>
      <c r="Q39" s="32">
        <v>1.66E-4</v>
      </c>
      <c r="R39" s="33">
        <v>1</v>
      </c>
      <c r="S39" s="26" t="s">
        <v>245</v>
      </c>
      <c r="T39" s="32">
        <v>1.05E-4</v>
      </c>
      <c r="U39" s="51">
        <v>0.85</v>
      </c>
      <c r="V39" s="12">
        <f t="array" ref="V39">INDEX(tbllkpSteelGrades[fy],MATCH(1,(Table4[[#This Row],[Grade]]=tbllkpSteelGrades[Grade])*(Table4[[#This Row],[t]]&lt;=tbllkpSteelGrades[Thickness]),0))</f>
        <v>350000000</v>
      </c>
      <c r="W39" s="12">
        <f t="array" ref="W39">INDEX(tbllkpSteelGrades[fu],MATCH(1,(Table4[[#This Row],[Grade]]=tbllkpSteelGrades[Grade])*(Table4[[#This Row],[t]]&lt;=tbllkpSteelGrades[Thickness]),0))</f>
        <v>430000000</v>
      </c>
      <c r="X39" s="11">
        <f>Table4[[#This Row],[fy]]*Table4[[#This Row],[Ag]]*0.36</f>
        <v>259560.00000000003</v>
      </c>
      <c r="Y39" s="50">
        <f ca="1">INDEX(tbllkpkt[kt],MATCH(RANDBETWEEN(1,4),tbllkpkt[Index],0))</f>
        <v>1</v>
      </c>
      <c r="Z39" s="48">
        <f t="shared" ca="1" si="1"/>
        <v>0.98</v>
      </c>
      <c r="AA39" s="18">
        <f ca="1">Table4[[#This Row],[Ag]]*Table4[[#This Row],[Deduction_for_An]]</f>
        <v>2.0188000000000003E-3</v>
      </c>
      <c r="AB39" s="11">
        <f>Table4[[#This Row],[fy]]*Table4[[#This Row],[Ag]]</f>
        <v>721000.00000000012</v>
      </c>
      <c r="AC39" s="11">
        <f ca="1">Table4[[#This Row],[αu]]*Table4[[#This Row],[kt]]*Table4[[#This Row],[An]]*Table4[[#This Row],[fu]]</f>
        <v>737871.40000000014</v>
      </c>
      <c r="AD39" s="11">
        <f ca="1">MIN(Table4[[#This Row],[Nty]],Table4[[#This Row],[Ntu]])</f>
        <v>721000.00000000012</v>
      </c>
    </row>
    <row r="40" spans="2:30" x14ac:dyDescent="0.25">
      <c r="B40" t="str">
        <f>Table4[[#This Row],[Section]]&amp;"-"&amp;Table4[[#This Row],[Grade]]</f>
        <v>165.1 x 3.5 CHS-CF 350</v>
      </c>
      <c r="C40" s="26" t="s">
        <v>192</v>
      </c>
      <c r="D40" s="26" t="s">
        <v>155</v>
      </c>
      <c r="E40" s="27">
        <v>13.9</v>
      </c>
      <c r="F40" s="26" t="s">
        <v>243</v>
      </c>
      <c r="G40" s="26" t="s">
        <v>244</v>
      </c>
      <c r="H40" s="28">
        <v>0.1651</v>
      </c>
      <c r="I40" s="28">
        <v>3.5000000000000001E-3</v>
      </c>
      <c r="J40" s="29">
        <v>47.171428571428571</v>
      </c>
      <c r="K40" s="30">
        <v>1.7799999999999999E-3</v>
      </c>
      <c r="L40" s="31">
        <v>5.8000000000000004E-6</v>
      </c>
      <c r="M40" s="32">
        <v>7.0300000000000001E-5</v>
      </c>
      <c r="N40" s="32">
        <v>9.1399999999999999E-5</v>
      </c>
      <c r="O40" s="28">
        <v>5.7099999999999998E-2</v>
      </c>
      <c r="P40" s="31">
        <v>1.1600000000000001E-5</v>
      </c>
      <c r="Q40" s="32">
        <v>1.4100000000000001E-4</v>
      </c>
      <c r="R40" s="33">
        <v>1</v>
      </c>
      <c r="S40" s="26" t="s">
        <v>245</v>
      </c>
      <c r="T40" s="32">
        <v>8.6600000000000004E-5</v>
      </c>
      <c r="U40" s="51">
        <v>0.85</v>
      </c>
      <c r="V40" s="12">
        <f t="array" ref="V40">INDEX(tbllkpSteelGrades[fy],MATCH(1,(Table4[[#This Row],[Grade]]=tbllkpSteelGrades[Grade])*(Table4[[#This Row],[t]]&lt;=tbllkpSteelGrades[Thickness]),0))</f>
        <v>350000000</v>
      </c>
      <c r="W40" s="12">
        <f t="array" ref="W40">INDEX(tbllkpSteelGrades[fu],MATCH(1,(Table4[[#This Row],[Grade]]=tbllkpSteelGrades[Grade])*(Table4[[#This Row],[t]]&lt;=tbllkpSteelGrades[Thickness]),0))</f>
        <v>430000000</v>
      </c>
      <c r="X40" s="11">
        <f>Table4[[#This Row],[fy]]*Table4[[#This Row],[Ag]]*0.36</f>
        <v>224280</v>
      </c>
      <c r="Y40" s="50">
        <f ca="1">INDEX(tbllkpkt[kt],MATCH(RANDBETWEEN(1,4),tbllkpkt[Index],0))</f>
        <v>1</v>
      </c>
      <c r="Z40" s="48">
        <f t="shared" ca="1" si="1"/>
        <v>1</v>
      </c>
      <c r="AA40" s="18">
        <f ca="1">Table4[[#This Row],[Ag]]*Table4[[#This Row],[Deduction_for_An]]</f>
        <v>1.7799999999999999E-3</v>
      </c>
      <c r="AB40" s="11">
        <f>Table4[[#This Row],[fy]]*Table4[[#This Row],[Ag]]</f>
        <v>623000</v>
      </c>
      <c r="AC40" s="11">
        <f ca="1">Table4[[#This Row],[αu]]*Table4[[#This Row],[kt]]*Table4[[#This Row],[An]]*Table4[[#This Row],[fu]]</f>
        <v>650589.99999999988</v>
      </c>
      <c r="AD40" s="11">
        <f ca="1">MIN(Table4[[#This Row],[Nty]],Table4[[#This Row],[Ntu]])</f>
        <v>623000</v>
      </c>
    </row>
    <row r="41" spans="2:30" x14ac:dyDescent="0.25">
      <c r="B41" t="str">
        <f>Table4[[#This Row],[Section]]&amp;"-"&amp;Table4[[#This Row],[Grade]]</f>
        <v>165.1 x 3 CHS-CF 350</v>
      </c>
      <c r="C41" s="26" t="s">
        <v>193</v>
      </c>
      <c r="D41" s="26" t="s">
        <v>155</v>
      </c>
      <c r="E41" s="27">
        <v>12</v>
      </c>
      <c r="F41" s="26" t="s">
        <v>243</v>
      </c>
      <c r="G41" s="26" t="s">
        <v>244</v>
      </c>
      <c r="H41" s="28">
        <v>0.1651</v>
      </c>
      <c r="I41" s="28">
        <v>3.0000000000000001E-3</v>
      </c>
      <c r="J41" s="29">
        <v>55.033333333333331</v>
      </c>
      <c r="K41" s="30">
        <v>1.5299999999999999E-3</v>
      </c>
      <c r="L41" s="31">
        <v>5.0200000000000002E-6</v>
      </c>
      <c r="M41" s="32">
        <v>6.0800000000000001E-5</v>
      </c>
      <c r="N41" s="32">
        <v>7.8800000000000004E-5</v>
      </c>
      <c r="O41" s="28">
        <v>5.7299999999999997E-2</v>
      </c>
      <c r="P41" s="31">
        <v>1.0000000000000001E-5</v>
      </c>
      <c r="Q41" s="32">
        <v>1.22E-4</v>
      </c>
      <c r="R41" s="33">
        <v>1</v>
      </c>
      <c r="S41" s="26" t="s">
        <v>245</v>
      </c>
      <c r="T41" s="32">
        <v>7.1899999999999999E-5</v>
      </c>
      <c r="U41" s="51">
        <v>0.85</v>
      </c>
      <c r="V41" s="12">
        <f t="array" ref="V41">INDEX(tbllkpSteelGrades[fy],MATCH(1,(Table4[[#This Row],[Grade]]=tbllkpSteelGrades[Grade])*(Table4[[#This Row],[t]]&lt;=tbllkpSteelGrades[Thickness]),0))</f>
        <v>350000000</v>
      </c>
      <c r="W41" s="12">
        <f t="array" ref="W41">INDEX(tbllkpSteelGrades[fu],MATCH(1,(Table4[[#This Row],[Grade]]=tbllkpSteelGrades[Grade])*(Table4[[#This Row],[t]]&lt;=tbllkpSteelGrades[Thickness]),0))</f>
        <v>430000000</v>
      </c>
      <c r="X41" s="11">
        <f>Table4[[#This Row],[fy]]*Table4[[#This Row],[Ag]]*0.36</f>
        <v>192780</v>
      </c>
      <c r="Y41" s="50">
        <f ca="1">INDEX(tbllkpkt[kt],MATCH(RANDBETWEEN(1,4),tbllkpkt[Index],0))</f>
        <v>0.75</v>
      </c>
      <c r="Z41" s="48">
        <f t="shared" ca="1" si="1"/>
        <v>0.92</v>
      </c>
      <c r="AA41" s="18">
        <f ca="1">Table4[[#This Row],[Ag]]*Table4[[#This Row],[Deduction_for_An]]</f>
        <v>1.4076E-3</v>
      </c>
      <c r="AB41" s="11">
        <f>Table4[[#This Row],[fy]]*Table4[[#This Row],[Ag]]</f>
        <v>535500</v>
      </c>
      <c r="AC41" s="11">
        <f ca="1">Table4[[#This Row],[αu]]*Table4[[#This Row],[kt]]*Table4[[#This Row],[An]]*Table4[[#This Row],[fu]]</f>
        <v>385858.35</v>
      </c>
      <c r="AD41" s="11">
        <f ca="1">MIN(Table4[[#This Row],[Nty]],Table4[[#This Row],[Ntu]])</f>
        <v>385858.35</v>
      </c>
    </row>
    <row r="42" spans="2:30" x14ac:dyDescent="0.25">
      <c r="B42" t="str">
        <f>Table4[[#This Row],[Section]]&amp;"-"&amp;Table4[[#This Row],[Grade]]</f>
        <v>139.7 x 3.5 CHS-CF 350</v>
      </c>
      <c r="C42" s="26" t="s">
        <v>194</v>
      </c>
      <c r="D42" s="26" t="s">
        <v>155</v>
      </c>
      <c r="E42" s="27">
        <v>11.8</v>
      </c>
      <c r="F42" s="26" t="s">
        <v>243</v>
      </c>
      <c r="G42" s="26" t="s">
        <v>244</v>
      </c>
      <c r="H42" s="28">
        <v>0.13969999999999999</v>
      </c>
      <c r="I42" s="28">
        <v>3.5000000000000001E-3</v>
      </c>
      <c r="J42" s="29">
        <v>39.914285714285711</v>
      </c>
      <c r="K42" s="30">
        <v>1.5E-3</v>
      </c>
      <c r="L42" s="31">
        <v>3.4699999999999998E-6</v>
      </c>
      <c r="M42" s="32">
        <v>4.9700000000000002E-5</v>
      </c>
      <c r="N42" s="32">
        <v>6.4900000000000005E-5</v>
      </c>
      <c r="O42" s="28">
        <v>4.82E-2</v>
      </c>
      <c r="P42" s="31">
        <v>6.9500000000000004E-6</v>
      </c>
      <c r="Q42" s="32">
        <v>9.9500000000000006E-5</v>
      </c>
      <c r="R42" s="33">
        <v>1</v>
      </c>
      <c r="S42" s="26" t="s">
        <v>245</v>
      </c>
      <c r="T42" s="32">
        <v>6.3700000000000003E-5</v>
      </c>
      <c r="U42" s="51">
        <v>0.85</v>
      </c>
      <c r="V42" s="12">
        <f t="array" ref="V42">INDEX(tbllkpSteelGrades[fy],MATCH(1,(Table4[[#This Row],[Grade]]=tbllkpSteelGrades[Grade])*(Table4[[#This Row],[t]]&lt;=tbllkpSteelGrades[Thickness]),0))</f>
        <v>350000000</v>
      </c>
      <c r="W42" s="12">
        <f t="array" ref="W42">INDEX(tbllkpSteelGrades[fu],MATCH(1,(Table4[[#This Row],[Grade]]=tbllkpSteelGrades[Grade])*(Table4[[#This Row],[t]]&lt;=tbllkpSteelGrades[Thickness]),0))</f>
        <v>430000000</v>
      </c>
      <c r="X42" s="11">
        <f>Table4[[#This Row],[fy]]*Table4[[#This Row],[Ag]]*0.36</f>
        <v>189000</v>
      </c>
      <c r="Y42" s="50">
        <f ca="1">INDEX(tbllkpkt[kt],MATCH(RANDBETWEEN(1,4),tbllkpkt[Index],0))</f>
        <v>0.9</v>
      </c>
      <c r="Z42" s="48">
        <f t="shared" ca="1" si="1"/>
        <v>0.97</v>
      </c>
      <c r="AA42" s="18">
        <f ca="1">Table4[[#This Row],[Ag]]*Table4[[#This Row],[Deduction_for_An]]</f>
        <v>1.4549999999999999E-3</v>
      </c>
      <c r="AB42" s="11">
        <f>Table4[[#This Row],[fy]]*Table4[[#This Row],[Ag]]</f>
        <v>525000</v>
      </c>
      <c r="AC42" s="11">
        <f ca="1">Table4[[#This Row],[αu]]*Table4[[#This Row],[kt]]*Table4[[#This Row],[An]]*Table4[[#This Row],[fu]]</f>
        <v>478622.25</v>
      </c>
      <c r="AD42" s="11">
        <f ca="1">MIN(Table4[[#This Row],[Nty]],Table4[[#This Row],[Ntu]])</f>
        <v>478622.25</v>
      </c>
    </row>
    <row r="43" spans="2:30" x14ac:dyDescent="0.25">
      <c r="B43" t="str">
        <f>Table4[[#This Row],[Section]]&amp;"-"&amp;Table4[[#This Row],[Grade]]</f>
        <v>139.7 x 3 CHS-CF 350</v>
      </c>
      <c r="C43" s="26" t="s">
        <v>195</v>
      </c>
      <c r="D43" s="26" t="s">
        <v>155</v>
      </c>
      <c r="E43" s="27">
        <v>10.1</v>
      </c>
      <c r="F43" s="26" t="s">
        <v>243</v>
      </c>
      <c r="G43" s="26" t="s">
        <v>244</v>
      </c>
      <c r="H43" s="28">
        <v>0.13969999999999999</v>
      </c>
      <c r="I43" s="28">
        <v>3.0000000000000001E-3</v>
      </c>
      <c r="J43" s="29">
        <v>46.566666666666663</v>
      </c>
      <c r="K43" s="30">
        <v>1.2899999999999999E-3</v>
      </c>
      <c r="L43" s="31">
        <v>3.01E-6</v>
      </c>
      <c r="M43" s="32">
        <v>4.3099999999999997E-5</v>
      </c>
      <c r="N43" s="32">
        <v>5.6100000000000002E-5</v>
      </c>
      <c r="O43" s="28">
        <v>4.8299999999999996E-2</v>
      </c>
      <c r="P43" s="31">
        <v>6.02E-6</v>
      </c>
      <c r="Q43" s="32">
        <v>8.6199999999999995E-5</v>
      </c>
      <c r="R43" s="33">
        <v>1</v>
      </c>
      <c r="S43" s="26" t="s">
        <v>245</v>
      </c>
      <c r="T43" s="32">
        <v>5.3300000000000001E-5</v>
      </c>
      <c r="U43" s="51">
        <v>0.85</v>
      </c>
      <c r="V43" s="12">
        <f t="array" ref="V43">INDEX(tbllkpSteelGrades[fy],MATCH(1,(Table4[[#This Row],[Grade]]=tbllkpSteelGrades[Grade])*(Table4[[#This Row],[t]]&lt;=tbllkpSteelGrades[Thickness]),0))</f>
        <v>350000000</v>
      </c>
      <c r="W43" s="12">
        <f t="array" ref="W43">INDEX(tbllkpSteelGrades[fu],MATCH(1,(Table4[[#This Row],[Grade]]=tbllkpSteelGrades[Grade])*(Table4[[#This Row],[t]]&lt;=tbllkpSteelGrades[Thickness]),0))</f>
        <v>430000000</v>
      </c>
      <c r="X43" s="11">
        <f>Table4[[#This Row],[fy]]*Table4[[#This Row],[Ag]]*0.36</f>
        <v>162539.99999999997</v>
      </c>
      <c r="Y43" s="50">
        <f ca="1">INDEX(tbllkpkt[kt],MATCH(RANDBETWEEN(1,4),tbllkpkt[Index],0))</f>
        <v>0.85</v>
      </c>
      <c r="Z43" s="48">
        <f t="shared" ca="1" si="1"/>
        <v>0.92</v>
      </c>
      <c r="AA43" s="18">
        <f ca="1">Table4[[#This Row],[Ag]]*Table4[[#This Row],[Deduction_for_An]]</f>
        <v>1.1868E-3</v>
      </c>
      <c r="AB43" s="11">
        <f>Table4[[#This Row],[fy]]*Table4[[#This Row],[Ag]]</f>
        <v>451499.99999999994</v>
      </c>
      <c r="AC43" s="11">
        <f ca="1">Table4[[#This Row],[αu]]*Table4[[#This Row],[kt]]*Table4[[#This Row],[An]]*Table4[[#This Row],[fu]]</f>
        <v>368709.08999999997</v>
      </c>
      <c r="AD43" s="11">
        <f ca="1">MIN(Table4[[#This Row],[Nty]],Table4[[#This Row],[Ntu]])</f>
        <v>368709.08999999997</v>
      </c>
    </row>
    <row r="44" spans="2:30" x14ac:dyDescent="0.25">
      <c r="B44" t="str">
        <f>Table4[[#This Row],[Section]]&amp;"-"&amp;Table4[[#This Row],[Grade]]</f>
        <v>114.3 x 3.6 CHS-CF 350</v>
      </c>
      <c r="C44" s="26" t="s">
        <v>196</v>
      </c>
      <c r="D44" s="26" t="s">
        <v>155</v>
      </c>
      <c r="E44" s="27">
        <v>9.83</v>
      </c>
      <c r="F44" s="26" t="s">
        <v>243</v>
      </c>
      <c r="G44" s="26" t="s">
        <v>244</v>
      </c>
      <c r="H44" s="28">
        <v>0.1143</v>
      </c>
      <c r="I44" s="28">
        <v>3.5999999999999999E-3</v>
      </c>
      <c r="J44" s="29">
        <v>31.75</v>
      </c>
      <c r="K44" s="30">
        <v>1.25E-3</v>
      </c>
      <c r="L44" s="31">
        <v>1.9199999999999998E-6</v>
      </c>
      <c r="M44" s="32">
        <v>3.3599999999999997E-5</v>
      </c>
      <c r="N44" s="32">
        <v>4.4100000000000001E-5</v>
      </c>
      <c r="O44" s="28">
        <v>3.9200000000000006E-2</v>
      </c>
      <c r="P44" s="31">
        <v>3.8399999999999997E-6</v>
      </c>
      <c r="Q44" s="32">
        <v>6.7199999999999994E-5</v>
      </c>
      <c r="R44" s="33">
        <v>1</v>
      </c>
      <c r="S44" s="26" t="s">
        <v>152</v>
      </c>
      <c r="T44" s="32">
        <v>4.4100000000000001E-5</v>
      </c>
      <c r="U44" s="51">
        <v>0.85</v>
      </c>
      <c r="V44" s="12">
        <f t="array" ref="V44">INDEX(tbllkpSteelGrades[fy],MATCH(1,(Table4[[#This Row],[Grade]]=tbllkpSteelGrades[Grade])*(Table4[[#This Row],[t]]&lt;=tbllkpSteelGrades[Thickness]),0))</f>
        <v>350000000</v>
      </c>
      <c r="W44" s="12">
        <f t="array" ref="W44">INDEX(tbllkpSteelGrades[fu],MATCH(1,(Table4[[#This Row],[Grade]]=tbllkpSteelGrades[Grade])*(Table4[[#This Row],[t]]&lt;=tbllkpSteelGrades[Thickness]),0))</f>
        <v>430000000</v>
      </c>
      <c r="X44" s="11">
        <f>Table4[[#This Row],[fy]]*Table4[[#This Row],[Ag]]*0.36</f>
        <v>157500</v>
      </c>
      <c r="Y44" s="50">
        <f ca="1">INDEX(tbllkpkt[kt],MATCH(RANDBETWEEN(1,4),tbllkpkt[Index],0))</f>
        <v>0.85</v>
      </c>
      <c r="Z44" s="48">
        <f t="shared" ca="1" si="1"/>
        <v>0.92</v>
      </c>
      <c r="AA44" s="18">
        <f ca="1">Table4[[#This Row],[Ag]]*Table4[[#This Row],[Deduction_for_An]]</f>
        <v>1.15E-3</v>
      </c>
      <c r="AB44" s="11">
        <f>Table4[[#This Row],[fy]]*Table4[[#This Row],[Ag]]</f>
        <v>437500</v>
      </c>
      <c r="AC44" s="11">
        <f ca="1">Table4[[#This Row],[αu]]*Table4[[#This Row],[kt]]*Table4[[#This Row],[An]]*Table4[[#This Row],[fu]]</f>
        <v>357276.24999999994</v>
      </c>
      <c r="AD44" s="11">
        <f ca="1">MIN(Table4[[#This Row],[Nty]],Table4[[#This Row],[Ntu]])</f>
        <v>357276.24999999994</v>
      </c>
    </row>
    <row r="45" spans="2:30" x14ac:dyDescent="0.25">
      <c r="B45" t="str">
        <f>Table4[[#This Row],[Section]]&amp;"-"&amp;Table4[[#This Row],[Grade]]</f>
        <v>114.3 x 3.2 CHS-CF 350</v>
      </c>
      <c r="C45" s="26" t="s">
        <v>197</v>
      </c>
      <c r="D45" s="26" t="s">
        <v>155</v>
      </c>
      <c r="E45" s="27">
        <v>8.77</v>
      </c>
      <c r="F45" s="26" t="s">
        <v>243</v>
      </c>
      <c r="G45" s="26" t="s">
        <v>244</v>
      </c>
      <c r="H45" s="28">
        <v>0.1143</v>
      </c>
      <c r="I45" s="28">
        <v>3.2000000000000002E-3</v>
      </c>
      <c r="J45" s="29">
        <v>35.71875</v>
      </c>
      <c r="K45" s="30">
        <v>1.1199999999999999E-3</v>
      </c>
      <c r="L45" s="31">
        <v>1.72E-6</v>
      </c>
      <c r="M45" s="32">
        <v>3.0199999999999999E-5</v>
      </c>
      <c r="N45" s="32">
        <v>3.9499999999999998E-5</v>
      </c>
      <c r="O45" s="28">
        <v>3.9299999999999995E-2</v>
      </c>
      <c r="P45" s="31">
        <v>3.45E-6</v>
      </c>
      <c r="Q45" s="32">
        <v>6.0399999999999998E-5</v>
      </c>
      <c r="R45" s="33">
        <v>1</v>
      </c>
      <c r="S45" s="26" t="s">
        <v>245</v>
      </c>
      <c r="T45" s="32">
        <v>3.9499999999999998E-5</v>
      </c>
      <c r="U45" s="51">
        <v>0.85</v>
      </c>
      <c r="V45" s="12">
        <f t="array" ref="V45">INDEX(tbllkpSteelGrades[fy],MATCH(1,(Table4[[#This Row],[Grade]]=tbllkpSteelGrades[Grade])*(Table4[[#This Row],[t]]&lt;=tbllkpSteelGrades[Thickness]),0))</f>
        <v>350000000</v>
      </c>
      <c r="W45" s="12">
        <f t="array" ref="W45">INDEX(tbllkpSteelGrades[fu],MATCH(1,(Table4[[#This Row],[Grade]]=tbllkpSteelGrades[Grade])*(Table4[[#This Row],[t]]&lt;=tbllkpSteelGrades[Thickness]),0))</f>
        <v>430000000</v>
      </c>
      <c r="X45" s="11">
        <f>Table4[[#This Row],[fy]]*Table4[[#This Row],[Ag]]*0.36</f>
        <v>141119.99999999997</v>
      </c>
      <c r="Y45" s="50">
        <f ca="1">INDEX(tbllkpkt[kt],MATCH(RANDBETWEEN(1,4),tbllkpkt[Index],0))</f>
        <v>1</v>
      </c>
      <c r="Z45" s="48">
        <f t="shared" ca="1" si="1"/>
        <v>1</v>
      </c>
      <c r="AA45" s="18">
        <f ca="1">Table4[[#This Row],[Ag]]*Table4[[#This Row],[Deduction_for_An]]</f>
        <v>1.1199999999999999E-3</v>
      </c>
      <c r="AB45" s="11">
        <f>Table4[[#This Row],[fy]]*Table4[[#This Row],[Ag]]</f>
        <v>391999.99999999994</v>
      </c>
      <c r="AC45" s="11">
        <f ca="1">Table4[[#This Row],[αu]]*Table4[[#This Row],[kt]]*Table4[[#This Row],[An]]*Table4[[#This Row],[fu]]</f>
        <v>409360</v>
      </c>
      <c r="AD45" s="11">
        <f ca="1">MIN(Table4[[#This Row],[Nty]],Table4[[#This Row],[Ntu]])</f>
        <v>391999.99999999994</v>
      </c>
    </row>
    <row r="46" spans="2:30" x14ac:dyDescent="0.25">
      <c r="B46" t="str">
        <f>Table4[[#This Row],[Section]]&amp;"-"&amp;Table4[[#This Row],[Grade]]</f>
        <v>101.6 x 3.2 CHS-CF 350</v>
      </c>
      <c r="C46" s="26" t="s">
        <v>198</v>
      </c>
      <c r="D46" s="26" t="s">
        <v>155</v>
      </c>
      <c r="E46" s="27">
        <v>7.77</v>
      </c>
      <c r="F46" s="26" t="s">
        <v>243</v>
      </c>
      <c r="G46" s="26" t="s">
        <v>244</v>
      </c>
      <c r="H46" s="28">
        <v>0.1016</v>
      </c>
      <c r="I46" s="28">
        <v>3.2000000000000002E-3</v>
      </c>
      <c r="J46" s="29">
        <v>31.749999999999996</v>
      </c>
      <c r="K46" s="30">
        <v>9.8900000000000008E-4</v>
      </c>
      <c r="L46" s="31">
        <v>1.1999999999999999E-6</v>
      </c>
      <c r="M46" s="32">
        <v>2.3600000000000001E-5</v>
      </c>
      <c r="N46" s="32">
        <v>3.1000000000000001E-5</v>
      </c>
      <c r="O46" s="28">
        <v>3.4799999999999998E-2</v>
      </c>
      <c r="P46" s="31">
        <v>2.3999999999999999E-6</v>
      </c>
      <c r="Q46" s="32">
        <v>4.7200000000000002E-5</v>
      </c>
      <c r="R46" s="33">
        <v>1</v>
      </c>
      <c r="S46" s="26" t="s">
        <v>152</v>
      </c>
      <c r="T46" s="32">
        <v>3.1000000000000001E-5</v>
      </c>
      <c r="U46" s="51">
        <v>0.85</v>
      </c>
      <c r="V46" s="12">
        <f t="array" ref="V46">INDEX(tbllkpSteelGrades[fy],MATCH(1,(Table4[[#This Row],[Grade]]=tbllkpSteelGrades[Grade])*(Table4[[#This Row],[t]]&lt;=tbllkpSteelGrades[Thickness]),0))</f>
        <v>350000000</v>
      </c>
      <c r="W46" s="12">
        <f t="array" ref="W46">INDEX(tbllkpSteelGrades[fu],MATCH(1,(Table4[[#This Row],[Grade]]=tbllkpSteelGrades[Grade])*(Table4[[#This Row],[t]]&lt;=tbllkpSteelGrades[Thickness]),0))</f>
        <v>430000000</v>
      </c>
      <c r="X46" s="11">
        <f>Table4[[#This Row],[fy]]*Table4[[#This Row],[Ag]]*0.36</f>
        <v>124614</v>
      </c>
      <c r="Y46" s="50">
        <f ca="1">INDEX(tbllkpkt[kt],MATCH(RANDBETWEEN(1,4),tbllkpkt[Index],0))</f>
        <v>0.9</v>
      </c>
      <c r="Z46" s="48">
        <f t="shared" ca="1" si="1"/>
        <v>0.9</v>
      </c>
      <c r="AA46" s="18">
        <f ca="1">Table4[[#This Row],[Ag]]*Table4[[#This Row],[Deduction_for_An]]</f>
        <v>8.9010000000000011E-4</v>
      </c>
      <c r="AB46" s="11">
        <f>Table4[[#This Row],[fy]]*Table4[[#This Row],[Ag]]</f>
        <v>346150</v>
      </c>
      <c r="AC46" s="11">
        <f ca="1">Table4[[#This Row],[αu]]*Table4[[#This Row],[kt]]*Table4[[#This Row],[An]]*Table4[[#This Row],[fu]]</f>
        <v>292798.39500000002</v>
      </c>
      <c r="AD46" s="11">
        <f ca="1">MIN(Table4[[#This Row],[Nty]],Table4[[#This Row],[Ntu]])</f>
        <v>292798.39500000002</v>
      </c>
    </row>
    <row r="47" spans="2:30" x14ac:dyDescent="0.25">
      <c r="B47" t="str">
        <f>Table4[[#This Row],[Section]]&amp;"-"&amp;Table4[[#This Row],[Grade]]</f>
        <v>101.6 x 2.6 CHS-CF 350</v>
      </c>
      <c r="C47" s="26" t="s">
        <v>199</v>
      </c>
      <c r="D47" s="26" t="s">
        <v>155</v>
      </c>
      <c r="E47" s="27">
        <v>6.35</v>
      </c>
      <c r="F47" s="26" t="s">
        <v>243</v>
      </c>
      <c r="G47" s="26" t="s">
        <v>244</v>
      </c>
      <c r="H47" s="28">
        <v>0.1016</v>
      </c>
      <c r="I47" s="28">
        <v>2.5999999999999999E-3</v>
      </c>
      <c r="J47" s="29">
        <v>39.07692307692308</v>
      </c>
      <c r="K47" s="30">
        <v>8.0900000000000004E-4</v>
      </c>
      <c r="L47" s="31">
        <v>9.9099999999999991E-7</v>
      </c>
      <c r="M47" s="32">
        <v>1.95E-5</v>
      </c>
      <c r="N47" s="32">
        <v>2.55E-5</v>
      </c>
      <c r="O47" s="28">
        <v>3.5000000000000003E-2</v>
      </c>
      <c r="P47" s="31">
        <v>1.9800000000000001E-6</v>
      </c>
      <c r="Q47" s="32">
        <v>3.8999999999999999E-5</v>
      </c>
      <c r="R47" s="33">
        <v>1</v>
      </c>
      <c r="S47" s="26" t="s">
        <v>245</v>
      </c>
      <c r="T47" s="32">
        <v>2.51E-5</v>
      </c>
      <c r="U47" s="51">
        <v>0.85</v>
      </c>
      <c r="V47" s="12">
        <f t="array" ref="V47">INDEX(tbllkpSteelGrades[fy],MATCH(1,(Table4[[#This Row],[Grade]]=tbllkpSteelGrades[Grade])*(Table4[[#This Row],[t]]&lt;=tbllkpSteelGrades[Thickness]),0))</f>
        <v>350000000</v>
      </c>
      <c r="W47" s="12">
        <f t="array" ref="W47">INDEX(tbllkpSteelGrades[fu],MATCH(1,(Table4[[#This Row],[Grade]]=tbllkpSteelGrades[Grade])*(Table4[[#This Row],[t]]&lt;=tbllkpSteelGrades[Thickness]),0))</f>
        <v>430000000</v>
      </c>
      <c r="X47" s="11">
        <f>Table4[[#This Row],[fy]]*Table4[[#This Row],[Ag]]*0.36</f>
        <v>101934</v>
      </c>
      <c r="Y47" s="50">
        <f ca="1">INDEX(tbllkpkt[kt],MATCH(RANDBETWEEN(1,4),tbllkpkt[Index],0))</f>
        <v>0.75</v>
      </c>
      <c r="Z47" s="48">
        <f t="shared" ca="1" si="1"/>
        <v>0.91</v>
      </c>
      <c r="AA47" s="18">
        <f ca="1">Table4[[#This Row],[Ag]]*Table4[[#This Row],[Deduction_for_An]]</f>
        <v>7.3619000000000006E-4</v>
      </c>
      <c r="AB47" s="11">
        <f>Table4[[#This Row],[fy]]*Table4[[#This Row],[Ag]]</f>
        <v>283150</v>
      </c>
      <c r="AC47" s="11">
        <f ca="1">Table4[[#This Row],[αu]]*Table4[[#This Row],[kt]]*Table4[[#This Row],[An]]*Table4[[#This Row],[fu]]</f>
        <v>201808.08375000002</v>
      </c>
      <c r="AD47" s="11">
        <f ca="1">MIN(Table4[[#This Row],[Nty]],Table4[[#This Row],[Ntu]])</f>
        <v>201808.08375000002</v>
      </c>
    </row>
    <row r="48" spans="2:30" x14ac:dyDescent="0.25">
      <c r="B48" t="str">
        <f>Table4[[#This Row],[Section]]&amp;"-"&amp;Table4[[#This Row],[Grade]]</f>
        <v>88.9 x 3.2 CHS-CF 350</v>
      </c>
      <c r="C48" s="26" t="s">
        <v>200</v>
      </c>
      <c r="D48" s="26" t="s">
        <v>155</v>
      </c>
      <c r="E48" s="27">
        <v>6.76</v>
      </c>
      <c r="F48" s="26" t="s">
        <v>243</v>
      </c>
      <c r="G48" s="26" t="s">
        <v>244</v>
      </c>
      <c r="H48" s="28">
        <v>8.8900000000000007E-2</v>
      </c>
      <c r="I48" s="28">
        <v>3.2000000000000002E-3</v>
      </c>
      <c r="J48" s="29">
        <v>27.78125</v>
      </c>
      <c r="K48" s="30">
        <v>8.6200000000000003E-4</v>
      </c>
      <c r="L48" s="31">
        <v>7.92E-7</v>
      </c>
      <c r="M48" s="32">
        <v>1.7799999999999999E-5</v>
      </c>
      <c r="N48" s="32">
        <v>2.3499999999999999E-5</v>
      </c>
      <c r="O48" s="28">
        <v>3.0300000000000001E-2</v>
      </c>
      <c r="P48" s="31">
        <v>1.5799999999999999E-6</v>
      </c>
      <c r="Q48" s="32">
        <v>3.5599999999999998E-5</v>
      </c>
      <c r="R48" s="33">
        <v>1</v>
      </c>
      <c r="S48" s="26" t="s">
        <v>152</v>
      </c>
      <c r="T48" s="32">
        <v>2.3499999999999999E-5</v>
      </c>
      <c r="U48" s="51">
        <v>0.85</v>
      </c>
      <c r="V48" s="12">
        <f t="array" ref="V48">INDEX(tbllkpSteelGrades[fy],MATCH(1,(Table4[[#This Row],[Grade]]=tbllkpSteelGrades[Grade])*(Table4[[#This Row],[t]]&lt;=tbllkpSteelGrades[Thickness]),0))</f>
        <v>350000000</v>
      </c>
      <c r="W48" s="12">
        <f t="array" ref="W48">INDEX(tbllkpSteelGrades[fu],MATCH(1,(Table4[[#This Row],[Grade]]=tbllkpSteelGrades[Grade])*(Table4[[#This Row],[t]]&lt;=tbllkpSteelGrades[Thickness]),0))</f>
        <v>430000000</v>
      </c>
      <c r="X48" s="11">
        <f>Table4[[#This Row],[fy]]*Table4[[#This Row],[Ag]]*0.36</f>
        <v>108612</v>
      </c>
      <c r="Y48" s="50">
        <f ca="1">INDEX(tbllkpkt[kt],MATCH(RANDBETWEEN(1,4),tbllkpkt[Index],0))</f>
        <v>0.9</v>
      </c>
      <c r="Z48" s="48">
        <f t="shared" ca="1" si="1"/>
        <v>0.92999999999999994</v>
      </c>
      <c r="AA48" s="18">
        <f ca="1">Table4[[#This Row],[Ag]]*Table4[[#This Row],[Deduction_for_An]]</f>
        <v>8.0165999999999994E-4</v>
      </c>
      <c r="AB48" s="11">
        <f>Table4[[#This Row],[fy]]*Table4[[#This Row],[Ag]]</f>
        <v>301700</v>
      </c>
      <c r="AC48" s="11">
        <f ca="1">Table4[[#This Row],[αu]]*Table4[[#This Row],[kt]]*Table4[[#This Row],[An]]*Table4[[#This Row],[fu]]</f>
        <v>263706.05699999997</v>
      </c>
      <c r="AD48" s="11">
        <f ca="1">MIN(Table4[[#This Row],[Nty]],Table4[[#This Row],[Ntu]])</f>
        <v>263706.05699999997</v>
      </c>
    </row>
    <row r="49" spans="2:30" x14ac:dyDescent="0.25">
      <c r="B49" t="str">
        <f>Table4[[#This Row],[Section]]&amp;"-"&amp;Table4[[#This Row],[Grade]]</f>
        <v>88.9 x 2.6 CHS-CF 350</v>
      </c>
      <c r="C49" s="26" t="s">
        <v>201</v>
      </c>
      <c r="D49" s="26" t="s">
        <v>155</v>
      </c>
      <c r="E49" s="27">
        <v>5.53</v>
      </c>
      <c r="F49" s="26" t="s">
        <v>243</v>
      </c>
      <c r="G49" s="26" t="s">
        <v>244</v>
      </c>
      <c r="H49" s="28">
        <v>8.8900000000000007E-2</v>
      </c>
      <c r="I49" s="28">
        <v>2.5999999999999999E-3</v>
      </c>
      <c r="J49" s="29">
        <v>34.192307692307693</v>
      </c>
      <c r="K49" s="30">
        <v>7.0500000000000001E-4</v>
      </c>
      <c r="L49" s="31">
        <v>6.5700000000000002E-7</v>
      </c>
      <c r="M49" s="32">
        <v>1.4800000000000001E-5</v>
      </c>
      <c r="N49" s="32">
        <v>1.9400000000000001E-5</v>
      </c>
      <c r="O49" s="28">
        <v>3.0499999999999999E-2</v>
      </c>
      <c r="P49" s="31">
        <v>1.31E-6</v>
      </c>
      <c r="Q49" s="32">
        <v>2.9600000000000001E-5</v>
      </c>
      <c r="R49" s="33">
        <v>1</v>
      </c>
      <c r="S49" s="26" t="s">
        <v>152</v>
      </c>
      <c r="T49" s="32">
        <v>1.9400000000000001E-5</v>
      </c>
      <c r="U49" s="51">
        <v>0.85</v>
      </c>
      <c r="V49" s="12">
        <f t="array" ref="V49">INDEX(tbllkpSteelGrades[fy],MATCH(1,(Table4[[#This Row],[Grade]]=tbllkpSteelGrades[Grade])*(Table4[[#This Row],[t]]&lt;=tbllkpSteelGrades[Thickness]),0))</f>
        <v>350000000</v>
      </c>
      <c r="W49" s="12">
        <f t="array" ref="W49">INDEX(tbllkpSteelGrades[fu],MATCH(1,(Table4[[#This Row],[Grade]]=tbllkpSteelGrades[Grade])*(Table4[[#This Row],[t]]&lt;=tbllkpSteelGrades[Thickness]),0))</f>
        <v>430000000</v>
      </c>
      <c r="X49" s="11">
        <f>Table4[[#This Row],[fy]]*Table4[[#This Row],[Ag]]*0.36</f>
        <v>88830</v>
      </c>
      <c r="Y49" s="50">
        <f ca="1">INDEX(tbllkpkt[kt],MATCH(RANDBETWEEN(1,4),tbllkpkt[Index],0))</f>
        <v>0.85</v>
      </c>
      <c r="Z49" s="48">
        <f t="shared" ca="1" si="1"/>
        <v>0.91</v>
      </c>
      <c r="AA49" s="18">
        <f ca="1">Table4[[#This Row],[Ag]]*Table4[[#This Row],[Deduction_for_An]]</f>
        <v>6.4155000000000006E-4</v>
      </c>
      <c r="AB49" s="11">
        <f>Table4[[#This Row],[fy]]*Table4[[#This Row],[Ag]]</f>
        <v>246750</v>
      </c>
      <c r="AC49" s="11">
        <f ca="1">Table4[[#This Row],[αu]]*Table4[[#This Row],[kt]]*Table4[[#This Row],[An]]*Table4[[#This Row],[fu]]</f>
        <v>199313.54624999998</v>
      </c>
      <c r="AD49" s="11">
        <f ca="1">MIN(Table4[[#This Row],[Nty]],Table4[[#This Row],[Ntu]])</f>
        <v>199313.54624999998</v>
      </c>
    </row>
    <row r="50" spans="2:30" x14ac:dyDescent="0.25">
      <c r="B50" t="str">
        <f>Table4[[#This Row],[Section]]&amp;"-"&amp;Table4[[#This Row],[Grade]]</f>
        <v>76.1 x 3.2 CHS-CF 350</v>
      </c>
      <c r="C50" s="26" t="s">
        <v>202</v>
      </c>
      <c r="D50" s="26" t="s">
        <v>155</v>
      </c>
      <c r="E50" s="27">
        <v>5.75</v>
      </c>
      <c r="F50" s="26" t="s">
        <v>243</v>
      </c>
      <c r="G50" s="26" t="s">
        <v>244</v>
      </c>
      <c r="H50" s="28">
        <v>7.6100000000000001E-2</v>
      </c>
      <c r="I50" s="28">
        <v>3.2000000000000002E-3</v>
      </c>
      <c r="J50" s="29">
        <v>23.78125</v>
      </c>
      <c r="K50" s="30">
        <v>7.3300000000000004E-4</v>
      </c>
      <c r="L50" s="31">
        <v>4.8800000000000003E-7</v>
      </c>
      <c r="M50" s="32">
        <v>1.2799999999999999E-5</v>
      </c>
      <c r="N50" s="32">
        <v>1.7E-5</v>
      </c>
      <c r="O50" s="28">
        <v>2.58E-2</v>
      </c>
      <c r="P50" s="31">
        <v>9.7600000000000006E-7</v>
      </c>
      <c r="Q50" s="32">
        <v>2.5599999999999999E-5</v>
      </c>
      <c r="R50" s="33">
        <v>1</v>
      </c>
      <c r="S50" s="26" t="s">
        <v>152</v>
      </c>
      <c r="T50" s="32">
        <v>1.7E-5</v>
      </c>
      <c r="U50" s="51">
        <v>0.85</v>
      </c>
      <c r="V50" s="12">
        <f t="array" ref="V50">INDEX(tbllkpSteelGrades[fy],MATCH(1,(Table4[[#This Row],[Grade]]=tbllkpSteelGrades[Grade])*(Table4[[#This Row],[t]]&lt;=tbllkpSteelGrades[Thickness]),0))</f>
        <v>350000000</v>
      </c>
      <c r="W50" s="12">
        <f t="array" ref="W50">INDEX(tbllkpSteelGrades[fu],MATCH(1,(Table4[[#This Row],[Grade]]=tbllkpSteelGrades[Grade])*(Table4[[#This Row],[t]]&lt;=tbllkpSteelGrades[Thickness]),0))</f>
        <v>430000000</v>
      </c>
      <c r="X50" s="11">
        <f>Table4[[#This Row],[fy]]*Table4[[#This Row],[Ag]]*0.36</f>
        <v>92358</v>
      </c>
      <c r="Y50" s="50">
        <f ca="1">INDEX(tbllkpkt[kt],MATCH(RANDBETWEEN(1,4),tbllkpkt[Index],0))</f>
        <v>1</v>
      </c>
      <c r="Z50" s="48">
        <f t="shared" ca="1" si="1"/>
        <v>0.99</v>
      </c>
      <c r="AA50" s="18">
        <f ca="1">Table4[[#This Row],[Ag]]*Table4[[#This Row],[Deduction_for_An]]</f>
        <v>7.2566999999999998E-4</v>
      </c>
      <c r="AB50" s="11">
        <f>Table4[[#This Row],[fy]]*Table4[[#This Row],[Ag]]</f>
        <v>256550</v>
      </c>
      <c r="AC50" s="11">
        <f ca="1">Table4[[#This Row],[αu]]*Table4[[#This Row],[kt]]*Table4[[#This Row],[An]]*Table4[[#This Row],[fu]]</f>
        <v>265232.38500000001</v>
      </c>
      <c r="AD50" s="11">
        <f ca="1">MIN(Table4[[#This Row],[Nty]],Table4[[#This Row],[Ntu]])</f>
        <v>256550</v>
      </c>
    </row>
    <row r="51" spans="2:30" x14ac:dyDescent="0.25">
      <c r="B51" t="str">
        <f>Table4[[#This Row],[Section]]&amp;"-"&amp;Table4[[#This Row],[Grade]]</f>
        <v>76.1 x 2.3 CHS-CF 350</v>
      </c>
      <c r="C51" s="26" t="s">
        <v>203</v>
      </c>
      <c r="D51" s="26" t="s">
        <v>155</v>
      </c>
      <c r="E51" s="27">
        <v>4.1900000000000004</v>
      </c>
      <c r="F51" s="26" t="s">
        <v>243</v>
      </c>
      <c r="G51" s="26" t="s">
        <v>244</v>
      </c>
      <c r="H51" s="28">
        <v>7.6100000000000001E-2</v>
      </c>
      <c r="I51" s="28">
        <v>2.3E-3</v>
      </c>
      <c r="J51" s="29">
        <v>33.086956521739133</v>
      </c>
      <c r="K51" s="30">
        <v>5.3300000000000005E-4</v>
      </c>
      <c r="L51" s="31">
        <v>3.6300000000000001E-7</v>
      </c>
      <c r="M51" s="32">
        <v>9.55E-6</v>
      </c>
      <c r="N51" s="32">
        <v>1.2500000000000001E-5</v>
      </c>
      <c r="O51" s="28">
        <v>2.6100000000000002E-2</v>
      </c>
      <c r="P51" s="31">
        <v>7.2699999999999999E-7</v>
      </c>
      <c r="Q51" s="32">
        <v>1.91E-5</v>
      </c>
      <c r="R51" s="33">
        <v>1</v>
      </c>
      <c r="S51" s="26" t="s">
        <v>152</v>
      </c>
      <c r="T51" s="32">
        <v>1.2500000000000001E-5</v>
      </c>
      <c r="U51" s="51">
        <v>0.85</v>
      </c>
      <c r="V51" s="12">
        <f t="array" ref="V51">INDEX(tbllkpSteelGrades[fy],MATCH(1,(Table4[[#This Row],[Grade]]=tbllkpSteelGrades[Grade])*(Table4[[#This Row],[t]]&lt;=tbllkpSteelGrades[Thickness]),0))</f>
        <v>350000000</v>
      </c>
      <c r="W51" s="12">
        <f t="array" ref="W51">INDEX(tbllkpSteelGrades[fu],MATCH(1,(Table4[[#This Row],[Grade]]=tbllkpSteelGrades[Grade])*(Table4[[#This Row],[t]]&lt;=tbllkpSteelGrades[Thickness]),0))</f>
        <v>430000000</v>
      </c>
      <c r="X51" s="11">
        <f>Table4[[#This Row],[fy]]*Table4[[#This Row],[Ag]]*0.36</f>
        <v>67158.000000000015</v>
      </c>
      <c r="Y51" s="50">
        <f ca="1">INDEX(tbllkpkt[kt],MATCH(RANDBETWEEN(1,4),tbllkpkt[Index],0))</f>
        <v>0.9</v>
      </c>
      <c r="Z51" s="48">
        <f t="shared" ca="1" si="1"/>
        <v>0.9</v>
      </c>
      <c r="AA51" s="18">
        <f ca="1">Table4[[#This Row],[Ag]]*Table4[[#This Row],[Deduction_for_An]]</f>
        <v>4.7970000000000006E-4</v>
      </c>
      <c r="AB51" s="11">
        <f>Table4[[#This Row],[fy]]*Table4[[#This Row],[Ag]]</f>
        <v>186550.00000000003</v>
      </c>
      <c r="AC51" s="11">
        <f ca="1">Table4[[#This Row],[αu]]*Table4[[#This Row],[kt]]*Table4[[#This Row],[An]]*Table4[[#This Row],[fu]]</f>
        <v>157797.31500000003</v>
      </c>
      <c r="AD51" s="11">
        <f ca="1">MIN(Table4[[#This Row],[Nty]],Table4[[#This Row],[Ntu]])</f>
        <v>157797.31500000003</v>
      </c>
    </row>
    <row r="52" spans="2:30" x14ac:dyDescent="0.25">
      <c r="B52" t="str">
        <f>Table4[[#This Row],[Section]]&amp;"-"&amp;Table4[[#This Row],[Grade]]</f>
        <v>60.3 x 2.9 CHS-CF 350</v>
      </c>
      <c r="C52" s="26" t="s">
        <v>204</v>
      </c>
      <c r="D52" s="26" t="s">
        <v>155</v>
      </c>
      <c r="E52" s="27">
        <v>4.1100000000000003</v>
      </c>
      <c r="F52" s="26" t="s">
        <v>243</v>
      </c>
      <c r="G52" s="26" t="s">
        <v>244</v>
      </c>
      <c r="H52" s="28">
        <v>6.0299999999999999E-2</v>
      </c>
      <c r="I52" s="28">
        <v>2.8999999999999998E-3</v>
      </c>
      <c r="J52" s="29">
        <v>20.793103448275865</v>
      </c>
      <c r="K52" s="30">
        <v>5.2300000000000003E-4</v>
      </c>
      <c r="L52" s="31">
        <v>2.16E-7</v>
      </c>
      <c r="M52" s="32">
        <v>7.1600000000000001E-6</v>
      </c>
      <c r="N52" s="32">
        <v>9.5599999999999999E-6</v>
      </c>
      <c r="O52" s="28">
        <v>2.0300000000000002E-2</v>
      </c>
      <c r="P52" s="31">
        <v>4.32E-7</v>
      </c>
      <c r="Q52" s="32">
        <v>1.43E-5</v>
      </c>
      <c r="R52" s="33">
        <v>1</v>
      </c>
      <c r="S52" s="26" t="s">
        <v>152</v>
      </c>
      <c r="T52" s="32">
        <v>9.5599999999999999E-6</v>
      </c>
      <c r="U52" s="51">
        <v>0.85</v>
      </c>
      <c r="V52" s="12">
        <f t="array" ref="V52">INDEX(tbllkpSteelGrades[fy],MATCH(1,(Table4[[#This Row],[Grade]]=tbllkpSteelGrades[Grade])*(Table4[[#This Row],[t]]&lt;=tbllkpSteelGrades[Thickness]),0))</f>
        <v>350000000</v>
      </c>
      <c r="W52" s="12">
        <f t="array" ref="W52">INDEX(tbllkpSteelGrades[fu],MATCH(1,(Table4[[#This Row],[Grade]]=tbllkpSteelGrades[Grade])*(Table4[[#This Row],[t]]&lt;=tbllkpSteelGrades[Thickness]),0))</f>
        <v>430000000</v>
      </c>
      <c r="X52" s="11">
        <f>Table4[[#This Row],[fy]]*Table4[[#This Row],[Ag]]*0.36</f>
        <v>65898</v>
      </c>
      <c r="Y52" s="50">
        <f ca="1">INDEX(tbllkpkt[kt],MATCH(RANDBETWEEN(1,4),tbllkpkt[Index],0))</f>
        <v>0.85</v>
      </c>
      <c r="Z52" s="48">
        <f t="shared" ca="1" si="1"/>
        <v>0.92999999999999994</v>
      </c>
      <c r="AA52" s="18">
        <f ca="1">Table4[[#This Row],[Ag]]*Table4[[#This Row],[Deduction_for_An]]</f>
        <v>4.8639000000000001E-4</v>
      </c>
      <c r="AB52" s="11">
        <f>Table4[[#This Row],[fy]]*Table4[[#This Row],[Ag]]</f>
        <v>183050</v>
      </c>
      <c r="AC52" s="11">
        <f ca="1">Table4[[#This Row],[αu]]*Table4[[#This Row],[kt]]*Table4[[#This Row],[An]]*Table4[[#This Row],[fu]]</f>
        <v>151109.21324999997</v>
      </c>
      <c r="AD52" s="11">
        <f ca="1">MIN(Table4[[#This Row],[Nty]],Table4[[#This Row],[Ntu]])</f>
        <v>151109.21324999997</v>
      </c>
    </row>
    <row r="53" spans="2:30" x14ac:dyDescent="0.25">
      <c r="B53" t="str">
        <f>Table4[[#This Row],[Section]]&amp;"-"&amp;Table4[[#This Row],[Grade]]</f>
        <v>60.3 x 2.3 CHS-CF 350</v>
      </c>
      <c r="C53" s="26" t="s">
        <v>205</v>
      </c>
      <c r="D53" s="26" t="s">
        <v>155</v>
      </c>
      <c r="E53" s="27">
        <v>3.29</v>
      </c>
      <c r="F53" s="26" t="s">
        <v>243</v>
      </c>
      <c r="G53" s="26" t="s">
        <v>244</v>
      </c>
      <c r="H53" s="28">
        <v>6.0299999999999999E-2</v>
      </c>
      <c r="I53" s="28">
        <v>2.3E-3</v>
      </c>
      <c r="J53" s="29">
        <v>26.217391304347828</v>
      </c>
      <c r="K53" s="30">
        <v>4.1899999999999999E-4</v>
      </c>
      <c r="L53" s="31">
        <v>1.7700000000000001E-7</v>
      </c>
      <c r="M53" s="32">
        <v>5.8499999999999999E-6</v>
      </c>
      <c r="N53" s="32">
        <v>7.7400000000000004E-6</v>
      </c>
      <c r="O53" s="28">
        <v>2.0500000000000001E-2</v>
      </c>
      <c r="P53" s="31">
        <v>3.53E-7</v>
      </c>
      <c r="Q53" s="32">
        <v>1.17E-5</v>
      </c>
      <c r="R53" s="33">
        <v>1</v>
      </c>
      <c r="S53" s="26" t="s">
        <v>152</v>
      </c>
      <c r="T53" s="32">
        <v>7.7400000000000004E-6</v>
      </c>
      <c r="U53" s="51">
        <v>0.85</v>
      </c>
      <c r="V53" s="12">
        <f t="array" ref="V53">INDEX(tbllkpSteelGrades[fy],MATCH(1,(Table4[[#This Row],[Grade]]=tbllkpSteelGrades[Grade])*(Table4[[#This Row],[t]]&lt;=tbllkpSteelGrades[Thickness]),0))</f>
        <v>350000000</v>
      </c>
      <c r="W53" s="12">
        <f t="array" ref="W53">INDEX(tbllkpSteelGrades[fu],MATCH(1,(Table4[[#This Row],[Grade]]=tbllkpSteelGrades[Grade])*(Table4[[#This Row],[t]]&lt;=tbllkpSteelGrades[Thickness]),0))</f>
        <v>430000000</v>
      </c>
      <c r="X53" s="11">
        <f>Table4[[#This Row],[fy]]*Table4[[#This Row],[Ag]]*0.36</f>
        <v>52794</v>
      </c>
      <c r="Y53" s="50">
        <f ca="1">INDEX(tbllkpkt[kt],MATCH(RANDBETWEEN(1,4),tbllkpkt[Index],0))</f>
        <v>0.9</v>
      </c>
      <c r="Z53" s="48">
        <f t="shared" ca="1" si="1"/>
        <v>0.91</v>
      </c>
      <c r="AA53" s="18">
        <f ca="1">Table4[[#This Row],[Ag]]*Table4[[#This Row],[Deduction_for_An]]</f>
        <v>3.8129E-4</v>
      </c>
      <c r="AB53" s="11">
        <f>Table4[[#This Row],[fy]]*Table4[[#This Row],[Ag]]</f>
        <v>146650</v>
      </c>
      <c r="AC53" s="11">
        <f ca="1">Table4[[#This Row],[αu]]*Table4[[#This Row],[kt]]*Table4[[#This Row],[An]]*Table4[[#This Row],[fu]]</f>
        <v>125425.3455</v>
      </c>
      <c r="AD53" s="11">
        <f ca="1">MIN(Table4[[#This Row],[Nty]],Table4[[#This Row],[Ntu]])</f>
        <v>125425.3455</v>
      </c>
    </row>
    <row r="54" spans="2:30" x14ac:dyDescent="0.25">
      <c r="B54" t="str">
        <f>Table4[[#This Row],[Section]]&amp;"-"&amp;Table4[[#This Row],[Grade]]</f>
        <v>48.3 x 2.9 CHS-CF 350</v>
      </c>
      <c r="C54" s="26" t="s">
        <v>206</v>
      </c>
      <c r="D54" s="26" t="s">
        <v>155</v>
      </c>
      <c r="E54" s="27">
        <v>3.25</v>
      </c>
      <c r="F54" s="26" t="s">
        <v>243</v>
      </c>
      <c r="G54" s="26" t="s">
        <v>244</v>
      </c>
      <c r="H54" s="28">
        <v>4.8299999999999996E-2</v>
      </c>
      <c r="I54" s="28">
        <v>2.8999999999999998E-3</v>
      </c>
      <c r="J54" s="29">
        <v>16.655172413793103</v>
      </c>
      <c r="K54" s="30">
        <v>4.1399999999999998E-4</v>
      </c>
      <c r="L54" s="31">
        <v>1.0700000000000001E-7</v>
      </c>
      <c r="M54" s="32">
        <v>4.4299999999999999E-6</v>
      </c>
      <c r="N54" s="32">
        <v>5.9900000000000002E-6</v>
      </c>
      <c r="O54" s="28">
        <v>1.61E-2</v>
      </c>
      <c r="P54" s="31">
        <v>2.1400000000000001E-7</v>
      </c>
      <c r="Q54" s="32">
        <v>8.8599999999999999E-6</v>
      </c>
      <c r="R54" s="33">
        <v>1</v>
      </c>
      <c r="S54" s="26" t="s">
        <v>152</v>
      </c>
      <c r="T54" s="32">
        <v>5.9900000000000002E-6</v>
      </c>
      <c r="U54" s="51">
        <v>0.85</v>
      </c>
      <c r="V54" s="12">
        <f t="array" ref="V54">INDEX(tbllkpSteelGrades[fy],MATCH(1,(Table4[[#This Row],[Grade]]=tbllkpSteelGrades[Grade])*(Table4[[#This Row],[t]]&lt;=tbllkpSteelGrades[Thickness]),0))</f>
        <v>350000000</v>
      </c>
      <c r="W54" s="12">
        <f t="array" ref="W54">INDEX(tbllkpSteelGrades[fu],MATCH(1,(Table4[[#This Row],[Grade]]=tbllkpSteelGrades[Grade])*(Table4[[#This Row],[t]]&lt;=tbllkpSteelGrades[Thickness]),0))</f>
        <v>430000000</v>
      </c>
      <c r="X54" s="11">
        <f>Table4[[#This Row],[fy]]*Table4[[#This Row],[Ag]]*0.36</f>
        <v>52164</v>
      </c>
      <c r="Y54" s="50">
        <f ca="1">INDEX(tbllkpkt[kt],MATCH(RANDBETWEEN(1,4),tbllkpkt[Index],0))</f>
        <v>0.85</v>
      </c>
      <c r="Z54" s="48">
        <f t="shared" ca="1" si="1"/>
        <v>0.94</v>
      </c>
      <c r="AA54" s="18">
        <f ca="1">Table4[[#This Row],[Ag]]*Table4[[#This Row],[Deduction_for_An]]</f>
        <v>3.8915999999999994E-4</v>
      </c>
      <c r="AB54" s="11">
        <f>Table4[[#This Row],[fy]]*Table4[[#This Row],[Ag]]</f>
        <v>144900</v>
      </c>
      <c r="AC54" s="11">
        <f ca="1">Table4[[#This Row],[αu]]*Table4[[#This Row],[kt]]*Table4[[#This Row],[An]]*Table4[[#This Row],[fu]]</f>
        <v>120902.28299999997</v>
      </c>
      <c r="AD54" s="11">
        <f ca="1">MIN(Table4[[#This Row],[Nty]],Table4[[#This Row],[Ntu]])</f>
        <v>120902.28299999997</v>
      </c>
    </row>
    <row r="55" spans="2:30" x14ac:dyDescent="0.25">
      <c r="B55" t="str">
        <f>Table4[[#This Row],[Section]]&amp;"-"&amp;Table4[[#This Row],[Grade]]</f>
        <v>48.3 x 2.3 CHS-CF 350</v>
      </c>
      <c r="C55" s="26" t="s">
        <v>207</v>
      </c>
      <c r="D55" s="26" t="s">
        <v>155</v>
      </c>
      <c r="E55" s="27">
        <v>2.61</v>
      </c>
      <c r="F55" s="26" t="s">
        <v>243</v>
      </c>
      <c r="G55" s="26" t="s">
        <v>244</v>
      </c>
      <c r="H55" s="28">
        <v>4.8299999999999996E-2</v>
      </c>
      <c r="I55" s="28">
        <v>2.3E-3</v>
      </c>
      <c r="J55" s="29">
        <v>21</v>
      </c>
      <c r="K55" s="30">
        <v>3.3199999999999999E-4</v>
      </c>
      <c r="L55" s="31">
        <v>8.8100000000000001E-8</v>
      </c>
      <c r="M55" s="32">
        <v>3.6500000000000002E-6</v>
      </c>
      <c r="N55" s="32">
        <v>4.87E-6</v>
      </c>
      <c r="O55" s="28">
        <v>1.6300000000000002E-2</v>
      </c>
      <c r="P55" s="31">
        <v>1.7599999999999999E-7</v>
      </c>
      <c r="Q55" s="32">
        <v>7.3000000000000004E-6</v>
      </c>
      <c r="R55" s="33">
        <v>1</v>
      </c>
      <c r="S55" s="26" t="s">
        <v>152</v>
      </c>
      <c r="T55" s="32">
        <v>4.87E-6</v>
      </c>
      <c r="U55" s="51">
        <v>0.85</v>
      </c>
      <c r="V55" s="12">
        <f t="array" ref="V55">INDEX(tbllkpSteelGrades[fy],MATCH(1,(Table4[[#This Row],[Grade]]=tbllkpSteelGrades[Grade])*(Table4[[#This Row],[t]]&lt;=tbllkpSteelGrades[Thickness]),0))</f>
        <v>350000000</v>
      </c>
      <c r="W55" s="12">
        <f t="array" ref="W55">INDEX(tbllkpSteelGrades[fu],MATCH(1,(Table4[[#This Row],[Grade]]=tbllkpSteelGrades[Grade])*(Table4[[#This Row],[t]]&lt;=tbllkpSteelGrades[Thickness]),0))</f>
        <v>430000000</v>
      </c>
      <c r="X55" s="11">
        <f>Table4[[#This Row],[fy]]*Table4[[#This Row],[Ag]]*0.36</f>
        <v>41832</v>
      </c>
      <c r="Y55" s="50">
        <f ca="1">INDEX(tbllkpkt[kt],MATCH(RANDBETWEEN(1,4),tbllkpkt[Index],0))</f>
        <v>1</v>
      </c>
      <c r="Z55" s="48">
        <f t="shared" ca="1" si="1"/>
        <v>0.95</v>
      </c>
      <c r="AA55" s="18">
        <f ca="1">Table4[[#This Row],[Ag]]*Table4[[#This Row],[Deduction_for_An]]</f>
        <v>3.1539999999999997E-4</v>
      </c>
      <c r="AB55" s="11">
        <f>Table4[[#This Row],[fy]]*Table4[[#This Row],[Ag]]</f>
        <v>116200</v>
      </c>
      <c r="AC55" s="11">
        <f ca="1">Table4[[#This Row],[αu]]*Table4[[#This Row],[kt]]*Table4[[#This Row],[An]]*Table4[[#This Row],[fu]]</f>
        <v>115278.69999999998</v>
      </c>
      <c r="AD55" s="11">
        <f ca="1">MIN(Table4[[#This Row],[Nty]],Table4[[#This Row],[Ntu]])</f>
        <v>115278.69999999998</v>
      </c>
    </row>
    <row r="56" spans="2:30" x14ac:dyDescent="0.25">
      <c r="B56" t="str">
        <f>Table4[[#This Row],[Section]]&amp;"-"&amp;Table4[[#This Row],[Grade]]</f>
        <v>42.4 x 2.6 CHS-CF 350</v>
      </c>
      <c r="C56" s="26" t="s">
        <v>208</v>
      </c>
      <c r="D56" s="26" t="s">
        <v>155</v>
      </c>
      <c r="E56" s="27">
        <v>2.5499999999999998</v>
      </c>
      <c r="F56" s="26" t="s">
        <v>243</v>
      </c>
      <c r="G56" s="26" t="s">
        <v>244</v>
      </c>
      <c r="H56" s="28">
        <v>4.24E-2</v>
      </c>
      <c r="I56" s="28">
        <v>2.5999999999999999E-3</v>
      </c>
      <c r="J56" s="29">
        <v>16.30769230769231</v>
      </c>
      <c r="K56" s="30">
        <v>3.2499999999999999E-4</v>
      </c>
      <c r="L56" s="31">
        <v>6.4600000000000009E-8</v>
      </c>
      <c r="M56" s="32">
        <v>3.05E-6</v>
      </c>
      <c r="N56" s="32">
        <v>4.1200000000000004E-6</v>
      </c>
      <c r="O56" s="28">
        <v>1.41E-2</v>
      </c>
      <c r="P56" s="31">
        <v>1.29E-7</v>
      </c>
      <c r="Q56" s="32">
        <v>6.1E-6</v>
      </c>
      <c r="R56" s="33">
        <v>1</v>
      </c>
      <c r="S56" s="26" t="s">
        <v>152</v>
      </c>
      <c r="T56" s="32">
        <v>4.1200000000000004E-6</v>
      </c>
      <c r="U56" s="51">
        <v>0.85</v>
      </c>
      <c r="V56" s="12">
        <f t="array" ref="V56">INDEX(tbllkpSteelGrades[fy],MATCH(1,(Table4[[#This Row],[Grade]]=tbllkpSteelGrades[Grade])*(Table4[[#This Row],[t]]&lt;=tbllkpSteelGrades[Thickness]),0))</f>
        <v>350000000</v>
      </c>
      <c r="W56" s="12">
        <f t="array" ref="W56">INDEX(tbllkpSteelGrades[fu],MATCH(1,(Table4[[#This Row],[Grade]]=tbllkpSteelGrades[Grade])*(Table4[[#This Row],[t]]&lt;=tbllkpSteelGrades[Thickness]),0))</f>
        <v>430000000</v>
      </c>
      <c r="X56" s="11">
        <f>Table4[[#This Row],[fy]]*Table4[[#This Row],[Ag]]*0.36</f>
        <v>40950</v>
      </c>
      <c r="Y56" s="50">
        <f ca="1">INDEX(tbllkpkt[kt],MATCH(RANDBETWEEN(1,4),tbllkpkt[Index],0))</f>
        <v>0.85</v>
      </c>
      <c r="Z56" s="48">
        <f t="shared" ca="1" si="1"/>
        <v>0.9</v>
      </c>
      <c r="AA56" s="18">
        <f ca="1">Table4[[#This Row],[Ag]]*Table4[[#This Row],[Deduction_for_An]]</f>
        <v>2.9250000000000001E-4</v>
      </c>
      <c r="AB56" s="11">
        <f>Table4[[#This Row],[fy]]*Table4[[#This Row],[Ag]]</f>
        <v>113750</v>
      </c>
      <c r="AC56" s="11">
        <f ca="1">Table4[[#This Row],[αu]]*Table4[[#This Row],[kt]]*Table4[[#This Row],[An]]*Table4[[#This Row],[fu]]</f>
        <v>90872.4375</v>
      </c>
      <c r="AD56" s="11">
        <f ca="1">MIN(Table4[[#This Row],[Nty]],Table4[[#This Row],[Ntu]])</f>
        <v>90872.4375</v>
      </c>
    </row>
    <row r="57" spans="2:30" x14ac:dyDescent="0.25">
      <c r="B57" t="str">
        <f>Table4[[#This Row],[Section]]&amp;"-"&amp;Table4[[#This Row],[Grade]]</f>
        <v>42.4 x 2 CHS-CF 350</v>
      </c>
      <c r="C57" s="26" t="s">
        <v>209</v>
      </c>
      <c r="D57" s="26" t="s">
        <v>155</v>
      </c>
      <c r="E57" s="27">
        <v>1.99</v>
      </c>
      <c r="F57" s="26" t="s">
        <v>243</v>
      </c>
      <c r="G57" s="26" t="s">
        <v>244</v>
      </c>
      <c r="H57" s="28">
        <v>4.24E-2</v>
      </c>
      <c r="I57" s="28">
        <v>2E-3</v>
      </c>
      <c r="J57" s="29">
        <v>21.2</v>
      </c>
      <c r="K57" s="30">
        <v>2.5399999999999999E-4</v>
      </c>
      <c r="L57" s="31">
        <v>5.1900000000000002E-8</v>
      </c>
      <c r="M57" s="32">
        <v>2.4499999999999998E-6</v>
      </c>
      <c r="N57" s="32">
        <v>3.27E-6</v>
      </c>
      <c r="O57" s="28">
        <v>1.43E-2</v>
      </c>
      <c r="P57" s="31">
        <v>1.0400000000000002E-7</v>
      </c>
      <c r="Q57" s="32">
        <v>4.8999999999999997E-6</v>
      </c>
      <c r="R57" s="33">
        <v>1</v>
      </c>
      <c r="S57" s="26" t="s">
        <v>152</v>
      </c>
      <c r="T57" s="32">
        <v>3.27E-6</v>
      </c>
      <c r="U57" s="51">
        <v>0.85</v>
      </c>
      <c r="V57" s="12">
        <f t="array" ref="V57">INDEX(tbllkpSteelGrades[fy],MATCH(1,(Table4[[#This Row],[Grade]]=tbllkpSteelGrades[Grade])*(Table4[[#This Row],[t]]&lt;=tbllkpSteelGrades[Thickness]),0))</f>
        <v>350000000</v>
      </c>
      <c r="W57" s="12">
        <f t="array" ref="W57">INDEX(tbllkpSteelGrades[fu],MATCH(1,(Table4[[#This Row],[Grade]]=tbllkpSteelGrades[Grade])*(Table4[[#This Row],[t]]&lt;=tbllkpSteelGrades[Thickness]),0))</f>
        <v>430000000</v>
      </c>
      <c r="X57" s="11">
        <f>Table4[[#This Row],[fy]]*Table4[[#This Row],[Ag]]*0.36</f>
        <v>32004</v>
      </c>
      <c r="Y57" s="50">
        <f ca="1">INDEX(tbllkpkt[kt],MATCH(RANDBETWEEN(1,4),tbllkpkt[Index],0))</f>
        <v>0.9</v>
      </c>
      <c r="Z57" s="48">
        <f t="shared" ca="1" si="1"/>
        <v>0.92999999999999994</v>
      </c>
      <c r="AA57" s="18">
        <f ca="1">Table4[[#This Row],[Ag]]*Table4[[#This Row],[Deduction_for_An]]</f>
        <v>2.3621999999999998E-4</v>
      </c>
      <c r="AB57" s="11">
        <f>Table4[[#This Row],[fy]]*Table4[[#This Row],[Ag]]</f>
        <v>88900</v>
      </c>
      <c r="AC57" s="11">
        <f ca="1">Table4[[#This Row],[αu]]*Table4[[#This Row],[kt]]*Table4[[#This Row],[An]]*Table4[[#This Row],[fu]]</f>
        <v>77704.568999999989</v>
      </c>
      <c r="AD57" s="11">
        <f ca="1">MIN(Table4[[#This Row],[Nty]],Table4[[#This Row],[Ntu]])</f>
        <v>77704.568999999989</v>
      </c>
    </row>
    <row r="58" spans="2:30" x14ac:dyDescent="0.25">
      <c r="B58" t="str">
        <f>Table4[[#This Row],[Section]]&amp;"-"&amp;Table4[[#This Row],[Grade]]</f>
        <v>33.7 x 2.6 CHS-CF 350</v>
      </c>
      <c r="C58" s="26" t="s">
        <v>210</v>
      </c>
      <c r="D58" s="26" t="s">
        <v>155</v>
      </c>
      <c r="E58" s="27">
        <v>1.99</v>
      </c>
      <c r="F58" s="26" t="s">
        <v>243</v>
      </c>
      <c r="G58" s="26" t="s">
        <v>244</v>
      </c>
      <c r="H58" s="28">
        <v>3.3700000000000001E-2</v>
      </c>
      <c r="I58" s="28">
        <v>2.5999999999999999E-3</v>
      </c>
      <c r="J58" s="29">
        <v>12.961538461538462</v>
      </c>
      <c r="K58" s="30">
        <v>2.5399999999999999E-4</v>
      </c>
      <c r="L58" s="31">
        <v>3.0899999999999999E-8</v>
      </c>
      <c r="M58" s="32">
        <v>1.84E-6</v>
      </c>
      <c r="N58" s="32">
        <v>2.52E-6</v>
      </c>
      <c r="O58" s="28">
        <v>1.0999999999999999E-2</v>
      </c>
      <c r="P58" s="31">
        <v>6.1900000000000005E-8</v>
      </c>
      <c r="Q58" s="32">
        <v>3.67E-6</v>
      </c>
      <c r="R58" s="33">
        <v>1</v>
      </c>
      <c r="S58" s="26" t="s">
        <v>152</v>
      </c>
      <c r="T58" s="32">
        <v>2.52E-6</v>
      </c>
      <c r="U58" s="51">
        <v>0.85</v>
      </c>
      <c r="V58" s="12">
        <f t="array" ref="V58">INDEX(tbllkpSteelGrades[fy],MATCH(1,(Table4[[#This Row],[Grade]]=tbllkpSteelGrades[Grade])*(Table4[[#This Row],[t]]&lt;=tbllkpSteelGrades[Thickness]),0))</f>
        <v>350000000</v>
      </c>
      <c r="W58" s="12">
        <f t="array" ref="W58">INDEX(tbllkpSteelGrades[fu],MATCH(1,(Table4[[#This Row],[Grade]]=tbllkpSteelGrades[Grade])*(Table4[[#This Row],[t]]&lt;=tbllkpSteelGrades[Thickness]),0))</f>
        <v>430000000</v>
      </c>
      <c r="X58" s="11">
        <f>Table4[[#This Row],[fy]]*Table4[[#This Row],[Ag]]*0.36</f>
        <v>32004</v>
      </c>
      <c r="Y58" s="50">
        <f ca="1">INDEX(tbllkpkt[kt],MATCH(RANDBETWEEN(1,4),tbllkpkt[Index],0))</f>
        <v>0.9</v>
      </c>
      <c r="Z58" s="48">
        <f t="shared" ca="1" si="1"/>
        <v>0.92</v>
      </c>
      <c r="AA58" s="18">
        <f ca="1">Table4[[#This Row],[Ag]]*Table4[[#This Row],[Deduction_for_An]]</f>
        <v>2.3368E-4</v>
      </c>
      <c r="AB58" s="11">
        <f>Table4[[#This Row],[fy]]*Table4[[#This Row],[Ag]]</f>
        <v>88900</v>
      </c>
      <c r="AC58" s="11">
        <f ca="1">Table4[[#This Row],[αu]]*Table4[[#This Row],[kt]]*Table4[[#This Row],[An]]*Table4[[#This Row],[fu]]</f>
        <v>76869.036000000007</v>
      </c>
      <c r="AD58" s="11">
        <f ca="1">MIN(Table4[[#This Row],[Nty]],Table4[[#This Row],[Ntu]])</f>
        <v>76869.036000000007</v>
      </c>
    </row>
    <row r="59" spans="2:30" x14ac:dyDescent="0.25">
      <c r="B59" t="str">
        <f>Table4[[#This Row],[Section]]&amp;"-"&amp;Table4[[#This Row],[Grade]]</f>
        <v>33.7 x 2 CHS-CF 350</v>
      </c>
      <c r="C59" s="26" t="s">
        <v>211</v>
      </c>
      <c r="D59" s="26" t="s">
        <v>155</v>
      </c>
      <c r="E59" s="27">
        <v>1.56</v>
      </c>
      <c r="F59" s="26" t="s">
        <v>243</v>
      </c>
      <c r="G59" s="26" t="s">
        <v>244</v>
      </c>
      <c r="H59" s="28">
        <v>3.3700000000000001E-2</v>
      </c>
      <c r="I59" s="28">
        <v>2E-3</v>
      </c>
      <c r="J59" s="29">
        <v>16.850000000000001</v>
      </c>
      <c r="K59" s="30">
        <v>1.9900000000000001E-4</v>
      </c>
      <c r="L59" s="31">
        <v>2.51E-8</v>
      </c>
      <c r="M59" s="32">
        <v>1.4899999999999999E-6</v>
      </c>
      <c r="N59" s="32">
        <v>2.0099999999999998E-6</v>
      </c>
      <c r="O59" s="28">
        <v>1.12E-2</v>
      </c>
      <c r="P59" s="31">
        <v>5.02E-8</v>
      </c>
      <c r="Q59" s="32">
        <v>2.9799999999999998E-6</v>
      </c>
      <c r="R59" s="33">
        <v>1</v>
      </c>
      <c r="S59" s="26" t="s">
        <v>152</v>
      </c>
      <c r="T59" s="32">
        <v>2.0099999999999998E-6</v>
      </c>
      <c r="U59" s="51">
        <v>0.85</v>
      </c>
      <c r="V59" s="12">
        <f t="array" ref="V59">INDEX(tbllkpSteelGrades[fy],MATCH(1,(Table4[[#This Row],[Grade]]=tbllkpSteelGrades[Grade])*(Table4[[#This Row],[t]]&lt;=tbllkpSteelGrades[Thickness]),0))</f>
        <v>350000000</v>
      </c>
      <c r="W59" s="12">
        <f t="array" ref="W59">INDEX(tbllkpSteelGrades[fu],MATCH(1,(Table4[[#This Row],[Grade]]=tbllkpSteelGrades[Grade])*(Table4[[#This Row],[t]]&lt;=tbllkpSteelGrades[Thickness]),0))</f>
        <v>430000000</v>
      </c>
      <c r="X59" s="11">
        <f>Table4[[#This Row],[fy]]*Table4[[#This Row],[Ag]]*0.36</f>
        <v>25074</v>
      </c>
      <c r="Y59" s="50">
        <f ca="1">INDEX(tbllkpkt[kt],MATCH(RANDBETWEEN(1,4),tbllkpkt[Index],0))</f>
        <v>0.9</v>
      </c>
      <c r="Z59" s="48">
        <f t="shared" ca="1" si="1"/>
        <v>0.9</v>
      </c>
      <c r="AA59" s="18">
        <f ca="1">Table4[[#This Row],[Ag]]*Table4[[#This Row],[Deduction_for_An]]</f>
        <v>1.7910000000000002E-4</v>
      </c>
      <c r="AB59" s="11">
        <f>Table4[[#This Row],[fy]]*Table4[[#This Row],[Ag]]</f>
        <v>69650</v>
      </c>
      <c r="AC59" s="11">
        <f ca="1">Table4[[#This Row],[αu]]*Table4[[#This Row],[kt]]*Table4[[#This Row],[An]]*Table4[[#This Row],[fu]]</f>
        <v>58914.945000000007</v>
      </c>
      <c r="AD59" s="11">
        <f ca="1">MIN(Table4[[#This Row],[Nty]],Table4[[#This Row],[Ntu]])</f>
        <v>58914.945000000007</v>
      </c>
    </row>
    <row r="60" spans="2:30" x14ac:dyDescent="0.25">
      <c r="B60" t="str">
        <f>Table4[[#This Row],[Section]]&amp;"-"&amp;Table4[[#This Row],[Grade]]</f>
        <v>26.9 x 2.3 CHS-CF 350</v>
      </c>
      <c r="C60" s="26" t="s">
        <v>212</v>
      </c>
      <c r="D60" s="26" t="s">
        <v>155</v>
      </c>
      <c r="E60" s="27">
        <v>1.4</v>
      </c>
      <c r="F60" s="26" t="s">
        <v>243</v>
      </c>
      <c r="G60" s="26" t="s">
        <v>244</v>
      </c>
      <c r="H60" s="28">
        <v>2.69E-2</v>
      </c>
      <c r="I60" s="28">
        <v>2.3E-3</v>
      </c>
      <c r="J60" s="29">
        <v>11.695652173913043</v>
      </c>
      <c r="K60" s="30">
        <v>1.7799999999999999E-4</v>
      </c>
      <c r="L60" s="31">
        <v>1.3600000000000001E-8</v>
      </c>
      <c r="M60" s="32">
        <v>1.0100000000000001E-6</v>
      </c>
      <c r="N60" s="32">
        <v>1.3999999999999999E-6</v>
      </c>
      <c r="O60" s="28">
        <v>8.7399999999999995E-3</v>
      </c>
      <c r="P60" s="31">
        <v>2.7100000000000004E-8</v>
      </c>
      <c r="Q60" s="32">
        <v>2.0200000000000001E-6</v>
      </c>
      <c r="R60" s="33">
        <v>1</v>
      </c>
      <c r="S60" s="26" t="s">
        <v>152</v>
      </c>
      <c r="T60" s="32">
        <v>1.3999999999999999E-6</v>
      </c>
      <c r="U60" s="51">
        <v>0.85</v>
      </c>
      <c r="V60" s="12">
        <f t="array" ref="V60">INDEX(tbllkpSteelGrades[fy],MATCH(1,(Table4[[#This Row],[Grade]]=tbllkpSteelGrades[Grade])*(Table4[[#This Row],[t]]&lt;=tbllkpSteelGrades[Thickness]),0))</f>
        <v>350000000</v>
      </c>
      <c r="W60" s="12">
        <f t="array" ref="W60">INDEX(tbllkpSteelGrades[fu],MATCH(1,(Table4[[#This Row],[Grade]]=tbllkpSteelGrades[Grade])*(Table4[[#This Row],[t]]&lt;=tbllkpSteelGrades[Thickness]),0))</f>
        <v>430000000</v>
      </c>
      <c r="X60" s="11">
        <f>Table4[[#This Row],[fy]]*Table4[[#This Row],[Ag]]*0.36</f>
        <v>22428</v>
      </c>
      <c r="Y60" s="50">
        <f ca="1">INDEX(tbllkpkt[kt],MATCH(RANDBETWEEN(1,4),tbllkpkt[Index],0))</f>
        <v>0.9</v>
      </c>
      <c r="Z60" s="48">
        <f t="shared" ca="1" si="1"/>
        <v>0.99</v>
      </c>
      <c r="AA60" s="18">
        <f ca="1">Table4[[#This Row],[Ag]]*Table4[[#This Row],[Deduction_for_An]]</f>
        <v>1.7621999999999999E-4</v>
      </c>
      <c r="AB60" s="11">
        <f>Table4[[#This Row],[fy]]*Table4[[#This Row],[Ag]]</f>
        <v>62300</v>
      </c>
      <c r="AC60" s="11">
        <f ca="1">Table4[[#This Row],[αu]]*Table4[[#This Row],[kt]]*Table4[[#This Row],[An]]*Table4[[#This Row],[fu]]</f>
        <v>57967.568999999989</v>
      </c>
      <c r="AD60" s="11">
        <f ca="1">MIN(Table4[[#This Row],[Nty]],Table4[[#This Row],[Ntu]])</f>
        <v>57967.568999999989</v>
      </c>
    </row>
    <row r="61" spans="2:30" x14ac:dyDescent="0.25">
      <c r="B61" t="str">
        <f>Table4[[#This Row],[Section]]&amp;"-"&amp;Table4[[#This Row],[Grade]]</f>
        <v>26.9 x 2 CHS-CF 350</v>
      </c>
      <c r="C61" s="26" t="s">
        <v>213</v>
      </c>
      <c r="D61" s="26" t="s">
        <v>155</v>
      </c>
      <c r="E61" s="27">
        <v>1.23</v>
      </c>
      <c r="F61" s="26" t="s">
        <v>243</v>
      </c>
      <c r="G61" s="26" t="s">
        <v>244</v>
      </c>
      <c r="H61" s="28">
        <v>2.69E-2</v>
      </c>
      <c r="I61" s="28">
        <v>2E-3</v>
      </c>
      <c r="J61" s="29">
        <v>13.45</v>
      </c>
      <c r="K61" s="30">
        <v>1.56E-4</v>
      </c>
      <c r="L61" s="31">
        <v>1.22E-8</v>
      </c>
      <c r="M61" s="32">
        <v>9.0699999999999996E-7</v>
      </c>
      <c r="N61" s="32">
        <v>1.24E-6</v>
      </c>
      <c r="O61" s="28">
        <v>8.8299999999999993E-3</v>
      </c>
      <c r="P61" s="31">
        <v>2.44E-8</v>
      </c>
      <c r="Q61" s="32">
        <v>1.81E-6</v>
      </c>
      <c r="R61" s="33">
        <v>1</v>
      </c>
      <c r="S61" s="26" t="s">
        <v>152</v>
      </c>
      <c r="T61" s="32">
        <v>1.24E-6</v>
      </c>
      <c r="U61" s="51">
        <v>0.85</v>
      </c>
      <c r="V61" s="12">
        <f t="array" ref="V61">INDEX(tbllkpSteelGrades[fy],MATCH(1,(Table4[[#This Row],[Grade]]=tbllkpSteelGrades[Grade])*(Table4[[#This Row],[t]]&lt;=tbllkpSteelGrades[Thickness]),0))</f>
        <v>350000000</v>
      </c>
      <c r="W61" s="12">
        <f t="array" ref="W61">INDEX(tbllkpSteelGrades[fu],MATCH(1,(Table4[[#This Row],[Grade]]=tbllkpSteelGrades[Grade])*(Table4[[#This Row],[t]]&lt;=tbllkpSteelGrades[Thickness]),0))</f>
        <v>430000000</v>
      </c>
      <c r="X61" s="11">
        <f>Table4[[#This Row],[fy]]*Table4[[#This Row],[Ag]]*0.36</f>
        <v>19656</v>
      </c>
      <c r="Y61" s="50">
        <f ca="1">INDEX(tbllkpkt[kt],MATCH(RANDBETWEEN(1,4),tbllkpkt[Index],0))</f>
        <v>0.85</v>
      </c>
      <c r="Z61" s="48">
        <f t="shared" ca="1" si="1"/>
        <v>0.97</v>
      </c>
      <c r="AA61" s="18">
        <f ca="1">Table4[[#This Row],[Ag]]*Table4[[#This Row],[Deduction_for_An]]</f>
        <v>1.5131999999999998E-4</v>
      </c>
      <c r="AB61" s="11">
        <f>Table4[[#This Row],[fy]]*Table4[[#This Row],[Ag]]</f>
        <v>54600</v>
      </c>
      <c r="AC61" s="11">
        <f ca="1">Table4[[#This Row],[αu]]*Table4[[#This Row],[kt]]*Table4[[#This Row],[An]]*Table4[[#This Row],[fu]]</f>
        <v>47011.340999999986</v>
      </c>
      <c r="AD61" s="11">
        <f ca="1">MIN(Table4[[#This Row],[Nty]],Table4[[#This Row],[Ntu]])</f>
        <v>47011.340999999986</v>
      </c>
    </row>
    <row r="62" spans="2:30" x14ac:dyDescent="0.25">
      <c r="B62" t="str">
        <f>Table4[[#This Row],[Section]]&amp;"-"&amp;Table4[[#This Row],[Grade]]</f>
        <v>165.1 x 5.4 CHS-CF 250</v>
      </c>
      <c r="C62" s="26" t="s">
        <v>214</v>
      </c>
      <c r="D62" s="26" t="s">
        <v>215</v>
      </c>
      <c r="E62" s="27">
        <v>21.3</v>
      </c>
      <c r="F62" s="26" t="s">
        <v>243</v>
      </c>
      <c r="G62" s="26" t="s">
        <v>244</v>
      </c>
      <c r="H62" s="28">
        <v>0.1651</v>
      </c>
      <c r="I62" s="28">
        <v>5.4000000000000003E-3</v>
      </c>
      <c r="J62" s="29">
        <v>30.574074074074073</v>
      </c>
      <c r="K62" s="30">
        <v>2.7100000000000002E-3</v>
      </c>
      <c r="L62" s="31">
        <v>8.6500000000000002E-6</v>
      </c>
      <c r="M62" s="32">
        <v>1.05E-4</v>
      </c>
      <c r="N62" s="32">
        <v>1.3799999999999999E-4</v>
      </c>
      <c r="O62" s="28">
        <v>5.6500000000000002E-2</v>
      </c>
      <c r="P62" s="31">
        <v>1.73E-5</v>
      </c>
      <c r="Q62" s="32">
        <v>2.0900000000000001E-4</v>
      </c>
      <c r="R62" s="33">
        <v>1</v>
      </c>
      <c r="S62" s="26" t="s">
        <v>152</v>
      </c>
      <c r="T62" s="32">
        <v>1.3799999999999999E-4</v>
      </c>
      <c r="U62" s="51">
        <v>0.85</v>
      </c>
      <c r="V62" s="12">
        <f t="array" ref="V62">INDEX(tbllkpSteelGrades[fy],MATCH(1,(Table4[[#This Row],[Grade]]=tbllkpSteelGrades[Grade])*(Table4[[#This Row],[t]]&lt;=tbllkpSteelGrades[Thickness]),0))</f>
        <v>250000000</v>
      </c>
      <c r="W62" s="12">
        <f t="array" ref="W62">INDEX(tbllkpSteelGrades[fu],MATCH(1,(Table4[[#This Row],[Grade]]=tbllkpSteelGrades[Grade])*(Table4[[#This Row],[t]]&lt;=tbllkpSteelGrades[Thickness]),0))</f>
        <v>320000000</v>
      </c>
      <c r="X62" s="11">
        <f>Table4[[#This Row],[fy]]*Table4[[#This Row],[Ag]]*0.36</f>
        <v>243900</v>
      </c>
      <c r="Y62" s="50">
        <f ca="1">INDEX(tbllkpkt[kt],MATCH(RANDBETWEEN(1,4),tbllkpkt[Index],0))</f>
        <v>0.75</v>
      </c>
      <c r="Z62" s="48">
        <f t="shared" ca="1" si="1"/>
        <v>0.98</v>
      </c>
      <c r="AA62" s="18">
        <f ca="1">Table4[[#This Row],[Ag]]*Table4[[#This Row],[Deduction_for_An]]</f>
        <v>2.6558000000000003E-3</v>
      </c>
      <c r="AB62" s="11">
        <f>Table4[[#This Row],[fy]]*Table4[[#This Row],[Ag]]</f>
        <v>677500</v>
      </c>
      <c r="AC62" s="11">
        <f ca="1">Table4[[#This Row],[αu]]*Table4[[#This Row],[kt]]*Table4[[#This Row],[An]]*Table4[[#This Row],[fu]]</f>
        <v>541783.20000000007</v>
      </c>
      <c r="AD62" s="11">
        <f ca="1">MIN(Table4[[#This Row],[Nty]],Table4[[#This Row],[Ntu]])</f>
        <v>541783.20000000007</v>
      </c>
    </row>
    <row r="63" spans="2:30" x14ac:dyDescent="0.25">
      <c r="B63" t="str">
        <f>Table4[[#This Row],[Section]]&amp;"-"&amp;Table4[[#This Row],[Grade]]</f>
        <v>165.1 x 5 CHS-CF 250</v>
      </c>
      <c r="C63" s="26" t="s">
        <v>216</v>
      </c>
      <c r="D63" s="26" t="s">
        <v>215</v>
      </c>
      <c r="E63" s="27">
        <v>19.7</v>
      </c>
      <c r="F63" s="26" t="s">
        <v>243</v>
      </c>
      <c r="G63" s="26" t="s">
        <v>244</v>
      </c>
      <c r="H63" s="28">
        <v>0.1651</v>
      </c>
      <c r="I63" s="28">
        <v>5.0000000000000001E-3</v>
      </c>
      <c r="J63" s="29">
        <v>33.019999999999996</v>
      </c>
      <c r="K63" s="30">
        <v>2.5100000000000001E-3</v>
      </c>
      <c r="L63" s="31">
        <v>8.0700000000000007E-6</v>
      </c>
      <c r="M63" s="32">
        <v>9.7700000000000003E-5</v>
      </c>
      <c r="N63" s="32">
        <v>1.2799999999999999E-4</v>
      </c>
      <c r="O63" s="28">
        <v>5.6600000000000004E-2</v>
      </c>
      <c r="P63" s="31">
        <v>1.6100000000000002E-5</v>
      </c>
      <c r="Q63" s="32">
        <v>1.95E-4</v>
      </c>
      <c r="R63" s="33">
        <v>1</v>
      </c>
      <c r="S63" s="26" t="s">
        <v>152</v>
      </c>
      <c r="T63" s="32">
        <v>1.2799999999999999E-4</v>
      </c>
      <c r="U63" s="51">
        <v>0.85</v>
      </c>
      <c r="V63" s="12">
        <f t="array" ref="V63">INDEX(tbllkpSteelGrades[fy],MATCH(1,(Table4[[#This Row],[Grade]]=tbllkpSteelGrades[Grade])*(Table4[[#This Row],[t]]&lt;=tbllkpSteelGrades[Thickness]),0))</f>
        <v>250000000</v>
      </c>
      <c r="W63" s="12">
        <f t="array" ref="W63">INDEX(tbllkpSteelGrades[fu],MATCH(1,(Table4[[#This Row],[Grade]]=tbllkpSteelGrades[Grade])*(Table4[[#This Row],[t]]&lt;=tbllkpSteelGrades[Thickness]),0))</f>
        <v>320000000</v>
      </c>
      <c r="X63" s="11">
        <f>Table4[[#This Row],[fy]]*Table4[[#This Row],[Ag]]*0.36</f>
        <v>225900</v>
      </c>
      <c r="Y63" s="50">
        <f ca="1">INDEX(tbllkpkt[kt],MATCH(RANDBETWEEN(1,4),tbllkpkt[Index],0))</f>
        <v>1</v>
      </c>
      <c r="Z63" s="48">
        <f t="shared" ca="1" si="1"/>
        <v>0.96</v>
      </c>
      <c r="AA63" s="18">
        <f ca="1">Table4[[#This Row],[Ag]]*Table4[[#This Row],[Deduction_for_An]]</f>
        <v>2.4096E-3</v>
      </c>
      <c r="AB63" s="11">
        <f>Table4[[#This Row],[fy]]*Table4[[#This Row],[Ag]]</f>
        <v>627500</v>
      </c>
      <c r="AC63" s="11">
        <f ca="1">Table4[[#This Row],[αu]]*Table4[[#This Row],[kt]]*Table4[[#This Row],[An]]*Table4[[#This Row],[fu]]</f>
        <v>655411.19999999995</v>
      </c>
      <c r="AD63" s="11">
        <f ca="1">MIN(Table4[[#This Row],[Nty]],Table4[[#This Row],[Ntu]])</f>
        <v>627500</v>
      </c>
    </row>
    <row r="64" spans="2:30" x14ac:dyDescent="0.25">
      <c r="B64" t="str">
        <f>Table4[[#This Row],[Section]]&amp;"-"&amp;Table4[[#This Row],[Grade]]</f>
        <v>139.7 x 5.4 CHS-CF 250</v>
      </c>
      <c r="C64" s="26" t="s">
        <v>217</v>
      </c>
      <c r="D64" s="26" t="s">
        <v>215</v>
      </c>
      <c r="E64" s="27">
        <v>17.899999999999999</v>
      </c>
      <c r="F64" s="26" t="s">
        <v>243</v>
      </c>
      <c r="G64" s="26" t="s">
        <v>244</v>
      </c>
      <c r="H64" s="28">
        <v>0.13969999999999999</v>
      </c>
      <c r="I64" s="28">
        <v>5.4000000000000003E-3</v>
      </c>
      <c r="J64" s="29">
        <v>25.870370370370367</v>
      </c>
      <c r="K64" s="30">
        <v>2.2799999999999999E-3</v>
      </c>
      <c r="L64" s="31">
        <v>5.1399999999999999E-6</v>
      </c>
      <c r="M64" s="32">
        <v>7.3700000000000002E-5</v>
      </c>
      <c r="N64" s="32">
        <v>9.7399999999999996E-5</v>
      </c>
      <c r="O64" s="28">
        <v>4.7500000000000001E-2</v>
      </c>
      <c r="P64" s="31">
        <v>1.03E-5</v>
      </c>
      <c r="Q64" s="32">
        <v>1.47E-4</v>
      </c>
      <c r="R64" s="33">
        <v>1</v>
      </c>
      <c r="S64" s="26" t="s">
        <v>152</v>
      </c>
      <c r="T64" s="32">
        <v>9.7399999999999996E-5</v>
      </c>
      <c r="U64" s="51">
        <v>0.85</v>
      </c>
      <c r="V64" s="12">
        <f t="array" ref="V64">INDEX(tbllkpSteelGrades[fy],MATCH(1,(Table4[[#This Row],[Grade]]=tbllkpSteelGrades[Grade])*(Table4[[#This Row],[t]]&lt;=tbllkpSteelGrades[Thickness]),0))</f>
        <v>250000000</v>
      </c>
      <c r="W64" s="12">
        <f t="array" ref="W64">INDEX(tbllkpSteelGrades[fu],MATCH(1,(Table4[[#This Row],[Grade]]=tbllkpSteelGrades[Grade])*(Table4[[#This Row],[t]]&lt;=tbllkpSteelGrades[Thickness]),0))</f>
        <v>320000000</v>
      </c>
      <c r="X64" s="11">
        <f>Table4[[#This Row],[fy]]*Table4[[#This Row],[Ag]]*0.36</f>
        <v>205200</v>
      </c>
      <c r="Y64" s="50">
        <f ca="1">INDEX(tbllkpkt[kt],MATCH(RANDBETWEEN(1,4),tbllkpkt[Index],0))</f>
        <v>1</v>
      </c>
      <c r="Z64" s="48">
        <f t="shared" ca="1" si="1"/>
        <v>0.92</v>
      </c>
      <c r="AA64" s="18">
        <f ca="1">Table4[[#This Row],[Ag]]*Table4[[#This Row],[Deduction_for_An]]</f>
        <v>2.0975999999999998E-3</v>
      </c>
      <c r="AB64" s="11">
        <f>Table4[[#This Row],[fy]]*Table4[[#This Row],[Ag]]</f>
        <v>570000</v>
      </c>
      <c r="AC64" s="11">
        <f ca="1">Table4[[#This Row],[αu]]*Table4[[#This Row],[kt]]*Table4[[#This Row],[An]]*Table4[[#This Row],[fu]]</f>
        <v>570547.19999999995</v>
      </c>
      <c r="AD64" s="11">
        <f ca="1">MIN(Table4[[#This Row],[Nty]],Table4[[#This Row],[Ntu]])</f>
        <v>570000</v>
      </c>
    </row>
    <row r="65" spans="2:30" x14ac:dyDescent="0.25">
      <c r="B65" t="str">
        <f>Table4[[#This Row],[Section]]&amp;"-"&amp;Table4[[#This Row],[Grade]]</f>
        <v>139.7 x 5 CHS-CF 250</v>
      </c>
      <c r="C65" s="26" t="s">
        <v>218</v>
      </c>
      <c r="D65" s="26" t="s">
        <v>215</v>
      </c>
      <c r="E65" s="27">
        <v>16.600000000000001</v>
      </c>
      <c r="F65" s="26" t="s">
        <v>243</v>
      </c>
      <c r="G65" s="26" t="s">
        <v>244</v>
      </c>
      <c r="H65" s="28">
        <v>0.13969999999999999</v>
      </c>
      <c r="I65" s="28">
        <v>5.0000000000000001E-3</v>
      </c>
      <c r="J65" s="29">
        <v>27.939999999999998</v>
      </c>
      <c r="K65" s="30">
        <v>2.1199999999999999E-3</v>
      </c>
      <c r="L65" s="31">
        <v>4.8099999999999997E-6</v>
      </c>
      <c r="M65" s="32">
        <v>6.8800000000000005E-5</v>
      </c>
      <c r="N65" s="32">
        <v>9.0799999999999998E-5</v>
      </c>
      <c r="O65" s="28">
        <v>4.7700000000000006E-2</v>
      </c>
      <c r="P65" s="31">
        <v>9.6099999999999995E-6</v>
      </c>
      <c r="Q65" s="32">
        <v>1.3799999999999999E-4</v>
      </c>
      <c r="R65" s="33">
        <v>1</v>
      </c>
      <c r="S65" s="26" t="s">
        <v>152</v>
      </c>
      <c r="T65" s="32">
        <v>9.0799999999999998E-5</v>
      </c>
      <c r="U65" s="51">
        <v>0.85</v>
      </c>
      <c r="V65" s="12">
        <f t="array" ref="V65">INDEX(tbllkpSteelGrades[fy],MATCH(1,(Table4[[#This Row],[Grade]]=tbllkpSteelGrades[Grade])*(Table4[[#This Row],[t]]&lt;=tbllkpSteelGrades[Thickness]),0))</f>
        <v>250000000</v>
      </c>
      <c r="W65" s="12">
        <f t="array" ref="W65">INDEX(tbllkpSteelGrades[fu],MATCH(1,(Table4[[#This Row],[Grade]]=tbllkpSteelGrades[Grade])*(Table4[[#This Row],[t]]&lt;=tbllkpSteelGrades[Thickness]),0))</f>
        <v>320000000</v>
      </c>
      <c r="X65" s="11">
        <f>Table4[[#This Row],[fy]]*Table4[[#This Row],[Ag]]*0.36</f>
        <v>190800</v>
      </c>
      <c r="Y65" s="50">
        <f ca="1">INDEX(tbllkpkt[kt],MATCH(RANDBETWEEN(1,4),tbllkpkt[Index],0))</f>
        <v>0.9</v>
      </c>
      <c r="Z65" s="48">
        <f t="shared" ca="1" si="1"/>
        <v>0.94</v>
      </c>
      <c r="AA65" s="18">
        <f ca="1">Table4[[#This Row],[Ag]]*Table4[[#This Row],[Deduction_for_An]]</f>
        <v>1.9927999999999999E-3</v>
      </c>
      <c r="AB65" s="11">
        <f>Table4[[#This Row],[fy]]*Table4[[#This Row],[Ag]]</f>
        <v>530000</v>
      </c>
      <c r="AC65" s="11">
        <f ca="1">Table4[[#This Row],[αu]]*Table4[[#This Row],[kt]]*Table4[[#This Row],[An]]*Table4[[#This Row],[fu]]</f>
        <v>487837.43999999994</v>
      </c>
      <c r="AD65" s="11">
        <f ca="1">MIN(Table4[[#This Row],[Nty]],Table4[[#This Row],[Ntu]])</f>
        <v>487837.43999999994</v>
      </c>
    </row>
    <row r="66" spans="2:30" x14ac:dyDescent="0.25">
      <c r="B66" t="str">
        <f>Table4[[#This Row],[Section]]&amp;"-"&amp;Table4[[#This Row],[Grade]]</f>
        <v>114.3 x 5.4 CHS-CF 250</v>
      </c>
      <c r="C66" s="26" t="s">
        <v>219</v>
      </c>
      <c r="D66" s="26" t="s">
        <v>215</v>
      </c>
      <c r="E66" s="27">
        <v>14.5</v>
      </c>
      <c r="F66" s="26" t="s">
        <v>243</v>
      </c>
      <c r="G66" s="26" t="s">
        <v>244</v>
      </c>
      <c r="H66" s="28">
        <v>0.1143</v>
      </c>
      <c r="I66" s="28">
        <v>5.4000000000000003E-3</v>
      </c>
      <c r="J66" s="29">
        <v>21.166666666666664</v>
      </c>
      <c r="K66" s="30">
        <v>1.8500000000000001E-3</v>
      </c>
      <c r="L66" s="31">
        <v>2.7499999999999999E-6</v>
      </c>
      <c r="M66" s="32">
        <v>4.8000000000000001E-5</v>
      </c>
      <c r="N66" s="32">
        <v>6.4099999999999986E-5</v>
      </c>
      <c r="O66" s="28">
        <v>3.85E-2</v>
      </c>
      <c r="P66" s="31">
        <v>5.49E-6</v>
      </c>
      <c r="Q66" s="32">
        <v>9.6100000000000005E-5</v>
      </c>
      <c r="R66" s="33">
        <v>1</v>
      </c>
      <c r="S66" s="26" t="s">
        <v>152</v>
      </c>
      <c r="T66" s="32">
        <v>6.4099999999999986E-5</v>
      </c>
      <c r="U66" s="51">
        <v>0.85</v>
      </c>
      <c r="V66" s="12">
        <f t="array" ref="V66">INDEX(tbllkpSteelGrades[fy],MATCH(1,(Table4[[#This Row],[Grade]]=tbllkpSteelGrades[Grade])*(Table4[[#This Row],[t]]&lt;=tbllkpSteelGrades[Thickness]),0))</f>
        <v>250000000</v>
      </c>
      <c r="W66" s="12">
        <f t="array" ref="W66">INDEX(tbllkpSteelGrades[fu],MATCH(1,(Table4[[#This Row],[Grade]]=tbllkpSteelGrades[Grade])*(Table4[[#This Row],[t]]&lt;=tbllkpSteelGrades[Thickness]),0))</f>
        <v>320000000</v>
      </c>
      <c r="X66" s="11">
        <f>Table4[[#This Row],[fy]]*Table4[[#This Row],[Ag]]*0.36</f>
        <v>166500</v>
      </c>
      <c r="Y66" s="50">
        <f ca="1">INDEX(tbllkpkt[kt],MATCH(RANDBETWEEN(1,4),tbllkpkt[Index],0))</f>
        <v>1</v>
      </c>
      <c r="Z66" s="48">
        <f t="shared" ca="1" si="1"/>
        <v>0.95</v>
      </c>
      <c r="AA66" s="18">
        <f ca="1">Table4[[#This Row],[Ag]]*Table4[[#This Row],[Deduction_for_An]]</f>
        <v>1.7574999999999999E-3</v>
      </c>
      <c r="AB66" s="11">
        <f>Table4[[#This Row],[fy]]*Table4[[#This Row],[Ag]]</f>
        <v>462500</v>
      </c>
      <c r="AC66" s="11">
        <f ca="1">Table4[[#This Row],[αu]]*Table4[[#This Row],[kt]]*Table4[[#This Row],[An]]*Table4[[#This Row],[fu]]</f>
        <v>478040</v>
      </c>
      <c r="AD66" s="11">
        <f ca="1">MIN(Table4[[#This Row],[Nty]],Table4[[#This Row],[Ntu]])</f>
        <v>462500</v>
      </c>
    </row>
    <row r="67" spans="2:30" x14ac:dyDescent="0.25">
      <c r="B67" t="str">
        <f>Table4[[#This Row],[Section]]&amp;"-"&amp;Table4[[#This Row],[Grade]]</f>
        <v>114.3 x 4.5 CHS-CF 250</v>
      </c>
      <c r="C67" s="26" t="s">
        <v>220</v>
      </c>
      <c r="D67" s="26" t="s">
        <v>215</v>
      </c>
      <c r="E67" s="27">
        <v>12.2</v>
      </c>
      <c r="F67" s="26" t="s">
        <v>243</v>
      </c>
      <c r="G67" s="26" t="s">
        <v>244</v>
      </c>
      <c r="H67" s="28">
        <v>0.1143</v>
      </c>
      <c r="I67" s="28">
        <v>4.4999999999999997E-3</v>
      </c>
      <c r="J67" s="29">
        <v>25.400000000000002</v>
      </c>
      <c r="K67" s="30">
        <v>1.5499999999999999E-3</v>
      </c>
      <c r="L67" s="31">
        <v>2.34E-6</v>
      </c>
      <c r="M67" s="32">
        <v>4.1E-5</v>
      </c>
      <c r="N67" s="32">
        <v>5.4299999999999998E-5</v>
      </c>
      <c r="O67" s="28">
        <v>3.8899999999999997E-2</v>
      </c>
      <c r="P67" s="31">
        <v>4.69E-6</v>
      </c>
      <c r="Q67" s="32">
        <v>8.2000000000000001E-5</v>
      </c>
      <c r="R67" s="33">
        <v>1</v>
      </c>
      <c r="S67" s="26" t="s">
        <v>152</v>
      </c>
      <c r="T67" s="32">
        <v>5.4299999999999998E-5</v>
      </c>
      <c r="U67" s="51">
        <v>0.85</v>
      </c>
      <c r="V67" s="12">
        <f t="array" ref="V67">INDEX(tbllkpSteelGrades[fy],MATCH(1,(Table4[[#This Row],[Grade]]=tbllkpSteelGrades[Grade])*(Table4[[#This Row],[t]]&lt;=tbllkpSteelGrades[Thickness]),0))</f>
        <v>250000000</v>
      </c>
      <c r="W67" s="12">
        <f t="array" ref="W67">INDEX(tbllkpSteelGrades[fu],MATCH(1,(Table4[[#This Row],[Grade]]=tbllkpSteelGrades[Grade])*(Table4[[#This Row],[t]]&lt;=tbllkpSteelGrades[Thickness]),0))</f>
        <v>320000000</v>
      </c>
      <c r="X67" s="11">
        <f>Table4[[#This Row],[fy]]*Table4[[#This Row],[Ag]]*0.36</f>
        <v>139500</v>
      </c>
      <c r="Y67" s="50">
        <f ca="1">INDEX(tbllkpkt[kt],MATCH(RANDBETWEEN(1,4),tbllkpkt[Index],0))</f>
        <v>0.85</v>
      </c>
      <c r="Z67" s="48">
        <f t="shared" ref="Z67:Z89" ca="1" si="2">1-RANDBETWEEN(0,10)/100</f>
        <v>0.91</v>
      </c>
      <c r="AA67" s="18">
        <f ca="1">Table4[[#This Row],[Ag]]*Table4[[#This Row],[Deduction_for_An]]</f>
        <v>1.4105000000000001E-3</v>
      </c>
      <c r="AB67" s="11">
        <f>Table4[[#This Row],[fy]]*Table4[[#This Row],[Ag]]</f>
        <v>387500</v>
      </c>
      <c r="AC67" s="11">
        <f ca="1">Table4[[#This Row],[αu]]*Table4[[#This Row],[kt]]*Table4[[#This Row],[An]]*Table4[[#This Row],[fu]]</f>
        <v>326107.59999999998</v>
      </c>
      <c r="AD67" s="11">
        <f ca="1">MIN(Table4[[#This Row],[Nty]],Table4[[#This Row],[Ntu]])</f>
        <v>326107.59999999998</v>
      </c>
    </row>
    <row r="68" spans="2:30" x14ac:dyDescent="0.25">
      <c r="B68" t="str">
        <f>Table4[[#This Row],[Section]]&amp;"-"&amp;Table4[[#This Row],[Grade]]</f>
        <v>101.6 x 5 CHS-CF 250</v>
      </c>
      <c r="C68" s="26" t="s">
        <v>221</v>
      </c>
      <c r="D68" s="26" t="s">
        <v>215</v>
      </c>
      <c r="E68" s="27">
        <v>11.9</v>
      </c>
      <c r="F68" s="26" t="s">
        <v>243</v>
      </c>
      <c r="G68" s="26" t="s">
        <v>244</v>
      </c>
      <c r="H68" s="28">
        <v>0.1016</v>
      </c>
      <c r="I68" s="28">
        <v>5.0000000000000001E-3</v>
      </c>
      <c r="J68" s="29">
        <v>20.32</v>
      </c>
      <c r="K68" s="30">
        <v>1.5200000000000001E-3</v>
      </c>
      <c r="L68" s="31">
        <v>1.77E-6</v>
      </c>
      <c r="M68" s="32">
        <v>3.4900000000000001E-5</v>
      </c>
      <c r="N68" s="32">
        <v>4.6699999999999997E-5</v>
      </c>
      <c r="O68" s="28">
        <v>3.4200000000000001E-2</v>
      </c>
      <c r="P68" s="31">
        <v>3.5499999999999999E-6</v>
      </c>
      <c r="Q68" s="32">
        <v>6.9900000000000005E-5</v>
      </c>
      <c r="R68" s="33">
        <v>1</v>
      </c>
      <c r="S68" s="26" t="s">
        <v>152</v>
      </c>
      <c r="T68" s="32">
        <v>4.6699999999999997E-5</v>
      </c>
      <c r="U68" s="51">
        <v>0.85</v>
      </c>
      <c r="V68" s="12">
        <f t="array" ref="V68">INDEX(tbllkpSteelGrades[fy],MATCH(1,(Table4[[#This Row],[Grade]]=tbllkpSteelGrades[Grade])*(Table4[[#This Row],[t]]&lt;=tbllkpSteelGrades[Thickness]),0))</f>
        <v>250000000</v>
      </c>
      <c r="W68" s="12">
        <f t="array" ref="W68">INDEX(tbllkpSteelGrades[fu],MATCH(1,(Table4[[#This Row],[Grade]]=tbllkpSteelGrades[Grade])*(Table4[[#This Row],[t]]&lt;=tbllkpSteelGrades[Thickness]),0))</f>
        <v>320000000</v>
      </c>
      <c r="X68" s="11">
        <f>Table4[[#This Row],[fy]]*Table4[[#This Row],[Ag]]*0.36</f>
        <v>136800</v>
      </c>
      <c r="Y68" s="50">
        <f ca="1">INDEX(tbllkpkt[kt],MATCH(RANDBETWEEN(1,4),tbllkpkt[Index],0))</f>
        <v>0.85</v>
      </c>
      <c r="Z68" s="48">
        <f t="shared" ca="1" si="2"/>
        <v>0.99</v>
      </c>
      <c r="AA68" s="18">
        <f ca="1">Table4[[#This Row],[Ag]]*Table4[[#This Row],[Deduction_for_An]]</f>
        <v>1.5048000000000001E-3</v>
      </c>
      <c r="AB68" s="11">
        <f>Table4[[#This Row],[fy]]*Table4[[#This Row],[Ag]]</f>
        <v>380000</v>
      </c>
      <c r="AC68" s="11">
        <f ca="1">Table4[[#This Row],[αu]]*Table4[[#This Row],[kt]]*Table4[[#This Row],[An]]*Table4[[#This Row],[fu]]</f>
        <v>347909.76</v>
      </c>
      <c r="AD68" s="11">
        <f ca="1">MIN(Table4[[#This Row],[Nty]],Table4[[#This Row],[Ntu]])</f>
        <v>347909.76</v>
      </c>
    </row>
    <row r="69" spans="2:30" x14ac:dyDescent="0.25">
      <c r="B69" t="str">
        <f>Table4[[#This Row],[Section]]&amp;"-"&amp;Table4[[#This Row],[Grade]]</f>
        <v>101.6 x 4 CHS-CF 250</v>
      </c>
      <c r="C69" s="26" t="s">
        <v>222</v>
      </c>
      <c r="D69" s="26" t="s">
        <v>215</v>
      </c>
      <c r="E69" s="27">
        <v>9.6300000000000008</v>
      </c>
      <c r="F69" s="26" t="s">
        <v>243</v>
      </c>
      <c r="G69" s="26" t="s">
        <v>244</v>
      </c>
      <c r="H69" s="28">
        <v>0.1016</v>
      </c>
      <c r="I69" s="28">
        <v>4.0000000000000001E-3</v>
      </c>
      <c r="J69" s="29">
        <v>25.4</v>
      </c>
      <c r="K69" s="30">
        <v>1.23E-3</v>
      </c>
      <c r="L69" s="31">
        <v>1.46E-6</v>
      </c>
      <c r="M69" s="32">
        <v>2.8799999999999999E-5</v>
      </c>
      <c r="N69" s="32">
        <v>3.8099999999999998E-5</v>
      </c>
      <c r="O69" s="28">
        <v>3.4500000000000003E-2</v>
      </c>
      <c r="P69" s="31">
        <v>2.9299999999999999E-6</v>
      </c>
      <c r="Q69" s="32">
        <v>5.7599999999999997E-5</v>
      </c>
      <c r="R69" s="33">
        <v>1</v>
      </c>
      <c r="S69" s="26" t="s">
        <v>152</v>
      </c>
      <c r="T69" s="32">
        <v>3.8099999999999998E-5</v>
      </c>
      <c r="U69" s="51">
        <v>0.85</v>
      </c>
      <c r="V69" s="12">
        <f t="array" ref="V69">INDEX(tbllkpSteelGrades[fy],MATCH(1,(Table4[[#This Row],[Grade]]=tbllkpSteelGrades[Grade])*(Table4[[#This Row],[t]]&lt;=tbllkpSteelGrades[Thickness]),0))</f>
        <v>250000000</v>
      </c>
      <c r="W69" s="12">
        <f t="array" ref="W69">INDEX(tbllkpSteelGrades[fu],MATCH(1,(Table4[[#This Row],[Grade]]=tbllkpSteelGrades[Grade])*(Table4[[#This Row],[t]]&lt;=tbllkpSteelGrades[Thickness]),0))</f>
        <v>320000000</v>
      </c>
      <c r="X69" s="11">
        <f>Table4[[#This Row],[fy]]*Table4[[#This Row],[Ag]]*0.36</f>
        <v>110700</v>
      </c>
      <c r="Y69" s="50">
        <f ca="1">INDEX(tbllkpkt[kt],MATCH(RANDBETWEEN(1,4),tbllkpkt[Index],0))</f>
        <v>0.85</v>
      </c>
      <c r="Z69" s="48">
        <f t="shared" ca="1" si="2"/>
        <v>0.94</v>
      </c>
      <c r="AA69" s="18">
        <f ca="1">Table4[[#This Row],[Ag]]*Table4[[#This Row],[Deduction_for_An]]</f>
        <v>1.1561999999999998E-3</v>
      </c>
      <c r="AB69" s="11">
        <f>Table4[[#This Row],[fy]]*Table4[[#This Row],[Ag]]</f>
        <v>307500</v>
      </c>
      <c r="AC69" s="11">
        <f ca="1">Table4[[#This Row],[αu]]*Table4[[#This Row],[kt]]*Table4[[#This Row],[An]]*Table4[[#This Row],[fu]]</f>
        <v>267313.43999999994</v>
      </c>
      <c r="AD69" s="11">
        <f ca="1">MIN(Table4[[#This Row],[Nty]],Table4[[#This Row],[Ntu]])</f>
        <v>267313.43999999994</v>
      </c>
    </row>
    <row r="70" spans="2:30" x14ac:dyDescent="0.25">
      <c r="B70" t="str">
        <f>Table4[[#This Row],[Section]]&amp;"-"&amp;Table4[[#This Row],[Grade]]</f>
        <v>88.9 x 5.9 CHS-CF 250</v>
      </c>
      <c r="C70" s="26" t="s">
        <v>223</v>
      </c>
      <c r="D70" s="26" t="s">
        <v>215</v>
      </c>
      <c r="E70" s="27">
        <v>12.1</v>
      </c>
      <c r="F70" s="26" t="s">
        <v>243</v>
      </c>
      <c r="G70" s="26" t="s">
        <v>244</v>
      </c>
      <c r="H70" s="28">
        <v>8.8900000000000007E-2</v>
      </c>
      <c r="I70" s="28">
        <v>5.9000000000000007E-3</v>
      </c>
      <c r="J70" s="29">
        <v>15.067796610169491</v>
      </c>
      <c r="K70" s="30">
        <v>1.5399999999999999E-3</v>
      </c>
      <c r="L70" s="31">
        <v>1.33E-6</v>
      </c>
      <c r="M70" s="32">
        <v>3.0000000000000001E-5</v>
      </c>
      <c r="N70" s="32">
        <v>4.07E-5</v>
      </c>
      <c r="O70" s="28">
        <v>2.9399999999999999E-2</v>
      </c>
      <c r="P70" s="31">
        <v>2.6599999999999999E-6</v>
      </c>
      <c r="Q70" s="32">
        <v>5.9899999999999999E-5</v>
      </c>
      <c r="R70" s="33">
        <v>1</v>
      </c>
      <c r="S70" s="26" t="s">
        <v>152</v>
      </c>
      <c r="T70" s="32">
        <v>4.07E-5</v>
      </c>
      <c r="U70" s="51">
        <v>0.85</v>
      </c>
      <c r="V70" s="12">
        <f t="array" ref="V70">INDEX(tbllkpSteelGrades[fy],MATCH(1,(Table4[[#This Row],[Grade]]=tbllkpSteelGrades[Grade])*(Table4[[#This Row],[t]]&lt;=tbllkpSteelGrades[Thickness]),0))</f>
        <v>250000000</v>
      </c>
      <c r="W70" s="12">
        <f t="array" ref="W70">INDEX(tbllkpSteelGrades[fu],MATCH(1,(Table4[[#This Row],[Grade]]=tbllkpSteelGrades[Grade])*(Table4[[#This Row],[t]]&lt;=tbllkpSteelGrades[Thickness]),0))</f>
        <v>320000000</v>
      </c>
      <c r="X70" s="11">
        <f>Table4[[#This Row],[fy]]*Table4[[#This Row],[Ag]]*0.36</f>
        <v>138600</v>
      </c>
      <c r="Y70" s="50">
        <f ca="1">INDEX(tbllkpkt[kt],MATCH(RANDBETWEEN(1,4),tbllkpkt[Index],0))</f>
        <v>1</v>
      </c>
      <c r="Z70" s="48">
        <f t="shared" ca="1" si="2"/>
        <v>1</v>
      </c>
      <c r="AA70" s="18">
        <f ca="1">Table4[[#This Row],[Ag]]*Table4[[#This Row],[Deduction_for_An]]</f>
        <v>1.5399999999999999E-3</v>
      </c>
      <c r="AB70" s="11">
        <f>Table4[[#This Row],[fy]]*Table4[[#This Row],[Ag]]</f>
        <v>385000</v>
      </c>
      <c r="AC70" s="11">
        <f ca="1">Table4[[#This Row],[αu]]*Table4[[#This Row],[kt]]*Table4[[#This Row],[An]]*Table4[[#This Row],[fu]]</f>
        <v>418879.99999999994</v>
      </c>
      <c r="AD70" s="11">
        <f ca="1">MIN(Table4[[#This Row],[Nty]],Table4[[#This Row],[Ntu]])</f>
        <v>385000</v>
      </c>
    </row>
    <row r="71" spans="2:30" x14ac:dyDescent="0.25">
      <c r="B71" t="str">
        <f>Table4[[#This Row],[Section]]&amp;"-"&amp;Table4[[#This Row],[Grade]]</f>
        <v>88.9 x 5 CHS-CF 250</v>
      </c>
      <c r="C71" s="26" t="s">
        <v>224</v>
      </c>
      <c r="D71" s="26" t="s">
        <v>215</v>
      </c>
      <c r="E71" s="27">
        <v>10.3</v>
      </c>
      <c r="F71" s="26" t="s">
        <v>243</v>
      </c>
      <c r="G71" s="26" t="s">
        <v>244</v>
      </c>
      <c r="H71" s="28">
        <v>8.8900000000000007E-2</v>
      </c>
      <c r="I71" s="28">
        <v>5.0000000000000001E-3</v>
      </c>
      <c r="J71" s="29">
        <v>17.78</v>
      </c>
      <c r="K71" s="30">
        <v>1.32E-3</v>
      </c>
      <c r="L71" s="31">
        <v>1.1599999999999999E-6</v>
      </c>
      <c r="M71" s="32">
        <v>2.62E-5</v>
      </c>
      <c r="N71" s="32">
        <v>3.5200000000000002E-5</v>
      </c>
      <c r="O71" s="28">
        <v>2.9700000000000001E-2</v>
      </c>
      <c r="P71" s="31">
        <v>2.3300000000000001E-6</v>
      </c>
      <c r="Q71" s="32">
        <v>5.24E-5</v>
      </c>
      <c r="R71" s="33">
        <v>1</v>
      </c>
      <c r="S71" s="26" t="s">
        <v>152</v>
      </c>
      <c r="T71" s="32">
        <v>3.5200000000000002E-5</v>
      </c>
      <c r="U71" s="51">
        <v>0.85</v>
      </c>
      <c r="V71" s="12">
        <f t="array" ref="V71">INDEX(tbllkpSteelGrades[fy],MATCH(1,(Table4[[#This Row],[Grade]]=tbllkpSteelGrades[Grade])*(Table4[[#This Row],[t]]&lt;=tbllkpSteelGrades[Thickness]),0))</f>
        <v>250000000</v>
      </c>
      <c r="W71" s="12">
        <f t="array" ref="W71">INDEX(tbllkpSteelGrades[fu],MATCH(1,(Table4[[#This Row],[Grade]]=tbllkpSteelGrades[Grade])*(Table4[[#This Row],[t]]&lt;=tbllkpSteelGrades[Thickness]),0))</f>
        <v>320000000</v>
      </c>
      <c r="X71" s="11">
        <f>Table4[[#This Row],[fy]]*Table4[[#This Row],[Ag]]*0.36</f>
        <v>118800</v>
      </c>
      <c r="Y71" s="50">
        <f ca="1">INDEX(tbllkpkt[kt],MATCH(RANDBETWEEN(1,4),tbllkpkt[Index],0))</f>
        <v>1</v>
      </c>
      <c r="Z71" s="48">
        <f t="shared" ca="1" si="2"/>
        <v>0.92999999999999994</v>
      </c>
      <c r="AA71" s="18">
        <f ca="1">Table4[[#This Row],[Ag]]*Table4[[#This Row],[Deduction_for_An]]</f>
        <v>1.2275999999999999E-3</v>
      </c>
      <c r="AB71" s="11">
        <f>Table4[[#This Row],[fy]]*Table4[[#This Row],[Ag]]</f>
        <v>330000</v>
      </c>
      <c r="AC71" s="11">
        <f ca="1">Table4[[#This Row],[αu]]*Table4[[#This Row],[kt]]*Table4[[#This Row],[An]]*Table4[[#This Row],[fu]]</f>
        <v>333907.20000000001</v>
      </c>
      <c r="AD71" s="11">
        <f ca="1">MIN(Table4[[#This Row],[Nty]],Table4[[#This Row],[Ntu]])</f>
        <v>330000</v>
      </c>
    </row>
    <row r="72" spans="2:30" x14ac:dyDescent="0.25">
      <c r="B72" t="str">
        <f>Table4[[#This Row],[Section]]&amp;"-"&amp;Table4[[#This Row],[Grade]]</f>
        <v>88.9 x 4 CHS-CF 250</v>
      </c>
      <c r="C72" s="26" t="s">
        <v>225</v>
      </c>
      <c r="D72" s="26" t="s">
        <v>215</v>
      </c>
      <c r="E72" s="27">
        <v>8.3800000000000008</v>
      </c>
      <c r="F72" s="26" t="s">
        <v>243</v>
      </c>
      <c r="G72" s="26" t="s">
        <v>244</v>
      </c>
      <c r="H72" s="28">
        <v>8.8900000000000007E-2</v>
      </c>
      <c r="I72" s="28">
        <v>4.0000000000000001E-3</v>
      </c>
      <c r="J72" s="29">
        <v>22.225000000000001</v>
      </c>
      <c r="K72" s="30">
        <v>1.07E-3</v>
      </c>
      <c r="L72" s="31">
        <v>9.6299999999999993E-7</v>
      </c>
      <c r="M72" s="32">
        <v>2.1699999999999999E-5</v>
      </c>
      <c r="N72" s="32">
        <v>2.8900000000000001E-5</v>
      </c>
      <c r="O72" s="28">
        <v>0.03</v>
      </c>
      <c r="P72" s="31">
        <v>1.9300000000000002E-6</v>
      </c>
      <c r="Q72" s="32">
        <v>4.3300000000000002E-5</v>
      </c>
      <c r="R72" s="33">
        <v>1</v>
      </c>
      <c r="S72" s="26" t="s">
        <v>152</v>
      </c>
      <c r="T72" s="32">
        <v>2.8900000000000001E-5</v>
      </c>
      <c r="U72" s="51">
        <v>0.85</v>
      </c>
      <c r="V72" s="12">
        <f t="array" ref="V72">INDEX(tbllkpSteelGrades[fy],MATCH(1,(Table4[[#This Row],[Grade]]=tbllkpSteelGrades[Grade])*(Table4[[#This Row],[t]]&lt;=tbllkpSteelGrades[Thickness]),0))</f>
        <v>250000000</v>
      </c>
      <c r="W72" s="12">
        <f t="array" ref="W72">INDEX(tbllkpSteelGrades[fu],MATCH(1,(Table4[[#This Row],[Grade]]=tbllkpSteelGrades[Grade])*(Table4[[#This Row],[t]]&lt;=tbllkpSteelGrades[Thickness]),0))</f>
        <v>320000000</v>
      </c>
      <c r="X72" s="11">
        <f>Table4[[#This Row],[fy]]*Table4[[#This Row],[Ag]]*0.36</f>
        <v>96300</v>
      </c>
      <c r="Y72" s="50">
        <f ca="1">INDEX(tbllkpkt[kt],MATCH(RANDBETWEEN(1,4),tbllkpkt[Index],0))</f>
        <v>0.85</v>
      </c>
      <c r="Z72" s="48">
        <f t="shared" ca="1" si="2"/>
        <v>0.92999999999999994</v>
      </c>
      <c r="AA72" s="18">
        <f ca="1">Table4[[#This Row],[Ag]]*Table4[[#This Row],[Deduction_for_An]]</f>
        <v>9.9509999999999985E-4</v>
      </c>
      <c r="AB72" s="11">
        <f>Table4[[#This Row],[fy]]*Table4[[#This Row],[Ag]]</f>
        <v>267500</v>
      </c>
      <c r="AC72" s="11">
        <f ca="1">Table4[[#This Row],[αu]]*Table4[[#This Row],[kt]]*Table4[[#This Row],[An]]*Table4[[#This Row],[fu]]</f>
        <v>230067.11999999994</v>
      </c>
      <c r="AD72" s="11">
        <f ca="1">MIN(Table4[[#This Row],[Nty]],Table4[[#This Row],[Ntu]])</f>
        <v>230067.11999999994</v>
      </c>
    </row>
    <row r="73" spans="2:30" x14ac:dyDescent="0.25">
      <c r="B73" t="str">
        <f>Table4[[#This Row],[Section]]&amp;"-"&amp;Table4[[#This Row],[Grade]]</f>
        <v>76.1 x 5.9 CHS-CF 250</v>
      </c>
      <c r="C73" s="26" t="s">
        <v>226</v>
      </c>
      <c r="D73" s="26" t="s">
        <v>215</v>
      </c>
      <c r="E73" s="27">
        <v>10.199999999999999</v>
      </c>
      <c r="F73" s="26" t="s">
        <v>243</v>
      </c>
      <c r="G73" s="26" t="s">
        <v>244</v>
      </c>
      <c r="H73" s="28">
        <v>7.6100000000000001E-2</v>
      </c>
      <c r="I73" s="28">
        <v>5.9000000000000007E-3</v>
      </c>
      <c r="J73" s="29">
        <v>12.898305084745761</v>
      </c>
      <c r="K73" s="30">
        <v>1.2999999999999999E-3</v>
      </c>
      <c r="L73" s="31">
        <v>8.0699999999999996E-7</v>
      </c>
      <c r="M73" s="32">
        <v>2.12E-5</v>
      </c>
      <c r="N73" s="32">
        <v>2.9099999999999999E-5</v>
      </c>
      <c r="O73" s="28">
        <v>2.4899999999999999E-2</v>
      </c>
      <c r="P73" s="31">
        <v>1.61E-6</v>
      </c>
      <c r="Q73" s="32">
        <v>4.2400000000000001E-5</v>
      </c>
      <c r="R73" s="33">
        <v>1</v>
      </c>
      <c r="S73" s="26" t="s">
        <v>152</v>
      </c>
      <c r="T73" s="32">
        <v>2.9099999999999999E-5</v>
      </c>
      <c r="U73" s="51">
        <v>0.85</v>
      </c>
      <c r="V73" s="12">
        <f t="array" ref="V73">INDEX(tbllkpSteelGrades[fy],MATCH(1,(Table4[[#This Row],[Grade]]=tbllkpSteelGrades[Grade])*(Table4[[#This Row],[t]]&lt;=tbllkpSteelGrades[Thickness]),0))</f>
        <v>250000000</v>
      </c>
      <c r="W73" s="12">
        <f t="array" ref="W73">INDEX(tbllkpSteelGrades[fu],MATCH(1,(Table4[[#This Row],[Grade]]=tbllkpSteelGrades[Grade])*(Table4[[#This Row],[t]]&lt;=tbllkpSteelGrades[Thickness]),0))</f>
        <v>320000000</v>
      </c>
      <c r="X73" s="11">
        <f>Table4[[#This Row],[fy]]*Table4[[#This Row],[Ag]]*0.36</f>
        <v>117000</v>
      </c>
      <c r="Y73" s="50">
        <f ca="1">INDEX(tbllkpkt[kt],MATCH(RANDBETWEEN(1,4),tbllkpkt[Index],0))</f>
        <v>1</v>
      </c>
      <c r="Z73" s="48">
        <f t="shared" ca="1" si="2"/>
        <v>1</v>
      </c>
      <c r="AA73" s="18">
        <f ca="1">Table4[[#This Row],[Ag]]*Table4[[#This Row],[Deduction_for_An]]</f>
        <v>1.2999999999999999E-3</v>
      </c>
      <c r="AB73" s="11">
        <f>Table4[[#This Row],[fy]]*Table4[[#This Row],[Ag]]</f>
        <v>325000</v>
      </c>
      <c r="AC73" s="11">
        <f ca="1">Table4[[#This Row],[αu]]*Table4[[#This Row],[kt]]*Table4[[#This Row],[An]]*Table4[[#This Row],[fu]]</f>
        <v>353599.99999999994</v>
      </c>
      <c r="AD73" s="11">
        <f ca="1">MIN(Table4[[#This Row],[Nty]],Table4[[#This Row],[Ntu]])</f>
        <v>325000</v>
      </c>
    </row>
    <row r="74" spans="2:30" x14ac:dyDescent="0.25">
      <c r="B74" t="str">
        <f>Table4[[#This Row],[Section]]&amp;"-"&amp;Table4[[#This Row],[Grade]]</f>
        <v>76.1 x 4.5 CHS-CF 250</v>
      </c>
      <c r="C74" s="26" t="s">
        <v>227</v>
      </c>
      <c r="D74" s="26" t="s">
        <v>215</v>
      </c>
      <c r="E74" s="27">
        <v>7.95</v>
      </c>
      <c r="F74" s="26" t="s">
        <v>243</v>
      </c>
      <c r="G74" s="26" t="s">
        <v>244</v>
      </c>
      <c r="H74" s="28">
        <v>7.6100000000000001E-2</v>
      </c>
      <c r="I74" s="28">
        <v>4.4999999999999997E-3</v>
      </c>
      <c r="J74" s="29">
        <v>16.911111111111111</v>
      </c>
      <c r="K74" s="30">
        <v>1.01E-3</v>
      </c>
      <c r="L74" s="31">
        <v>6.5099999999999999E-7</v>
      </c>
      <c r="M74" s="32">
        <v>1.7099999999999999E-5</v>
      </c>
      <c r="N74" s="32">
        <v>2.3099999999999999E-5</v>
      </c>
      <c r="O74" s="28">
        <v>2.5399999999999999E-2</v>
      </c>
      <c r="P74" s="31">
        <v>1.3E-6</v>
      </c>
      <c r="Q74" s="32">
        <v>3.4199999999999998E-5</v>
      </c>
      <c r="R74" s="33">
        <v>1</v>
      </c>
      <c r="S74" s="26" t="s">
        <v>152</v>
      </c>
      <c r="T74" s="32">
        <v>2.3099999999999999E-5</v>
      </c>
      <c r="U74" s="51">
        <v>0.85</v>
      </c>
      <c r="V74" s="12">
        <f t="array" ref="V74">INDEX(tbllkpSteelGrades[fy],MATCH(1,(Table4[[#This Row],[Grade]]=tbllkpSteelGrades[Grade])*(Table4[[#This Row],[t]]&lt;=tbllkpSteelGrades[Thickness]),0))</f>
        <v>250000000</v>
      </c>
      <c r="W74" s="12">
        <f t="array" ref="W74">INDEX(tbllkpSteelGrades[fu],MATCH(1,(Table4[[#This Row],[Grade]]=tbllkpSteelGrades[Grade])*(Table4[[#This Row],[t]]&lt;=tbllkpSteelGrades[Thickness]),0))</f>
        <v>320000000</v>
      </c>
      <c r="X74" s="11">
        <f>Table4[[#This Row],[fy]]*Table4[[#This Row],[Ag]]*0.36</f>
        <v>90900</v>
      </c>
      <c r="Y74" s="50">
        <f ca="1">INDEX(tbllkpkt[kt],MATCH(RANDBETWEEN(1,4),tbllkpkt[Index],0))</f>
        <v>0.9</v>
      </c>
      <c r="Z74" s="48">
        <f t="shared" ca="1" si="2"/>
        <v>0.92999999999999994</v>
      </c>
      <c r="AA74" s="18">
        <f ca="1">Table4[[#This Row],[Ag]]*Table4[[#This Row],[Deduction_for_An]]</f>
        <v>9.3930000000000001E-4</v>
      </c>
      <c r="AB74" s="11">
        <f>Table4[[#This Row],[fy]]*Table4[[#This Row],[Ag]]</f>
        <v>252500</v>
      </c>
      <c r="AC74" s="11">
        <f ca="1">Table4[[#This Row],[αu]]*Table4[[#This Row],[kt]]*Table4[[#This Row],[An]]*Table4[[#This Row],[fu]]</f>
        <v>229940.64</v>
      </c>
      <c r="AD74" s="11">
        <f ca="1">MIN(Table4[[#This Row],[Nty]],Table4[[#This Row],[Ntu]])</f>
        <v>229940.64</v>
      </c>
    </row>
    <row r="75" spans="2:30" x14ac:dyDescent="0.25">
      <c r="B75" t="str">
        <f>Table4[[#This Row],[Section]]&amp;"-"&amp;Table4[[#This Row],[Grade]]</f>
        <v>76.1 x 3.6 CHS-CF 250</v>
      </c>
      <c r="C75" s="26" t="s">
        <v>228</v>
      </c>
      <c r="D75" s="26" t="s">
        <v>215</v>
      </c>
      <c r="E75" s="27">
        <v>6.44</v>
      </c>
      <c r="F75" s="26" t="s">
        <v>243</v>
      </c>
      <c r="G75" s="26" t="s">
        <v>244</v>
      </c>
      <c r="H75" s="28">
        <v>7.6100000000000001E-2</v>
      </c>
      <c r="I75" s="28">
        <v>3.5999999999999999E-3</v>
      </c>
      <c r="J75" s="29">
        <v>21.138888888888889</v>
      </c>
      <c r="K75" s="30">
        <v>8.1999999999999998E-4</v>
      </c>
      <c r="L75" s="31">
        <v>5.4000000000000002E-7</v>
      </c>
      <c r="M75" s="32">
        <v>1.42E-5</v>
      </c>
      <c r="N75" s="32">
        <v>1.8899999999999999E-5</v>
      </c>
      <c r="O75" s="28">
        <v>2.5700000000000001E-2</v>
      </c>
      <c r="P75" s="31">
        <v>1.08E-6</v>
      </c>
      <c r="Q75" s="32">
        <v>2.8399999999999999E-5</v>
      </c>
      <c r="R75" s="33">
        <v>1</v>
      </c>
      <c r="S75" s="26" t="s">
        <v>152</v>
      </c>
      <c r="T75" s="32">
        <v>1.8899999999999999E-5</v>
      </c>
      <c r="U75" s="51">
        <v>0.85</v>
      </c>
      <c r="V75" s="12">
        <f t="array" ref="V75">INDEX(tbllkpSteelGrades[fy],MATCH(1,(Table4[[#This Row],[Grade]]=tbllkpSteelGrades[Grade])*(Table4[[#This Row],[t]]&lt;=tbllkpSteelGrades[Thickness]),0))</f>
        <v>250000000</v>
      </c>
      <c r="W75" s="12">
        <f t="array" ref="W75">INDEX(tbllkpSteelGrades[fu],MATCH(1,(Table4[[#This Row],[Grade]]=tbllkpSteelGrades[Grade])*(Table4[[#This Row],[t]]&lt;=tbllkpSteelGrades[Thickness]),0))</f>
        <v>320000000</v>
      </c>
      <c r="X75" s="11">
        <f>Table4[[#This Row],[fy]]*Table4[[#This Row],[Ag]]*0.36</f>
        <v>73800</v>
      </c>
      <c r="Y75" s="50">
        <f ca="1">INDEX(tbllkpkt[kt],MATCH(RANDBETWEEN(1,4),tbllkpkt[Index],0))</f>
        <v>0.85</v>
      </c>
      <c r="Z75" s="48">
        <f t="shared" ca="1" si="2"/>
        <v>0.92999999999999994</v>
      </c>
      <c r="AA75" s="18">
        <f ca="1">Table4[[#This Row],[Ag]]*Table4[[#This Row],[Deduction_for_An]]</f>
        <v>7.6259999999999989E-4</v>
      </c>
      <c r="AB75" s="11">
        <f>Table4[[#This Row],[fy]]*Table4[[#This Row],[Ag]]</f>
        <v>205000</v>
      </c>
      <c r="AC75" s="11">
        <f ca="1">Table4[[#This Row],[αu]]*Table4[[#This Row],[kt]]*Table4[[#This Row],[An]]*Table4[[#This Row],[fu]]</f>
        <v>176313.11999999997</v>
      </c>
      <c r="AD75" s="11">
        <f ca="1">MIN(Table4[[#This Row],[Nty]],Table4[[#This Row],[Ntu]])</f>
        <v>176313.11999999997</v>
      </c>
    </row>
    <row r="76" spans="2:30" x14ac:dyDescent="0.25">
      <c r="B76" t="str">
        <f>Table4[[#This Row],[Section]]&amp;"-"&amp;Table4[[#This Row],[Grade]]</f>
        <v>60.3 x 5.4 CHS-CF 250</v>
      </c>
      <c r="C76" s="26" t="s">
        <v>229</v>
      </c>
      <c r="D76" s="26" t="s">
        <v>215</v>
      </c>
      <c r="E76" s="27">
        <v>7.31</v>
      </c>
      <c r="F76" s="26" t="s">
        <v>243</v>
      </c>
      <c r="G76" s="26" t="s">
        <v>244</v>
      </c>
      <c r="H76" s="28">
        <v>6.0299999999999999E-2</v>
      </c>
      <c r="I76" s="28">
        <v>5.4000000000000003E-3</v>
      </c>
      <c r="J76" s="29">
        <v>11.166666666666666</v>
      </c>
      <c r="K76" s="30">
        <v>9.3099999999999997E-4</v>
      </c>
      <c r="L76" s="31">
        <v>3.5400000000000002E-7</v>
      </c>
      <c r="M76" s="32">
        <v>1.1800000000000001E-5</v>
      </c>
      <c r="N76" s="32">
        <v>1.63E-5</v>
      </c>
      <c r="O76" s="28">
        <v>1.95E-2</v>
      </c>
      <c r="P76" s="31">
        <v>7.0900000000000001E-7</v>
      </c>
      <c r="Q76" s="32">
        <v>2.3499999999999999E-5</v>
      </c>
      <c r="R76" s="33">
        <v>1</v>
      </c>
      <c r="S76" s="26" t="s">
        <v>152</v>
      </c>
      <c r="T76" s="32">
        <v>1.63E-5</v>
      </c>
      <c r="U76" s="51">
        <v>0.85</v>
      </c>
      <c r="V76" s="12">
        <f t="array" ref="V76">INDEX(tbllkpSteelGrades[fy],MATCH(1,(Table4[[#This Row],[Grade]]=tbllkpSteelGrades[Grade])*(Table4[[#This Row],[t]]&lt;=tbllkpSteelGrades[Thickness]),0))</f>
        <v>250000000</v>
      </c>
      <c r="W76" s="12">
        <f t="array" ref="W76">INDEX(tbllkpSteelGrades[fu],MATCH(1,(Table4[[#This Row],[Grade]]=tbllkpSteelGrades[Grade])*(Table4[[#This Row],[t]]&lt;=tbllkpSteelGrades[Thickness]),0))</f>
        <v>320000000</v>
      </c>
      <c r="X76" s="11">
        <f>Table4[[#This Row],[fy]]*Table4[[#This Row],[Ag]]*0.36</f>
        <v>83790</v>
      </c>
      <c r="Y76" s="50">
        <f ca="1">INDEX(tbllkpkt[kt],MATCH(RANDBETWEEN(1,4),tbllkpkt[Index],0))</f>
        <v>0.85</v>
      </c>
      <c r="Z76" s="48">
        <f t="shared" ca="1" si="2"/>
        <v>0.99</v>
      </c>
      <c r="AA76" s="18">
        <f ca="1">Table4[[#This Row],[Ag]]*Table4[[#This Row],[Deduction_for_An]]</f>
        <v>9.2168999999999997E-4</v>
      </c>
      <c r="AB76" s="11">
        <f>Table4[[#This Row],[fy]]*Table4[[#This Row],[Ag]]</f>
        <v>232750</v>
      </c>
      <c r="AC76" s="11">
        <f ca="1">Table4[[#This Row],[αu]]*Table4[[#This Row],[kt]]*Table4[[#This Row],[An]]*Table4[[#This Row],[fu]]</f>
        <v>213094.72799999997</v>
      </c>
      <c r="AD76" s="11">
        <f ca="1">MIN(Table4[[#This Row],[Nty]],Table4[[#This Row],[Ntu]])</f>
        <v>213094.72799999997</v>
      </c>
    </row>
    <row r="77" spans="2:30" x14ac:dyDescent="0.25">
      <c r="B77" t="str">
        <f>Table4[[#This Row],[Section]]&amp;"-"&amp;Table4[[#This Row],[Grade]]</f>
        <v>60.3 x 4.5 CHS-CF 250</v>
      </c>
      <c r="C77" s="26" t="s">
        <v>230</v>
      </c>
      <c r="D77" s="26" t="s">
        <v>215</v>
      </c>
      <c r="E77" s="27">
        <v>6.19</v>
      </c>
      <c r="F77" s="26" t="s">
        <v>243</v>
      </c>
      <c r="G77" s="26" t="s">
        <v>244</v>
      </c>
      <c r="H77" s="28">
        <v>6.0299999999999999E-2</v>
      </c>
      <c r="I77" s="28">
        <v>4.4999999999999997E-3</v>
      </c>
      <c r="J77" s="29">
        <v>13.4</v>
      </c>
      <c r="K77" s="30">
        <v>7.8899999999999999E-4</v>
      </c>
      <c r="L77" s="31">
        <v>3.0899999999999997E-7</v>
      </c>
      <c r="M77" s="32">
        <v>1.0200000000000001E-5</v>
      </c>
      <c r="N77" s="32">
        <v>1.4E-5</v>
      </c>
      <c r="O77" s="28">
        <v>1.9800000000000002E-2</v>
      </c>
      <c r="P77" s="31">
        <v>6.1799999999999995E-7</v>
      </c>
      <c r="Q77" s="32">
        <v>2.05E-5</v>
      </c>
      <c r="R77" s="33">
        <v>1</v>
      </c>
      <c r="S77" s="26" t="s">
        <v>152</v>
      </c>
      <c r="T77" s="32">
        <v>1.4E-5</v>
      </c>
      <c r="U77" s="51">
        <v>0.85</v>
      </c>
      <c r="V77" s="12">
        <f t="array" ref="V77">INDEX(tbllkpSteelGrades[fy],MATCH(1,(Table4[[#This Row],[Grade]]=tbllkpSteelGrades[Grade])*(Table4[[#This Row],[t]]&lt;=tbllkpSteelGrades[Thickness]),0))</f>
        <v>250000000</v>
      </c>
      <c r="W77" s="12">
        <f t="array" ref="W77">INDEX(tbllkpSteelGrades[fu],MATCH(1,(Table4[[#This Row],[Grade]]=tbllkpSteelGrades[Grade])*(Table4[[#This Row],[t]]&lt;=tbllkpSteelGrades[Thickness]),0))</f>
        <v>320000000</v>
      </c>
      <c r="X77" s="11">
        <f>Table4[[#This Row],[fy]]*Table4[[#This Row],[Ag]]*0.36</f>
        <v>71010</v>
      </c>
      <c r="Y77" s="50">
        <f ca="1">INDEX(tbllkpkt[kt],MATCH(RANDBETWEEN(1,4),tbllkpkt[Index],0))</f>
        <v>0.85</v>
      </c>
      <c r="Z77" s="48">
        <f t="shared" ca="1" si="2"/>
        <v>0.97</v>
      </c>
      <c r="AA77" s="18">
        <f ca="1">Table4[[#This Row],[Ag]]*Table4[[#This Row],[Deduction_for_An]]</f>
        <v>7.6532999999999994E-4</v>
      </c>
      <c r="AB77" s="11">
        <f>Table4[[#This Row],[fy]]*Table4[[#This Row],[Ag]]</f>
        <v>197250</v>
      </c>
      <c r="AC77" s="11">
        <f ca="1">Table4[[#This Row],[αu]]*Table4[[#This Row],[kt]]*Table4[[#This Row],[An]]*Table4[[#This Row],[fu]]</f>
        <v>176944.29599999994</v>
      </c>
      <c r="AD77" s="11">
        <f ca="1">MIN(Table4[[#This Row],[Nty]],Table4[[#This Row],[Ntu]])</f>
        <v>176944.29599999994</v>
      </c>
    </row>
    <row r="78" spans="2:30" x14ac:dyDescent="0.25">
      <c r="B78" t="str">
        <f>Table4[[#This Row],[Section]]&amp;"-"&amp;Table4[[#This Row],[Grade]]</f>
        <v>60.3 x 3.6 CHS-CF 250</v>
      </c>
      <c r="C78" s="26" t="s">
        <v>231</v>
      </c>
      <c r="D78" s="26" t="s">
        <v>215</v>
      </c>
      <c r="E78" s="27">
        <v>5.03</v>
      </c>
      <c r="F78" s="26" t="s">
        <v>243</v>
      </c>
      <c r="G78" s="26" t="s">
        <v>244</v>
      </c>
      <c r="H78" s="28">
        <v>6.0299999999999999E-2</v>
      </c>
      <c r="I78" s="28">
        <v>3.5999999999999999E-3</v>
      </c>
      <c r="J78" s="29">
        <v>16.75</v>
      </c>
      <c r="K78" s="30">
        <v>6.4099999999999997E-4</v>
      </c>
      <c r="L78" s="31">
        <v>2.5899999999999998E-7</v>
      </c>
      <c r="M78" s="32">
        <v>8.5799999999999992E-6</v>
      </c>
      <c r="N78" s="32">
        <v>1.1600000000000001E-5</v>
      </c>
      <c r="O78" s="28">
        <v>2.01E-2</v>
      </c>
      <c r="P78" s="31">
        <v>5.1699999999999998E-7</v>
      </c>
      <c r="Q78" s="32">
        <v>1.7200000000000001E-5</v>
      </c>
      <c r="R78" s="33">
        <v>1</v>
      </c>
      <c r="S78" s="26" t="s">
        <v>152</v>
      </c>
      <c r="T78" s="32">
        <v>1.1600000000000001E-5</v>
      </c>
      <c r="U78" s="51">
        <v>0.85</v>
      </c>
      <c r="V78" s="12">
        <f t="array" ref="V78">INDEX(tbllkpSteelGrades[fy],MATCH(1,(Table4[[#This Row],[Grade]]=tbllkpSteelGrades[Grade])*(Table4[[#This Row],[t]]&lt;=tbllkpSteelGrades[Thickness]),0))</f>
        <v>250000000</v>
      </c>
      <c r="W78" s="12">
        <f t="array" ref="W78">INDEX(tbllkpSteelGrades[fu],MATCH(1,(Table4[[#This Row],[Grade]]=tbllkpSteelGrades[Grade])*(Table4[[#This Row],[t]]&lt;=tbllkpSteelGrades[Thickness]),0))</f>
        <v>320000000</v>
      </c>
      <c r="X78" s="11">
        <f>Table4[[#This Row],[fy]]*Table4[[#This Row],[Ag]]*0.36</f>
        <v>57690</v>
      </c>
      <c r="Y78" s="50">
        <f ca="1">INDEX(tbllkpkt[kt],MATCH(RANDBETWEEN(1,4),tbllkpkt[Index],0))</f>
        <v>0.85</v>
      </c>
      <c r="Z78" s="48">
        <f t="shared" ca="1" si="2"/>
        <v>0.98</v>
      </c>
      <c r="AA78" s="18">
        <f ca="1">Table4[[#This Row],[Ag]]*Table4[[#This Row],[Deduction_for_An]]</f>
        <v>6.2817999999999999E-4</v>
      </c>
      <c r="AB78" s="11">
        <f>Table4[[#This Row],[fy]]*Table4[[#This Row],[Ag]]</f>
        <v>160250</v>
      </c>
      <c r="AC78" s="11">
        <f ca="1">Table4[[#This Row],[αu]]*Table4[[#This Row],[kt]]*Table4[[#This Row],[An]]*Table4[[#This Row],[fu]]</f>
        <v>145235.21599999999</v>
      </c>
      <c r="AD78" s="11">
        <f ca="1">MIN(Table4[[#This Row],[Nty]],Table4[[#This Row],[Ntu]])</f>
        <v>145235.21599999999</v>
      </c>
    </row>
    <row r="79" spans="2:30" x14ac:dyDescent="0.25">
      <c r="B79" t="str">
        <f>Table4[[#This Row],[Section]]&amp;"-"&amp;Table4[[#This Row],[Grade]]</f>
        <v>48.3 x 4 CHS-CF 250</v>
      </c>
      <c r="C79" s="26" t="s">
        <v>232</v>
      </c>
      <c r="D79" s="26" t="s">
        <v>215</v>
      </c>
      <c r="E79" s="27">
        <v>4.37</v>
      </c>
      <c r="F79" s="26" t="s">
        <v>243</v>
      </c>
      <c r="G79" s="26" t="s">
        <v>244</v>
      </c>
      <c r="H79" s="28">
        <v>4.8299999999999996E-2</v>
      </c>
      <c r="I79" s="28">
        <v>4.0000000000000001E-3</v>
      </c>
      <c r="J79" s="29">
        <v>12.074999999999999</v>
      </c>
      <c r="K79" s="30">
        <v>5.5699999999999999E-4</v>
      </c>
      <c r="L79" s="31">
        <v>1.3799999999999999E-7</v>
      </c>
      <c r="M79" s="32">
        <v>5.6999999999999996E-6</v>
      </c>
      <c r="N79" s="32">
        <v>7.8699999999999992E-6</v>
      </c>
      <c r="O79" s="28">
        <v>1.5699999999999999E-2</v>
      </c>
      <c r="P79" s="31">
        <v>2.7500000000000001E-7</v>
      </c>
      <c r="Q79" s="32">
        <v>1.1399999999999999E-5</v>
      </c>
      <c r="R79" s="33">
        <v>1</v>
      </c>
      <c r="S79" s="26" t="s">
        <v>152</v>
      </c>
      <c r="T79" s="32">
        <v>7.8699999999999992E-6</v>
      </c>
      <c r="U79" s="51">
        <v>0.85</v>
      </c>
      <c r="V79" s="12">
        <f t="array" ref="V79">INDEX(tbllkpSteelGrades[fy],MATCH(1,(Table4[[#This Row],[Grade]]=tbllkpSteelGrades[Grade])*(Table4[[#This Row],[t]]&lt;=tbllkpSteelGrades[Thickness]),0))</f>
        <v>250000000</v>
      </c>
      <c r="W79" s="12">
        <f t="array" ref="W79">INDEX(tbllkpSteelGrades[fu],MATCH(1,(Table4[[#This Row],[Grade]]=tbllkpSteelGrades[Grade])*(Table4[[#This Row],[t]]&lt;=tbllkpSteelGrades[Thickness]),0))</f>
        <v>320000000</v>
      </c>
      <c r="X79" s="11">
        <f>Table4[[#This Row],[fy]]*Table4[[#This Row],[Ag]]*0.36</f>
        <v>50130</v>
      </c>
      <c r="Y79" s="50">
        <f ca="1">INDEX(tbllkpkt[kt],MATCH(RANDBETWEEN(1,4),tbllkpkt[Index],0))</f>
        <v>1</v>
      </c>
      <c r="Z79" s="48">
        <f t="shared" ca="1" si="2"/>
        <v>0.92</v>
      </c>
      <c r="AA79" s="18">
        <f ca="1">Table4[[#This Row],[Ag]]*Table4[[#This Row],[Deduction_for_An]]</f>
        <v>5.1243999999999997E-4</v>
      </c>
      <c r="AB79" s="11">
        <f>Table4[[#This Row],[fy]]*Table4[[#This Row],[Ag]]</f>
        <v>139250</v>
      </c>
      <c r="AC79" s="11">
        <f ca="1">Table4[[#This Row],[αu]]*Table4[[#This Row],[kt]]*Table4[[#This Row],[An]]*Table4[[#This Row],[fu]]</f>
        <v>139383.67999999999</v>
      </c>
      <c r="AD79" s="11">
        <f ca="1">MIN(Table4[[#This Row],[Nty]],Table4[[#This Row],[Ntu]])</f>
        <v>139250</v>
      </c>
    </row>
    <row r="80" spans="2:30" x14ac:dyDescent="0.25">
      <c r="B80" t="str">
        <f>Table4[[#This Row],[Section]]&amp;"-"&amp;Table4[[#This Row],[Grade]]</f>
        <v>48.3 x 3.2 CHS-CF 250</v>
      </c>
      <c r="C80" s="26" t="s">
        <v>233</v>
      </c>
      <c r="D80" s="26" t="s">
        <v>215</v>
      </c>
      <c r="E80" s="27">
        <v>3.56</v>
      </c>
      <c r="F80" s="26" t="s">
        <v>243</v>
      </c>
      <c r="G80" s="26" t="s">
        <v>244</v>
      </c>
      <c r="H80" s="28">
        <v>4.8299999999999996E-2</v>
      </c>
      <c r="I80" s="28">
        <v>3.2000000000000002E-3</v>
      </c>
      <c r="J80" s="29">
        <v>15.093749999999998</v>
      </c>
      <c r="K80" s="30">
        <v>4.5300000000000001E-4</v>
      </c>
      <c r="L80" s="31">
        <v>1.1600000000000001E-7</v>
      </c>
      <c r="M80" s="32">
        <v>4.7999999999999998E-6</v>
      </c>
      <c r="N80" s="32">
        <v>6.5200000000000003E-6</v>
      </c>
      <c r="O80" s="28">
        <v>1.6E-2</v>
      </c>
      <c r="P80" s="31">
        <v>2.3200000000000001E-7</v>
      </c>
      <c r="Q80" s="32">
        <v>9.5899999999999997E-6</v>
      </c>
      <c r="R80" s="33">
        <v>1</v>
      </c>
      <c r="S80" s="26" t="s">
        <v>152</v>
      </c>
      <c r="T80" s="32">
        <v>6.5200000000000003E-6</v>
      </c>
      <c r="U80" s="51">
        <v>0.85</v>
      </c>
      <c r="V80" s="12">
        <f t="array" ref="V80">INDEX(tbllkpSteelGrades[fy],MATCH(1,(Table4[[#This Row],[Grade]]=tbllkpSteelGrades[Grade])*(Table4[[#This Row],[t]]&lt;=tbllkpSteelGrades[Thickness]),0))</f>
        <v>250000000</v>
      </c>
      <c r="W80" s="12">
        <f t="array" ref="W80">INDEX(tbllkpSteelGrades[fu],MATCH(1,(Table4[[#This Row],[Grade]]=tbllkpSteelGrades[Grade])*(Table4[[#This Row],[t]]&lt;=tbllkpSteelGrades[Thickness]),0))</f>
        <v>320000000</v>
      </c>
      <c r="X80" s="11">
        <f>Table4[[#This Row],[fy]]*Table4[[#This Row],[Ag]]*0.36</f>
        <v>40770</v>
      </c>
      <c r="Y80" s="50">
        <f ca="1">INDEX(tbllkpkt[kt],MATCH(RANDBETWEEN(1,4),tbllkpkt[Index],0))</f>
        <v>1</v>
      </c>
      <c r="Z80" s="48">
        <f t="shared" ca="1" si="2"/>
        <v>0.91</v>
      </c>
      <c r="AA80" s="18">
        <f ca="1">Table4[[#This Row],[Ag]]*Table4[[#This Row],[Deduction_for_An]]</f>
        <v>4.1223000000000003E-4</v>
      </c>
      <c r="AB80" s="11">
        <f>Table4[[#This Row],[fy]]*Table4[[#This Row],[Ag]]</f>
        <v>113250</v>
      </c>
      <c r="AC80" s="11">
        <f ca="1">Table4[[#This Row],[αu]]*Table4[[#This Row],[kt]]*Table4[[#This Row],[An]]*Table4[[#This Row],[fu]]</f>
        <v>112126.56</v>
      </c>
      <c r="AD80" s="11">
        <f ca="1">MIN(Table4[[#This Row],[Nty]],Table4[[#This Row],[Ntu]])</f>
        <v>112126.56</v>
      </c>
    </row>
    <row r="81" spans="2:30" x14ac:dyDescent="0.25">
      <c r="B81" t="str">
        <f>Table4[[#This Row],[Section]]&amp;"-"&amp;Table4[[#This Row],[Grade]]</f>
        <v>42.4 x 4 CHS-CF 250</v>
      </c>
      <c r="C81" s="26" t="s">
        <v>234</v>
      </c>
      <c r="D81" s="26" t="s">
        <v>215</v>
      </c>
      <c r="E81" s="27">
        <v>3.79</v>
      </c>
      <c r="F81" s="26" t="s">
        <v>243</v>
      </c>
      <c r="G81" s="26" t="s">
        <v>244</v>
      </c>
      <c r="H81" s="28">
        <v>4.24E-2</v>
      </c>
      <c r="I81" s="28">
        <v>4.0000000000000001E-3</v>
      </c>
      <c r="J81" s="29">
        <v>10.6</v>
      </c>
      <c r="K81" s="30">
        <v>4.8299999999999998E-4</v>
      </c>
      <c r="L81" s="31">
        <v>8.9900000000000018E-8</v>
      </c>
      <c r="M81" s="32">
        <v>4.2400000000000001E-6</v>
      </c>
      <c r="N81" s="32">
        <v>5.9200000000000001E-6</v>
      </c>
      <c r="O81" s="28">
        <v>1.3599999999999999E-2</v>
      </c>
      <c r="P81" s="31">
        <v>1.8E-7</v>
      </c>
      <c r="Q81" s="32">
        <v>8.4800000000000001E-6</v>
      </c>
      <c r="R81" s="33">
        <v>1</v>
      </c>
      <c r="S81" s="26" t="s">
        <v>152</v>
      </c>
      <c r="T81" s="32">
        <v>5.9200000000000001E-6</v>
      </c>
      <c r="U81" s="51">
        <v>0.85</v>
      </c>
      <c r="V81" s="12">
        <f t="array" ref="V81">INDEX(tbllkpSteelGrades[fy],MATCH(1,(Table4[[#This Row],[Grade]]=tbllkpSteelGrades[Grade])*(Table4[[#This Row],[t]]&lt;=tbllkpSteelGrades[Thickness]),0))</f>
        <v>250000000</v>
      </c>
      <c r="W81" s="12">
        <f t="array" ref="W81">INDEX(tbllkpSteelGrades[fu],MATCH(1,(Table4[[#This Row],[Grade]]=tbllkpSteelGrades[Grade])*(Table4[[#This Row],[t]]&lt;=tbllkpSteelGrades[Thickness]),0))</f>
        <v>320000000</v>
      </c>
      <c r="X81" s="11">
        <f>Table4[[#This Row],[fy]]*Table4[[#This Row],[Ag]]*0.36</f>
        <v>43470</v>
      </c>
      <c r="Y81" s="50">
        <f ca="1">INDEX(tbllkpkt[kt],MATCH(RANDBETWEEN(1,4),tbllkpkt[Index],0))</f>
        <v>0.75</v>
      </c>
      <c r="Z81" s="48">
        <f t="shared" ca="1" si="2"/>
        <v>0.97</v>
      </c>
      <c r="AA81" s="18">
        <f ca="1">Table4[[#This Row],[Ag]]*Table4[[#This Row],[Deduction_for_An]]</f>
        <v>4.6850999999999994E-4</v>
      </c>
      <c r="AB81" s="11">
        <f>Table4[[#This Row],[fy]]*Table4[[#This Row],[Ag]]</f>
        <v>120750</v>
      </c>
      <c r="AC81" s="11">
        <f ca="1">Table4[[#This Row],[αu]]*Table4[[#This Row],[kt]]*Table4[[#This Row],[An]]*Table4[[#This Row],[fu]]</f>
        <v>95576.04</v>
      </c>
      <c r="AD81" s="11">
        <f ca="1">MIN(Table4[[#This Row],[Nty]],Table4[[#This Row],[Ntu]])</f>
        <v>95576.04</v>
      </c>
    </row>
    <row r="82" spans="2:30" x14ac:dyDescent="0.25">
      <c r="B82" t="str">
        <f>Table4[[#This Row],[Section]]&amp;"-"&amp;Table4[[#This Row],[Grade]]</f>
        <v>42.4 x 3.2 CHS-CF 250</v>
      </c>
      <c r="C82" s="26" t="s">
        <v>235</v>
      </c>
      <c r="D82" s="26" t="s">
        <v>215</v>
      </c>
      <c r="E82" s="27">
        <v>3.09</v>
      </c>
      <c r="F82" s="26" t="s">
        <v>243</v>
      </c>
      <c r="G82" s="26" t="s">
        <v>244</v>
      </c>
      <c r="H82" s="28">
        <v>4.24E-2</v>
      </c>
      <c r="I82" s="28">
        <v>3.2000000000000002E-3</v>
      </c>
      <c r="J82" s="29">
        <v>13.25</v>
      </c>
      <c r="K82" s="30">
        <v>3.9399999999999998E-4</v>
      </c>
      <c r="L82" s="31">
        <v>7.6199999999999994E-8</v>
      </c>
      <c r="M82" s="32">
        <v>3.5899999999999999E-6</v>
      </c>
      <c r="N82" s="32">
        <v>4.9300000000000002E-6</v>
      </c>
      <c r="O82" s="28">
        <v>1.3900000000000001E-2</v>
      </c>
      <c r="P82" s="31">
        <v>1.5200000000000001E-7</v>
      </c>
      <c r="Q82" s="32">
        <v>7.1899999999999998E-6</v>
      </c>
      <c r="R82" s="33">
        <v>1</v>
      </c>
      <c r="S82" s="26" t="s">
        <v>152</v>
      </c>
      <c r="T82" s="32">
        <v>4.9300000000000002E-6</v>
      </c>
      <c r="U82" s="51">
        <v>0.85</v>
      </c>
      <c r="V82" s="12">
        <f t="array" ref="V82">INDEX(tbllkpSteelGrades[fy],MATCH(1,(Table4[[#This Row],[Grade]]=tbllkpSteelGrades[Grade])*(Table4[[#This Row],[t]]&lt;=tbllkpSteelGrades[Thickness]),0))</f>
        <v>250000000</v>
      </c>
      <c r="W82" s="12">
        <f t="array" ref="W82">INDEX(tbllkpSteelGrades[fu],MATCH(1,(Table4[[#This Row],[Grade]]=tbllkpSteelGrades[Grade])*(Table4[[#This Row],[t]]&lt;=tbllkpSteelGrades[Thickness]),0))</f>
        <v>320000000</v>
      </c>
      <c r="X82" s="11">
        <f>Table4[[#This Row],[fy]]*Table4[[#This Row],[Ag]]*0.36</f>
        <v>35460</v>
      </c>
      <c r="Y82" s="50">
        <f ca="1">INDEX(tbllkpkt[kt],MATCH(RANDBETWEEN(1,4),tbllkpkt[Index],0))</f>
        <v>0.85</v>
      </c>
      <c r="Z82" s="48">
        <f t="shared" ca="1" si="2"/>
        <v>0.95</v>
      </c>
      <c r="AA82" s="18">
        <f ca="1">Table4[[#This Row],[Ag]]*Table4[[#This Row],[Deduction_for_An]]</f>
        <v>3.7429999999999999E-4</v>
      </c>
      <c r="AB82" s="11">
        <f>Table4[[#This Row],[fy]]*Table4[[#This Row],[Ag]]</f>
        <v>98500</v>
      </c>
      <c r="AC82" s="11">
        <f ca="1">Table4[[#This Row],[αu]]*Table4[[#This Row],[kt]]*Table4[[#This Row],[An]]*Table4[[#This Row],[fu]]</f>
        <v>86538.159999999989</v>
      </c>
      <c r="AD82" s="11">
        <f ca="1">MIN(Table4[[#This Row],[Nty]],Table4[[#This Row],[Ntu]])</f>
        <v>86538.159999999989</v>
      </c>
    </row>
    <row r="83" spans="2:30" x14ac:dyDescent="0.25">
      <c r="B83" t="str">
        <f>Table4[[#This Row],[Section]]&amp;"-"&amp;Table4[[#This Row],[Grade]]</f>
        <v>33.7 x 4 CHS-CF 250</v>
      </c>
      <c r="C83" s="26" t="s">
        <v>236</v>
      </c>
      <c r="D83" s="26" t="s">
        <v>215</v>
      </c>
      <c r="E83" s="27">
        <v>2.93</v>
      </c>
      <c r="F83" s="26" t="s">
        <v>243</v>
      </c>
      <c r="G83" s="26" t="s">
        <v>244</v>
      </c>
      <c r="H83" s="28">
        <v>3.3700000000000001E-2</v>
      </c>
      <c r="I83" s="28">
        <v>4.0000000000000001E-3</v>
      </c>
      <c r="J83" s="29">
        <v>8.4250000000000007</v>
      </c>
      <c r="K83" s="30">
        <v>3.7300000000000001E-4</v>
      </c>
      <c r="L83" s="31">
        <v>4.1899999999999998E-8</v>
      </c>
      <c r="M83" s="32">
        <v>2.4899999999999999E-6</v>
      </c>
      <c r="N83" s="32">
        <v>3.5499999999999999E-6</v>
      </c>
      <c r="O83" s="28">
        <v>1.06E-2</v>
      </c>
      <c r="P83" s="31">
        <v>8.3799999999999996E-8</v>
      </c>
      <c r="Q83" s="32">
        <v>4.9699999999999998E-6</v>
      </c>
      <c r="R83" s="33">
        <v>1</v>
      </c>
      <c r="S83" s="26" t="s">
        <v>152</v>
      </c>
      <c r="T83" s="32">
        <v>3.5499999999999999E-6</v>
      </c>
      <c r="U83" s="51">
        <v>0.85</v>
      </c>
      <c r="V83" s="12">
        <f t="array" ref="V83">INDEX(tbllkpSteelGrades[fy],MATCH(1,(Table4[[#This Row],[Grade]]=tbllkpSteelGrades[Grade])*(Table4[[#This Row],[t]]&lt;=tbllkpSteelGrades[Thickness]),0))</f>
        <v>250000000</v>
      </c>
      <c r="W83" s="12">
        <f t="array" ref="W83">INDEX(tbllkpSteelGrades[fu],MATCH(1,(Table4[[#This Row],[Grade]]=tbllkpSteelGrades[Grade])*(Table4[[#This Row],[t]]&lt;=tbllkpSteelGrades[Thickness]),0))</f>
        <v>320000000</v>
      </c>
      <c r="X83" s="11">
        <f>Table4[[#This Row],[fy]]*Table4[[#This Row],[Ag]]*0.36</f>
        <v>33570</v>
      </c>
      <c r="Y83" s="50">
        <f ca="1">INDEX(tbllkpkt[kt],MATCH(RANDBETWEEN(1,4),tbllkpkt[Index],0))</f>
        <v>1</v>
      </c>
      <c r="Z83" s="48">
        <f t="shared" ca="1" si="2"/>
        <v>0.92999999999999994</v>
      </c>
      <c r="AA83" s="18">
        <f ca="1">Table4[[#This Row],[Ag]]*Table4[[#This Row],[Deduction_for_An]]</f>
        <v>3.4688999999999998E-4</v>
      </c>
      <c r="AB83" s="11">
        <f>Table4[[#This Row],[fy]]*Table4[[#This Row],[Ag]]</f>
        <v>93250</v>
      </c>
      <c r="AC83" s="11">
        <f ca="1">Table4[[#This Row],[αu]]*Table4[[#This Row],[kt]]*Table4[[#This Row],[An]]*Table4[[#This Row],[fu]]</f>
        <v>94354.079999999987</v>
      </c>
      <c r="AD83" s="11">
        <f ca="1">MIN(Table4[[#This Row],[Nty]],Table4[[#This Row],[Ntu]])</f>
        <v>93250</v>
      </c>
    </row>
    <row r="84" spans="2:30" x14ac:dyDescent="0.25">
      <c r="B84" t="str">
        <f>Table4[[#This Row],[Section]]&amp;"-"&amp;Table4[[#This Row],[Grade]]</f>
        <v>33.7 x 3.2 CHS-CF 250</v>
      </c>
      <c r="C84" s="26" t="s">
        <v>237</v>
      </c>
      <c r="D84" s="26" t="s">
        <v>215</v>
      </c>
      <c r="E84" s="27">
        <v>2.41</v>
      </c>
      <c r="F84" s="26" t="s">
        <v>243</v>
      </c>
      <c r="G84" s="26" t="s">
        <v>244</v>
      </c>
      <c r="H84" s="28">
        <v>3.3700000000000001E-2</v>
      </c>
      <c r="I84" s="28">
        <v>3.2000000000000002E-3</v>
      </c>
      <c r="J84" s="29">
        <v>10.53125</v>
      </c>
      <c r="K84" s="30">
        <v>3.0699999999999998E-4</v>
      </c>
      <c r="L84" s="31">
        <v>3.6000000000000005E-8</v>
      </c>
      <c r="M84" s="32">
        <v>2.1399999999999998E-6</v>
      </c>
      <c r="N84" s="32">
        <v>2.9900000000000002E-6</v>
      </c>
      <c r="O84" s="28">
        <v>1.0800000000000001E-2</v>
      </c>
      <c r="P84" s="31">
        <v>7.2100000000000004E-8</v>
      </c>
      <c r="Q84" s="32">
        <v>4.2799999999999997E-6</v>
      </c>
      <c r="R84" s="33">
        <v>1</v>
      </c>
      <c r="S84" s="26" t="s">
        <v>152</v>
      </c>
      <c r="T84" s="32">
        <v>2.9900000000000002E-6</v>
      </c>
      <c r="U84" s="51">
        <v>0.85</v>
      </c>
      <c r="V84" s="12">
        <f t="array" ref="V84">INDEX(tbllkpSteelGrades[fy],MATCH(1,(Table4[[#This Row],[Grade]]=tbllkpSteelGrades[Grade])*(Table4[[#This Row],[t]]&lt;=tbllkpSteelGrades[Thickness]),0))</f>
        <v>250000000</v>
      </c>
      <c r="W84" s="12">
        <f t="array" ref="W84">INDEX(tbllkpSteelGrades[fu],MATCH(1,(Table4[[#This Row],[Grade]]=tbllkpSteelGrades[Grade])*(Table4[[#This Row],[t]]&lt;=tbllkpSteelGrades[Thickness]),0))</f>
        <v>320000000</v>
      </c>
      <c r="X84" s="11">
        <f>Table4[[#This Row],[fy]]*Table4[[#This Row],[Ag]]*0.36</f>
        <v>27630</v>
      </c>
      <c r="Y84" s="50">
        <f ca="1">INDEX(tbllkpkt[kt],MATCH(RANDBETWEEN(1,4),tbllkpkt[Index],0))</f>
        <v>1</v>
      </c>
      <c r="Z84" s="48">
        <f t="shared" ca="1" si="2"/>
        <v>0.92</v>
      </c>
      <c r="AA84" s="18">
        <f ca="1">Table4[[#This Row],[Ag]]*Table4[[#This Row],[Deduction_for_An]]</f>
        <v>2.8244000000000001E-4</v>
      </c>
      <c r="AB84" s="11">
        <f>Table4[[#This Row],[fy]]*Table4[[#This Row],[Ag]]</f>
        <v>76750</v>
      </c>
      <c r="AC84" s="11">
        <f ca="1">Table4[[#This Row],[αu]]*Table4[[#This Row],[kt]]*Table4[[#This Row],[An]]*Table4[[#This Row],[fu]]</f>
        <v>76823.680000000008</v>
      </c>
      <c r="AD84" s="11">
        <f ca="1">MIN(Table4[[#This Row],[Nty]],Table4[[#This Row],[Ntu]])</f>
        <v>76750</v>
      </c>
    </row>
    <row r="85" spans="2:30" x14ac:dyDescent="0.25">
      <c r="B85" t="str">
        <f>Table4[[#This Row],[Section]]&amp;"-"&amp;Table4[[#This Row],[Grade]]</f>
        <v>26.9 x 4 CHS-CF 250</v>
      </c>
      <c r="C85" s="26" t="s">
        <v>238</v>
      </c>
      <c r="D85" s="26" t="s">
        <v>215</v>
      </c>
      <c r="E85" s="27">
        <v>2.2599999999999998</v>
      </c>
      <c r="F85" s="26" t="s">
        <v>243</v>
      </c>
      <c r="G85" s="26" t="s">
        <v>244</v>
      </c>
      <c r="H85" s="28">
        <v>2.69E-2</v>
      </c>
      <c r="I85" s="28">
        <v>4.0000000000000001E-3</v>
      </c>
      <c r="J85" s="29">
        <v>6.7249999999999996</v>
      </c>
      <c r="K85" s="30">
        <v>2.8800000000000001E-4</v>
      </c>
      <c r="L85" s="31">
        <v>1.9399999999999998E-8</v>
      </c>
      <c r="M85" s="32">
        <v>1.4500000000000001E-6</v>
      </c>
      <c r="N85" s="32">
        <v>2.12E-6</v>
      </c>
      <c r="O85" s="28">
        <v>8.2199999999999999E-3</v>
      </c>
      <c r="P85" s="31">
        <v>3.8900000000000004E-8</v>
      </c>
      <c r="Q85" s="32">
        <v>2.8899999999999999E-6</v>
      </c>
      <c r="R85" s="33">
        <v>1</v>
      </c>
      <c r="S85" s="26" t="s">
        <v>152</v>
      </c>
      <c r="T85" s="32">
        <v>2.12E-6</v>
      </c>
      <c r="U85" s="51">
        <v>0.85</v>
      </c>
      <c r="V85" s="12">
        <f t="array" ref="V85">INDEX(tbllkpSteelGrades[fy],MATCH(1,(Table4[[#This Row],[Grade]]=tbllkpSteelGrades[Grade])*(Table4[[#This Row],[t]]&lt;=tbllkpSteelGrades[Thickness]),0))</f>
        <v>250000000</v>
      </c>
      <c r="W85" s="12">
        <f t="array" ref="W85">INDEX(tbllkpSteelGrades[fu],MATCH(1,(Table4[[#This Row],[Grade]]=tbllkpSteelGrades[Grade])*(Table4[[#This Row],[t]]&lt;=tbllkpSteelGrades[Thickness]),0))</f>
        <v>320000000</v>
      </c>
      <c r="X85" s="11">
        <f>Table4[[#This Row],[fy]]*Table4[[#This Row],[Ag]]*0.36</f>
        <v>25920</v>
      </c>
      <c r="Y85" s="50">
        <f ca="1">INDEX(tbllkpkt[kt],MATCH(RANDBETWEEN(1,4),tbllkpkt[Index],0))</f>
        <v>0.85</v>
      </c>
      <c r="Z85" s="48">
        <f t="shared" ca="1" si="2"/>
        <v>0.96</v>
      </c>
      <c r="AA85" s="18">
        <f ca="1">Table4[[#This Row],[Ag]]*Table4[[#This Row],[Deduction_for_An]]</f>
        <v>2.7648000000000001E-4</v>
      </c>
      <c r="AB85" s="11">
        <f>Table4[[#This Row],[fy]]*Table4[[#This Row],[Ag]]</f>
        <v>72000</v>
      </c>
      <c r="AC85" s="11">
        <f ca="1">Table4[[#This Row],[αu]]*Table4[[#This Row],[kt]]*Table4[[#This Row],[An]]*Table4[[#This Row],[fu]]</f>
        <v>63922.175999999999</v>
      </c>
      <c r="AD85" s="11">
        <f ca="1">MIN(Table4[[#This Row],[Nty]],Table4[[#This Row],[Ntu]])</f>
        <v>63922.175999999999</v>
      </c>
    </row>
    <row r="86" spans="2:30" x14ac:dyDescent="0.25">
      <c r="B86" t="str">
        <f>Table4[[#This Row],[Section]]&amp;"-"&amp;Table4[[#This Row],[Grade]]</f>
        <v>26.9 x 3.2 CHS-CF 250</v>
      </c>
      <c r="C86" s="26" t="s">
        <v>239</v>
      </c>
      <c r="D86" s="26" t="s">
        <v>215</v>
      </c>
      <c r="E86" s="27">
        <v>1.87</v>
      </c>
      <c r="F86" s="26" t="s">
        <v>243</v>
      </c>
      <c r="G86" s="26" t="s">
        <v>244</v>
      </c>
      <c r="H86" s="28">
        <v>2.69E-2</v>
      </c>
      <c r="I86" s="28">
        <v>3.2000000000000002E-3</v>
      </c>
      <c r="J86" s="29">
        <v>8.40625</v>
      </c>
      <c r="K86" s="30">
        <v>2.3800000000000001E-4</v>
      </c>
      <c r="L86" s="31">
        <v>1.7E-8</v>
      </c>
      <c r="M86" s="32">
        <v>1.2699999999999999E-6</v>
      </c>
      <c r="N86" s="32">
        <v>1.81E-6</v>
      </c>
      <c r="O86" s="28">
        <v>8.4600000000000005E-3</v>
      </c>
      <c r="P86" s="31">
        <v>3.4100000000000001E-8</v>
      </c>
      <c r="Q86" s="32">
        <v>2.5299999999999999E-6</v>
      </c>
      <c r="R86" s="33">
        <v>1</v>
      </c>
      <c r="S86" s="26" t="s">
        <v>152</v>
      </c>
      <c r="T86" s="32">
        <v>1.81E-6</v>
      </c>
      <c r="U86" s="51">
        <v>0.85</v>
      </c>
      <c r="V86" s="12">
        <f t="array" ref="V86">INDEX(tbllkpSteelGrades[fy],MATCH(1,(Table4[[#This Row],[Grade]]=tbllkpSteelGrades[Grade])*(Table4[[#This Row],[t]]&lt;=tbllkpSteelGrades[Thickness]),0))</f>
        <v>250000000</v>
      </c>
      <c r="W86" s="12">
        <f t="array" ref="W86">INDEX(tbllkpSteelGrades[fu],MATCH(1,(Table4[[#This Row],[Grade]]=tbllkpSteelGrades[Grade])*(Table4[[#This Row],[t]]&lt;=tbllkpSteelGrades[Thickness]),0))</f>
        <v>320000000</v>
      </c>
      <c r="X86" s="11">
        <f>Table4[[#This Row],[fy]]*Table4[[#This Row],[Ag]]*0.36</f>
        <v>21420</v>
      </c>
      <c r="Y86" s="50">
        <f ca="1">INDEX(tbllkpkt[kt],MATCH(RANDBETWEEN(1,4),tbllkpkt[Index],0))</f>
        <v>0.9</v>
      </c>
      <c r="Z86" s="48">
        <f t="shared" ca="1" si="2"/>
        <v>0.94</v>
      </c>
      <c r="AA86" s="18">
        <f ca="1">Table4[[#This Row],[Ag]]*Table4[[#This Row],[Deduction_for_An]]</f>
        <v>2.2372000000000001E-4</v>
      </c>
      <c r="AB86" s="11">
        <f>Table4[[#This Row],[fy]]*Table4[[#This Row],[Ag]]</f>
        <v>59500</v>
      </c>
      <c r="AC86" s="11">
        <f ca="1">Table4[[#This Row],[αu]]*Table4[[#This Row],[kt]]*Table4[[#This Row],[An]]*Table4[[#This Row],[fu]]</f>
        <v>54766.656000000003</v>
      </c>
      <c r="AD86" s="11">
        <f ca="1">MIN(Table4[[#This Row],[Nty]],Table4[[#This Row],[Ntu]])</f>
        <v>54766.656000000003</v>
      </c>
    </row>
    <row r="87" spans="2:30" x14ac:dyDescent="0.25">
      <c r="B87" t="str">
        <f>Table4[[#This Row],[Section]]&amp;"-"&amp;Table4[[#This Row],[Grade]]</f>
        <v>26.9 x 2.6 CHS-CF 250</v>
      </c>
      <c r="C87" s="26" t="s">
        <v>240</v>
      </c>
      <c r="D87" s="26" t="s">
        <v>215</v>
      </c>
      <c r="E87" s="27">
        <v>1.56</v>
      </c>
      <c r="F87" s="26" t="s">
        <v>243</v>
      </c>
      <c r="G87" s="26" t="s">
        <v>244</v>
      </c>
      <c r="H87" s="28">
        <v>2.69E-2</v>
      </c>
      <c r="I87" s="28">
        <v>2.5999999999999999E-3</v>
      </c>
      <c r="J87" s="29">
        <v>10.346153846153847</v>
      </c>
      <c r="K87" s="30">
        <v>1.9799999999999999E-4</v>
      </c>
      <c r="L87" s="31">
        <v>1.48E-8</v>
      </c>
      <c r="M87" s="32">
        <v>1.1000000000000001E-6</v>
      </c>
      <c r="N87" s="32">
        <v>1.5400000000000001E-6</v>
      </c>
      <c r="O87" s="28">
        <v>8.6400000000000001E-3</v>
      </c>
      <c r="P87" s="31">
        <v>2.96E-8</v>
      </c>
      <c r="Q87" s="32">
        <v>2.2000000000000001E-6</v>
      </c>
      <c r="R87" s="33">
        <v>1</v>
      </c>
      <c r="S87" s="26" t="s">
        <v>152</v>
      </c>
      <c r="T87" s="32">
        <v>1.5400000000000001E-6</v>
      </c>
      <c r="U87" s="51">
        <v>0.85</v>
      </c>
      <c r="V87" s="12">
        <f t="array" ref="V87">INDEX(tbllkpSteelGrades[fy],MATCH(1,(Table4[[#This Row],[Grade]]=tbllkpSteelGrades[Grade])*(Table4[[#This Row],[t]]&lt;=tbllkpSteelGrades[Thickness]),0))</f>
        <v>250000000</v>
      </c>
      <c r="W87" s="12">
        <f t="array" ref="W87">INDEX(tbllkpSteelGrades[fu],MATCH(1,(Table4[[#This Row],[Grade]]=tbllkpSteelGrades[Grade])*(Table4[[#This Row],[t]]&lt;=tbllkpSteelGrades[Thickness]),0))</f>
        <v>320000000</v>
      </c>
      <c r="X87" s="11">
        <f>Table4[[#This Row],[fy]]*Table4[[#This Row],[Ag]]*0.36</f>
        <v>17820</v>
      </c>
      <c r="Y87" s="50">
        <f ca="1">INDEX(tbllkpkt[kt],MATCH(RANDBETWEEN(1,4),tbllkpkt[Index],0))</f>
        <v>0.75</v>
      </c>
      <c r="Z87" s="48">
        <f t="shared" ca="1" si="2"/>
        <v>0.96</v>
      </c>
      <c r="AA87" s="18">
        <f ca="1">Table4[[#This Row],[Ag]]*Table4[[#This Row],[Deduction_for_An]]</f>
        <v>1.9007999999999997E-4</v>
      </c>
      <c r="AB87" s="11">
        <f>Table4[[#This Row],[fy]]*Table4[[#This Row],[Ag]]</f>
        <v>49500</v>
      </c>
      <c r="AC87" s="11">
        <f ca="1">Table4[[#This Row],[αu]]*Table4[[#This Row],[kt]]*Table4[[#This Row],[An]]*Table4[[#This Row],[fu]]</f>
        <v>38776.319999999992</v>
      </c>
      <c r="AD87" s="11">
        <f ca="1">MIN(Table4[[#This Row],[Nty]],Table4[[#This Row],[Ntu]])</f>
        <v>38776.319999999992</v>
      </c>
    </row>
    <row r="88" spans="2:30" x14ac:dyDescent="0.25">
      <c r="B88" t="str">
        <f>Table4[[#This Row],[Section]]&amp;"-"&amp;Table4[[#This Row],[Grade]]</f>
        <v>21.3 x 3.2 CHS-CF 250</v>
      </c>
      <c r="C88" s="26" t="s">
        <v>241</v>
      </c>
      <c r="D88" s="26" t="s">
        <v>215</v>
      </c>
      <c r="E88" s="27">
        <v>1.43</v>
      </c>
      <c r="F88" s="26" t="s">
        <v>243</v>
      </c>
      <c r="G88" s="26" t="s">
        <v>244</v>
      </c>
      <c r="H88" s="28">
        <v>2.1299999999999999E-2</v>
      </c>
      <c r="I88" s="28">
        <v>3.2000000000000002E-3</v>
      </c>
      <c r="J88" s="29">
        <v>6.6562499999999991</v>
      </c>
      <c r="K88" s="30">
        <v>1.8200000000000001E-4</v>
      </c>
      <c r="L88" s="31">
        <v>7.6800000000000016E-9</v>
      </c>
      <c r="M88" s="32">
        <v>7.2200000000000003E-7</v>
      </c>
      <c r="N88" s="32">
        <v>1.06E-6</v>
      </c>
      <c r="O88" s="28">
        <v>6.4999999999999997E-3</v>
      </c>
      <c r="P88" s="31">
        <v>1.5399999999999999E-8</v>
      </c>
      <c r="Q88" s="32">
        <v>1.44E-6</v>
      </c>
      <c r="R88" s="33">
        <v>1</v>
      </c>
      <c r="S88" s="26" t="s">
        <v>152</v>
      </c>
      <c r="T88" s="32">
        <v>1.06E-6</v>
      </c>
      <c r="U88" s="51">
        <v>0.85</v>
      </c>
      <c r="V88" s="12">
        <f t="array" ref="V88">INDEX(tbllkpSteelGrades[fy],MATCH(1,(Table4[[#This Row],[Grade]]=tbllkpSteelGrades[Grade])*(Table4[[#This Row],[t]]&lt;=tbllkpSteelGrades[Thickness]),0))</f>
        <v>250000000</v>
      </c>
      <c r="W88" s="12">
        <f t="array" ref="W88">INDEX(tbllkpSteelGrades[fu],MATCH(1,(Table4[[#This Row],[Grade]]=tbllkpSteelGrades[Grade])*(Table4[[#This Row],[t]]&lt;=tbllkpSteelGrades[Thickness]),0))</f>
        <v>320000000</v>
      </c>
      <c r="X88" s="11">
        <f>Table4[[#This Row],[fy]]*Table4[[#This Row],[Ag]]*0.36</f>
        <v>16380</v>
      </c>
      <c r="Y88" s="50">
        <f ca="1">INDEX(tbllkpkt[kt],MATCH(RANDBETWEEN(1,4),tbllkpkt[Index],0))</f>
        <v>0.85</v>
      </c>
      <c r="Z88" s="48">
        <f t="shared" ca="1" si="2"/>
        <v>0.95</v>
      </c>
      <c r="AA88" s="18">
        <f ca="1">Table4[[#This Row],[Ag]]*Table4[[#This Row],[Deduction_for_An]]</f>
        <v>1.729E-4</v>
      </c>
      <c r="AB88" s="11">
        <f>Table4[[#This Row],[fy]]*Table4[[#This Row],[Ag]]</f>
        <v>45500</v>
      </c>
      <c r="AC88" s="11">
        <f ca="1">Table4[[#This Row],[αu]]*Table4[[#This Row],[kt]]*Table4[[#This Row],[An]]*Table4[[#This Row],[fu]]</f>
        <v>39974.479999999996</v>
      </c>
      <c r="AD88" s="11">
        <f ca="1">MIN(Table4[[#This Row],[Nty]],Table4[[#This Row],[Ntu]])</f>
        <v>39974.479999999996</v>
      </c>
    </row>
    <row r="89" spans="2:30" x14ac:dyDescent="0.25">
      <c r="B89" t="str">
        <f>Table4[[#This Row],[Section]]&amp;"-"&amp;Table4[[#This Row],[Grade]]</f>
        <v>21.3 x 2.6 CHS-CF 250</v>
      </c>
      <c r="C89" s="26" t="s">
        <v>242</v>
      </c>
      <c r="D89" s="26" t="s">
        <v>215</v>
      </c>
      <c r="E89" s="27">
        <v>1.2</v>
      </c>
      <c r="F89" s="26" t="s">
        <v>243</v>
      </c>
      <c r="G89" s="26" t="s">
        <v>244</v>
      </c>
      <c r="H89" s="28">
        <v>2.1299999999999999E-2</v>
      </c>
      <c r="I89" s="28">
        <v>2.5999999999999999E-3</v>
      </c>
      <c r="J89" s="29">
        <v>8.1923076923076916</v>
      </c>
      <c r="K89" s="30">
        <v>1.5300000000000001E-4</v>
      </c>
      <c r="L89" s="31">
        <v>6.8100000000000011E-9</v>
      </c>
      <c r="M89" s="32">
        <v>6.3900000000000004E-7</v>
      </c>
      <c r="N89" s="32">
        <v>9.1500000000000003E-7</v>
      </c>
      <c r="O89" s="28">
        <v>6.6799999999999993E-3</v>
      </c>
      <c r="P89" s="31">
        <v>1.3600000000000001E-8</v>
      </c>
      <c r="Q89" s="32">
        <v>1.28E-6</v>
      </c>
      <c r="R89" s="33">
        <v>1</v>
      </c>
      <c r="S89" s="26" t="s">
        <v>152</v>
      </c>
      <c r="T89" s="32">
        <v>9.1500000000000003E-7</v>
      </c>
      <c r="U89" s="51">
        <v>0.85</v>
      </c>
      <c r="V89" s="12">
        <f t="array" ref="V89">INDEX(tbllkpSteelGrades[fy],MATCH(1,(Table4[[#This Row],[Grade]]=tbllkpSteelGrades[Grade])*(Table4[[#This Row],[t]]&lt;=tbllkpSteelGrades[Thickness]),0))</f>
        <v>250000000</v>
      </c>
      <c r="W89" s="12">
        <f t="array" ref="W89">INDEX(tbllkpSteelGrades[fu],MATCH(1,(Table4[[#This Row],[Grade]]=tbllkpSteelGrades[Grade])*(Table4[[#This Row],[t]]&lt;=tbllkpSteelGrades[Thickness]),0))</f>
        <v>320000000</v>
      </c>
      <c r="X89" s="11">
        <f>Table4[[#This Row],[fy]]*Table4[[#This Row],[Ag]]*0.36</f>
        <v>13770</v>
      </c>
      <c r="Y89" s="50">
        <f ca="1">INDEX(tbllkpkt[kt],MATCH(RANDBETWEEN(1,4),tbllkpkt[Index],0))</f>
        <v>0.75</v>
      </c>
      <c r="Z89" s="48">
        <f t="shared" ca="1" si="2"/>
        <v>0.9</v>
      </c>
      <c r="AA89" s="18">
        <f ca="1">Table4[[#This Row],[Ag]]*Table4[[#This Row],[Deduction_for_An]]</f>
        <v>1.3770000000000001E-4</v>
      </c>
      <c r="AB89" s="11">
        <f>Table4[[#This Row],[fy]]*Table4[[#This Row],[Ag]]</f>
        <v>38250</v>
      </c>
      <c r="AC89" s="11">
        <f ca="1">Table4[[#This Row],[αu]]*Table4[[#This Row],[kt]]*Table4[[#This Row],[An]]*Table4[[#This Row],[fu]]</f>
        <v>28090.800000000003</v>
      </c>
      <c r="AD89" s="11">
        <f ca="1">MIN(Table4[[#This Row],[Nty]],Table4[[#This Row],[Ntu]])</f>
        <v>28090.800000000003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7FE4-DD08-402E-BB8A-91E537E2BA7F}">
  <dimension ref="B2:E23"/>
  <sheetViews>
    <sheetView workbookViewId="0">
      <selection activeCell="I11" sqref="I11"/>
    </sheetView>
  </sheetViews>
  <sheetFormatPr defaultRowHeight="15" x14ac:dyDescent="0.25"/>
  <cols>
    <col min="2" max="2" width="11.5703125" bestFit="1" customWidth="1"/>
    <col min="3" max="4" width="10.5703125" bestFit="1" customWidth="1"/>
    <col min="5" max="5" width="7.140625" bestFit="1" customWidth="1"/>
  </cols>
  <sheetData>
    <row r="2" spans="2:5" ht="18" x14ac:dyDescent="0.35">
      <c r="B2" t="s">
        <v>254</v>
      </c>
      <c r="C2" t="s">
        <v>255</v>
      </c>
      <c r="D2" t="s">
        <v>256</v>
      </c>
      <c r="E2" t="s">
        <v>257</v>
      </c>
    </row>
    <row r="3" spans="2:5" x14ac:dyDescent="0.25">
      <c r="B3" t="s">
        <v>258</v>
      </c>
      <c r="C3" s="37">
        <v>0</v>
      </c>
      <c r="D3" s="37">
        <v>250000000</v>
      </c>
      <c r="E3" s="36">
        <f>MIN(2/(0.9+(Table2[[#This Row],[fvm]]/Table2[[#This Row],[fva]])),1)</f>
        <v>1</v>
      </c>
    </row>
    <row r="4" spans="2:5" x14ac:dyDescent="0.25">
      <c r="B4" t="s">
        <v>259</v>
      </c>
      <c r="C4" s="37">
        <v>50000000</v>
      </c>
      <c r="D4" s="37">
        <v>250000000</v>
      </c>
      <c r="E4" s="36">
        <f>MIN(2/(0.9+(Table2[[#This Row],[fvm]]/Table2[[#This Row],[fva]])),1)</f>
        <v>1</v>
      </c>
    </row>
    <row r="5" spans="2:5" x14ac:dyDescent="0.25">
      <c r="B5" t="s">
        <v>260</v>
      </c>
      <c r="C5" s="37">
        <v>100000000</v>
      </c>
      <c r="D5" s="37">
        <v>250000000</v>
      </c>
      <c r="E5" s="36">
        <f>MIN(2/(0.9+(Table2[[#This Row],[fvm]]/Table2[[#This Row],[fva]])),1)</f>
        <v>1</v>
      </c>
    </row>
    <row r="6" spans="2:5" x14ac:dyDescent="0.25">
      <c r="B6" t="s">
        <v>261</v>
      </c>
      <c r="C6" s="37">
        <v>150000000</v>
      </c>
      <c r="D6" s="37">
        <v>250000000</v>
      </c>
      <c r="E6" s="36">
        <f>MIN(2/(0.9+(Table2[[#This Row],[fvm]]/Table2[[#This Row],[fva]])),1)</f>
        <v>1</v>
      </c>
    </row>
    <row r="7" spans="2:5" x14ac:dyDescent="0.25">
      <c r="B7" t="s">
        <v>262</v>
      </c>
      <c r="C7" s="37">
        <v>200000000</v>
      </c>
      <c r="D7" s="37">
        <v>250000000</v>
      </c>
      <c r="E7" s="36">
        <f>MIN(2/(0.9+(Table2[[#This Row],[fvm]]/Table2[[#This Row],[fva]])),1)</f>
        <v>1</v>
      </c>
    </row>
    <row r="8" spans="2:5" x14ac:dyDescent="0.25">
      <c r="B8" t="s">
        <v>263</v>
      </c>
      <c r="C8" s="37">
        <v>250000000</v>
      </c>
      <c r="D8" s="37">
        <v>250000000</v>
      </c>
      <c r="E8" s="36">
        <f>MIN(2/(0.9+(Table2[[#This Row],[fvm]]/Table2[[#This Row],[fva]])),1)</f>
        <v>1</v>
      </c>
    </row>
    <row r="9" spans="2:5" x14ac:dyDescent="0.25">
      <c r="B9" t="s">
        <v>264</v>
      </c>
      <c r="C9" s="37">
        <v>300000000</v>
      </c>
      <c r="D9" s="37">
        <v>250000000</v>
      </c>
      <c r="E9" s="36">
        <f>MIN(2/(0.9+(Table2[[#This Row],[fvm]]/Table2[[#This Row],[fva]])),1)</f>
        <v>0.95238095238095233</v>
      </c>
    </row>
    <row r="10" spans="2:5" x14ac:dyDescent="0.25">
      <c r="B10" t="s">
        <v>265</v>
      </c>
      <c r="C10" s="37">
        <v>350000000</v>
      </c>
      <c r="D10" s="37">
        <v>250000000</v>
      </c>
      <c r="E10" s="36">
        <f>MIN(2/(0.9+(Table2[[#This Row],[fvm]]/Table2[[#This Row],[fva]])),1)</f>
        <v>0.86956521739130443</v>
      </c>
    </row>
    <row r="11" spans="2:5" x14ac:dyDescent="0.25">
      <c r="B11" t="s">
        <v>266</v>
      </c>
      <c r="C11" s="37">
        <v>400000000</v>
      </c>
      <c r="D11" s="37">
        <v>250000000</v>
      </c>
      <c r="E11" s="36">
        <f>MIN(2/(0.9+(Table2[[#This Row],[fvm]]/Table2[[#This Row],[fva]])),1)</f>
        <v>0.8</v>
      </c>
    </row>
    <row r="12" spans="2:5" x14ac:dyDescent="0.25">
      <c r="B12" t="s">
        <v>267</v>
      </c>
      <c r="C12" s="37">
        <v>450000000</v>
      </c>
      <c r="D12" s="37">
        <v>250000000</v>
      </c>
      <c r="E12" s="36">
        <f>MIN(2/(0.9+(Table2[[#This Row],[fvm]]/Table2[[#This Row],[fva]])),1)</f>
        <v>0.7407407407407407</v>
      </c>
    </row>
    <row r="13" spans="2:5" x14ac:dyDescent="0.25">
      <c r="B13" t="s">
        <v>268</v>
      </c>
      <c r="C13" s="37">
        <v>500000000</v>
      </c>
      <c r="D13" s="37">
        <v>250000000</v>
      </c>
      <c r="E13" s="36">
        <f>MIN(2/(0.9+(Table2[[#This Row],[fvm]]/Table2[[#This Row],[fva]])),1)</f>
        <v>0.68965517241379315</v>
      </c>
    </row>
    <row r="14" spans="2:5" x14ac:dyDescent="0.25">
      <c r="B14" t="s">
        <v>269</v>
      </c>
      <c r="C14" s="37">
        <v>550000000</v>
      </c>
      <c r="D14" s="37">
        <v>250000000</v>
      </c>
      <c r="E14" s="36">
        <f>MIN(2/(0.9+(Table2[[#This Row],[fvm]]/Table2[[#This Row],[fva]])),1)</f>
        <v>0.64516129032258063</v>
      </c>
    </row>
    <row r="15" spans="2:5" x14ac:dyDescent="0.25">
      <c r="B15" t="s">
        <v>270</v>
      </c>
      <c r="C15" s="37">
        <v>600000000</v>
      </c>
      <c r="D15" s="37">
        <v>250000000</v>
      </c>
      <c r="E15" s="36">
        <f>MIN(2/(0.9+(Table2[[#This Row],[fvm]]/Table2[[#This Row],[fva]])),1)</f>
        <v>0.60606060606060608</v>
      </c>
    </row>
    <row r="16" spans="2:5" x14ac:dyDescent="0.25">
      <c r="B16" t="s">
        <v>271</v>
      </c>
      <c r="C16" s="37">
        <v>650000000</v>
      </c>
      <c r="D16" s="37">
        <v>250000000</v>
      </c>
      <c r="E16" s="36">
        <f>MIN(2/(0.9+(Table2[[#This Row],[fvm]]/Table2[[#This Row],[fva]])),1)</f>
        <v>0.5714285714285714</v>
      </c>
    </row>
    <row r="17" spans="2:5" x14ac:dyDescent="0.25">
      <c r="B17" t="s">
        <v>272</v>
      </c>
      <c r="C17" s="37">
        <v>700000000</v>
      </c>
      <c r="D17" s="37">
        <v>250000000</v>
      </c>
      <c r="E17" s="36">
        <f>MIN(2/(0.9+(Table2[[#This Row],[fvm]]/Table2[[#This Row],[fva]])),1)</f>
        <v>0.54054054054054057</v>
      </c>
    </row>
    <row r="18" spans="2:5" x14ac:dyDescent="0.25">
      <c r="B18" t="s">
        <v>273</v>
      </c>
      <c r="C18" s="37">
        <v>750000000</v>
      </c>
      <c r="D18" s="37">
        <v>250000000</v>
      </c>
      <c r="E18" s="36">
        <f>MIN(2/(0.9+(Table2[[#This Row],[fvm]]/Table2[[#This Row],[fva]])),1)</f>
        <v>0.51282051282051289</v>
      </c>
    </row>
    <row r="19" spans="2:5" x14ac:dyDescent="0.25">
      <c r="B19" t="s">
        <v>274</v>
      </c>
      <c r="C19" s="37">
        <v>800000000</v>
      </c>
      <c r="D19" s="37">
        <v>250000000</v>
      </c>
      <c r="E19" s="36">
        <f>MIN(2/(0.9+(Table2[[#This Row],[fvm]]/Table2[[#This Row],[fva]])),1)</f>
        <v>0.48780487804878042</v>
      </c>
    </row>
    <row r="20" spans="2:5" x14ac:dyDescent="0.25">
      <c r="B20" t="s">
        <v>275</v>
      </c>
      <c r="C20" s="37">
        <v>850000000</v>
      </c>
      <c r="D20" s="37">
        <v>250000000</v>
      </c>
      <c r="E20" s="36">
        <f>MIN(2/(0.9+(Table2[[#This Row],[fvm]]/Table2[[#This Row],[fva]])),1)</f>
        <v>0.46511627906976744</v>
      </c>
    </row>
    <row r="21" spans="2:5" x14ac:dyDescent="0.25">
      <c r="B21" t="s">
        <v>276</v>
      </c>
      <c r="C21" s="37">
        <v>900000000</v>
      </c>
      <c r="D21" s="37">
        <v>250000000</v>
      </c>
      <c r="E21" s="36">
        <f>MIN(2/(0.9+(Table2[[#This Row],[fvm]]/Table2[[#This Row],[fva]])),1)</f>
        <v>0.44444444444444442</v>
      </c>
    </row>
    <row r="22" spans="2:5" x14ac:dyDescent="0.25">
      <c r="B22" t="s">
        <v>277</v>
      </c>
      <c r="C22" s="37">
        <v>950000000</v>
      </c>
      <c r="D22" s="37">
        <v>250000000</v>
      </c>
      <c r="E22" s="36">
        <f>MIN(2/(0.9+(Table2[[#This Row],[fvm]]/Table2[[#This Row],[fva]])),1)</f>
        <v>0.42553191489361702</v>
      </c>
    </row>
    <row r="23" spans="2:5" x14ac:dyDescent="0.25">
      <c r="B23" t="s">
        <v>278</v>
      </c>
      <c r="C23" s="37">
        <v>1000000000</v>
      </c>
      <c r="D23" s="37">
        <v>250000000</v>
      </c>
      <c r="E23" s="36">
        <f>MIN(2/(0.9+(Table2[[#This Row],[fvm]]/Table2[[#This Row],[fva]])),1)</f>
        <v>0.4081632653061224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1624-6020-4253-8C46-A04EC8FA61C3}">
  <dimension ref="B3:E25"/>
  <sheetViews>
    <sheetView workbookViewId="0">
      <selection activeCell="E18" sqref="E18"/>
    </sheetView>
  </sheetViews>
  <sheetFormatPr defaultRowHeight="15" x14ac:dyDescent="0.25"/>
  <cols>
    <col min="2" max="2" width="8.5703125" bestFit="1" customWidth="1"/>
    <col min="3" max="3" width="11.85546875" bestFit="1" customWidth="1"/>
    <col min="4" max="5" width="13.28515625" bestFit="1" customWidth="1"/>
  </cols>
  <sheetData>
    <row r="3" spans="2:5" ht="18" x14ac:dyDescent="0.35">
      <c r="B3" t="s">
        <v>55</v>
      </c>
      <c r="C3" t="s">
        <v>56</v>
      </c>
      <c r="D3" t="s">
        <v>246</v>
      </c>
      <c r="E3" t="s">
        <v>250</v>
      </c>
    </row>
    <row r="4" spans="2:5" x14ac:dyDescent="0.25">
      <c r="B4" s="16">
        <v>300</v>
      </c>
      <c r="C4" s="13">
        <v>8.0000000000000002E-3</v>
      </c>
      <c r="D4" s="12">
        <v>320000000</v>
      </c>
      <c r="E4" s="12">
        <v>430000000</v>
      </c>
    </row>
    <row r="5" spans="2:5" x14ac:dyDescent="0.25">
      <c r="B5" s="16">
        <v>300</v>
      </c>
      <c r="C5" s="13">
        <v>1.2E-2</v>
      </c>
      <c r="D5" s="12">
        <v>310000000</v>
      </c>
      <c r="E5" s="12">
        <v>430000000</v>
      </c>
    </row>
    <row r="6" spans="2:5" x14ac:dyDescent="0.25">
      <c r="B6" s="16">
        <v>300</v>
      </c>
      <c r="C6" s="13">
        <v>0.02</v>
      </c>
      <c r="D6" s="12">
        <v>300000000</v>
      </c>
      <c r="E6" s="12">
        <v>430000000</v>
      </c>
    </row>
    <row r="7" spans="2:5" x14ac:dyDescent="0.25">
      <c r="B7" s="16">
        <v>300</v>
      </c>
      <c r="C7" s="13">
        <v>0.05</v>
      </c>
      <c r="D7" s="12">
        <v>280000000</v>
      </c>
      <c r="E7" s="12">
        <v>430000000</v>
      </c>
    </row>
    <row r="8" spans="2:5" x14ac:dyDescent="0.25">
      <c r="B8" s="16">
        <v>400</v>
      </c>
      <c r="C8" s="13">
        <v>1.2E-2</v>
      </c>
      <c r="D8" s="12">
        <v>400000000</v>
      </c>
      <c r="E8" s="12">
        <v>480000000</v>
      </c>
    </row>
    <row r="9" spans="2:5" x14ac:dyDescent="0.25">
      <c r="B9" s="16">
        <v>400</v>
      </c>
      <c r="C9" s="13">
        <v>0.02</v>
      </c>
      <c r="D9" s="12">
        <v>380000000</v>
      </c>
      <c r="E9" s="12">
        <v>480000000</v>
      </c>
    </row>
    <row r="10" spans="2:5" x14ac:dyDescent="0.25">
      <c r="B10" s="16">
        <v>400</v>
      </c>
      <c r="C10" s="13">
        <v>0.08</v>
      </c>
      <c r="D10" s="12">
        <v>360000000</v>
      </c>
      <c r="E10" s="12">
        <v>480000000</v>
      </c>
    </row>
    <row r="11" spans="2:5" x14ac:dyDescent="0.25">
      <c r="B11" s="16" t="s">
        <v>106</v>
      </c>
      <c r="C11" s="13">
        <v>1.0999999999999999E-2</v>
      </c>
      <c r="D11" s="12">
        <v>320000000</v>
      </c>
      <c r="E11" s="12">
        <v>440000000</v>
      </c>
    </row>
    <row r="12" spans="2:5" x14ac:dyDescent="0.25">
      <c r="B12" s="16" t="s">
        <v>106</v>
      </c>
      <c r="C12" s="13">
        <v>1.7000000000000001E-2</v>
      </c>
      <c r="D12" s="12">
        <v>300000000</v>
      </c>
      <c r="E12" s="12">
        <v>440000000</v>
      </c>
    </row>
    <row r="13" spans="2:5" x14ac:dyDescent="0.25">
      <c r="B13" s="16" t="s">
        <v>106</v>
      </c>
      <c r="C13" s="13">
        <v>0.1</v>
      </c>
      <c r="D13" s="12">
        <v>280000000</v>
      </c>
      <c r="E13" s="12">
        <v>440000000</v>
      </c>
    </row>
    <row r="14" spans="2:5" x14ac:dyDescent="0.25">
      <c r="B14" s="16" t="s">
        <v>215</v>
      </c>
      <c r="C14" s="13">
        <v>0.1</v>
      </c>
      <c r="D14" s="12">
        <v>250000000</v>
      </c>
      <c r="E14" s="12">
        <v>320000000</v>
      </c>
    </row>
    <row r="15" spans="2:5" x14ac:dyDescent="0.25">
      <c r="B15" s="16" t="s">
        <v>155</v>
      </c>
      <c r="C15" s="13">
        <v>0.1</v>
      </c>
      <c r="D15" s="12">
        <v>350000000</v>
      </c>
      <c r="E15" s="12">
        <v>430000000</v>
      </c>
    </row>
    <row r="16" spans="2:5" x14ac:dyDescent="0.25">
      <c r="B16" s="16" t="s">
        <v>249</v>
      </c>
      <c r="C16" s="13">
        <v>0.1</v>
      </c>
      <c r="D16" s="12">
        <v>450000000</v>
      </c>
      <c r="E16" s="12">
        <v>450000000</v>
      </c>
    </row>
    <row r="20" spans="2:3" x14ac:dyDescent="0.25">
      <c r="B20" t="s">
        <v>295</v>
      </c>
    </row>
    <row r="21" spans="2:3" ht="18" x14ac:dyDescent="0.35">
      <c r="B21" t="s">
        <v>296</v>
      </c>
      <c r="C21" t="s">
        <v>297</v>
      </c>
    </row>
    <row r="22" spans="2:3" x14ac:dyDescent="0.25">
      <c r="B22">
        <v>1</v>
      </c>
      <c r="C22">
        <v>0.75</v>
      </c>
    </row>
    <row r="23" spans="2:3" x14ac:dyDescent="0.25">
      <c r="B23">
        <v>2</v>
      </c>
      <c r="C23">
        <v>0.85</v>
      </c>
    </row>
    <row r="24" spans="2:3" x14ac:dyDescent="0.25">
      <c r="B24">
        <v>3</v>
      </c>
      <c r="C24">
        <v>0.9</v>
      </c>
    </row>
    <row r="25" spans="2:3" x14ac:dyDescent="0.25">
      <c r="B25">
        <v>4</v>
      </c>
      <c r="C25">
        <v>1</v>
      </c>
    </row>
  </sheetData>
  <sortState xmlns:xlrd2="http://schemas.microsoft.com/office/spreadsheetml/2017/richdata2" ref="C22:C25">
    <sortCondition ref="C22"/>
  </sortState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CustomBoxes</vt:lpstr>
      <vt:lpstr>Is</vt:lpstr>
      <vt:lpstr>PFCs</vt:lpstr>
      <vt:lpstr>CHSs</vt:lpstr>
      <vt:lpstr>Non-Uniform Shear Factor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2019-01-17T04:46:52Z</dcterms:modified>
</cp:coreProperties>
</file>