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"/>
    </mc:Choice>
  </mc:AlternateContent>
  <bookViews>
    <workbookView xWindow="0" yWindow="0" windowWidth="28800" windowHeight="11910"/>
  </bookViews>
  <sheets>
    <sheet name="F_euler and N_euler" sheetId="10" r:id="rId1"/>
    <sheet name="Nc" sheetId="3" r:id="rId2"/>
    <sheet name="f_oxz" sheetId="4" r:id="rId3"/>
    <sheet name="f_oc Double Symmetric" sheetId="5" r:id="rId4"/>
    <sheet name="f_oc Single Symmetric" sheetId="6" r:id="rId5"/>
    <sheet name="f_oc Point Symmetric" sheetId="8" r:id="rId6"/>
    <sheet name="f_oc Unsymmetric" sheetId="9" r:id="rId7"/>
  </sheet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3" l="1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B60" i="3" l="1" a="1"/>
  <c r="B6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B107" i="3" l="1"/>
  <c r="B103" i="3"/>
  <c r="B91" i="3"/>
  <c r="B87" i="3"/>
  <c r="B83" i="3"/>
  <c r="B79" i="3"/>
  <c r="B75" i="3"/>
  <c r="B63" i="3"/>
  <c r="B110" i="3"/>
  <c r="B106" i="3"/>
  <c r="B102" i="3"/>
  <c r="B98" i="3"/>
  <c r="B94" i="3"/>
  <c r="B90" i="3"/>
  <c r="B86" i="3"/>
  <c r="B82" i="3"/>
  <c r="B78" i="3"/>
  <c r="B74" i="3"/>
  <c r="B70" i="3"/>
  <c r="B66" i="3"/>
  <c r="B62" i="3"/>
  <c r="B95" i="3"/>
  <c r="B67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111" i="3"/>
  <c r="B99" i="3"/>
  <c r="B71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59" i="10" a="1"/>
  <c r="B59" i="10" s="1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C70" i="4" a="1"/>
  <c r="C37" i="5" a="1"/>
  <c r="C41" i="5" a="1"/>
  <c r="C46" i="5" a="1"/>
  <c r="C42" i="5" a="1"/>
  <c r="C40" i="5" a="1"/>
  <c r="C47" i="5" a="1"/>
  <c r="C73" i="4" a="1"/>
  <c r="C45" i="5" a="1"/>
  <c r="C36" i="5" a="1"/>
  <c r="C38" i="5" a="1"/>
  <c r="C35" i="5" a="1"/>
  <c r="C75" i="4" a="1"/>
  <c r="C48" i="5" a="1"/>
  <c r="C71" i="4" a="1"/>
  <c r="C34" i="5" a="1"/>
  <c r="C72" i="4" a="1"/>
  <c r="C69" i="4" a="1"/>
  <c r="C67" i="4" a="1"/>
  <c r="C44" i="5" a="1"/>
  <c r="C68" i="4" a="1"/>
  <c r="C37" i="5" l="1"/>
  <c r="C35" i="5"/>
  <c r="C36" i="5"/>
  <c r="C34" i="5"/>
  <c r="C38" i="5"/>
  <c r="C41" i="5"/>
  <c r="C40" i="5"/>
  <c r="C42" i="5"/>
  <c r="C47" i="5"/>
  <c r="C45" i="5"/>
  <c r="C46" i="5"/>
  <c r="C44" i="5"/>
  <c r="C48" i="5"/>
  <c r="C75" i="4"/>
  <c r="C72" i="4"/>
  <c r="C73" i="4"/>
  <c r="C71" i="4"/>
  <c r="C69" i="4"/>
  <c r="C70" i="4"/>
  <c r="C68" i="4"/>
  <c r="C67" i="4"/>
  <c r="B81" i="10"/>
  <c r="B77" i="10"/>
  <c r="B73" i="10"/>
  <c r="B69" i="10"/>
  <c r="B65" i="10"/>
  <c r="B61" i="10"/>
  <c r="B82" i="10"/>
  <c r="B78" i="10"/>
  <c r="B74" i="10"/>
  <c r="B70" i="10"/>
  <c r="B66" i="10"/>
  <c r="B62" i="10"/>
  <c r="B84" i="10"/>
  <c r="B80" i="10"/>
  <c r="B76" i="10"/>
  <c r="B72" i="10"/>
  <c r="B68" i="10"/>
  <c r="B64" i="10"/>
  <c r="B60" i="10"/>
  <c r="B83" i="10"/>
  <c r="B79" i="10"/>
  <c r="B75" i="10"/>
  <c r="B71" i="10"/>
  <c r="B67" i="10"/>
  <c r="B63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C83" i="10" a="1"/>
  <c r="C84" i="10" a="1"/>
  <c r="C59" i="10" a="1"/>
  <c r="C84" i="10" l="1"/>
  <c r="D84" i="10" s="1"/>
  <c r="C83" i="10"/>
  <c r="D83" i="10" s="1"/>
  <c r="C59" i="10"/>
  <c r="D59" i="10" s="1"/>
  <c r="AW4" i="3" a="1"/>
  <c r="AW4" i="3" s="1"/>
  <c r="AW5" i="3" a="1"/>
  <c r="AW5" i="3" s="1"/>
  <c r="AW6" i="3" a="1"/>
  <c r="AW6" i="3" s="1"/>
  <c r="AW7" i="3" a="1"/>
  <c r="AW7" i="3" s="1"/>
  <c r="AW8" i="3" a="1"/>
  <c r="AW8" i="3" s="1"/>
  <c r="AW9" i="3" a="1"/>
  <c r="AW9" i="3" s="1"/>
  <c r="AW10" i="3" a="1"/>
  <c r="AW10" i="3" s="1"/>
  <c r="AW11" i="3" a="1"/>
  <c r="AW11" i="3" s="1"/>
  <c r="AW12" i="3" a="1"/>
  <c r="AW12" i="3" s="1"/>
  <c r="AW13" i="3" a="1"/>
  <c r="AW13" i="3" s="1"/>
  <c r="AW14" i="3" a="1"/>
  <c r="AW14" i="3" s="1"/>
  <c r="AX14" i="3" s="1"/>
  <c r="AW15" i="3" a="1"/>
  <c r="AW15" i="3" s="1"/>
  <c r="AX15" i="3" s="1"/>
  <c r="AW16" i="3" a="1"/>
  <c r="AW16" i="3" s="1"/>
  <c r="AX16" i="3" s="1"/>
  <c r="AW17" i="3" a="1"/>
  <c r="AW17" i="3" s="1"/>
  <c r="AX17" i="3" s="1"/>
  <c r="AW18" i="3" a="1"/>
  <c r="AW18" i="3" s="1"/>
  <c r="AX18" i="3" s="1"/>
  <c r="AW19" i="3" a="1"/>
  <c r="AW19" i="3" s="1"/>
  <c r="AX19" i="3" s="1"/>
  <c r="AW20" i="3" a="1"/>
  <c r="AW20" i="3" s="1"/>
  <c r="AW21" i="3" a="1"/>
  <c r="AW21" i="3" s="1"/>
  <c r="AW22" i="3" a="1"/>
  <c r="AW22" i="3" s="1"/>
  <c r="AW23" i="3" a="1"/>
  <c r="AW23" i="3" s="1"/>
  <c r="AW24" i="3" a="1"/>
  <c r="AW24" i="3" s="1"/>
  <c r="AW25" i="3" a="1"/>
  <c r="AW25" i="3" s="1"/>
  <c r="AW26" i="3" a="1"/>
  <c r="AW26" i="3" s="1"/>
  <c r="AW27" i="3" a="1"/>
  <c r="AW27" i="3" s="1"/>
  <c r="AW28" i="3" a="1"/>
  <c r="AW28" i="3" s="1"/>
  <c r="AW29" i="3" a="1"/>
  <c r="AW29" i="3" s="1"/>
  <c r="AW30" i="3" a="1"/>
  <c r="AW30" i="3" s="1"/>
  <c r="AW31" i="3" a="1"/>
  <c r="AW31" i="3" s="1"/>
  <c r="AW32" i="3" a="1"/>
  <c r="AW32" i="3" s="1"/>
  <c r="AW33" i="3" a="1"/>
  <c r="AW33" i="3" s="1"/>
  <c r="AW34" i="3" a="1"/>
  <c r="AW34" i="3" s="1"/>
  <c r="AW35" i="3" a="1"/>
  <c r="AW35" i="3" s="1"/>
  <c r="AW36" i="3" a="1"/>
  <c r="AW36" i="3" s="1"/>
  <c r="AW37" i="3" a="1"/>
  <c r="AW37" i="3" s="1"/>
  <c r="AW38" i="3" a="1"/>
  <c r="AW38" i="3" s="1"/>
  <c r="AW39" i="3" a="1"/>
  <c r="AW39" i="3" s="1"/>
  <c r="AW40" i="3" a="1"/>
  <c r="AW40" i="3" s="1"/>
  <c r="AW41" i="3" a="1"/>
  <c r="AW41" i="3" s="1"/>
  <c r="AW42" i="3" a="1"/>
  <c r="AW42" i="3" s="1"/>
  <c r="AW43" i="3" a="1"/>
  <c r="AW43" i="3" s="1"/>
  <c r="AW44" i="3" a="1"/>
  <c r="AW44" i="3" s="1"/>
  <c r="AW45" i="3" a="1"/>
  <c r="AW45" i="3" s="1"/>
  <c r="AW46" i="3" a="1"/>
  <c r="AW46" i="3" s="1"/>
  <c r="AW47" i="3" a="1"/>
  <c r="AW47" i="3" s="1"/>
  <c r="AW48" i="3" a="1"/>
  <c r="AW48" i="3" s="1"/>
  <c r="AW49" i="3" a="1"/>
  <c r="AW49" i="3" s="1"/>
  <c r="AW50" i="3" a="1"/>
  <c r="AW50" i="3" s="1"/>
  <c r="AW51" i="3" a="1"/>
  <c r="AW51" i="3" s="1"/>
  <c r="AW52" i="3" a="1"/>
  <c r="AW52" i="3" s="1"/>
  <c r="AW53" i="3" a="1"/>
  <c r="AW53" i="3" s="1"/>
  <c r="AW54" i="3" a="1"/>
  <c r="AW54" i="3" s="1"/>
  <c r="AW55" i="3" a="1"/>
  <c r="AW55" i="3" s="1"/>
  <c r="AW56" i="3" a="1"/>
  <c r="AW56" i="3" s="1"/>
  <c r="AW57" i="3" a="1"/>
  <c r="AW57" i="3" s="1"/>
  <c r="AW58" i="3" a="1"/>
  <c r="AW58" i="3" s="1"/>
  <c r="AV4" i="3" a="1"/>
  <c r="AV4" i="3" s="1"/>
  <c r="AV5" i="3" a="1"/>
  <c r="AV5" i="3" s="1"/>
  <c r="AV6" i="3" a="1"/>
  <c r="AV6" i="3" s="1"/>
  <c r="AV7" i="3" a="1"/>
  <c r="AV7" i="3" s="1"/>
  <c r="AV8" i="3" a="1"/>
  <c r="AV8" i="3" s="1"/>
  <c r="AV9" i="3" a="1"/>
  <c r="AV9" i="3" s="1"/>
  <c r="AV10" i="3" a="1"/>
  <c r="AV10" i="3" s="1"/>
  <c r="AV11" i="3" a="1"/>
  <c r="AV11" i="3" s="1"/>
  <c r="AV12" i="3" a="1"/>
  <c r="AV12" i="3" s="1"/>
  <c r="AV13" i="3" a="1"/>
  <c r="AV13" i="3" s="1"/>
  <c r="AV14" i="3" a="1"/>
  <c r="AV14" i="3" s="1"/>
  <c r="AV15" i="3" a="1"/>
  <c r="AV15" i="3" s="1"/>
  <c r="AV16" i="3" a="1"/>
  <c r="AV16" i="3" s="1"/>
  <c r="AV17" i="3" a="1"/>
  <c r="AV17" i="3" s="1"/>
  <c r="AV18" i="3" a="1"/>
  <c r="AV18" i="3" s="1"/>
  <c r="AV19" i="3" a="1"/>
  <c r="AV19" i="3" s="1"/>
  <c r="AV20" i="3" a="1"/>
  <c r="AV20" i="3" s="1"/>
  <c r="AX20" i="3" s="1"/>
  <c r="AV21" i="3" a="1"/>
  <c r="AV21" i="3" s="1"/>
  <c r="AX21" i="3" s="1"/>
  <c r="AV22" i="3" a="1"/>
  <c r="AV22" i="3" s="1"/>
  <c r="AX22" i="3" s="1"/>
  <c r="AV23" i="3" a="1"/>
  <c r="AV23" i="3" s="1"/>
  <c r="AX23" i="3" s="1"/>
  <c r="AV24" i="3" a="1"/>
  <c r="AV24" i="3" s="1"/>
  <c r="AX24" i="3" s="1"/>
  <c r="AV25" i="3" a="1"/>
  <c r="AV25" i="3" s="1"/>
  <c r="AX25" i="3" s="1"/>
  <c r="AV26" i="3" a="1"/>
  <c r="AV26" i="3" s="1"/>
  <c r="AX26" i="3" s="1"/>
  <c r="AV27" i="3" a="1"/>
  <c r="AV27" i="3" s="1"/>
  <c r="AX27" i="3" s="1"/>
  <c r="AV28" i="3" a="1"/>
  <c r="AV28" i="3" s="1"/>
  <c r="AX28" i="3" s="1"/>
  <c r="AV29" i="3" a="1"/>
  <c r="AV29" i="3" s="1"/>
  <c r="AX29" i="3" s="1"/>
  <c r="AV30" i="3" a="1"/>
  <c r="AV30" i="3" s="1"/>
  <c r="AX30" i="3" s="1"/>
  <c r="AV31" i="3" a="1"/>
  <c r="AV31" i="3" s="1"/>
  <c r="AV32" i="3" a="1"/>
  <c r="AV32" i="3" s="1"/>
  <c r="AV33" i="3" a="1"/>
  <c r="AV33" i="3" s="1"/>
  <c r="AV34" i="3" a="1"/>
  <c r="AV34" i="3" s="1"/>
  <c r="AV35" i="3" a="1"/>
  <c r="AV35" i="3" s="1"/>
  <c r="AV36" i="3" a="1"/>
  <c r="AV36" i="3" s="1"/>
  <c r="AX36" i="3" s="1"/>
  <c r="AV37" i="3" a="1"/>
  <c r="AV37" i="3" s="1"/>
  <c r="AX37" i="3" s="1"/>
  <c r="AV38" i="3" a="1"/>
  <c r="AV38" i="3" s="1"/>
  <c r="AX38" i="3" s="1"/>
  <c r="AV39" i="3" a="1"/>
  <c r="AV39" i="3" s="1"/>
  <c r="AX39" i="3" s="1"/>
  <c r="AV40" i="3" a="1"/>
  <c r="AV40" i="3" s="1"/>
  <c r="AX40" i="3" s="1"/>
  <c r="AV41" i="3" a="1"/>
  <c r="AV41" i="3" s="1"/>
  <c r="AV42" i="3" a="1"/>
  <c r="AV42" i="3" s="1"/>
  <c r="AV43" i="3" a="1"/>
  <c r="AV43" i="3" s="1"/>
  <c r="AV44" i="3" a="1"/>
  <c r="AV44" i="3" s="1"/>
  <c r="AV45" i="3" a="1"/>
  <c r="AV45" i="3" s="1"/>
  <c r="AV46" i="3" a="1"/>
  <c r="AV46" i="3" s="1"/>
  <c r="AX46" i="3" s="1"/>
  <c r="AV47" i="3" a="1"/>
  <c r="AV47" i="3" s="1"/>
  <c r="AX47" i="3" s="1"/>
  <c r="AV48" i="3" a="1"/>
  <c r="AV48" i="3" s="1"/>
  <c r="AX48" i="3" s="1"/>
  <c r="AV49" i="3" a="1"/>
  <c r="AV49" i="3" s="1"/>
  <c r="AX49" i="3" s="1"/>
  <c r="AV50" i="3" a="1"/>
  <c r="AV50" i="3" s="1"/>
  <c r="AX50" i="3" s="1"/>
  <c r="AV51" i="3" a="1"/>
  <c r="AV51" i="3" s="1"/>
  <c r="AX51" i="3" s="1"/>
  <c r="AV52" i="3" a="1"/>
  <c r="AV52" i="3" s="1"/>
  <c r="AX52" i="3" s="1"/>
  <c r="AV53" i="3" a="1"/>
  <c r="AV53" i="3" s="1"/>
  <c r="AX53" i="3" s="1"/>
  <c r="AV54" i="3" a="1"/>
  <c r="AV54" i="3" s="1"/>
  <c r="AX54" i="3" s="1"/>
  <c r="AV55" i="3" a="1"/>
  <c r="AV55" i="3" s="1"/>
  <c r="AX55" i="3" s="1"/>
  <c r="AV56" i="3" a="1"/>
  <c r="AV56" i="3" s="1"/>
  <c r="AX56" i="3" s="1"/>
  <c r="AV57" i="3" a="1"/>
  <c r="AV57" i="3" s="1"/>
  <c r="AX57" i="3" s="1"/>
  <c r="AV58" i="3" a="1"/>
  <c r="AV58" i="3" s="1"/>
  <c r="AX58" i="3" s="1"/>
  <c r="AU4" i="3" a="1"/>
  <c r="AU4" i="3" s="1"/>
  <c r="AX4" i="3" s="1"/>
  <c r="AU5" i="3" a="1"/>
  <c r="AU5" i="3" s="1"/>
  <c r="AX5" i="3" s="1"/>
  <c r="AU6" i="3" a="1"/>
  <c r="AU6" i="3" s="1"/>
  <c r="AX6" i="3" s="1"/>
  <c r="AU7" i="3" a="1"/>
  <c r="AU7" i="3" s="1"/>
  <c r="AX7" i="3" s="1"/>
  <c r="AU8" i="3" a="1"/>
  <c r="AU8" i="3" s="1"/>
  <c r="AX8" i="3" s="1"/>
  <c r="AU9" i="3" a="1"/>
  <c r="AU9" i="3" s="1"/>
  <c r="AX9" i="3" s="1"/>
  <c r="AU10" i="3" a="1"/>
  <c r="AU10" i="3" s="1"/>
  <c r="AX10" i="3" s="1"/>
  <c r="AU11" i="3" a="1"/>
  <c r="AU11" i="3" s="1"/>
  <c r="AX11" i="3" s="1"/>
  <c r="AU12" i="3" a="1"/>
  <c r="AU12" i="3" s="1"/>
  <c r="AX12" i="3" s="1"/>
  <c r="AU13" i="3" a="1"/>
  <c r="AU13" i="3" s="1"/>
  <c r="AX13" i="3" s="1"/>
  <c r="AU14" i="3" a="1"/>
  <c r="AU14" i="3" s="1"/>
  <c r="AU15" i="3" a="1"/>
  <c r="AU15" i="3" s="1"/>
  <c r="AU16" i="3" a="1"/>
  <c r="AU16" i="3" s="1"/>
  <c r="AU17" i="3" a="1"/>
  <c r="AU17" i="3" s="1"/>
  <c r="AU18" i="3" a="1"/>
  <c r="AU18" i="3" s="1"/>
  <c r="AU19" i="3" a="1"/>
  <c r="AU19" i="3" s="1"/>
  <c r="AU20" i="3" a="1"/>
  <c r="AU20" i="3" s="1"/>
  <c r="AU21" i="3" a="1"/>
  <c r="AU21" i="3" s="1"/>
  <c r="AU22" i="3" a="1"/>
  <c r="AU22" i="3" s="1"/>
  <c r="AU23" i="3" a="1"/>
  <c r="AU23" i="3" s="1"/>
  <c r="AU24" i="3" a="1"/>
  <c r="AU24" i="3" s="1"/>
  <c r="AU25" i="3" a="1"/>
  <c r="AU25" i="3" s="1"/>
  <c r="AU26" i="3" a="1"/>
  <c r="AU26" i="3" s="1"/>
  <c r="AU27" i="3" a="1"/>
  <c r="AU27" i="3" s="1"/>
  <c r="AU28" i="3" a="1"/>
  <c r="AU28" i="3" s="1"/>
  <c r="AU29" i="3" a="1"/>
  <c r="AU29" i="3" s="1"/>
  <c r="AU30" i="3" a="1"/>
  <c r="AU30" i="3" s="1"/>
  <c r="AU31" i="3" a="1"/>
  <c r="AU31" i="3" s="1"/>
  <c r="AX31" i="3" s="1"/>
  <c r="AU32" i="3" a="1"/>
  <c r="AU32" i="3" s="1"/>
  <c r="AX32" i="3" s="1"/>
  <c r="AU33" i="3" a="1"/>
  <c r="AU33" i="3" s="1"/>
  <c r="AX33" i="3" s="1"/>
  <c r="AU34" i="3" a="1"/>
  <c r="AU34" i="3" s="1"/>
  <c r="AX34" i="3" s="1"/>
  <c r="AU35" i="3" a="1"/>
  <c r="AU35" i="3" s="1"/>
  <c r="AX35" i="3" s="1"/>
  <c r="AU36" i="3" a="1"/>
  <c r="AU36" i="3" s="1"/>
  <c r="AU37" i="3" a="1"/>
  <c r="AU37" i="3" s="1"/>
  <c r="AU38" i="3" a="1"/>
  <c r="AU38" i="3" s="1"/>
  <c r="AU39" i="3" a="1"/>
  <c r="AU39" i="3" s="1"/>
  <c r="AU40" i="3" a="1"/>
  <c r="AU40" i="3" s="1"/>
  <c r="AU41" i="3" a="1"/>
  <c r="AU41" i="3" s="1"/>
  <c r="AX41" i="3" s="1"/>
  <c r="AU42" i="3" a="1"/>
  <c r="AU42" i="3" s="1"/>
  <c r="AX42" i="3" s="1"/>
  <c r="AU43" i="3" a="1"/>
  <c r="AU43" i="3" s="1"/>
  <c r="AX43" i="3" s="1"/>
  <c r="AU44" i="3" a="1"/>
  <c r="AU44" i="3" s="1"/>
  <c r="AX44" i="3" s="1"/>
  <c r="AU45" i="3" a="1"/>
  <c r="AU45" i="3" s="1"/>
  <c r="AX45" i="3" s="1"/>
  <c r="AU46" i="3" a="1"/>
  <c r="AU46" i="3" s="1"/>
  <c r="AU47" i="3" a="1"/>
  <c r="AU47" i="3" s="1"/>
  <c r="AU48" i="3" a="1"/>
  <c r="AU48" i="3" s="1"/>
  <c r="AU49" i="3" a="1"/>
  <c r="AU49" i="3" s="1"/>
  <c r="AU50" i="3" a="1"/>
  <c r="AU50" i="3" s="1"/>
  <c r="AU51" i="3" a="1"/>
  <c r="AU51" i="3" s="1"/>
  <c r="AU52" i="3" a="1"/>
  <c r="AU52" i="3" s="1"/>
  <c r="AU53" i="3" a="1"/>
  <c r="AU53" i="3" s="1"/>
  <c r="AU54" i="3" a="1"/>
  <c r="AU54" i="3" s="1"/>
  <c r="AU55" i="3" a="1"/>
  <c r="AU55" i="3" s="1"/>
  <c r="AU56" i="3" a="1"/>
  <c r="AU56" i="3" s="1"/>
  <c r="AU57" i="3" a="1"/>
  <c r="AU57" i="3" s="1"/>
  <c r="AU58" i="3" a="1"/>
  <c r="AU58" i="3" s="1"/>
  <c r="N36" i="4"/>
  <c r="N37" i="4"/>
  <c r="N38" i="4"/>
  <c r="Q38" i="4" s="1"/>
  <c r="N39" i="4"/>
  <c r="Q39" i="4" s="1"/>
  <c r="N40" i="4"/>
  <c r="N41" i="4"/>
  <c r="N42" i="4"/>
  <c r="N43" i="4"/>
  <c r="Q43" i="4" s="1"/>
  <c r="N44" i="4"/>
  <c r="N45" i="4"/>
  <c r="N46" i="4"/>
  <c r="N47" i="4"/>
  <c r="Q47" i="4" s="1"/>
  <c r="N48" i="4"/>
  <c r="N49" i="4"/>
  <c r="N50" i="4"/>
  <c r="Q50" i="4" s="1"/>
  <c r="N51" i="4"/>
  <c r="Q51" i="4" s="1"/>
  <c r="N52" i="4"/>
  <c r="N53" i="4"/>
  <c r="N54" i="4"/>
  <c r="Q54" i="4" s="1"/>
  <c r="N55" i="4"/>
  <c r="Q55" i="4" s="1"/>
  <c r="N56" i="4"/>
  <c r="N57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Q36" i="4"/>
  <c r="Q37" i="4"/>
  <c r="R37" i="4" s="1"/>
  <c r="Q40" i="4"/>
  <c r="Q41" i="4"/>
  <c r="Q42" i="4"/>
  <c r="R42" i="4" s="1"/>
  <c r="Q44" i="4"/>
  <c r="Q45" i="4"/>
  <c r="Q46" i="4"/>
  <c r="Q48" i="4"/>
  <c r="R48" i="4" s="1"/>
  <c r="Q49" i="4"/>
  <c r="Q52" i="4"/>
  <c r="Q53" i="4"/>
  <c r="Q56" i="4"/>
  <c r="Q57" i="4"/>
  <c r="R52" i="4"/>
  <c r="X26" i="3"/>
  <c r="Y26" i="3" s="1"/>
  <c r="X27" i="3"/>
  <c r="Y27" i="3" s="1"/>
  <c r="X28" i="3"/>
  <c r="Y28" i="3" s="1"/>
  <c r="X29" i="3"/>
  <c r="Y29" i="3" s="1"/>
  <c r="X30" i="3"/>
  <c r="Y30" i="3" s="1"/>
  <c r="AC26" i="3"/>
  <c r="AD26" i="3" s="1"/>
  <c r="AC27" i="3"/>
  <c r="AD27" i="3" s="1"/>
  <c r="AC28" i="3"/>
  <c r="AD28" i="3" s="1"/>
  <c r="AC29" i="3"/>
  <c r="AD29" i="3" s="1"/>
  <c r="AC30" i="3"/>
  <c r="AD30" i="3" s="1"/>
  <c r="AK26" i="3"/>
  <c r="AK27" i="3"/>
  <c r="AL27" i="3" s="1"/>
  <c r="AK28" i="3"/>
  <c r="AK29" i="3"/>
  <c r="AL29" i="3" s="1"/>
  <c r="AK30" i="3"/>
  <c r="AL30" i="3" s="1"/>
  <c r="X55" i="3"/>
  <c r="Y55" i="3" s="1"/>
  <c r="X56" i="3"/>
  <c r="Y56" i="3" s="1"/>
  <c r="X57" i="3"/>
  <c r="Y57" i="3" s="1"/>
  <c r="X58" i="3"/>
  <c r="Y58" i="3" s="1"/>
  <c r="X51" i="3"/>
  <c r="Y51" i="3" s="1"/>
  <c r="X52" i="3"/>
  <c r="Y52" i="3" s="1"/>
  <c r="X53" i="3"/>
  <c r="Y53" i="3" s="1"/>
  <c r="X54" i="3"/>
  <c r="Y54" i="3" s="1"/>
  <c r="AC55" i="3"/>
  <c r="AD55" i="3" s="1"/>
  <c r="AC56" i="3"/>
  <c r="AD56" i="3" s="1"/>
  <c r="AC57" i="3"/>
  <c r="AD57" i="3" s="1"/>
  <c r="AC58" i="3"/>
  <c r="AD58" i="3" s="1"/>
  <c r="AE58" i="3" s="1"/>
  <c r="AC51" i="3"/>
  <c r="AC52" i="3"/>
  <c r="AD52" i="3" s="1"/>
  <c r="AE52" i="3" s="1"/>
  <c r="AF52" i="3" s="1"/>
  <c r="AG52" i="3" s="1"/>
  <c r="AH52" i="3" s="1"/>
  <c r="AC53" i="3"/>
  <c r="AD53" i="3" s="1"/>
  <c r="AE53" i="3" s="1"/>
  <c r="AF53" i="3" s="1"/>
  <c r="AG53" i="3" s="1"/>
  <c r="AH53" i="3" s="1"/>
  <c r="AC54" i="3"/>
  <c r="AD54" i="3" s="1"/>
  <c r="AE54" i="3" s="1"/>
  <c r="AF54" i="3" s="1"/>
  <c r="AG54" i="3" s="1"/>
  <c r="AH54" i="3" s="1"/>
  <c r="AK55" i="3"/>
  <c r="AL55" i="3" s="1"/>
  <c r="AK56" i="3"/>
  <c r="AL56" i="3" s="1"/>
  <c r="AM56" i="3" s="1"/>
  <c r="AN56" i="3" s="1"/>
  <c r="AO56" i="3" s="1"/>
  <c r="AP56" i="3" s="1"/>
  <c r="AK57" i="3"/>
  <c r="AL57" i="3" s="1"/>
  <c r="AK58" i="3"/>
  <c r="AL58" i="3" s="1"/>
  <c r="AM58" i="3" s="1"/>
  <c r="AK51" i="3"/>
  <c r="AL51" i="3" s="1"/>
  <c r="AK52" i="3"/>
  <c r="AL52" i="3" s="1"/>
  <c r="AK53" i="3"/>
  <c r="AK54" i="3"/>
  <c r="AL54" i="3" s="1"/>
  <c r="AM54" i="3" s="1"/>
  <c r="X38" i="3"/>
  <c r="Y38" i="3" s="1"/>
  <c r="X39" i="3"/>
  <c r="Y39" i="3" s="1"/>
  <c r="X40" i="3"/>
  <c r="Y40" i="3" s="1"/>
  <c r="X37" i="3"/>
  <c r="Y37" i="3" s="1"/>
  <c r="AC37" i="3"/>
  <c r="AD37" i="3" s="1"/>
  <c r="AE37" i="3" s="1"/>
  <c r="AC38" i="3"/>
  <c r="AD38" i="3" s="1"/>
  <c r="AC39" i="3"/>
  <c r="AC40" i="3"/>
  <c r="AK37" i="3"/>
  <c r="AL37" i="3" s="1"/>
  <c r="AK38" i="3"/>
  <c r="AL38" i="3" s="1"/>
  <c r="AK39" i="3"/>
  <c r="AL39" i="3" s="1"/>
  <c r="AK40" i="3"/>
  <c r="AL40" i="3" s="1"/>
  <c r="X36" i="3"/>
  <c r="Y36" i="3" s="1"/>
  <c r="AC36" i="3"/>
  <c r="AD36" i="3" s="1"/>
  <c r="AK36" i="3"/>
  <c r="AL36" i="3" s="1"/>
  <c r="AM36" i="3" s="1"/>
  <c r="R13" i="9"/>
  <c r="V13" i="9" s="1"/>
  <c r="R14" i="9"/>
  <c r="U14" i="9" s="1"/>
  <c r="R15" i="9"/>
  <c r="R16" i="9"/>
  <c r="U16" i="9" s="1"/>
  <c r="R17" i="9"/>
  <c r="R18" i="9"/>
  <c r="U18" i="9" s="1"/>
  <c r="S13" i="9"/>
  <c r="S14" i="9"/>
  <c r="S15" i="9"/>
  <c r="S16" i="9"/>
  <c r="S17" i="9"/>
  <c r="S18" i="9"/>
  <c r="T13" i="9"/>
  <c r="T14" i="9"/>
  <c r="T15" i="9"/>
  <c r="T16" i="9"/>
  <c r="T17" i="9"/>
  <c r="T18" i="9"/>
  <c r="U15" i="9"/>
  <c r="V15" i="9"/>
  <c r="AB13" i="9"/>
  <c r="AC13" i="9" s="1"/>
  <c r="AD13" i="9" s="1"/>
  <c r="AB14" i="9"/>
  <c r="AC14" i="9" s="1"/>
  <c r="AD14" i="9" s="1"/>
  <c r="AB15" i="9"/>
  <c r="AC15" i="9" s="1"/>
  <c r="AD15" i="9" s="1"/>
  <c r="AB16" i="9"/>
  <c r="AC16" i="9" s="1"/>
  <c r="AD16" i="9" s="1"/>
  <c r="AB17" i="9"/>
  <c r="AC17" i="9" s="1"/>
  <c r="AD17" i="9" s="1"/>
  <c r="AB18" i="9"/>
  <c r="AC18" i="9" s="1"/>
  <c r="AD18" i="9" s="1"/>
  <c r="W4" i="3"/>
  <c r="X4" i="3" s="1"/>
  <c r="Y4" i="3" s="1"/>
  <c r="X5" i="3"/>
  <c r="Y5" i="3" s="1"/>
  <c r="X6" i="3"/>
  <c r="Y6" i="3" s="1"/>
  <c r="X7" i="3"/>
  <c r="Y7" i="3" s="1"/>
  <c r="AC4" i="3"/>
  <c r="AD4" i="3" s="1"/>
  <c r="AC5" i="3"/>
  <c r="AD5" i="3" s="1"/>
  <c r="AE5" i="3" s="1"/>
  <c r="AF5" i="3" s="1"/>
  <c r="AG5" i="3" s="1"/>
  <c r="AH5" i="3" s="1"/>
  <c r="AC6" i="3"/>
  <c r="AD6" i="3" s="1"/>
  <c r="AC7" i="3"/>
  <c r="AD7" i="3" s="1"/>
  <c r="AK4" i="3"/>
  <c r="AK5" i="3"/>
  <c r="AL5" i="3" s="1"/>
  <c r="AM5" i="3" s="1"/>
  <c r="AN5" i="3" s="1"/>
  <c r="AO5" i="3" s="1"/>
  <c r="AP5" i="3" s="1"/>
  <c r="AK6" i="3"/>
  <c r="AL6" i="3" s="1"/>
  <c r="AK7" i="3"/>
  <c r="AL7" i="3" s="1"/>
  <c r="B59" i="9" a="1"/>
  <c r="B59" i="9" s="1"/>
  <c r="B53" i="8" a="1"/>
  <c r="B53" i="8" s="1"/>
  <c r="B24" i="5" a="1"/>
  <c r="B24" i="5" s="1"/>
  <c r="B48" i="5"/>
  <c r="R54" i="9"/>
  <c r="R55" i="9"/>
  <c r="R56" i="9"/>
  <c r="R57" i="9"/>
  <c r="R50" i="9"/>
  <c r="R51" i="9"/>
  <c r="R52" i="9"/>
  <c r="R53" i="9"/>
  <c r="S54" i="9"/>
  <c r="S55" i="9"/>
  <c r="S56" i="9"/>
  <c r="S57" i="9"/>
  <c r="S50" i="9"/>
  <c r="S51" i="9"/>
  <c r="S52" i="9"/>
  <c r="S53" i="9"/>
  <c r="T54" i="9"/>
  <c r="T55" i="9"/>
  <c r="T56" i="9"/>
  <c r="T57" i="9"/>
  <c r="T50" i="9"/>
  <c r="T51" i="9"/>
  <c r="T52" i="9"/>
  <c r="T53" i="9"/>
  <c r="U54" i="9"/>
  <c r="U55" i="9"/>
  <c r="U56" i="9"/>
  <c r="W56" i="9" s="1"/>
  <c r="U57" i="9"/>
  <c r="U50" i="9"/>
  <c r="U51" i="9"/>
  <c r="U52" i="9"/>
  <c r="Y52" i="9" s="1"/>
  <c r="U53" i="9"/>
  <c r="V54" i="9"/>
  <c r="V55" i="9"/>
  <c r="V56" i="9"/>
  <c r="V57" i="9"/>
  <c r="V50" i="9"/>
  <c r="V51" i="9"/>
  <c r="V52" i="9"/>
  <c r="V53" i="9"/>
  <c r="W54" i="9"/>
  <c r="W55" i="9"/>
  <c r="AB54" i="9"/>
  <c r="AC54" i="9" s="1"/>
  <c r="AD54" i="9" s="1"/>
  <c r="AB55" i="9"/>
  <c r="AC55" i="9" s="1"/>
  <c r="AD55" i="9" s="1"/>
  <c r="AB56" i="9"/>
  <c r="AC56" i="9" s="1"/>
  <c r="AD56" i="9" s="1"/>
  <c r="AB57" i="9"/>
  <c r="AC57" i="9" s="1"/>
  <c r="AD57" i="9" s="1"/>
  <c r="AB50" i="9"/>
  <c r="AC50" i="9" s="1"/>
  <c r="AD50" i="9" s="1"/>
  <c r="AB51" i="9"/>
  <c r="AC51" i="9" s="1"/>
  <c r="AD51" i="9" s="1"/>
  <c r="AB52" i="9"/>
  <c r="AC52" i="9" s="1"/>
  <c r="AD52" i="9" s="1"/>
  <c r="AB53" i="9"/>
  <c r="AC53" i="9" s="1"/>
  <c r="AD53" i="9" s="1"/>
  <c r="R48" i="8"/>
  <c r="R49" i="8"/>
  <c r="R50" i="8"/>
  <c r="S50" i="8" s="1"/>
  <c r="T50" i="8" s="1"/>
  <c r="U50" i="8" s="1"/>
  <c r="V50" i="8" s="1"/>
  <c r="W50" i="8" s="1"/>
  <c r="R51" i="8"/>
  <c r="S51" i="8" s="1"/>
  <c r="T51" i="8" s="1"/>
  <c r="U51" i="8" s="1"/>
  <c r="V51" i="8" s="1"/>
  <c r="W51" i="8" s="1"/>
  <c r="R44" i="8"/>
  <c r="S44" i="8" s="1"/>
  <c r="T44" i="8" s="1"/>
  <c r="U44" i="8" s="1"/>
  <c r="V44" i="8" s="1"/>
  <c r="W44" i="8" s="1"/>
  <c r="R45" i="8"/>
  <c r="S45" i="8" s="1"/>
  <c r="T45" i="8" s="1"/>
  <c r="U45" i="8" s="1"/>
  <c r="V45" i="8" s="1"/>
  <c r="W45" i="8" s="1"/>
  <c r="R46" i="8"/>
  <c r="S46" i="8" s="1"/>
  <c r="T46" i="8" s="1"/>
  <c r="U46" i="8" s="1"/>
  <c r="V46" i="8" s="1"/>
  <c r="W46" i="8" s="1"/>
  <c r="R47" i="8"/>
  <c r="S47" i="8" s="1"/>
  <c r="T47" i="8" s="1"/>
  <c r="U47" i="8" s="1"/>
  <c r="V47" i="8" s="1"/>
  <c r="W47" i="8" s="1"/>
  <c r="S48" i="8"/>
  <c r="T48" i="8" s="1"/>
  <c r="U48" i="8" s="1"/>
  <c r="V48" i="8" s="1"/>
  <c r="W48" i="8" s="1"/>
  <c r="S49" i="8"/>
  <c r="T49" i="8" s="1"/>
  <c r="U49" i="8" s="1"/>
  <c r="V49" i="8" s="1"/>
  <c r="W49" i="8" s="1"/>
  <c r="B33" i="6" a="1"/>
  <c r="B33" i="6" s="1"/>
  <c r="R27" i="6"/>
  <c r="S27" i="6"/>
  <c r="T27" i="6"/>
  <c r="U27" i="6"/>
  <c r="W27" i="6"/>
  <c r="X27" i="6"/>
  <c r="R26" i="6"/>
  <c r="S26" i="6"/>
  <c r="T26" i="6"/>
  <c r="U26" i="6"/>
  <c r="W26" i="6"/>
  <c r="X26" i="6"/>
  <c r="R25" i="6"/>
  <c r="S25" i="6" s="1"/>
  <c r="T25" i="6"/>
  <c r="W25" i="6"/>
  <c r="R29" i="6"/>
  <c r="S29" i="6" s="1"/>
  <c r="T29" i="6"/>
  <c r="W29" i="6"/>
  <c r="R30" i="6"/>
  <c r="S30" i="6" s="1"/>
  <c r="T30" i="6"/>
  <c r="W30" i="6"/>
  <c r="R31" i="6"/>
  <c r="S31" i="6" s="1"/>
  <c r="T31" i="6"/>
  <c r="W31" i="6"/>
  <c r="R24" i="6"/>
  <c r="S24" i="6" s="1"/>
  <c r="T24" i="6"/>
  <c r="W24" i="6"/>
  <c r="W19" i="6"/>
  <c r="W20" i="6"/>
  <c r="W21" i="6"/>
  <c r="W22" i="6"/>
  <c r="W23" i="6"/>
  <c r="W3" i="6"/>
  <c r="W4" i="6"/>
  <c r="W5" i="6"/>
  <c r="W6" i="6"/>
  <c r="W7" i="6"/>
  <c r="W8" i="6"/>
  <c r="W14" i="6"/>
  <c r="W15" i="6"/>
  <c r="W16" i="6"/>
  <c r="W17" i="6"/>
  <c r="W18" i="6"/>
  <c r="W9" i="6"/>
  <c r="W10" i="6"/>
  <c r="W11" i="6"/>
  <c r="W12" i="6"/>
  <c r="W13" i="6"/>
  <c r="W28" i="6"/>
  <c r="R28" i="6"/>
  <c r="S28" i="6" s="1"/>
  <c r="T28" i="6"/>
  <c r="C82" i="10" a="1"/>
  <c r="C63" i="10" a="1"/>
  <c r="C67" i="10" a="1"/>
  <c r="C60" i="3" a="1"/>
  <c r="C64" i="10" a="1"/>
  <c r="C78" i="10" a="1"/>
  <c r="C72" i="10" a="1"/>
  <c r="C80" i="10" a="1"/>
  <c r="C70" i="10" a="1"/>
  <c r="C65" i="10" a="1"/>
  <c r="C71" i="10" a="1"/>
  <c r="C81" i="10" a="1"/>
  <c r="C69" i="10" a="1"/>
  <c r="C74" i="10" a="1"/>
  <c r="C62" i="10" a="1"/>
  <c r="C77" i="10" a="1"/>
  <c r="C66" i="10" a="1"/>
  <c r="C61" i="10" a="1"/>
  <c r="C79" i="10" a="1"/>
  <c r="C68" i="10" a="1"/>
  <c r="C76" i="10" a="1"/>
  <c r="C60" i="10" a="1"/>
  <c r="C75" i="10" a="1"/>
  <c r="C73" i="10" a="1"/>
  <c r="AY55" i="3" l="1"/>
  <c r="AZ55" i="3" s="1"/>
  <c r="AY39" i="3"/>
  <c r="AZ39" i="3" s="1"/>
  <c r="AY51" i="3"/>
  <c r="AZ51" i="3" s="1"/>
  <c r="AY7" i="3"/>
  <c r="AZ7" i="3" s="1"/>
  <c r="AY58" i="3"/>
  <c r="AZ58" i="3" s="1"/>
  <c r="AY54" i="3"/>
  <c r="AZ54" i="3" s="1"/>
  <c r="AY38" i="3"/>
  <c r="AZ38" i="3" s="1"/>
  <c r="AY30" i="3"/>
  <c r="AZ30" i="3" s="1"/>
  <c r="AY26" i="3"/>
  <c r="AZ26" i="3" s="1"/>
  <c r="AY6" i="3"/>
  <c r="AZ6" i="3" s="1"/>
  <c r="AY57" i="3"/>
  <c r="AZ57" i="3" s="1"/>
  <c r="AY53" i="3"/>
  <c r="AZ53" i="3" s="1"/>
  <c r="AY37" i="3"/>
  <c r="AZ37" i="3" s="1"/>
  <c r="AY29" i="3"/>
  <c r="AZ29" i="3" s="1"/>
  <c r="AY4" i="3"/>
  <c r="AZ4" i="3" s="1"/>
  <c r="AY27" i="3"/>
  <c r="AZ27" i="3" s="1"/>
  <c r="AY5" i="3"/>
  <c r="AZ5" i="3" s="1"/>
  <c r="AY56" i="3"/>
  <c r="AZ56" i="3" s="1"/>
  <c r="AY52" i="3"/>
  <c r="AZ52" i="3" s="1"/>
  <c r="AY40" i="3"/>
  <c r="AZ40" i="3" s="1"/>
  <c r="AY36" i="3"/>
  <c r="AZ36" i="3" s="1"/>
  <c r="AY28" i="3"/>
  <c r="AZ28" i="3" s="1"/>
  <c r="C75" i="10"/>
  <c r="D75" i="10" s="1"/>
  <c r="C64" i="10"/>
  <c r="D64" i="10" s="1"/>
  <c r="C80" i="10"/>
  <c r="D80" i="10" s="1"/>
  <c r="C69" i="10"/>
  <c r="D69" i="10" s="1"/>
  <c r="C62" i="10"/>
  <c r="D62" i="10" s="1"/>
  <c r="C63" i="10"/>
  <c r="D63" i="10" s="1"/>
  <c r="C79" i="10"/>
  <c r="D79" i="10" s="1"/>
  <c r="C68" i="10"/>
  <c r="D68" i="10" s="1"/>
  <c r="C78" i="10"/>
  <c r="D78" i="10" s="1"/>
  <c r="C73" i="10"/>
  <c r="D73" i="10" s="1"/>
  <c r="C66" i="10"/>
  <c r="D66" i="10" s="1"/>
  <c r="C67" i="10"/>
  <c r="D67" i="10" s="1"/>
  <c r="C70" i="10"/>
  <c r="D70" i="10" s="1"/>
  <c r="C72" i="10"/>
  <c r="D72" i="10" s="1"/>
  <c r="C61" i="10"/>
  <c r="D61" i="10" s="1"/>
  <c r="C77" i="10"/>
  <c r="D77" i="10" s="1"/>
  <c r="C74" i="10"/>
  <c r="D74" i="10" s="1"/>
  <c r="C71" i="10"/>
  <c r="D71" i="10" s="1"/>
  <c r="C60" i="10"/>
  <c r="D60" i="10" s="1"/>
  <c r="C76" i="10"/>
  <c r="D76" i="10" s="1"/>
  <c r="C65" i="10"/>
  <c r="D65" i="10" s="1"/>
  <c r="C81" i="10"/>
  <c r="D81" i="10" s="1"/>
  <c r="C82" i="10"/>
  <c r="D82" i="10" s="1"/>
  <c r="AE27" i="3"/>
  <c r="AF27" i="3" s="1"/>
  <c r="AI53" i="3"/>
  <c r="AJ53" i="3" s="1"/>
  <c r="AE57" i="3"/>
  <c r="AF57" i="3" s="1"/>
  <c r="R56" i="4"/>
  <c r="R44" i="4"/>
  <c r="R40" i="4"/>
  <c r="R36" i="4"/>
  <c r="R54" i="4"/>
  <c r="R50" i="4"/>
  <c r="R38" i="4"/>
  <c r="R53" i="4"/>
  <c r="R46" i="4"/>
  <c r="R55" i="4"/>
  <c r="R43" i="4"/>
  <c r="R39" i="4"/>
  <c r="R47" i="4"/>
  <c r="R51" i="4"/>
  <c r="R57" i="4"/>
  <c r="R41" i="4"/>
  <c r="R45" i="4"/>
  <c r="R49" i="4"/>
  <c r="AM52" i="3"/>
  <c r="AN52" i="3" s="1"/>
  <c r="AQ56" i="3"/>
  <c r="AR56" i="3" s="1"/>
  <c r="AI52" i="3"/>
  <c r="AJ52" i="3" s="1"/>
  <c r="AE56" i="3"/>
  <c r="AF56" i="3" s="1"/>
  <c r="AG56" i="3" s="1"/>
  <c r="AH56" i="3" s="1"/>
  <c r="AI56" i="3" s="1"/>
  <c r="AJ56" i="3" s="1"/>
  <c r="C60" i="3"/>
  <c r="D60" i="3" s="1"/>
  <c r="X15" i="9"/>
  <c r="W53" i="9"/>
  <c r="W52" i="9"/>
  <c r="U17" i="9"/>
  <c r="X17" i="9" s="1"/>
  <c r="W15" i="9"/>
  <c r="Z15" i="9" s="1"/>
  <c r="V17" i="9"/>
  <c r="Y15" i="9"/>
  <c r="U13" i="9"/>
  <c r="W13" i="9" s="1"/>
  <c r="AE28" i="3"/>
  <c r="AF28" i="3" s="1"/>
  <c r="AM29" i="3"/>
  <c r="AN29" i="3" s="1"/>
  <c r="AL28" i="3"/>
  <c r="AM28" i="3" s="1"/>
  <c r="AM30" i="3"/>
  <c r="AN30" i="3" s="1"/>
  <c r="AE29" i="3"/>
  <c r="AF29" i="3" s="1"/>
  <c r="AG29" i="3" s="1"/>
  <c r="AH29" i="3" s="1"/>
  <c r="AI29" i="3" s="1"/>
  <c r="AJ29" i="3" s="1"/>
  <c r="AL26" i="3"/>
  <c r="AM26" i="3" s="1"/>
  <c r="AG27" i="3"/>
  <c r="AH27" i="3" s="1"/>
  <c r="AI27" i="3" s="1"/>
  <c r="AJ27" i="3" s="1"/>
  <c r="AE55" i="3"/>
  <c r="AF55" i="3" s="1"/>
  <c r="AG55" i="3" s="1"/>
  <c r="AH55" i="3" s="1"/>
  <c r="AI55" i="3" s="1"/>
  <c r="AJ55" i="3" s="1"/>
  <c r="AM27" i="3"/>
  <c r="AE30" i="3"/>
  <c r="AE26" i="3"/>
  <c r="AM57" i="3"/>
  <c r="AN57" i="3" s="1"/>
  <c r="AD51" i="3"/>
  <c r="AE51" i="3" s="1"/>
  <c r="AF51" i="3" s="1"/>
  <c r="AG51" i="3" s="1"/>
  <c r="AH51" i="3" s="1"/>
  <c r="AI51" i="3" s="1"/>
  <c r="AJ51" i="3" s="1"/>
  <c r="AI54" i="3"/>
  <c r="AJ54" i="3" s="1"/>
  <c r="X52" i="9"/>
  <c r="Z52" i="9" s="1"/>
  <c r="W14" i="9"/>
  <c r="V14" i="9"/>
  <c r="Y50" i="9"/>
  <c r="V18" i="9"/>
  <c r="AQ5" i="3"/>
  <c r="AR5" i="3" s="1"/>
  <c r="AI5" i="3"/>
  <c r="AJ5" i="3" s="1"/>
  <c r="AM51" i="3"/>
  <c r="AN51" i="3" s="1"/>
  <c r="AO51" i="3" s="1"/>
  <c r="AP51" i="3" s="1"/>
  <c r="AQ51" i="3" s="1"/>
  <c r="AR51" i="3" s="1"/>
  <c r="AM55" i="3"/>
  <c r="AN55" i="3" s="1"/>
  <c r="AO55" i="3" s="1"/>
  <c r="AP55" i="3" s="1"/>
  <c r="AQ55" i="3" s="1"/>
  <c r="AR55" i="3" s="1"/>
  <c r="AN58" i="3"/>
  <c r="AO58" i="3" s="1"/>
  <c r="AP58" i="3" s="1"/>
  <c r="AQ58" i="3" s="1"/>
  <c r="AR58" i="3" s="1"/>
  <c r="AF58" i="3"/>
  <c r="AG58" i="3" s="1"/>
  <c r="AH58" i="3" s="1"/>
  <c r="AI58" i="3" s="1"/>
  <c r="AJ58" i="3" s="1"/>
  <c r="AN54" i="3"/>
  <c r="AO54" i="3" s="1"/>
  <c r="AP54" i="3" s="1"/>
  <c r="AQ54" i="3" s="1"/>
  <c r="AR54" i="3" s="1"/>
  <c r="AL53" i="3"/>
  <c r="AM53" i="3" s="1"/>
  <c r="AM39" i="3"/>
  <c r="AN39" i="3" s="1"/>
  <c r="AO39" i="3" s="1"/>
  <c r="AP39" i="3" s="1"/>
  <c r="AQ39" i="3" s="1"/>
  <c r="AR39" i="3" s="1"/>
  <c r="AM37" i="3"/>
  <c r="AN37" i="3" s="1"/>
  <c r="AO37" i="3" s="1"/>
  <c r="AP37" i="3" s="1"/>
  <c r="AQ37" i="3" s="1"/>
  <c r="AR37" i="3" s="1"/>
  <c r="AE38" i="3"/>
  <c r="AF38" i="3" s="1"/>
  <c r="AG38" i="3" s="1"/>
  <c r="AH38" i="3" s="1"/>
  <c r="AI38" i="3" s="1"/>
  <c r="AJ38" i="3" s="1"/>
  <c r="AM38" i="3"/>
  <c r="AN38" i="3" s="1"/>
  <c r="AO38" i="3" s="1"/>
  <c r="AP38" i="3" s="1"/>
  <c r="AQ38" i="3" s="1"/>
  <c r="AR38" i="3" s="1"/>
  <c r="AD39" i="3"/>
  <c r="AE39" i="3" s="1"/>
  <c r="AF37" i="3"/>
  <c r="AG37" i="3" s="1"/>
  <c r="AH37" i="3" s="1"/>
  <c r="AI37" i="3" s="1"/>
  <c r="AJ37" i="3" s="1"/>
  <c r="AM40" i="3"/>
  <c r="AD40" i="3"/>
  <c r="AE40" i="3" s="1"/>
  <c r="AE36" i="3"/>
  <c r="AF36" i="3" s="1"/>
  <c r="AG36" i="3" s="1"/>
  <c r="AH36" i="3" s="1"/>
  <c r="AI36" i="3" s="1"/>
  <c r="AJ36" i="3" s="1"/>
  <c r="AN36" i="3"/>
  <c r="AO36" i="3" s="1"/>
  <c r="AP36" i="3" s="1"/>
  <c r="AQ36" i="3" s="1"/>
  <c r="AR36" i="3" s="1"/>
  <c r="X18" i="9"/>
  <c r="Y16" i="9"/>
  <c r="X16" i="9"/>
  <c r="Y57" i="9"/>
  <c r="V16" i="9"/>
  <c r="W18" i="9"/>
  <c r="Y14" i="9"/>
  <c r="Y18" i="9"/>
  <c r="X14" i="9"/>
  <c r="AL4" i="3"/>
  <c r="AM4" i="3" s="1"/>
  <c r="AN4" i="3" s="1"/>
  <c r="AO4" i="3" s="1"/>
  <c r="AP4" i="3" s="1"/>
  <c r="AQ4" i="3" s="1"/>
  <c r="AR4" i="3" s="1"/>
  <c r="AE4" i="3"/>
  <c r="AF4" i="3" s="1"/>
  <c r="AG4" i="3" s="1"/>
  <c r="AH4" i="3" s="1"/>
  <c r="AI4" i="3" s="1"/>
  <c r="AJ4" i="3" s="1"/>
  <c r="W16" i="9"/>
  <c r="X57" i="9"/>
  <c r="X53" i="9"/>
  <c r="W57" i="9"/>
  <c r="Y53" i="9"/>
  <c r="Y51" i="9"/>
  <c r="W51" i="9"/>
  <c r="Y55" i="9"/>
  <c r="X50" i="9"/>
  <c r="Y54" i="9"/>
  <c r="W50" i="9"/>
  <c r="X55" i="9"/>
  <c r="Z55" i="9" s="1"/>
  <c r="X51" i="9"/>
  <c r="X54" i="9"/>
  <c r="Z54" i="9" s="1"/>
  <c r="AE7" i="3"/>
  <c r="AM7" i="3"/>
  <c r="AM6" i="3"/>
  <c r="AE6" i="3"/>
  <c r="B82" i="9"/>
  <c r="B74" i="9"/>
  <c r="B66" i="9"/>
  <c r="B81" i="9"/>
  <c r="B61" i="9"/>
  <c r="B84" i="9"/>
  <c r="B80" i="9"/>
  <c r="B76" i="9"/>
  <c r="B72" i="9"/>
  <c r="B68" i="9"/>
  <c r="B64" i="9"/>
  <c r="B60" i="9"/>
  <c r="B86" i="9"/>
  <c r="B78" i="9"/>
  <c r="B70" i="9"/>
  <c r="B62" i="9"/>
  <c r="B85" i="9"/>
  <c r="B77" i="9"/>
  <c r="B73" i="9"/>
  <c r="B69" i="9"/>
  <c r="B65" i="9"/>
  <c r="B87" i="9"/>
  <c r="B83" i="9"/>
  <c r="B79" i="9"/>
  <c r="B75" i="9"/>
  <c r="B71" i="9"/>
  <c r="B67" i="9"/>
  <c r="B63" i="9"/>
  <c r="Y56" i="9"/>
  <c r="X56" i="9"/>
  <c r="B60" i="8"/>
  <c r="B59" i="8"/>
  <c r="B74" i="8"/>
  <c r="B70" i="8"/>
  <c r="B66" i="8"/>
  <c r="B62" i="8"/>
  <c r="B58" i="8"/>
  <c r="B54" i="8"/>
  <c r="B72" i="8"/>
  <c r="B68" i="8"/>
  <c r="B64" i="8"/>
  <c r="B56" i="8"/>
  <c r="B71" i="8"/>
  <c r="B67" i="8"/>
  <c r="B63" i="8"/>
  <c r="B55" i="8"/>
  <c r="B73" i="8"/>
  <c r="B69" i="8"/>
  <c r="B65" i="8"/>
  <c r="B61" i="8"/>
  <c r="B57" i="8"/>
  <c r="D48" i="5"/>
  <c r="B46" i="5"/>
  <c r="B42" i="5"/>
  <c r="B38" i="5"/>
  <c r="B34" i="5"/>
  <c r="B30" i="5"/>
  <c r="B26" i="5"/>
  <c r="B40" i="5"/>
  <c r="B28" i="5"/>
  <c r="B47" i="5"/>
  <c r="B43" i="5"/>
  <c r="B39" i="5"/>
  <c r="B35" i="5"/>
  <c r="B31" i="5"/>
  <c r="B27" i="5"/>
  <c r="B45" i="5"/>
  <c r="B41" i="5"/>
  <c r="B37" i="5"/>
  <c r="B33" i="5"/>
  <c r="B29" i="5"/>
  <c r="B25" i="5"/>
  <c r="B44" i="5"/>
  <c r="B36" i="5"/>
  <c r="B32" i="5"/>
  <c r="B60" i="6"/>
  <c r="B48" i="6"/>
  <c r="B36" i="6"/>
  <c r="B59" i="6"/>
  <c r="B55" i="6"/>
  <c r="B51" i="6"/>
  <c r="B47" i="6"/>
  <c r="B43" i="6"/>
  <c r="B39" i="6"/>
  <c r="B35" i="6"/>
  <c r="B56" i="6"/>
  <c r="B44" i="6"/>
  <c r="B58" i="6"/>
  <c r="B54" i="6"/>
  <c r="B50" i="6"/>
  <c r="B46" i="6"/>
  <c r="B42" i="6"/>
  <c r="B38" i="6"/>
  <c r="B34" i="6"/>
  <c r="B52" i="6"/>
  <c r="B40" i="6"/>
  <c r="B57" i="6"/>
  <c r="B53" i="6"/>
  <c r="B49" i="6"/>
  <c r="B45" i="6"/>
  <c r="B41" i="6"/>
  <c r="B37" i="6"/>
  <c r="Y27" i="6"/>
  <c r="V27" i="6"/>
  <c r="Y26" i="6"/>
  <c r="V26" i="6"/>
  <c r="X30" i="6"/>
  <c r="X29" i="6"/>
  <c r="Y29" i="6" s="1"/>
  <c r="U25" i="6"/>
  <c r="V25" i="6" s="1"/>
  <c r="X25" i="6"/>
  <c r="Y25" i="6" s="1"/>
  <c r="U31" i="6"/>
  <c r="U29" i="6"/>
  <c r="V29" i="6" s="1"/>
  <c r="Z29" i="6" s="1"/>
  <c r="U30" i="6"/>
  <c r="V30" i="6" s="1"/>
  <c r="Z30" i="6" s="1"/>
  <c r="X28" i="6"/>
  <c r="Y28" i="6" s="1"/>
  <c r="Y30" i="6"/>
  <c r="V31" i="6"/>
  <c r="Z31" i="6" s="1"/>
  <c r="X31" i="6"/>
  <c r="Y31" i="6" s="1"/>
  <c r="U24" i="6"/>
  <c r="V24" i="6" s="1"/>
  <c r="X24" i="6"/>
  <c r="Y24" i="6" s="1"/>
  <c r="U28" i="6"/>
  <c r="V28" i="6" s="1"/>
  <c r="Z28" i="6" s="1"/>
  <c r="AB45" i="9"/>
  <c r="AC45" i="9" s="1"/>
  <c r="AD45" i="9" s="1"/>
  <c r="AB46" i="9"/>
  <c r="AC46" i="9" s="1"/>
  <c r="AD46" i="9" s="1"/>
  <c r="AB47" i="9"/>
  <c r="AC47" i="9" s="1"/>
  <c r="AD47" i="9" s="1"/>
  <c r="AB48" i="9"/>
  <c r="AC48" i="9" s="1"/>
  <c r="AD48" i="9" s="1"/>
  <c r="AB49" i="9"/>
  <c r="AC49" i="9" s="1"/>
  <c r="AD49" i="9" s="1"/>
  <c r="AB19" i="9"/>
  <c r="AC19" i="9" s="1"/>
  <c r="AD19" i="9" s="1"/>
  <c r="AB20" i="9"/>
  <c r="AC20" i="9" s="1"/>
  <c r="AD20" i="9" s="1"/>
  <c r="AB21" i="9"/>
  <c r="AC21" i="9" s="1"/>
  <c r="AD21" i="9" s="1"/>
  <c r="AB22" i="9"/>
  <c r="AC22" i="9" s="1"/>
  <c r="AD22" i="9" s="1"/>
  <c r="AB23" i="9"/>
  <c r="AC23" i="9" s="1"/>
  <c r="AD23" i="9" s="1"/>
  <c r="AB24" i="9"/>
  <c r="AC24" i="9" s="1"/>
  <c r="AD24" i="9" s="1"/>
  <c r="AB35" i="9"/>
  <c r="AC35" i="9" s="1"/>
  <c r="AD35" i="9" s="1"/>
  <c r="AB36" i="9"/>
  <c r="AC36" i="9" s="1"/>
  <c r="AD36" i="9" s="1"/>
  <c r="AB37" i="9"/>
  <c r="AC37" i="9" s="1"/>
  <c r="AD37" i="9" s="1"/>
  <c r="AB38" i="9"/>
  <c r="AC38" i="9" s="1"/>
  <c r="AD38" i="9" s="1"/>
  <c r="AB39" i="9"/>
  <c r="AC39" i="9" s="1"/>
  <c r="AD39" i="9" s="1"/>
  <c r="AB25" i="9"/>
  <c r="AC25" i="9" s="1"/>
  <c r="AD25" i="9" s="1"/>
  <c r="AB26" i="9"/>
  <c r="AC26" i="9" s="1"/>
  <c r="AD26" i="9" s="1"/>
  <c r="AB27" i="9"/>
  <c r="AC27" i="9" s="1"/>
  <c r="AD27" i="9" s="1"/>
  <c r="AB28" i="9"/>
  <c r="AC28" i="9" s="1"/>
  <c r="AD28" i="9" s="1"/>
  <c r="AB29" i="9"/>
  <c r="AC29" i="9" s="1"/>
  <c r="AD29" i="9" s="1"/>
  <c r="AB7" i="9"/>
  <c r="AC7" i="9" s="1"/>
  <c r="AD7" i="9" s="1"/>
  <c r="AB8" i="9"/>
  <c r="AC8" i="9" s="1"/>
  <c r="AD8" i="9" s="1"/>
  <c r="AB9" i="9"/>
  <c r="AC9" i="9" s="1"/>
  <c r="AD9" i="9" s="1"/>
  <c r="AB10" i="9"/>
  <c r="AC10" i="9" s="1"/>
  <c r="AD10" i="9" s="1"/>
  <c r="AB11" i="9"/>
  <c r="AC11" i="9" s="1"/>
  <c r="AD11" i="9" s="1"/>
  <c r="AB12" i="9"/>
  <c r="AC12" i="9" s="1"/>
  <c r="AD12" i="9" s="1"/>
  <c r="AB30" i="9"/>
  <c r="AC30" i="9" s="1"/>
  <c r="AD30" i="9" s="1"/>
  <c r="AB31" i="9"/>
  <c r="AC31" i="9" s="1"/>
  <c r="AD31" i="9" s="1"/>
  <c r="AB32" i="9"/>
  <c r="AC32" i="9" s="1"/>
  <c r="AD32" i="9" s="1"/>
  <c r="AB33" i="9"/>
  <c r="AC33" i="9" s="1"/>
  <c r="AD33" i="9" s="1"/>
  <c r="AB34" i="9"/>
  <c r="AC34" i="9" s="1"/>
  <c r="AD34" i="9" s="1"/>
  <c r="AB40" i="9"/>
  <c r="AC40" i="9" s="1"/>
  <c r="AD40" i="9" s="1"/>
  <c r="AB41" i="9"/>
  <c r="AC41" i="9" s="1"/>
  <c r="AD41" i="9" s="1"/>
  <c r="AB42" i="9"/>
  <c r="AC42" i="9" s="1"/>
  <c r="AD42" i="9" s="1"/>
  <c r="AB43" i="9"/>
  <c r="AC43" i="9" s="1"/>
  <c r="AD43" i="9" s="1"/>
  <c r="AB44" i="9"/>
  <c r="AC44" i="9" s="1"/>
  <c r="AD44" i="9" s="1"/>
  <c r="AB3" i="9"/>
  <c r="AC3" i="9" s="1"/>
  <c r="AD3" i="9" s="1"/>
  <c r="AB4" i="9"/>
  <c r="AC4" i="9" s="1"/>
  <c r="AD4" i="9" s="1"/>
  <c r="AB5" i="9"/>
  <c r="AC5" i="9" s="1"/>
  <c r="AD5" i="9" s="1"/>
  <c r="AB6" i="9"/>
  <c r="AC6" i="9" s="1"/>
  <c r="AD6" i="9" s="1"/>
  <c r="C63" i="3" a="1"/>
  <c r="C62" i="3" a="1"/>
  <c r="C73" i="3" a="1"/>
  <c r="C46" i="6" a="1"/>
  <c r="C80" i="3" a="1"/>
  <c r="C82" i="9" a="1"/>
  <c r="C47" i="6" a="1"/>
  <c r="C96" i="3" a="1"/>
  <c r="C67" i="3" a="1"/>
  <c r="C56" i="6" a="1"/>
  <c r="C81" i="9" a="1"/>
  <c r="C61" i="3" a="1"/>
  <c r="C79" i="3" a="1"/>
  <c r="C70" i="3" a="1"/>
  <c r="C54" i="6" a="1"/>
  <c r="C82" i="3" a="1"/>
  <c r="C85" i="3" a="1"/>
  <c r="C71" i="3" a="1"/>
  <c r="C58" i="6" a="1"/>
  <c r="C66" i="3" a="1"/>
  <c r="C76" i="3" a="1"/>
  <c r="C93" i="3" a="1"/>
  <c r="C64" i="3" a="1"/>
  <c r="C90" i="3" a="1"/>
  <c r="C74" i="3" a="1"/>
  <c r="C77" i="3" a="1"/>
  <c r="C83" i="9" a="1"/>
  <c r="C83" i="3" a="1"/>
  <c r="C79" i="9" a="1"/>
  <c r="C91" i="3" a="1"/>
  <c r="C45" i="6" a="1"/>
  <c r="C59" i="6" a="1"/>
  <c r="C65" i="3" a="1"/>
  <c r="C87" i="9" a="1"/>
  <c r="C57" i="6" a="1"/>
  <c r="C86" i="3" a="1"/>
  <c r="C43" i="6" a="1"/>
  <c r="C76" i="9" a="1"/>
  <c r="C95" i="3" a="1"/>
  <c r="C60" i="6" a="1"/>
  <c r="C72" i="3" a="1"/>
  <c r="C94" i="3" a="1"/>
  <c r="C87" i="3" a="1"/>
  <c r="C75" i="3" a="1"/>
  <c r="C77" i="9" a="1"/>
  <c r="C78" i="3" a="1"/>
  <c r="C69" i="3" a="1"/>
  <c r="C44" i="6" a="1"/>
  <c r="C81" i="3" a="1"/>
  <c r="C75" i="9" a="1"/>
  <c r="C89" i="3" a="1"/>
  <c r="C68" i="3" a="1"/>
  <c r="C49" i="6" a="1"/>
  <c r="C59" i="9" a="1"/>
  <c r="C92" i="3" a="1"/>
  <c r="C88" i="3" a="1"/>
  <c r="C50" i="6" a="1"/>
  <c r="C84" i="9" a="1"/>
  <c r="C85" i="9" a="1"/>
  <c r="C78" i="9" a="1"/>
  <c r="C86" i="9" a="1"/>
  <c r="C53" i="6" a="1"/>
  <c r="C80" i="9" a="1"/>
  <c r="C51" i="6" a="1"/>
  <c r="C84" i="3" a="1"/>
  <c r="C74" i="8" a="1"/>
  <c r="AS55" i="3" l="1"/>
  <c r="AG57" i="3"/>
  <c r="AH57" i="3" s="1"/>
  <c r="AI57" i="3" s="1"/>
  <c r="AJ57" i="3" s="1"/>
  <c r="C80" i="3"/>
  <c r="C96" i="3"/>
  <c r="C91" i="3"/>
  <c r="D91" i="3" s="1"/>
  <c r="C69" i="3"/>
  <c r="D69" i="3" s="1"/>
  <c r="C85" i="3"/>
  <c r="C87" i="3"/>
  <c r="D87" i="3" s="1"/>
  <c r="C70" i="3"/>
  <c r="D70" i="3" s="1"/>
  <c r="C86" i="3"/>
  <c r="D86" i="3" s="1"/>
  <c r="C71" i="3"/>
  <c r="D71" i="3" s="1"/>
  <c r="C68" i="3"/>
  <c r="D68" i="3" s="1"/>
  <c r="C84" i="3"/>
  <c r="D84" i="3" s="1"/>
  <c r="C73" i="3"/>
  <c r="D73" i="3" s="1"/>
  <c r="C89" i="3"/>
  <c r="D89" i="3" s="1"/>
  <c r="C67" i="3"/>
  <c r="D67" i="3" s="1"/>
  <c r="C95" i="3"/>
  <c r="C74" i="3"/>
  <c r="D74" i="3" s="1"/>
  <c r="C90" i="3"/>
  <c r="D90" i="3" s="1"/>
  <c r="C72" i="3"/>
  <c r="D72" i="3" s="1"/>
  <c r="C61" i="3"/>
  <c r="D61" i="3" s="1"/>
  <c r="C93" i="3"/>
  <c r="D93" i="3" s="1"/>
  <c r="C75" i="3"/>
  <c r="D75" i="3" s="1"/>
  <c r="C78" i="3"/>
  <c r="D78" i="3" s="1"/>
  <c r="C94" i="3"/>
  <c r="C88" i="3"/>
  <c r="D88" i="3" s="1"/>
  <c r="C92" i="3"/>
  <c r="D92" i="3" s="1"/>
  <c r="C79" i="3"/>
  <c r="D79" i="3" s="1"/>
  <c r="C81" i="3"/>
  <c r="D81" i="3" s="1"/>
  <c r="C83" i="3"/>
  <c r="D83" i="3" s="1"/>
  <c r="C66" i="3"/>
  <c r="D66" i="3" s="1"/>
  <c r="C82" i="3"/>
  <c r="D82" i="3" s="1"/>
  <c r="C45" i="6"/>
  <c r="C58" i="6"/>
  <c r="C60" i="6"/>
  <c r="C49" i="6"/>
  <c r="C46" i="6"/>
  <c r="C44" i="6"/>
  <c r="C43" i="6"/>
  <c r="C59" i="6"/>
  <c r="C53" i="6"/>
  <c r="C50" i="6"/>
  <c r="C56" i="6"/>
  <c r="C47" i="6"/>
  <c r="C57" i="6"/>
  <c r="C54" i="6"/>
  <c r="C51" i="6"/>
  <c r="AS54" i="3"/>
  <c r="AS56" i="3"/>
  <c r="AO52" i="3"/>
  <c r="AP52" i="3" s="1"/>
  <c r="AQ52" i="3" s="1"/>
  <c r="C64" i="3"/>
  <c r="D64" i="3" s="1"/>
  <c r="C65" i="3"/>
  <c r="D65" i="3" s="1"/>
  <c r="C62" i="3"/>
  <c r="D62" i="3" s="1"/>
  <c r="C76" i="3"/>
  <c r="D76" i="3" s="1"/>
  <c r="D85" i="3"/>
  <c r="D80" i="3"/>
  <c r="C63" i="3"/>
  <c r="D63" i="3" s="1"/>
  <c r="C77" i="3"/>
  <c r="D77" i="3" s="1"/>
  <c r="AA25" i="6"/>
  <c r="AB25" i="6" s="1"/>
  <c r="AC25" i="6" s="1"/>
  <c r="Z25" i="6"/>
  <c r="AA26" i="6"/>
  <c r="AB26" i="6" s="1"/>
  <c r="AC26" i="6" s="1"/>
  <c r="Z26" i="6"/>
  <c r="AA24" i="6"/>
  <c r="AB24" i="6" s="1"/>
  <c r="AC24" i="6" s="1"/>
  <c r="Z24" i="6"/>
  <c r="AA27" i="6"/>
  <c r="AB27" i="6" s="1"/>
  <c r="AC27" i="6" s="1"/>
  <c r="Z27" i="6"/>
  <c r="AO29" i="3"/>
  <c r="AP29" i="3" s="1"/>
  <c r="AQ29" i="3" s="1"/>
  <c r="C87" i="9"/>
  <c r="D87" i="9" s="1"/>
  <c r="C77" i="9"/>
  <c r="C78" i="9"/>
  <c r="C84" i="9"/>
  <c r="C75" i="9"/>
  <c r="C85" i="9"/>
  <c r="C86" i="9"/>
  <c r="C82" i="9"/>
  <c r="C80" i="9"/>
  <c r="C79" i="9"/>
  <c r="C76" i="9"/>
  <c r="C81" i="9"/>
  <c r="Y17" i="9"/>
  <c r="W17" i="9"/>
  <c r="Z17" i="9" s="1"/>
  <c r="Y13" i="9"/>
  <c r="X13" i="9"/>
  <c r="AG28" i="3"/>
  <c r="AH28" i="3" s="1"/>
  <c r="AI28" i="3" s="1"/>
  <c r="AJ28" i="3" s="1"/>
  <c r="AO30" i="3"/>
  <c r="AP30" i="3" s="1"/>
  <c r="AQ30" i="3" s="1"/>
  <c r="AR30" i="3" s="1"/>
  <c r="AN28" i="3"/>
  <c r="AO28" i="3" s="1"/>
  <c r="AP28" i="3" s="1"/>
  <c r="AQ28" i="3" s="1"/>
  <c r="AR28" i="3" s="1"/>
  <c r="AN26" i="3"/>
  <c r="AO26" i="3" s="1"/>
  <c r="AP26" i="3" s="1"/>
  <c r="AQ26" i="3" s="1"/>
  <c r="AR26" i="3" s="1"/>
  <c r="AF30" i="3"/>
  <c r="AG30" i="3" s="1"/>
  <c r="AH30" i="3" s="1"/>
  <c r="AI30" i="3" s="1"/>
  <c r="AJ30" i="3" s="1"/>
  <c r="AF26" i="3"/>
  <c r="AG26" i="3" s="1"/>
  <c r="AH26" i="3" s="1"/>
  <c r="AI26" i="3" s="1"/>
  <c r="AJ26" i="3" s="1"/>
  <c r="AN27" i="3"/>
  <c r="AO27" i="3" s="1"/>
  <c r="AP27" i="3" s="1"/>
  <c r="AQ27" i="3" s="1"/>
  <c r="AO57" i="3"/>
  <c r="AP57" i="3" s="1"/>
  <c r="AQ57" i="3" s="1"/>
  <c r="AR57" i="3" s="1"/>
  <c r="AS51" i="3"/>
  <c r="Z53" i="9"/>
  <c r="Z57" i="9"/>
  <c r="AS57" i="3"/>
  <c r="AS37" i="3"/>
  <c r="AS38" i="3"/>
  <c r="AS5" i="3"/>
  <c r="AS58" i="3"/>
  <c r="AN53" i="3"/>
  <c r="AO53" i="3" s="1"/>
  <c r="AP53" i="3" s="1"/>
  <c r="AQ53" i="3" s="1"/>
  <c r="AS4" i="3"/>
  <c r="AS36" i="3"/>
  <c r="AF39" i="3"/>
  <c r="AG39" i="3" s="1"/>
  <c r="AH39" i="3" s="1"/>
  <c r="AI39" i="3" s="1"/>
  <c r="AF40" i="3"/>
  <c r="AG40" i="3" s="1"/>
  <c r="AH40" i="3" s="1"/>
  <c r="AI40" i="3" s="1"/>
  <c r="AJ40" i="3" s="1"/>
  <c r="AN40" i="3"/>
  <c r="AO40" i="3" s="1"/>
  <c r="AP40" i="3" s="1"/>
  <c r="AQ40" i="3" s="1"/>
  <c r="AR40" i="3" s="1"/>
  <c r="Z14" i="9"/>
  <c r="Z16" i="9"/>
  <c r="Z18" i="9"/>
  <c r="Z50" i="9"/>
  <c r="Z56" i="9"/>
  <c r="Z51" i="9"/>
  <c r="AF6" i="3"/>
  <c r="AG6" i="3" s="1"/>
  <c r="AH6" i="3" s="1"/>
  <c r="AI6" i="3" s="1"/>
  <c r="AJ6" i="3" s="1"/>
  <c r="AN6" i="3"/>
  <c r="AO6" i="3" s="1"/>
  <c r="AP6" i="3" s="1"/>
  <c r="AQ6" i="3" s="1"/>
  <c r="AR6" i="3" s="1"/>
  <c r="AN7" i="3"/>
  <c r="AO7" i="3" s="1"/>
  <c r="AP7" i="3" s="1"/>
  <c r="AQ7" i="3" s="1"/>
  <c r="AR7" i="3" s="1"/>
  <c r="AF7" i="3"/>
  <c r="AG7" i="3" s="1"/>
  <c r="AH7" i="3" s="1"/>
  <c r="AI7" i="3" s="1"/>
  <c r="AJ7" i="3" s="1"/>
  <c r="C74" i="8"/>
  <c r="D74" i="8" s="1"/>
  <c r="C83" i="9"/>
  <c r="D83" i="9" s="1"/>
  <c r="AA30" i="6"/>
  <c r="AB30" i="6" s="1"/>
  <c r="AC30" i="6" s="1"/>
  <c r="AA31" i="6"/>
  <c r="AB31" i="6" s="1"/>
  <c r="AC31" i="6" s="1"/>
  <c r="AA29" i="6"/>
  <c r="AB29" i="6" s="1"/>
  <c r="AC29" i="6" s="1"/>
  <c r="AA28" i="6"/>
  <c r="AB28" i="6" s="1"/>
  <c r="AC28" i="6" s="1"/>
  <c r="C59" i="9"/>
  <c r="D59" i="9" s="1"/>
  <c r="T45" i="9"/>
  <c r="T46" i="9"/>
  <c r="T47" i="9"/>
  <c r="T48" i="9"/>
  <c r="T49" i="9"/>
  <c r="T19" i="9"/>
  <c r="T20" i="9"/>
  <c r="T21" i="9"/>
  <c r="T22" i="9"/>
  <c r="T23" i="9"/>
  <c r="T24" i="9"/>
  <c r="T35" i="9"/>
  <c r="T36" i="9"/>
  <c r="T37" i="9"/>
  <c r="T38" i="9"/>
  <c r="T39" i="9"/>
  <c r="T25" i="9"/>
  <c r="T26" i="9"/>
  <c r="T27" i="9"/>
  <c r="T28" i="9"/>
  <c r="T29" i="9"/>
  <c r="T7" i="9"/>
  <c r="T8" i="9"/>
  <c r="T9" i="9"/>
  <c r="T10" i="9"/>
  <c r="T11" i="9"/>
  <c r="T12" i="9"/>
  <c r="T30" i="9"/>
  <c r="T31" i="9"/>
  <c r="T32" i="9"/>
  <c r="T33" i="9"/>
  <c r="T34" i="9"/>
  <c r="T40" i="9"/>
  <c r="T41" i="9"/>
  <c r="T42" i="9"/>
  <c r="T43" i="9"/>
  <c r="T44" i="9"/>
  <c r="T3" i="9"/>
  <c r="T4" i="9"/>
  <c r="T5" i="9"/>
  <c r="T6" i="9"/>
  <c r="S45" i="9"/>
  <c r="S46" i="9"/>
  <c r="S47" i="9"/>
  <c r="S48" i="9"/>
  <c r="S49" i="9"/>
  <c r="S19" i="9"/>
  <c r="S20" i="9"/>
  <c r="S21" i="9"/>
  <c r="S22" i="9"/>
  <c r="S23" i="9"/>
  <c r="S24" i="9"/>
  <c r="S35" i="9"/>
  <c r="S36" i="9"/>
  <c r="S37" i="9"/>
  <c r="S38" i="9"/>
  <c r="S39" i="9"/>
  <c r="S25" i="9"/>
  <c r="S26" i="9"/>
  <c r="S27" i="9"/>
  <c r="S28" i="9"/>
  <c r="S29" i="9"/>
  <c r="S7" i="9"/>
  <c r="S8" i="9"/>
  <c r="S9" i="9"/>
  <c r="S10" i="9"/>
  <c r="S11" i="9"/>
  <c r="S12" i="9"/>
  <c r="S30" i="9"/>
  <c r="S31" i="9"/>
  <c r="S32" i="9"/>
  <c r="S33" i="9"/>
  <c r="S34" i="9"/>
  <c r="S40" i="9"/>
  <c r="S41" i="9"/>
  <c r="S42" i="9"/>
  <c r="S43" i="9"/>
  <c r="S44" i="9"/>
  <c r="S3" i="9"/>
  <c r="S4" i="9"/>
  <c r="S5" i="9"/>
  <c r="S6" i="9"/>
  <c r="R45" i="9"/>
  <c r="R46" i="9"/>
  <c r="R47" i="9"/>
  <c r="R48" i="9"/>
  <c r="R49" i="9"/>
  <c r="R19" i="9"/>
  <c r="R20" i="9"/>
  <c r="R21" i="9"/>
  <c r="R22" i="9"/>
  <c r="R23" i="9"/>
  <c r="R24" i="9"/>
  <c r="R35" i="9"/>
  <c r="R36" i="9"/>
  <c r="R37" i="9"/>
  <c r="R38" i="9"/>
  <c r="R39" i="9"/>
  <c r="R25" i="9"/>
  <c r="R26" i="9"/>
  <c r="R27" i="9"/>
  <c r="R28" i="9"/>
  <c r="R29" i="9"/>
  <c r="R7" i="9"/>
  <c r="R8" i="9"/>
  <c r="R9" i="9"/>
  <c r="R10" i="9"/>
  <c r="R11" i="9"/>
  <c r="R12" i="9"/>
  <c r="R30" i="9"/>
  <c r="R31" i="9"/>
  <c r="R32" i="9"/>
  <c r="R33" i="9"/>
  <c r="R34" i="9"/>
  <c r="R40" i="9"/>
  <c r="R41" i="9"/>
  <c r="R42" i="9"/>
  <c r="R43" i="9"/>
  <c r="R44" i="9"/>
  <c r="R3" i="9"/>
  <c r="R4" i="9"/>
  <c r="R5" i="9"/>
  <c r="R6" i="9"/>
  <c r="R7" i="8"/>
  <c r="R8" i="8"/>
  <c r="R9" i="8"/>
  <c r="R10" i="8"/>
  <c r="R11" i="8"/>
  <c r="R12" i="8"/>
  <c r="R24" i="8"/>
  <c r="R25" i="8"/>
  <c r="R26" i="8"/>
  <c r="R27" i="8"/>
  <c r="R28" i="8"/>
  <c r="R34" i="8"/>
  <c r="R35" i="8"/>
  <c r="R36" i="8"/>
  <c r="R37" i="8"/>
  <c r="R38" i="8"/>
  <c r="R3" i="8"/>
  <c r="R4" i="8"/>
  <c r="R5" i="8"/>
  <c r="R6" i="8"/>
  <c r="S7" i="8"/>
  <c r="S8" i="8"/>
  <c r="S9" i="8"/>
  <c r="S10" i="8"/>
  <c r="S11" i="8"/>
  <c r="S12" i="8"/>
  <c r="S24" i="8"/>
  <c r="S25" i="8"/>
  <c r="S26" i="8"/>
  <c r="S27" i="8"/>
  <c r="S28" i="8"/>
  <c r="S34" i="8"/>
  <c r="S35" i="8"/>
  <c r="S36" i="8"/>
  <c r="S37" i="8"/>
  <c r="S38" i="8"/>
  <c r="T38" i="8" s="1"/>
  <c r="U38" i="8" s="1"/>
  <c r="V38" i="8" s="1"/>
  <c r="W38" i="8" s="1"/>
  <c r="S3" i="8"/>
  <c r="T3" i="8" s="1"/>
  <c r="U3" i="8" s="1"/>
  <c r="V3" i="8" s="1"/>
  <c r="W3" i="8" s="1"/>
  <c r="S4" i="8"/>
  <c r="T4" i="8" s="1"/>
  <c r="U4" i="8" s="1"/>
  <c r="V4" i="8" s="1"/>
  <c r="W4" i="8" s="1"/>
  <c r="S5" i="8"/>
  <c r="T5" i="8" s="1"/>
  <c r="U5" i="8" s="1"/>
  <c r="V5" i="8" s="1"/>
  <c r="W5" i="8" s="1"/>
  <c r="S6" i="8"/>
  <c r="T6" i="8" s="1"/>
  <c r="U6" i="8" s="1"/>
  <c r="V6" i="8" s="1"/>
  <c r="W6" i="8" s="1"/>
  <c r="T7" i="8"/>
  <c r="U7" i="8" s="1"/>
  <c r="V7" i="8" s="1"/>
  <c r="W7" i="8" s="1"/>
  <c r="T8" i="8"/>
  <c r="U8" i="8" s="1"/>
  <c r="V8" i="8" s="1"/>
  <c r="W8" i="8" s="1"/>
  <c r="T9" i="8"/>
  <c r="U9" i="8" s="1"/>
  <c r="V9" i="8" s="1"/>
  <c r="W9" i="8" s="1"/>
  <c r="T10" i="8"/>
  <c r="U10" i="8" s="1"/>
  <c r="V10" i="8" s="1"/>
  <c r="W10" i="8" s="1"/>
  <c r="T11" i="8"/>
  <c r="U11" i="8" s="1"/>
  <c r="V11" i="8" s="1"/>
  <c r="W11" i="8" s="1"/>
  <c r="T12" i="8"/>
  <c r="U12" i="8" s="1"/>
  <c r="V12" i="8" s="1"/>
  <c r="W12" i="8" s="1"/>
  <c r="T24" i="8"/>
  <c r="U24" i="8" s="1"/>
  <c r="V24" i="8" s="1"/>
  <c r="W24" i="8" s="1"/>
  <c r="T25" i="8"/>
  <c r="U25" i="8" s="1"/>
  <c r="V25" i="8" s="1"/>
  <c r="W25" i="8" s="1"/>
  <c r="T26" i="8"/>
  <c r="U26" i="8" s="1"/>
  <c r="V26" i="8" s="1"/>
  <c r="W26" i="8" s="1"/>
  <c r="T27" i="8"/>
  <c r="U27" i="8" s="1"/>
  <c r="V27" i="8" s="1"/>
  <c r="W27" i="8" s="1"/>
  <c r="T28" i="8"/>
  <c r="U28" i="8" s="1"/>
  <c r="V28" i="8" s="1"/>
  <c r="W28" i="8" s="1"/>
  <c r="T34" i="8"/>
  <c r="U34" i="8" s="1"/>
  <c r="V34" i="8" s="1"/>
  <c r="W34" i="8" s="1"/>
  <c r="T35" i="8"/>
  <c r="U35" i="8" s="1"/>
  <c r="V35" i="8" s="1"/>
  <c r="W35" i="8" s="1"/>
  <c r="T36" i="8"/>
  <c r="U36" i="8" s="1"/>
  <c r="V36" i="8" s="1"/>
  <c r="W36" i="8" s="1"/>
  <c r="T37" i="8"/>
  <c r="U37" i="8" s="1"/>
  <c r="V37" i="8" s="1"/>
  <c r="W37" i="8" s="1"/>
  <c r="R23" i="8"/>
  <c r="S23" i="8" s="1"/>
  <c r="T23" i="8" s="1"/>
  <c r="U23" i="8" s="1"/>
  <c r="V23" i="8" s="1"/>
  <c r="W23" i="8" s="1"/>
  <c r="R22" i="8"/>
  <c r="R21" i="8"/>
  <c r="R20" i="8"/>
  <c r="R19" i="8"/>
  <c r="S19" i="8" s="1"/>
  <c r="T19" i="8" s="1"/>
  <c r="U19" i="8" s="1"/>
  <c r="V19" i="8" s="1"/>
  <c r="W19" i="8" s="1"/>
  <c r="R33" i="8"/>
  <c r="R32" i="8"/>
  <c r="R31" i="8"/>
  <c r="R30" i="8"/>
  <c r="S30" i="8" s="1"/>
  <c r="T30" i="8" s="1"/>
  <c r="U30" i="8" s="1"/>
  <c r="V30" i="8" s="1"/>
  <c r="W30" i="8" s="1"/>
  <c r="R29" i="8"/>
  <c r="R18" i="8"/>
  <c r="R17" i="8"/>
  <c r="R16" i="8"/>
  <c r="R15" i="8"/>
  <c r="R14" i="8"/>
  <c r="R13" i="8"/>
  <c r="R43" i="8"/>
  <c r="S43" i="8" s="1"/>
  <c r="T43" i="8" s="1"/>
  <c r="U43" i="8" s="1"/>
  <c r="V43" i="8" s="1"/>
  <c r="W43" i="8" s="1"/>
  <c r="R42" i="8"/>
  <c r="R41" i="8"/>
  <c r="R40" i="8"/>
  <c r="R39" i="8"/>
  <c r="S39" i="8" s="1"/>
  <c r="T39" i="8" s="1"/>
  <c r="U39" i="8" s="1"/>
  <c r="V39" i="8" s="1"/>
  <c r="W39" i="8" s="1"/>
  <c r="R13" i="6"/>
  <c r="T13" i="6"/>
  <c r="R12" i="6"/>
  <c r="T12" i="6"/>
  <c r="R11" i="6"/>
  <c r="T11" i="6"/>
  <c r="R10" i="6"/>
  <c r="T10" i="6"/>
  <c r="R9" i="6"/>
  <c r="T9" i="6"/>
  <c r="R18" i="6"/>
  <c r="T18" i="6"/>
  <c r="R17" i="6"/>
  <c r="T17" i="6"/>
  <c r="R16" i="6"/>
  <c r="T16" i="6"/>
  <c r="R15" i="6"/>
  <c r="T15" i="6"/>
  <c r="R14" i="6"/>
  <c r="T14" i="6"/>
  <c r="T8" i="6"/>
  <c r="R8" i="6"/>
  <c r="T7" i="6"/>
  <c r="R7" i="6"/>
  <c r="T6" i="6"/>
  <c r="R6" i="6"/>
  <c r="T5" i="6"/>
  <c r="R5" i="6"/>
  <c r="T4" i="6"/>
  <c r="R4" i="6"/>
  <c r="T3" i="6"/>
  <c r="R3" i="6"/>
  <c r="T23" i="6"/>
  <c r="R23" i="6"/>
  <c r="T22" i="6"/>
  <c r="R22" i="6"/>
  <c r="T21" i="6"/>
  <c r="R21" i="6"/>
  <c r="T20" i="6"/>
  <c r="R20" i="6"/>
  <c r="T19" i="6"/>
  <c r="R19" i="6"/>
  <c r="R22" i="5"/>
  <c r="T22" i="5" s="1"/>
  <c r="S22" i="5"/>
  <c r="R21" i="5"/>
  <c r="T21" i="5" s="1"/>
  <c r="S21" i="5"/>
  <c r="R20" i="5"/>
  <c r="T20" i="5" s="1"/>
  <c r="S20" i="5"/>
  <c r="R19" i="5"/>
  <c r="T19" i="5" s="1"/>
  <c r="S19" i="5"/>
  <c r="S18" i="5"/>
  <c r="R18" i="5"/>
  <c r="U18" i="5" s="1"/>
  <c r="S17" i="5"/>
  <c r="R17" i="5"/>
  <c r="U17" i="5" s="1"/>
  <c r="S16" i="5"/>
  <c r="R16" i="5"/>
  <c r="U16" i="5" s="1"/>
  <c r="S15" i="5"/>
  <c r="R15" i="5"/>
  <c r="U15" i="5" s="1"/>
  <c r="S14" i="5"/>
  <c r="R14" i="5"/>
  <c r="U14" i="5" s="1"/>
  <c r="S13" i="5"/>
  <c r="R13" i="5"/>
  <c r="U13" i="5" s="1"/>
  <c r="S12" i="5"/>
  <c r="R12" i="5"/>
  <c r="U12" i="5" s="1"/>
  <c r="S11" i="5"/>
  <c r="R11" i="5"/>
  <c r="U11" i="5" s="1"/>
  <c r="S10" i="5"/>
  <c r="R10" i="5"/>
  <c r="U10" i="5" s="1"/>
  <c r="S9" i="5"/>
  <c r="R9" i="5"/>
  <c r="U9" i="5" s="1"/>
  <c r="S8" i="5"/>
  <c r="R8" i="5"/>
  <c r="U8" i="5" s="1"/>
  <c r="S7" i="5"/>
  <c r="R7" i="5"/>
  <c r="U7" i="5" s="1"/>
  <c r="S6" i="5"/>
  <c r="R6" i="5"/>
  <c r="U6" i="5" s="1"/>
  <c r="S5" i="5"/>
  <c r="R5" i="5"/>
  <c r="U5" i="5" s="1"/>
  <c r="S4" i="5"/>
  <c r="R4" i="5"/>
  <c r="U4" i="5" s="1"/>
  <c r="S3" i="5"/>
  <c r="R3" i="5"/>
  <c r="U3" i="5" s="1"/>
  <c r="B59" i="4" a="1"/>
  <c r="B59" i="4" s="1"/>
  <c r="N8" i="4"/>
  <c r="P8" i="4" s="1"/>
  <c r="N9" i="4"/>
  <c r="P9" i="4" s="1"/>
  <c r="N10" i="4"/>
  <c r="P10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Q18" i="4" s="1"/>
  <c r="N19" i="4"/>
  <c r="P19" i="4" s="1"/>
  <c r="N20" i="4"/>
  <c r="Q20" i="4" s="1"/>
  <c r="N21" i="4"/>
  <c r="Q21" i="4" s="1"/>
  <c r="N22" i="4"/>
  <c r="Q22" i="4" s="1"/>
  <c r="N23" i="4"/>
  <c r="Q23" i="4" s="1"/>
  <c r="N24" i="4"/>
  <c r="P24" i="4" s="1"/>
  <c r="N25" i="4"/>
  <c r="P25" i="4" s="1"/>
  <c r="N26" i="4"/>
  <c r="Q26" i="4" s="1"/>
  <c r="N27" i="4"/>
  <c r="Q27" i="4" s="1"/>
  <c r="N28" i="4"/>
  <c r="P28" i="4" s="1"/>
  <c r="N29" i="4"/>
  <c r="P29" i="4" s="1"/>
  <c r="N30" i="4"/>
  <c r="P30" i="4" s="1"/>
  <c r="N31" i="4"/>
  <c r="Q31" i="4" s="1"/>
  <c r="N32" i="4"/>
  <c r="P32" i="4" s="1"/>
  <c r="N33" i="4"/>
  <c r="P33" i="4" s="1"/>
  <c r="N34" i="4"/>
  <c r="P34" i="4" s="1"/>
  <c r="N35" i="4"/>
  <c r="Q35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Q13" i="4"/>
  <c r="Q30" i="4"/>
  <c r="Q34" i="4"/>
  <c r="O3" i="4"/>
  <c r="O4" i="4"/>
  <c r="O5" i="4"/>
  <c r="O6" i="4"/>
  <c r="O7" i="4"/>
  <c r="N3" i="4"/>
  <c r="Q3" i="4" s="1"/>
  <c r="N4" i="4"/>
  <c r="Q4" i="4" s="1"/>
  <c r="N5" i="4"/>
  <c r="Q5" i="4" s="1"/>
  <c r="N6" i="4"/>
  <c r="Q6" i="4" s="1"/>
  <c r="N7" i="4"/>
  <c r="Q7" i="4" s="1"/>
  <c r="C69" i="9" a="1"/>
  <c r="C64" i="9" a="1"/>
  <c r="C62" i="9" a="1"/>
  <c r="C65" i="9" a="1"/>
  <c r="C70" i="8" a="1"/>
  <c r="C71" i="8" a="1"/>
  <c r="C69" i="8" a="1"/>
  <c r="C53" i="8" a="1"/>
  <c r="C67" i="9" a="1"/>
  <c r="C68" i="8" a="1"/>
  <c r="C60" i="9" a="1"/>
  <c r="C59" i="4" a="1"/>
  <c r="C63" i="9" a="1"/>
  <c r="C67" i="8" a="1"/>
  <c r="C73" i="9" a="1"/>
  <c r="C61" i="9" a="1"/>
  <c r="C74" i="9" a="1"/>
  <c r="C68" i="9" a="1"/>
  <c r="C72" i="9" a="1"/>
  <c r="C66" i="9" a="1"/>
  <c r="C71" i="9" a="1"/>
  <c r="C70" i="9" a="1"/>
  <c r="AS39" i="3" l="1"/>
  <c r="AT39" i="3" s="1"/>
  <c r="AJ39" i="3"/>
  <c r="AS29" i="3"/>
  <c r="AT29" i="3" s="1"/>
  <c r="AR29" i="3"/>
  <c r="AS53" i="3"/>
  <c r="BA53" i="3" s="1"/>
  <c r="AR53" i="3"/>
  <c r="AS27" i="3"/>
  <c r="AT27" i="3" s="1"/>
  <c r="AR27" i="3"/>
  <c r="AS52" i="3"/>
  <c r="AT52" i="3" s="1"/>
  <c r="AR52" i="3"/>
  <c r="AT53" i="3"/>
  <c r="AT37" i="3"/>
  <c r="BA37" i="3"/>
  <c r="AT51" i="3"/>
  <c r="BA51" i="3"/>
  <c r="AT54" i="3"/>
  <c r="BA54" i="3"/>
  <c r="AT58" i="3"/>
  <c r="BA58" i="3"/>
  <c r="AT57" i="3"/>
  <c r="BA57" i="3"/>
  <c r="AT36" i="3"/>
  <c r="BA36" i="3"/>
  <c r="AT5" i="3"/>
  <c r="BA5" i="3"/>
  <c r="AT4" i="3"/>
  <c r="BA4" i="3"/>
  <c r="AT38" i="3"/>
  <c r="BA38" i="3"/>
  <c r="AT56" i="3"/>
  <c r="BA56" i="3"/>
  <c r="AT55" i="3"/>
  <c r="BA55" i="3"/>
  <c r="AS28" i="3"/>
  <c r="Q9" i="4"/>
  <c r="Q25" i="4"/>
  <c r="Q17" i="4"/>
  <c r="Q24" i="4"/>
  <c r="R24" i="4" s="1"/>
  <c r="Q32" i="4"/>
  <c r="Q12" i="4"/>
  <c r="R12" i="4" s="1"/>
  <c r="R34" i="4"/>
  <c r="Q33" i="4"/>
  <c r="R33" i="4" s="1"/>
  <c r="Q29" i="4"/>
  <c r="R29" i="4" s="1"/>
  <c r="P3" i="4"/>
  <c r="P7" i="4"/>
  <c r="R7" i="4" s="1"/>
  <c r="P31" i="4"/>
  <c r="R31" i="4" s="1"/>
  <c r="P26" i="4"/>
  <c r="R26" i="4" s="1"/>
  <c r="P22" i="4"/>
  <c r="R22" i="4" s="1"/>
  <c r="P18" i="4"/>
  <c r="R18" i="4" s="1"/>
  <c r="P6" i="4"/>
  <c r="R6" i="4" s="1"/>
  <c r="P27" i="4"/>
  <c r="R27" i="4" s="1"/>
  <c r="Q28" i="4"/>
  <c r="R28" i="4" s="1"/>
  <c r="Q16" i="4"/>
  <c r="R16" i="4" s="1"/>
  <c r="P21" i="4"/>
  <c r="P5" i="4"/>
  <c r="R5" i="4" s="1"/>
  <c r="P35" i="4"/>
  <c r="P23" i="4"/>
  <c r="R23" i="4" s="1"/>
  <c r="P20" i="4"/>
  <c r="R20" i="4" s="1"/>
  <c r="P4" i="4"/>
  <c r="R4" i="4" s="1"/>
  <c r="Z13" i="9"/>
  <c r="AS26" i="3"/>
  <c r="AS30" i="3"/>
  <c r="AS6" i="3"/>
  <c r="AS40" i="3"/>
  <c r="AS7" i="3"/>
  <c r="U20" i="6"/>
  <c r="X20" i="6"/>
  <c r="U22" i="6"/>
  <c r="X22" i="6"/>
  <c r="U3" i="6"/>
  <c r="X3" i="6"/>
  <c r="S5" i="6"/>
  <c r="X5" i="6"/>
  <c r="U7" i="6"/>
  <c r="X7" i="6"/>
  <c r="S14" i="6"/>
  <c r="X14" i="6"/>
  <c r="U16" i="6"/>
  <c r="X16" i="6"/>
  <c r="S18" i="6"/>
  <c r="X18" i="6"/>
  <c r="U10" i="6"/>
  <c r="X10" i="6"/>
  <c r="S12" i="6"/>
  <c r="X12" i="6"/>
  <c r="U19" i="6"/>
  <c r="X19" i="6"/>
  <c r="U21" i="6"/>
  <c r="X21" i="6"/>
  <c r="U23" i="6"/>
  <c r="X23" i="6"/>
  <c r="U4" i="6"/>
  <c r="X4" i="6"/>
  <c r="U6" i="6"/>
  <c r="X6" i="6"/>
  <c r="U8" i="6"/>
  <c r="X8" i="6"/>
  <c r="U15" i="6"/>
  <c r="X15" i="6"/>
  <c r="U17" i="6"/>
  <c r="X17" i="6"/>
  <c r="S9" i="6"/>
  <c r="X9" i="6"/>
  <c r="U11" i="6"/>
  <c r="X11" i="6"/>
  <c r="S13" i="6"/>
  <c r="X13" i="6"/>
  <c r="C69" i="8"/>
  <c r="D69" i="8" s="1"/>
  <c r="C70" i="8"/>
  <c r="D70" i="8" s="1"/>
  <c r="C67" i="8"/>
  <c r="D67" i="8" s="1"/>
  <c r="C68" i="8"/>
  <c r="D68" i="8" s="1"/>
  <c r="C71" i="8"/>
  <c r="D71" i="8" s="1"/>
  <c r="U22" i="5"/>
  <c r="C67" i="9"/>
  <c r="D67" i="9" s="1"/>
  <c r="C62" i="9"/>
  <c r="D62" i="9" s="1"/>
  <c r="C64" i="9"/>
  <c r="D64" i="9" s="1"/>
  <c r="C66" i="9"/>
  <c r="D66" i="9" s="1"/>
  <c r="C69" i="9"/>
  <c r="D69" i="9" s="1"/>
  <c r="C71" i="9"/>
  <c r="D71" i="9" s="1"/>
  <c r="C70" i="9"/>
  <c r="D70" i="9" s="1"/>
  <c r="C68" i="9"/>
  <c r="D68" i="9" s="1"/>
  <c r="C74" i="9"/>
  <c r="D74" i="9" s="1"/>
  <c r="C73" i="9"/>
  <c r="D73" i="9" s="1"/>
  <c r="C72" i="9"/>
  <c r="D72" i="9" s="1"/>
  <c r="C61" i="9"/>
  <c r="D61" i="9" s="1"/>
  <c r="C63" i="9"/>
  <c r="D63" i="9" s="1"/>
  <c r="C60" i="9"/>
  <c r="D60" i="9" s="1"/>
  <c r="C65" i="9"/>
  <c r="D65" i="9" s="1"/>
  <c r="V42" i="9"/>
  <c r="V3" i="9"/>
  <c r="V41" i="9"/>
  <c r="V32" i="9"/>
  <c r="V11" i="9"/>
  <c r="V7" i="9"/>
  <c r="V26" i="9"/>
  <c r="V37" i="9"/>
  <c r="V23" i="9"/>
  <c r="V19" i="9"/>
  <c r="V46" i="9"/>
  <c r="V4" i="9"/>
  <c r="V6" i="9"/>
  <c r="V44" i="9"/>
  <c r="V40" i="9"/>
  <c r="V31" i="9"/>
  <c r="V10" i="9"/>
  <c r="V29" i="9"/>
  <c r="V25" i="9"/>
  <c r="V36" i="9"/>
  <c r="V22" i="9"/>
  <c r="V49" i="9"/>
  <c r="V45" i="9"/>
  <c r="V5" i="9"/>
  <c r="V43" i="9"/>
  <c r="V34" i="9"/>
  <c r="V30" i="9"/>
  <c r="V9" i="9"/>
  <c r="V28" i="9"/>
  <c r="V39" i="9"/>
  <c r="V35" i="9"/>
  <c r="V21" i="9"/>
  <c r="V48" i="9"/>
  <c r="V33" i="9"/>
  <c r="V12" i="9"/>
  <c r="V8" i="9"/>
  <c r="V27" i="9"/>
  <c r="V38" i="9"/>
  <c r="V24" i="9"/>
  <c r="V20" i="9"/>
  <c r="V47" i="9"/>
  <c r="U3" i="9"/>
  <c r="W3" i="9" s="1"/>
  <c r="U41" i="9"/>
  <c r="X41" i="9" s="1"/>
  <c r="U32" i="9"/>
  <c r="X32" i="9" s="1"/>
  <c r="U11" i="9"/>
  <c r="X11" i="9" s="1"/>
  <c r="U7" i="9"/>
  <c r="W7" i="9" s="1"/>
  <c r="U26" i="9"/>
  <c r="X26" i="9" s="1"/>
  <c r="U37" i="9"/>
  <c r="X37" i="9" s="1"/>
  <c r="U23" i="9"/>
  <c r="X23" i="9" s="1"/>
  <c r="U19" i="9"/>
  <c r="W19" i="9" s="1"/>
  <c r="U46" i="9"/>
  <c r="X46" i="9" s="1"/>
  <c r="U6" i="9"/>
  <c r="W6" i="9" s="1"/>
  <c r="U44" i="9"/>
  <c r="X44" i="9" s="1"/>
  <c r="U40" i="9"/>
  <c r="X40" i="9" s="1"/>
  <c r="U31" i="9"/>
  <c r="X31" i="9" s="1"/>
  <c r="U10" i="9"/>
  <c r="W10" i="9" s="1"/>
  <c r="U29" i="9"/>
  <c r="X29" i="9" s="1"/>
  <c r="U25" i="9"/>
  <c r="X25" i="9" s="1"/>
  <c r="U36" i="9"/>
  <c r="X36" i="9" s="1"/>
  <c r="U22" i="9"/>
  <c r="W22" i="9" s="1"/>
  <c r="U49" i="9"/>
  <c r="X49" i="9" s="1"/>
  <c r="U45" i="9"/>
  <c r="X45" i="9" s="1"/>
  <c r="U5" i="9"/>
  <c r="X5" i="9" s="1"/>
  <c r="U43" i="9"/>
  <c r="X43" i="9" s="1"/>
  <c r="U34" i="9"/>
  <c r="X34" i="9" s="1"/>
  <c r="U30" i="9"/>
  <c r="W30" i="9" s="1"/>
  <c r="U9" i="9"/>
  <c r="X9" i="9" s="1"/>
  <c r="U28" i="9"/>
  <c r="X28" i="9" s="1"/>
  <c r="U39" i="9"/>
  <c r="X39" i="9" s="1"/>
  <c r="U35" i="9"/>
  <c r="W35" i="9" s="1"/>
  <c r="U21" i="9"/>
  <c r="X21" i="9" s="1"/>
  <c r="U48" i="9"/>
  <c r="X48" i="9" s="1"/>
  <c r="U4" i="9"/>
  <c r="X4" i="9" s="1"/>
  <c r="U42" i="9"/>
  <c r="X42" i="9" s="1"/>
  <c r="U33" i="9"/>
  <c r="X33" i="9" s="1"/>
  <c r="U12" i="9"/>
  <c r="X12" i="9" s="1"/>
  <c r="U8" i="9"/>
  <c r="X8" i="9" s="1"/>
  <c r="U27" i="9"/>
  <c r="X27" i="9" s="1"/>
  <c r="U38" i="9"/>
  <c r="X38" i="9" s="1"/>
  <c r="U24" i="9"/>
  <c r="X24" i="9" s="1"/>
  <c r="U20" i="9"/>
  <c r="X20" i="9" s="1"/>
  <c r="U47" i="9"/>
  <c r="X47" i="9" s="1"/>
  <c r="C53" i="8"/>
  <c r="S16" i="8"/>
  <c r="T16" i="8" s="1"/>
  <c r="U16" i="8" s="1"/>
  <c r="V16" i="8" s="1"/>
  <c r="W16" i="8" s="1"/>
  <c r="S41" i="8"/>
  <c r="T41" i="8" s="1"/>
  <c r="U41" i="8" s="1"/>
  <c r="V41" i="8" s="1"/>
  <c r="W41" i="8" s="1"/>
  <c r="S14" i="8"/>
  <c r="T14" i="8" s="1"/>
  <c r="U14" i="8" s="1"/>
  <c r="V14" i="8" s="1"/>
  <c r="W14" i="8" s="1"/>
  <c r="S18" i="8"/>
  <c r="T18" i="8" s="1"/>
  <c r="U18" i="8" s="1"/>
  <c r="V18" i="8" s="1"/>
  <c r="W18" i="8" s="1"/>
  <c r="S32" i="8"/>
  <c r="T32" i="8" s="1"/>
  <c r="U32" i="8" s="1"/>
  <c r="V32" i="8" s="1"/>
  <c r="W32" i="8" s="1"/>
  <c r="S21" i="8"/>
  <c r="T21" i="8" s="1"/>
  <c r="U21" i="8" s="1"/>
  <c r="V21" i="8" s="1"/>
  <c r="W21" i="8" s="1"/>
  <c r="S13" i="8"/>
  <c r="T13" i="8" s="1"/>
  <c r="U13" i="8" s="1"/>
  <c r="V13" i="8" s="1"/>
  <c r="W13" i="8" s="1"/>
  <c r="S15" i="8"/>
  <c r="T15" i="8" s="1"/>
  <c r="U15" i="8" s="1"/>
  <c r="V15" i="8" s="1"/>
  <c r="W15" i="8" s="1"/>
  <c r="S17" i="8"/>
  <c r="T17" i="8" s="1"/>
  <c r="U17" i="8" s="1"/>
  <c r="V17" i="8" s="1"/>
  <c r="W17" i="8" s="1"/>
  <c r="S29" i="8"/>
  <c r="T29" i="8" s="1"/>
  <c r="U29" i="8" s="1"/>
  <c r="V29" i="8" s="1"/>
  <c r="W29" i="8" s="1"/>
  <c r="S31" i="8"/>
  <c r="T31" i="8" s="1"/>
  <c r="U31" i="8" s="1"/>
  <c r="V31" i="8" s="1"/>
  <c r="W31" i="8" s="1"/>
  <c r="S33" i="8"/>
  <c r="T33" i="8" s="1"/>
  <c r="U33" i="8" s="1"/>
  <c r="V33" i="8" s="1"/>
  <c r="W33" i="8" s="1"/>
  <c r="S20" i="8"/>
  <c r="T20" i="8" s="1"/>
  <c r="U20" i="8" s="1"/>
  <c r="V20" i="8" s="1"/>
  <c r="W20" i="8" s="1"/>
  <c r="S22" i="8"/>
  <c r="T22" i="8" s="1"/>
  <c r="U22" i="8" s="1"/>
  <c r="V22" i="8" s="1"/>
  <c r="W22" i="8" s="1"/>
  <c r="S40" i="8"/>
  <c r="T40" i="8" s="1"/>
  <c r="U40" i="8" s="1"/>
  <c r="V40" i="8" s="1"/>
  <c r="W40" i="8" s="1"/>
  <c r="S42" i="8"/>
  <c r="T42" i="8" s="1"/>
  <c r="U42" i="8" s="1"/>
  <c r="V42" i="8" s="1"/>
  <c r="W42" i="8" s="1"/>
  <c r="U13" i="6"/>
  <c r="S10" i="6"/>
  <c r="V10" i="6" s="1"/>
  <c r="Z10" i="6" s="1"/>
  <c r="U12" i="6"/>
  <c r="V12" i="6" s="1"/>
  <c r="Z12" i="6" s="1"/>
  <c r="S11" i="6"/>
  <c r="V11" i="6" s="1"/>
  <c r="Z11" i="6" s="1"/>
  <c r="S16" i="6"/>
  <c r="V16" i="6" s="1"/>
  <c r="Z16" i="6" s="1"/>
  <c r="U9" i="6"/>
  <c r="V9" i="6" s="1"/>
  <c r="Z9" i="6" s="1"/>
  <c r="S15" i="6"/>
  <c r="V15" i="6" s="1"/>
  <c r="Z15" i="6" s="1"/>
  <c r="U18" i="6"/>
  <c r="V18" i="6" s="1"/>
  <c r="Z18" i="6" s="1"/>
  <c r="S17" i="6"/>
  <c r="V17" i="6" s="1"/>
  <c r="Z17" i="6" s="1"/>
  <c r="U14" i="6"/>
  <c r="V14" i="6" s="1"/>
  <c r="Z14" i="6" s="1"/>
  <c r="S22" i="6"/>
  <c r="V22" i="6" s="1"/>
  <c r="Z22" i="6" s="1"/>
  <c r="S23" i="6"/>
  <c r="V23" i="6" s="1"/>
  <c r="Z23" i="6" s="1"/>
  <c r="S19" i="6"/>
  <c r="V19" i="6" s="1"/>
  <c r="Z19" i="6" s="1"/>
  <c r="U5" i="6"/>
  <c r="V5" i="6" s="1"/>
  <c r="Z5" i="6" s="1"/>
  <c r="S6" i="6"/>
  <c r="V6" i="6" s="1"/>
  <c r="Z6" i="6" s="1"/>
  <c r="S20" i="6"/>
  <c r="V20" i="6" s="1"/>
  <c r="Z20" i="6" s="1"/>
  <c r="S3" i="6"/>
  <c r="V3" i="6" s="1"/>
  <c r="Z3" i="6" s="1"/>
  <c r="S7" i="6"/>
  <c r="V7" i="6" s="1"/>
  <c r="Z7" i="6" s="1"/>
  <c r="S21" i="6"/>
  <c r="V21" i="6" s="1"/>
  <c r="Z21" i="6" s="1"/>
  <c r="S4" i="6"/>
  <c r="V4" i="6" s="1"/>
  <c r="Z4" i="6" s="1"/>
  <c r="S8" i="6"/>
  <c r="V8" i="6" s="1"/>
  <c r="Z8" i="6" s="1"/>
  <c r="V22" i="5"/>
  <c r="W22" i="5" s="1"/>
  <c r="X22" i="5" s="1"/>
  <c r="Y22" i="5" s="1"/>
  <c r="Z22" i="5" s="1"/>
  <c r="U21" i="5"/>
  <c r="V21" i="5" s="1"/>
  <c r="W21" i="5" s="1"/>
  <c r="X21" i="5" s="1"/>
  <c r="Y21" i="5" s="1"/>
  <c r="Z21" i="5" s="1"/>
  <c r="U20" i="5"/>
  <c r="V20" i="5" s="1"/>
  <c r="W20" i="5" s="1"/>
  <c r="X20" i="5" s="1"/>
  <c r="Y20" i="5" s="1"/>
  <c r="Z20" i="5" s="1"/>
  <c r="U19" i="5"/>
  <c r="V19" i="5" s="1"/>
  <c r="W19" i="5" s="1"/>
  <c r="X19" i="5" s="1"/>
  <c r="Y19" i="5" s="1"/>
  <c r="Z19" i="5" s="1"/>
  <c r="T6" i="5"/>
  <c r="V6" i="5" s="1"/>
  <c r="W6" i="5" s="1"/>
  <c r="X6" i="5" s="1"/>
  <c r="Y6" i="5" s="1"/>
  <c r="Z6" i="5" s="1"/>
  <c r="T9" i="5"/>
  <c r="V9" i="5" s="1"/>
  <c r="W9" i="5" s="1"/>
  <c r="X9" i="5" s="1"/>
  <c r="Y9" i="5" s="1"/>
  <c r="Z9" i="5" s="1"/>
  <c r="T10" i="5"/>
  <c r="V10" i="5" s="1"/>
  <c r="W10" i="5" s="1"/>
  <c r="X10" i="5" s="1"/>
  <c r="Y10" i="5" s="1"/>
  <c r="Z10" i="5" s="1"/>
  <c r="T13" i="5"/>
  <c r="V13" i="5" s="1"/>
  <c r="W13" i="5" s="1"/>
  <c r="X13" i="5" s="1"/>
  <c r="Y13" i="5" s="1"/>
  <c r="Z13" i="5" s="1"/>
  <c r="T14" i="5"/>
  <c r="V14" i="5" s="1"/>
  <c r="W14" i="5" s="1"/>
  <c r="X14" i="5" s="1"/>
  <c r="Y14" i="5" s="1"/>
  <c r="Z14" i="5" s="1"/>
  <c r="T17" i="5"/>
  <c r="V17" i="5" s="1"/>
  <c r="W17" i="5" s="1"/>
  <c r="X17" i="5" s="1"/>
  <c r="Y17" i="5" s="1"/>
  <c r="Z17" i="5" s="1"/>
  <c r="T18" i="5"/>
  <c r="V18" i="5" s="1"/>
  <c r="W18" i="5" s="1"/>
  <c r="X18" i="5" s="1"/>
  <c r="Y18" i="5" s="1"/>
  <c r="Z18" i="5" s="1"/>
  <c r="T5" i="5"/>
  <c r="V5" i="5" s="1"/>
  <c r="W5" i="5" s="1"/>
  <c r="X5" i="5" s="1"/>
  <c r="Y5" i="5" s="1"/>
  <c r="Z5" i="5" s="1"/>
  <c r="T3" i="5"/>
  <c r="V3" i="5" s="1"/>
  <c r="W3" i="5" s="1"/>
  <c r="X3" i="5" s="1"/>
  <c r="Y3" i="5" s="1"/>
  <c r="Z3" i="5" s="1"/>
  <c r="T7" i="5"/>
  <c r="V7" i="5" s="1"/>
  <c r="W7" i="5" s="1"/>
  <c r="X7" i="5" s="1"/>
  <c r="Y7" i="5" s="1"/>
  <c r="Z7" i="5" s="1"/>
  <c r="T11" i="5"/>
  <c r="V11" i="5" s="1"/>
  <c r="W11" i="5" s="1"/>
  <c r="X11" i="5" s="1"/>
  <c r="Y11" i="5" s="1"/>
  <c r="Z11" i="5" s="1"/>
  <c r="T15" i="5"/>
  <c r="V15" i="5" s="1"/>
  <c r="W15" i="5" s="1"/>
  <c r="X15" i="5" s="1"/>
  <c r="Y15" i="5" s="1"/>
  <c r="Z15" i="5" s="1"/>
  <c r="T4" i="5"/>
  <c r="V4" i="5" s="1"/>
  <c r="W4" i="5" s="1"/>
  <c r="X4" i="5" s="1"/>
  <c r="Y4" i="5" s="1"/>
  <c r="Z4" i="5" s="1"/>
  <c r="T8" i="5"/>
  <c r="V8" i="5" s="1"/>
  <c r="W8" i="5" s="1"/>
  <c r="X8" i="5" s="1"/>
  <c r="Y8" i="5" s="1"/>
  <c r="Z8" i="5" s="1"/>
  <c r="T12" i="5"/>
  <c r="V12" i="5" s="1"/>
  <c r="W12" i="5" s="1"/>
  <c r="X12" i="5" s="1"/>
  <c r="Y12" i="5" s="1"/>
  <c r="Z12" i="5" s="1"/>
  <c r="T16" i="5"/>
  <c r="V16" i="5" s="1"/>
  <c r="W16" i="5" s="1"/>
  <c r="X16" i="5" s="1"/>
  <c r="Y16" i="5" s="1"/>
  <c r="Z16" i="5" s="1"/>
  <c r="C59" i="4"/>
  <c r="D59" i="4" s="1"/>
  <c r="B74" i="4"/>
  <c r="B70" i="4"/>
  <c r="B66" i="4"/>
  <c r="B62" i="4"/>
  <c r="B73" i="4"/>
  <c r="B69" i="4"/>
  <c r="B65" i="4"/>
  <c r="B61" i="4"/>
  <c r="B72" i="4"/>
  <c r="B68" i="4"/>
  <c r="B64" i="4"/>
  <c r="B60" i="4"/>
  <c r="B75" i="4"/>
  <c r="B71" i="4"/>
  <c r="B67" i="4"/>
  <c r="B63" i="4"/>
  <c r="R21" i="4"/>
  <c r="R32" i="4"/>
  <c r="R25" i="4"/>
  <c r="Q19" i="4"/>
  <c r="R19" i="4" s="1"/>
  <c r="Q11" i="4"/>
  <c r="R11" i="4" s="1"/>
  <c r="Q14" i="4"/>
  <c r="R14" i="4" s="1"/>
  <c r="Q10" i="4"/>
  <c r="R10" i="4" s="1"/>
  <c r="Q15" i="4"/>
  <c r="R15" i="4" s="1"/>
  <c r="R35" i="4"/>
  <c r="R9" i="4"/>
  <c r="Q8" i="4"/>
  <c r="R8" i="4" s="1"/>
  <c r="R30" i="4"/>
  <c r="R17" i="4"/>
  <c r="R13" i="4"/>
  <c r="R3" i="4"/>
  <c r="C39" i="6" a="1"/>
  <c r="C65" i="8" a="1"/>
  <c r="C36" i="6" a="1"/>
  <c r="C24" i="5" a="1"/>
  <c r="C31" i="5" a="1"/>
  <c r="C48" i="6" a="1"/>
  <c r="C27" i="5" a="1"/>
  <c r="C64" i="8" a="1"/>
  <c r="C55" i="8" a="1"/>
  <c r="C62" i="8" a="1"/>
  <c r="C56" i="8" a="1"/>
  <c r="C28" i="5" a="1"/>
  <c r="C25" i="5" a="1"/>
  <c r="C52" i="6" a="1"/>
  <c r="C66" i="8" a="1"/>
  <c r="C54" i="8" a="1"/>
  <c r="C38" i="6" a="1"/>
  <c r="C64" i="4" a="1"/>
  <c r="C39" i="5" a="1"/>
  <c r="C60" i="8" a="1"/>
  <c r="C33" i="6" a="1"/>
  <c r="C42" i="6" a="1"/>
  <c r="C57" i="8" a="1"/>
  <c r="C32" i="5" a="1"/>
  <c r="C74" i="4" a="1"/>
  <c r="C40" i="6" a="1"/>
  <c r="C33" i="5" a="1"/>
  <c r="C34" i="6" a="1"/>
  <c r="C63" i="4" a="1"/>
  <c r="C30" i="5" a="1"/>
  <c r="C26" i="5" a="1"/>
  <c r="C35" i="6" a="1"/>
  <c r="C65" i="4" a="1"/>
  <c r="C59" i="8" a="1"/>
  <c r="C62" i="4" a="1"/>
  <c r="C61" i="8" a="1"/>
  <c r="C41" i="6" a="1"/>
  <c r="C58" i="8" a="1"/>
  <c r="C63" i="8" a="1"/>
  <c r="C66" i="4" a="1"/>
  <c r="C61" i="4" a="1"/>
  <c r="C29" i="5" a="1"/>
  <c r="C60" i="4" a="1"/>
  <c r="C37" i="6" a="1"/>
  <c r="BA52" i="3" l="1"/>
  <c r="BA29" i="3"/>
  <c r="BB29" i="3" s="1"/>
  <c r="BA27" i="3"/>
  <c r="BB27" i="3" s="1"/>
  <c r="BA39" i="3"/>
  <c r="BB39" i="3" s="1"/>
  <c r="BB52" i="3"/>
  <c r="BB38" i="3"/>
  <c r="BB58" i="3"/>
  <c r="BB54" i="3"/>
  <c r="AT7" i="3"/>
  <c r="BA7" i="3"/>
  <c r="AT26" i="3"/>
  <c r="BA26" i="3"/>
  <c r="AT40" i="3"/>
  <c r="BA40" i="3"/>
  <c r="BB55" i="3"/>
  <c r="BB5" i="3"/>
  <c r="BB37" i="3"/>
  <c r="AT6" i="3"/>
  <c r="BA6" i="3"/>
  <c r="AT30" i="3"/>
  <c r="BA30" i="3"/>
  <c r="AT28" i="3"/>
  <c r="BA28" i="3"/>
  <c r="BB56" i="3"/>
  <c r="BB4" i="3"/>
  <c r="BB36" i="3"/>
  <c r="BB57" i="3"/>
  <c r="BB51" i="3"/>
  <c r="BB53" i="3"/>
  <c r="C63" i="4"/>
  <c r="D63" i="4" s="1"/>
  <c r="C60" i="4"/>
  <c r="D60" i="4" s="1"/>
  <c r="C61" i="4"/>
  <c r="D61" i="4" s="1"/>
  <c r="C62" i="4"/>
  <c r="D62" i="4" s="1"/>
  <c r="D67" i="4"/>
  <c r="C64" i="4"/>
  <c r="D64" i="4" s="1"/>
  <c r="C65" i="4"/>
  <c r="D65" i="4" s="1"/>
  <c r="C66" i="4"/>
  <c r="D66" i="4" s="1"/>
  <c r="D71" i="4"/>
  <c r="D68" i="4"/>
  <c r="D69" i="4"/>
  <c r="D70" i="4"/>
  <c r="D75" i="4"/>
  <c r="D72" i="4"/>
  <c r="D73" i="4"/>
  <c r="C74" i="4"/>
  <c r="D74" i="4" s="1"/>
  <c r="V13" i="6"/>
  <c r="Z13" i="6" s="1"/>
  <c r="Y11" i="6"/>
  <c r="Y4" i="6"/>
  <c r="Y21" i="6"/>
  <c r="Y12" i="6"/>
  <c r="Y18" i="6"/>
  <c r="Y14" i="6"/>
  <c r="Y5" i="6"/>
  <c r="Y22" i="6"/>
  <c r="Y13" i="6"/>
  <c r="Y9" i="6"/>
  <c r="AA10" i="6"/>
  <c r="AB10" i="6" s="1"/>
  <c r="AC10" i="6" s="1"/>
  <c r="AA3" i="6"/>
  <c r="AB3" i="6" s="1"/>
  <c r="AC3" i="6" s="1"/>
  <c r="AA16" i="6"/>
  <c r="AB16" i="6" s="1"/>
  <c r="AC16" i="6" s="1"/>
  <c r="Y17" i="6"/>
  <c r="AA4" i="6"/>
  <c r="AB4" i="6" s="1"/>
  <c r="AC4" i="6" s="1"/>
  <c r="AA20" i="6"/>
  <c r="AB20" i="6" s="1"/>
  <c r="AC20" i="6" s="1"/>
  <c r="AA23" i="6"/>
  <c r="AB23" i="6" s="1"/>
  <c r="AC23" i="6" s="1"/>
  <c r="AA18" i="6"/>
  <c r="AB18" i="6" s="1"/>
  <c r="AC18" i="6" s="1"/>
  <c r="AA13" i="6"/>
  <c r="AB13" i="6" s="1"/>
  <c r="AC13" i="6" s="1"/>
  <c r="AA8" i="6"/>
  <c r="AB8" i="6" s="1"/>
  <c r="AC8" i="6" s="1"/>
  <c r="AA17" i="6"/>
  <c r="AB17" i="6" s="1"/>
  <c r="AC17" i="6" s="1"/>
  <c r="Y8" i="6"/>
  <c r="AA6" i="6"/>
  <c r="AB6" i="6" s="1"/>
  <c r="AC6" i="6" s="1"/>
  <c r="AA22" i="6"/>
  <c r="AB22" i="6" s="1"/>
  <c r="AC22" i="6" s="1"/>
  <c r="AA15" i="6"/>
  <c r="AB15" i="6" s="1"/>
  <c r="AC15" i="6" s="1"/>
  <c r="AA11" i="6"/>
  <c r="AB11" i="6" s="1"/>
  <c r="AC11" i="6" s="1"/>
  <c r="Y15" i="6"/>
  <c r="Y6" i="6"/>
  <c r="Y23" i="6"/>
  <c r="Y19" i="6"/>
  <c r="Y10" i="6"/>
  <c r="Y16" i="6"/>
  <c r="Y7" i="6"/>
  <c r="Y3" i="6"/>
  <c r="Y20" i="6"/>
  <c r="AA19" i="6"/>
  <c r="AB19" i="6" s="1"/>
  <c r="AC19" i="6" s="1"/>
  <c r="AA21" i="6"/>
  <c r="AB21" i="6" s="1"/>
  <c r="AC21" i="6" s="1"/>
  <c r="AA7" i="6"/>
  <c r="AB7" i="6" s="1"/>
  <c r="AC7" i="6" s="1"/>
  <c r="AA5" i="6"/>
  <c r="AB5" i="6" s="1"/>
  <c r="AC5" i="6" s="1"/>
  <c r="AA14" i="6"/>
  <c r="AB14" i="6" s="1"/>
  <c r="AC14" i="6" s="1"/>
  <c r="AA9" i="6"/>
  <c r="AB9" i="6" s="1"/>
  <c r="AC9" i="6" s="1"/>
  <c r="AA12" i="6"/>
  <c r="AB12" i="6" s="1"/>
  <c r="AC12" i="6" s="1"/>
  <c r="C52" i="6"/>
  <c r="D52" i="6" s="1"/>
  <c r="D40" i="5"/>
  <c r="C33" i="5"/>
  <c r="D33" i="5" s="1"/>
  <c r="C26" i="5"/>
  <c r="D26" i="5" s="1"/>
  <c r="C27" i="5"/>
  <c r="D27" i="5" s="1"/>
  <c r="C28" i="5"/>
  <c r="D28" i="5" s="1"/>
  <c r="D35" i="5"/>
  <c r="D37" i="5"/>
  <c r="C30" i="5"/>
  <c r="D30" i="5" s="1"/>
  <c r="C39" i="5"/>
  <c r="D39" i="5" s="1"/>
  <c r="C32" i="5"/>
  <c r="D32" i="5" s="1"/>
  <c r="C25" i="5"/>
  <c r="D25" i="5" s="1"/>
  <c r="D41" i="5"/>
  <c r="D34" i="5"/>
  <c r="D36" i="5"/>
  <c r="C29" i="5"/>
  <c r="D29" i="5" s="1"/>
  <c r="C31" i="5"/>
  <c r="D31" i="5" s="1"/>
  <c r="D38" i="5"/>
  <c r="Y47" i="9"/>
  <c r="Y27" i="9"/>
  <c r="Y42" i="9"/>
  <c r="Y35" i="9"/>
  <c r="Y30" i="9"/>
  <c r="Y45" i="9"/>
  <c r="Y25" i="9"/>
  <c r="Y40" i="9"/>
  <c r="Y19" i="9"/>
  <c r="Y7" i="9"/>
  <c r="Y3" i="9"/>
  <c r="Y20" i="9"/>
  <c r="Y8" i="9"/>
  <c r="Y4" i="9"/>
  <c r="Y39" i="9"/>
  <c r="Y34" i="9"/>
  <c r="Y49" i="9"/>
  <c r="Y29" i="9"/>
  <c r="Y44" i="9"/>
  <c r="Y23" i="9"/>
  <c r="Y11" i="9"/>
  <c r="Y24" i="9"/>
  <c r="Y12" i="9"/>
  <c r="Y48" i="9"/>
  <c r="Y28" i="9"/>
  <c r="Y43" i="9"/>
  <c r="Y22" i="9"/>
  <c r="Y10" i="9"/>
  <c r="Y6" i="9"/>
  <c r="Y37" i="9"/>
  <c r="Y32" i="9"/>
  <c r="Y38" i="9"/>
  <c r="Y33" i="9"/>
  <c r="Y21" i="9"/>
  <c r="Y9" i="9"/>
  <c r="Y5" i="9"/>
  <c r="Y36" i="9"/>
  <c r="Y31" i="9"/>
  <c r="Y46" i="9"/>
  <c r="Y26" i="9"/>
  <c r="Y41" i="9"/>
  <c r="X35" i="9"/>
  <c r="X30" i="9"/>
  <c r="Z30" i="9" s="1"/>
  <c r="W47" i="9"/>
  <c r="W27" i="9"/>
  <c r="W42" i="9"/>
  <c r="X22" i="9"/>
  <c r="Z22" i="9" s="1"/>
  <c r="X10" i="9"/>
  <c r="Z10" i="9" s="1"/>
  <c r="X6" i="9"/>
  <c r="Z6" i="9" s="1"/>
  <c r="W39" i="9"/>
  <c r="W34" i="9"/>
  <c r="X19" i="9"/>
  <c r="X7" i="9"/>
  <c r="X3" i="9"/>
  <c r="W36" i="9"/>
  <c r="Z36" i="9" s="1"/>
  <c r="W31" i="9"/>
  <c r="W23" i="9"/>
  <c r="W11" i="9"/>
  <c r="Z11" i="9" s="1"/>
  <c r="W20" i="9"/>
  <c r="W8" i="9"/>
  <c r="W4" i="9"/>
  <c r="W48" i="9"/>
  <c r="W28" i="9"/>
  <c r="Z28" i="9" s="1"/>
  <c r="W43" i="9"/>
  <c r="W45" i="9"/>
  <c r="W25" i="9"/>
  <c r="W40" i="9"/>
  <c r="W37" i="9"/>
  <c r="W32" i="9"/>
  <c r="W24" i="9"/>
  <c r="Z24" i="9" s="1"/>
  <c r="W12" i="9"/>
  <c r="Z12" i="9" s="1"/>
  <c r="W21" i="9"/>
  <c r="W9" i="9"/>
  <c r="W5" i="9"/>
  <c r="W49" i="9"/>
  <c r="Z49" i="9" s="1"/>
  <c r="W29" i="9"/>
  <c r="W44" i="9"/>
  <c r="W46" i="9"/>
  <c r="W26" i="9"/>
  <c r="W41" i="9"/>
  <c r="W38" i="9"/>
  <c r="W33" i="9"/>
  <c r="Z33" i="9" s="1"/>
  <c r="C58" i="8"/>
  <c r="C56" i="8"/>
  <c r="C63" i="8"/>
  <c r="C57" i="8"/>
  <c r="D57" i="8" s="1"/>
  <c r="C60" i="8"/>
  <c r="C62" i="8"/>
  <c r="C61" i="8"/>
  <c r="D61" i="8" s="1"/>
  <c r="C66" i="8"/>
  <c r="C55" i="8"/>
  <c r="C65" i="8"/>
  <c r="D65" i="8" s="1"/>
  <c r="C54" i="8"/>
  <c r="C59" i="8"/>
  <c r="C64" i="8"/>
  <c r="D53" i="8"/>
  <c r="D51" i="6"/>
  <c r="D50" i="6"/>
  <c r="C48" i="6"/>
  <c r="D48" i="6" s="1"/>
  <c r="D49" i="6"/>
  <c r="D47" i="6"/>
  <c r="C42" i="6"/>
  <c r="C37" i="6"/>
  <c r="D37" i="6" s="1"/>
  <c r="C36" i="6"/>
  <c r="C35" i="6"/>
  <c r="D46" i="6"/>
  <c r="C33" i="6"/>
  <c r="D33" i="6" s="1"/>
  <c r="C41" i="6"/>
  <c r="D41" i="6" s="1"/>
  <c r="C38" i="6"/>
  <c r="D45" i="6"/>
  <c r="C40" i="6"/>
  <c r="C39" i="6"/>
  <c r="C34" i="6"/>
  <c r="C24" i="5"/>
  <c r="BB28" i="3" l="1"/>
  <c r="BB6" i="3"/>
  <c r="BB30" i="3"/>
  <c r="BB26" i="3"/>
  <c r="BB40" i="3"/>
  <c r="BB7" i="3"/>
  <c r="Z41" i="9"/>
  <c r="Z8" i="9"/>
  <c r="Z19" i="9"/>
  <c r="Z47" i="9"/>
  <c r="Z46" i="9"/>
  <c r="Z25" i="9"/>
  <c r="Z3" i="9"/>
  <c r="Z39" i="9"/>
  <c r="Z42" i="9"/>
  <c r="Z44" i="9"/>
  <c r="Z9" i="9"/>
  <c r="Z32" i="9"/>
  <c r="Z5" i="9"/>
  <c r="Z48" i="9"/>
  <c r="Z35" i="9"/>
  <c r="Z38" i="9"/>
  <c r="Z23" i="9"/>
  <c r="Z26" i="9"/>
  <c r="Z40" i="9"/>
  <c r="Z20" i="9"/>
  <c r="Z34" i="9"/>
  <c r="Z45" i="9"/>
  <c r="Z4" i="9"/>
  <c r="Z7" i="9"/>
  <c r="Z27" i="9"/>
  <c r="Z29" i="9"/>
  <c r="Z21" i="9"/>
  <c r="Z37" i="9"/>
  <c r="Z43" i="9"/>
  <c r="Z31" i="9"/>
  <c r="D54" i="8"/>
  <c r="D59" i="8"/>
  <c r="D64" i="8"/>
  <c r="D56" i="8"/>
  <c r="D60" i="8"/>
  <c r="D55" i="8"/>
  <c r="D62" i="8"/>
  <c r="D66" i="8"/>
  <c r="D58" i="8"/>
  <c r="D63" i="8"/>
  <c r="D35" i="6"/>
  <c r="D40" i="6"/>
  <c r="D44" i="6"/>
  <c r="D38" i="6"/>
  <c r="D34" i="6"/>
  <c r="D36" i="6"/>
  <c r="D39" i="6"/>
  <c r="D43" i="6"/>
  <c r="D42" i="6"/>
  <c r="D24" i="5"/>
  <c r="X19" i="3"/>
  <c r="X18" i="3"/>
  <c r="X17" i="3"/>
  <c r="X16" i="3"/>
  <c r="X15" i="3"/>
  <c r="X14" i="3"/>
  <c r="X25" i="3"/>
  <c r="X24" i="3"/>
  <c r="X23" i="3"/>
  <c r="X22" i="3"/>
  <c r="X21" i="3"/>
  <c r="X20" i="3"/>
  <c r="X50" i="3"/>
  <c r="X49" i="3"/>
  <c r="X48" i="3"/>
  <c r="X47" i="3"/>
  <c r="X46" i="3"/>
  <c r="X45" i="3"/>
  <c r="X44" i="3"/>
  <c r="X43" i="3"/>
  <c r="X42" i="3"/>
  <c r="X41" i="3"/>
  <c r="X35" i="3"/>
  <c r="X34" i="3"/>
  <c r="X33" i="3"/>
  <c r="X32" i="3"/>
  <c r="X31" i="3"/>
  <c r="X13" i="3"/>
  <c r="X12" i="3"/>
  <c r="X11" i="3"/>
  <c r="X10" i="3"/>
  <c r="X9" i="3"/>
  <c r="X8" i="3"/>
  <c r="AK19" i="3"/>
  <c r="AL19" i="3" s="1"/>
  <c r="AM19" i="3" s="1"/>
  <c r="AC19" i="3"/>
  <c r="AK18" i="3"/>
  <c r="AC18" i="3"/>
  <c r="AK17" i="3"/>
  <c r="AL17" i="3" s="1"/>
  <c r="AC17" i="3"/>
  <c r="AD17" i="3" s="1"/>
  <c r="AE17" i="3" s="1"/>
  <c r="AF17" i="3" s="1"/>
  <c r="AK16" i="3"/>
  <c r="AC16" i="3"/>
  <c r="AK15" i="3"/>
  <c r="AL15" i="3" s="1"/>
  <c r="AM15" i="3" s="1"/>
  <c r="AN15" i="3" s="1"/>
  <c r="AC15" i="3"/>
  <c r="AD15" i="3" s="1"/>
  <c r="AK14" i="3"/>
  <c r="AC14" i="3"/>
  <c r="AK25" i="3"/>
  <c r="AL25" i="3" s="1"/>
  <c r="AC25" i="3"/>
  <c r="AD25" i="3" s="1"/>
  <c r="AE25" i="3" s="1"/>
  <c r="AK24" i="3"/>
  <c r="AL24" i="3" s="1"/>
  <c r="AM24" i="3" s="1"/>
  <c r="AC24" i="3"/>
  <c r="AK23" i="3"/>
  <c r="AL23" i="3" s="1"/>
  <c r="AM23" i="3" s="1"/>
  <c r="AC23" i="3"/>
  <c r="AD23" i="3" s="1"/>
  <c r="AK22" i="3"/>
  <c r="AC22" i="3"/>
  <c r="AD22" i="3" s="1"/>
  <c r="AE22" i="3" s="1"/>
  <c r="AK21" i="3"/>
  <c r="AL21" i="3" s="1"/>
  <c r="AC21" i="3"/>
  <c r="AD21" i="3" s="1"/>
  <c r="AE21" i="3" s="1"/>
  <c r="AF21" i="3" s="1"/>
  <c r="AK20" i="3"/>
  <c r="AC20" i="3"/>
  <c r="AK50" i="3"/>
  <c r="AL50" i="3" s="1"/>
  <c r="AM50" i="3" s="1"/>
  <c r="AN50" i="3" s="1"/>
  <c r="AC50" i="3"/>
  <c r="AK49" i="3"/>
  <c r="AC49" i="3"/>
  <c r="AK48" i="3"/>
  <c r="AL48" i="3" s="1"/>
  <c r="AC48" i="3"/>
  <c r="AD48" i="3" s="1"/>
  <c r="AE48" i="3" s="1"/>
  <c r="AF48" i="3" s="1"/>
  <c r="AK47" i="3"/>
  <c r="AL47" i="3" s="1"/>
  <c r="AM47" i="3" s="1"/>
  <c r="AC47" i="3"/>
  <c r="AK46" i="3"/>
  <c r="AL46" i="3" s="1"/>
  <c r="AM46" i="3" s="1"/>
  <c r="AC46" i="3"/>
  <c r="AD46" i="3" s="1"/>
  <c r="AK45" i="3"/>
  <c r="AC45" i="3"/>
  <c r="AD45" i="3" s="1"/>
  <c r="AE45" i="3" s="1"/>
  <c r="AK44" i="3"/>
  <c r="AC44" i="3"/>
  <c r="AD44" i="3" s="1"/>
  <c r="AE44" i="3" s="1"/>
  <c r="AF44" i="3" s="1"/>
  <c r="AK43" i="3"/>
  <c r="AL43" i="3" s="1"/>
  <c r="AM43" i="3" s="1"/>
  <c r="AC43" i="3"/>
  <c r="AK42" i="3"/>
  <c r="AL42" i="3" s="1"/>
  <c r="AM42" i="3" s="1"/>
  <c r="AN42" i="3" s="1"/>
  <c r="AC42" i="3"/>
  <c r="AD42" i="3" s="1"/>
  <c r="AK41" i="3"/>
  <c r="AC41" i="3"/>
  <c r="AK35" i="3"/>
  <c r="AL35" i="3" s="1"/>
  <c r="AC35" i="3"/>
  <c r="AD35" i="3" s="1"/>
  <c r="AE35" i="3" s="1"/>
  <c r="AK34" i="3"/>
  <c r="AL34" i="3" s="1"/>
  <c r="AC34" i="3"/>
  <c r="AK33" i="3"/>
  <c r="AL33" i="3" s="1"/>
  <c r="AC33" i="3"/>
  <c r="AD33" i="3" s="1"/>
  <c r="AK32" i="3"/>
  <c r="AC32" i="3"/>
  <c r="AD32" i="3" s="1"/>
  <c r="AE32" i="3" s="1"/>
  <c r="AK31" i="3"/>
  <c r="AC31" i="3"/>
  <c r="AD31" i="3" s="1"/>
  <c r="AE31" i="3" s="1"/>
  <c r="AK13" i="3"/>
  <c r="AL13" i="3" s="1"/>
  <c r="AM13" i="3" s="1"/>
  <c r="AC13" i="3"/>
  <c r="AK12" i="3"/>
  <c r="AL12" i="3" s="1"/>
  <c r="AM12" i="3" s="1"/>
  <c r="AC12" i="3"/>
  <c r="AD12" i="3" s="1"/>
  <c r="AK11" i="3"/>
  <c r="AC11" i="3"/>
  <c r="AK10" i="3"/>
  <c r="AC10" i="3"/>
  <c r="AK9" i="3"/>
  <c r="AL9" i="3" s="1"/>
  <c r="AM9" i="3" s="1"/>
  <c r="AC9" i="3"/>
  <c r="AD9" i="3" s="1"/>
  <c r="AK8" i="3"/>
  <c r="AC8" i="3"/>
  <c r="Y11" i="3" l="1"/>
  <c r="AY11" i="3"/>
  <c r="AZ11" i="3" s="1"/>
  <c r="Y32" i="3"/>
  <c r="AY32" i="3"/>
  <c r="AZ32" i="3" s="1"/>
  <c r="Y41" i="3"/>
  <c r="AY41" i="3"/>
  <c r="AZ41" i="3" s="1"/>
  <c r="Y45" i="3"/>
  <c r="AY45" i="3"/>
  <c r="AZ45" i="3" s="1"/>
  <c r="Y49" i="3"/>
  <c r="AY49" i="3"/>
  <c r="AZ49" i="3" s="1"/>
  <c r="Y22" i="3"/>
  <c r="AY22" i="3"/>
  <c r="AZ22" i="3" s="1"/>
  <c r="Y14" i="3"/>
  <c r="AY14" i="3"/>
  <c r="AZ14" i="3" s="1"/>
  <c r="Y18" i="3"/>
  <c r="AY18" i="3"/>
  <c r="AZ18" i="3" s="1"/>
  <c r="Y8" i="3"/>
  <c r="AY8" i="3"/>
  <c r="AZ8" i="3" s="1"/>
  <c r="Y12" i="3"/>
  <c r="AY12" i="3"/>
  <c r="AZ12" i="3" s="1"/>
  <c r="Y33" i="3"/>
  <c r="AY33" i="3"/>
  <c r="AZ33" i="3" s="1"/>
  <c r="Y42" i="3"/>
  <c r="AY42" i="3"/>
  <c r="AZ42" i="3" s="1"/>
  <c r="Y46" i="3"/>
  <c r="AY46" i="3"/>
  <c r="AZ46" i="3" s="1"/>
  <c r="Y50" i="3"/>
  <c r="AY50" i="3"/>
  <c r="AZ50" i="3" s="1"/>
  <c r="Y23" i="3"/>
  <c r="AY23" i="3"/>
  <c r="AZ23" i="3" s="1"/>
  <c r="Y15" i="3"/>
  <c r="AY15" i="3"/>
  <c r="AZ15" i="3" s="1"/>
  <c r="Y19" i="3"/>
  <c r="AY19" i="3"/>
  <c r="AZ19" i="3" s="1"/>
  <c r="Y9" i="3"/>
  <c r="AY9" i="3"/>
  <c r="AZ9" i="3" s="1"/>
  <c r="Y13" i="3"/>
  <c r="AY13" i="3"/>
  <c r="AZ13" i="3" s="1"/>
  <c r="Y34" i="3"/>
  <c r="AY34" i="3"/>
  <c r="AZ34" i="3" s="1"/>
  <c r="Y43" i="3"/>
  <c r="AY43" i="3"/>
  <c r="AZ43" i="3" s="1"/>
  <c r="Y47" i="3"/>
  <c r="AY47" i="3"/>
  <c r="AZ47" i="3" s="1"/>
  <c r="Y20" i="3"/>
  <c r="AY20" i="3"/>
  <c r="AZ20" i="3" s="1"/>
  <c r="Y24" i="3"/>
  <c r="AY24" i="3"/>
  <c r="AZ24" i="3" s="1"/>
  <c r="Y16" i="3"/>
  <c r="AY16" i="3"/>
  <c r="AZ16" i="3" s="1"/>
  <c r="Y10" i="3"/>
  <c r="AY10" i="3"/>
  <c r="AZ10" i="3" s="1"/>
  <c r="Y31" i="3"/>
  <c r="AY31" i="3"/>
  <c r="AZ31" i="3" s="1"/>
  <c r="Y35" i="3"/>
  <c r="AY35" i="3"/>
  <c r="AZ35" i="3" s="1"/>
  <c r="Y44" i="3"/>
  <c r="AY44" i="3"/>
  <c r="AZ44" i="3" s="1"/>
  <c r="Y48" i="3"/>
  <c r="AY48" i="3"/>
  <c r="AZ48" i="3" s="1"/>
  <c r="Y21" i="3"/>
  <c r="AY21" i="3"/>
  <c r="AZ21" i="3" s="1"/>
  <c r="Y25" i="3"/>
  <c r="AY25" i="3"/>
  <c r="AZ25" i="3" s="1"/>
  <c r="Y17" i="3"/>
  <c r="AY17" i="3"/>
  <c r="AZ17" i="3" s="1"/>
  <c r="AD8" i="3"/>
  <c r="AE8" i="3" s="1"/>
  <c r="AL16" i="3"/>
  <c r="AM16" i="3" s="1"/>
  <c r="AN16" i="3" s="1"/>
  <c r="AO16" i="3" s="1"/>
  <c r="AP16" i="3" s="1"/>
  <c r="AQ16" i="3" s="1"/>
  <c r="AR16" i="3" s="1"/>
  <c r="AD41" i="3"/>
  <c r="AE41" i="3" s="1"/>
  <c r="AF41" i="3" s="1"/>
  <c r="AG41" i="3" s="1"/>
  <c r="AH41" i="3" s="1"/>
  <c r="AI41" i="3" s="1"/>
  <c r="AJ41" i="3" s="1"/>
  <c r="AD11" i="3"/>
  <c r="AE11" i="3" s="1"/>
  <c r="AF11" i="3" s="1"/>
  <c r="AG11" i="3" s="1"/>
  <c r="AH11" i="3" s="1"/>
  <c r="AI11" i="3" s="1"/>
  <c r="AJ11" i="3" s="1"/>
  <c r="AM34" i="3"/>
  <c r="AN34" i="3" s="1"/>
  <c r="AO34" i="3" s="1"/>
  <c r="AP34" i="3" s="1"/>
  <c r="AQ34" i="3" s="1"/>
  <c r="AR34" i="3" s="1"/>
  <c r="AE46" i="3"/>
  <c r="AF46" i="3" s="1"/>
  <c r="AG46" i="3" s="1"/>
  <c r="AH46" i="3" s="1"/>
  <c r="AI46" i="3" s="1"/>
  <c r="AJ46" i="3" s="1"/>
  <c r="AD49" i="3"/>
  <c r="AE49" i="3" s="1"/>
  <c r="AF49" i="3" s="1"/>
  <c r="AG49" i="3" s="1"/>
  <c r="AH49" i="3" s="1"/>
  <c r="AI49" i="3" s="1"/>
  <c r="AJ49" i="3" s="1"/>
  <c r="AD50" i="3"/>
  <c r="AE50" i="3" s="1"/>
  <c r="AF50" i="3" s="1"/>
  <c r="AG50" i="3" s="1"/>
  <c r="AH50" i="3" s="1"/>
  <c r="AI50" i="3" s="1"/>
  <c r="AJ50" i="3" s="1"/>
  <c r="AL20" i="3"/>
  <c r="AM20" i="3" s="1"/>
  <c r="AN20" i="3" s="1"/>
  <c r="AO20" i="3" s="1"/>
  <c r="AP20" i="3" s="1"/>
  <c r="AQ20" i="3" s="1"/>
  <c r="AR20" i="3" s="1"/>
  <c r="AD14" i="3"/>
  <c r="AE14" i="3" s="1"/>
  <c r="AF14" i="3" s="1"/>
  <c r="AG14" i="3" s="1"/>
  <c r="AH14" i="3" s="1"/>
  <c r="AI14" i="3" s="1"/>
  <c r="AJ14" i="3" s="1"/>
  <c r="AD18" i="3"/>
  <c r="AE18" i="3" s="1"/>
  <c r="AD19" i="3"/>
  <c r="AE19" i="3" s="1"/>
  <c r="AF19" i="3" s="1"/>
  <c r="AG19" i="3" s="1"/>
  <c r="AH19" i="3" s="1"/>
  <c r="AI19" i="3" s="1"/>
  <c r="AJ19" i="3" s="1"/>
  <c r="AM33" i="3"/>
  <c r="AN33" i="3" s="1"/>
  <c r="AL44" i="3"/>
  <c r="AM44" i="3" s="1"/>
  <c r="AN44" i="3" s="1"/>
  <c r="AO44" i="3" s="1"/>
  <c r="AP44" i="3" s="1"/>
  <c r="AQ44" i="3" s="1"/>
  <c r="AR44" i="3" s="1"/>
  <c r="AE9" i="3"/>
  <c r="AM17" i="3"/>
  <c r="AN17" i="3" s="1"/>
  <c r="AO17" i="3" s="1"/>
  <c r="AP17" i="3" s="1"/>
  <c r="AQ17" i="3" s="1"/>
  <c r="AR17" i="3" s="1"/>
  <c r="AN13" i="3"/>
  <c r="AO13" i="3" s="1"/>
  <c r="AP13" i="3" s="1"/>
  <c r="AQ13" i="3" s="1"/>
  <c r="AR13" i="3" s="1"/>
  <c r="AF32" i="3"/>
  <c r="AG32" i="3" s="1"/>
  <c r="AH32" i="3" s="1"/>
  <c r="AI32" i="3" s="1"/>
  <c r="AJ32" i="3" s="1"/>
  <c r="AN9" i="3"/>
  <c r="AO9" i="3" s="1"/>
  <c r="AP9" i="3" s="1"/>
  <c r="AQ9" i="3" s="1"/>
  <c r="AR9" i="3" s="1"/>
  <c r="AF31" i="3"/>
  <c r="AG31" i="3" s="1"/>
  <c r="AH31" i="3" s="1"/>
  <c r="AI31" i="3" s="1"/>
  <c r="AJ31" i="3" s="1"/>
  <c r="AN12" i="3"/>
  <c r="AO12" i="3" s="1"/>
  <c r="AP12" i="3" s="1"/>
  <c r="AQ12" i="3" s="1"/>
  <c r="AR12" i="3" s="1"/>
  <c r="AF8" i="3"/>
  <c r="AG8" i="3" s="1"/>
  <c r="AH8" i="3" s="1"/>
  <c r="AL8" i="3"/>
  <c r="AM8" i="3" s="1"/>
  <c r="AD10" i="3"/>
  <c r="AE10" i="3" s="1"/>
  <c r="AL11" i="3"/>
  <c r="AM11" i="3" s="1"/>
  <c r="AL41" i="3"/>
  <c r="AM41" i="3" s="1"/>
  <c r="AF45" i="3"/>
  <c r="AG45" i="3" s="1"/>
  <c r="AH45" i="3" s="1"/>
  <c r="AI45" i="3" s="1"/>
  <c r="AJ45" i="3" s="1"/>
  <c r="AD47" i="3"/>
  <c r="AE47" i="3" s="1"/>
  <c r="AN47" i="3"/>
  <c r="AO47" i="3" s="1"/>
  <c r="AP47" i="3" s="1"/>
  <c r="AQ47" i="3" s="1"/>
  <c r="AR47" i="3" s="1"/>
  <c r="AM48" i="3"/>
  <c r="AL14" i="3"/>
  <c r="AM14" i="3" s="1"/>
  <c r="AL10" i="3"/>
  <c r="AM10" i="3" s="1"/>
  <c r="AE33" i="3"/>
  <c r="AD34" i="3"/>
  <c r="AE34" i="3" s="1"/>
  <c r="AF35" i="3"/>
  <c r="AG35" i="3" s="1"/>
  <c r="AH35" i="3" s="1"/>
  <c r="AI35" i="3" s="1"/>
  <c r="AJ35" i="3" s="1"/>
  <c r="AO42" i="3"/>
  <c r="AP42" i="3" s="1"/>
  <c r="AQ42" i="3" s="1"/>
  <c r="AR42" i="3" s="1"/>
  <c r="AG44" i="3"/>
  <c r="AH44" i="3" s="1"/>
  <c r="AI44" i="3" s="1"/>
  <c r="AJ44" i="3" s="1"/>
  <c r="AL45" i="3"/>
  <c r="AM45" i="3" s="1"/>
  <c r="AD20" i="3"/>
  <c r="AE20" i="3" s="1"/>
  <c r="AM21" i="3"/>
  <c r="AE23" i="3"/>
  <c r="AN23" i="3"/>
  <c r="AO23" i="3" s="1"/>
  <c r="AP23" i="3" s="1"/>
  <c r="AQ23" i="3" s="1"/>
  <c r="AR23" i="3" s="1"/>
  <c r="AF25" i="3"/>
  <c r="AG25" i="3" s="1"/>
  <c r="AH25" i="3" s="1"/>
  <c r="AI25" i="3" s="1"/>
  <c r="AJ25" i="3" s="1"/>
  <c r="AO15" i="3"/>
  <c r="AP15" i="3" s="1"/>
  <c r="AQ15" i="3" s="1"/>
  <c r="AR15" i="3" s="1"/>
  <c r="AG17" i="3"/>
  <c r="AH17" i="3" s="1"/>
  <c r="AI17" i="3" s="1"/>
  <c r="AJ17" i="3" s="1"/>
  <c r="AL18" i="3"/>
  <c r="AM18" i="3" s="1"/>
  <c r="AL32" i="3"/>
  <c r="AM32" i="3" s="1"/>
  <c r="AM35" i="3"/>
  <c r="AE42" i="3"/>
  <c r="AG48" i="3"/>
  <c r="AH48" i="3" s="1"/>
  <c r="AI48" i="3" s="1"/>
  <c r="AJ48" i="3" s="1"/>
  <c r="AL49" i="3"/>
  <c r="AM49" i="3" s="1"/>
  <c r="AF22" i="3"/>
  <c r="AG22" i="3" s="1"/>
  <c r="AH22" i="3" s="1"/>
  <c r="AI22" i="3" s="1"/>
  <c r="AJ22" i="3" s="1"/>
  <c r="AD24" i="3"/>
  <c r="AE24" i="3" s="1"/>
  <c r="AN24" i="3"/>
  <c r="AO24" i="3" s="1"/>
  <c r="AP24" i="3" s="1"/>
  <c r="AQ24" i="3" s="1"/>
  <c r="AR24" i="3" s="1"/>
  <c r="AM25" i="3"/>
  <c r="AE15" i="3"/>
  <c r="AE12" i="3"/>
  <c r="AD13" i="3"/>
  <c r="AE13" i="3" s="1"/>
  <c r="AL31" i="3"/>
  <c r="AM31" i="3" s="1"/>
  <c r="AD43" i="3"/>
  <c r="AE43" i="3" s="1"/>
  <c r="AN43" i="3"/>
  <c r="AO43" i="3" s="1"/>
  <c r="AP43" i="3" s="1"/>
  <c r="AQ43" i="3" s="1"/>
  <c r="AR43" i="3" s="1"/>
  <c r="AN46" i="3"/>
  <c r="AO46" i="3" s="1"/>
  <c r="AP46" i="3" s="1"/>
  <c r="AQ46" i="3" s="1"/>
  <c r="AO50" i="3"/>
  <c r="AP50" i="3" s="1"/>
  <c r="AQ50" i="3" s="1"/>
  <c r="AR50" i="3" s="1"/>
  <c r="AG21" i="3"/>
  <c r="AH21" i="3" s="1"/>
  <c r="AI21" i="3" s="1"/>
  <c r="AJ21" i="3" s="1"/>
  <c r="AL22" i="3"/>
  <c r="AM22" i="3" s="1"/>
  <c r="AD16" i="3"/>
  <c r="AE16" i="3" s="1"/>
  <c r="AN19" i="3"/>
  <c r="AO19" i="3" s="1"/>
  <c r="AP19" i="3" s="1"/>
  <c r="AQ19" i="3" s="1"/>
  <c r="AR19" i="3" s="1"/>
  <c r="AS46" i="3" l="1"/>
  <c r="AT46" i="3" s="1"/>
  <c r="AR46" i="3"/>
  <c r="AI8" i="3"/>
  <c r="AJ8" i="3" s="1"/>
  <c r="AS19" i="3"/>
  <c r="AS50" i="3"/>
  <c r="AS17" i="3"/>
  <c r="AS44" i="3"/>
  <c r="AO33" i="3"/>
  <c r="AP33" i="3" s="1"/>
  <c r="AQ33" i="3" s="1"/>
  <c r="AR33" i="3" s="1"/>
  <c r="AF18" i="3"/>
  <c r="AG18" i="3" s="1"/>
  <c r="AH18" i="3" s="1"/>
  <c r="AI18" i="3" s="1"/>
  <c r="AJ18" i="3" s="1"/>
  <c r="AF9" i="3"/>
  <c r="AG9" i="3" s="1"/>
  <c r="AH9" i="3" s="1"/>
  <c r="AI9" i="3" s="1"/>
  <c r="AF24" i="3"/>
  <c r="AG24" i="3" s="1"/>
  <c r="AH24" i="3" s="1"/>
  <c r="AI24" i="3" s="1"/>
  <c r="AN10" i="3"/>
  <c r="AO10" i="3" s="1"/>
  <c r="AP10" i="3" s="1"/>
  <c r="AQ10" i="3" s="1"/>
  <c r="AR10" i="3" s="1"/>
  <c r="AN22" i="3"/>
  <c r="AO22" i="3" s="1"/>
  <c r="AP22" i="3" s="1"/>
  <c r="AQ22" i="3" s="1"/>
  <c r="AN31" i="3"/>
  <c r="AO31" i="3" s="1"/>
  <c r="AP31" i="3" s="1"/>
  <c r="AQ31" i="3" s="1"/>
  <c r="AN45" i="3"/>
  <c r="AO45" i="3" s="1"/>
  <c r="AP45" i="3" s="1"/>
  <c r="AQ45" i="3" s="1"/>
  <c r="AN41" i="3"/>
  <c r="AO41" i="3" s="1"/>
  <c r="AP41" i="3" s="1"/>
  <c r="AQ41" i="3" s="1"/>
  <c r="AN8" i="3"/>
  <c r="AO8" i="3" s="1"/>
  <c r="AP8" i="3" s="1"/>
  <c r="AF43" i="3"/>
  <c r="AG43" i="3" s="1"/>
  <c r="AH43" i="3" s="1"/>
  <c r="AI43" i="3" s="1"/>
  <c r="AF13" i="3"/>
  <c r="AG13" i="3" s="1"/>
  <c r="AH13" i="3" s="1"/>
  <c r="AI13" i="3" s="1"/>
  <c r="AN49" i="3"/>
  <c r="AO49" i="3" s="1"/>
  <c r="AP49" i="3" s="1"/>
  <c r="AQ49" i="3" s="1"/>
  <c r="AF16" i="3"/>
  <c r="AG16" i="3" s="1"/>
  <c r="AH16" i="3" s="1"/>
  <c r="AI16" i="3" s="1"/>
  <c r="AN18" i="3"/>
  <c r="AO18" i="3" s="1"/>
  <c r="AP18" i="3" s="1"/>
  <c r="AQ18" i="3" s="1"/>
  <c r="AR18" i="3" s="1"/>
  <c r="AF20" i="3"/>
  <c r="AG20" i="3" s="1"/>
  <c r="AH20" i="3" s="1"/>
  <c r="AI20" i="3" s="1"/>
  <c r="AN14" i="3"/>
  <c r="AO14" i="3" s="1"/>
  <c r="AP14" i="3" s="1"/>
  <c r="AQ14" i="3" s="1"/>
  <c r="AF47" i="3"/>
  <c r="AG47" i="3" s="1"/>
  <c r="AH47" i="3" s="1"/>
  <c r="AI47" i="3" s="1"/>
  <c r="AN11" i="3"/>
  <c r="AO11" i="3" s="1"/>
  <c r="AP11" i="3" s="1"/>
  <c r="AQ11" i="3" s="1"/>
  <c r="AF10" i="3"/>
  <c r="AG10" i="3" s="1"/>
  <c r="AH10" i="3" s="1"/>
  <c r="AI10" i="3" s="1"/>
  <c r="AJ10" i="3" s="1"/>
  <c r="AF15" i="3"/>
  <c r="AG15" i="3" s="1"/>
  <c r="AH15" i="3" s="1"/>
  <c r="AI15" i="3" s="1"/>
  <c r="AF42" i="3"/>
  <c r="AG42" i="3" s="1"/>
  <c r="AH42" i="3" s="1"/>
  <c r="AI42" i="3" s="1"/>
  <c r="AF23" i="3"/>
  <c r="AG23" i="3" s="1"/>
  <c r="AH23" i="3" s="1"/>
  <c r="AI23" i="3" s="1"/>
  <c r="AN25" i="3"/>
  <c r="AO25" i="3" s="1"/>
  <c r="AP25" i="3" s="1"/>
  <c r="AQ25" i="3" s="1"/>
  <c r="AN35" i="3"/>
  <c r="AO35" i="3" s="1"/>
  <c r="AP35" i="3" s="1"/>
  <c r="AQ35" i="3" s="1"/>
  <c r="AN21" i="3"/>
  <c r="AO21" i="3" s="1"/>
  <c r="AP21" i="3" s="1"/>
  <c r="AQ21" i="3" s="1"/>
  <c r="AN48" i="3"/>
  <c r="AO48" i="3" s="1"/>
  <c r="AP48" i="3" s="1"/>
  <c r="AQ48" i="3" s="1"/>
  <c r="AF12" i="3"/>
  <c r="AG12" i="3" s="1"/>
  <c r="AH12" i="3" s="1"/>
  <c r="AI12" i="3" s="1"/>
  <c r="AN32" i="3"/>
  <c r="AO32" i="3" s="1"/>
  <c r="AP32" i="3" s="1"/>
  <c r="AQ32" i="3" s="1"/>
  <c r="AF34" i="3"/>
  <c r="AG34" i="3" s="1"/>
  <c r="AH34" i="3" s="1"/>
  <c r="AI34" i="3" s="1"/>
  <c r="AF33" i="3"/>
  <c r="AG33" i="3" s="1"/>
  <c r="AH33" i="3" s="1"/>
  <c r="AI33" i="3" s="1"/>
  <c r="AJ33" i="3" s="1"/>
  <c r="AS23" i="3" l="1"/>
  <c r="AT23" i="3" s="1"/>
  <c r="AJ23" i="3"/>
  <c r="AS43" i="3"/>
  <c r="AT43" i="3" s="1"/>
  <c r="AJ43" i="3"/>
  <c r="AS9" i="3"/>
  <c r="AT9" i="3" s="1"/>
  <c r="AJ9" i="3"/>
  <c r="BA46" i="3"/>
  <c r="BB46" i="3" s="1"/>
  <c r="AS34" i="3"/>
  <c r="AJ34" i="3"/>
  <c r="AS42" i="3"/>
  <c r="AJ42" i="3"/>
  <c r="AS47" i="3"/>
  <c r="AJ47" i="3"/>
  <c r="AS16" i="3"/>
  <c r="AJ16" i="3"/>
  <c r="AS15" i="3"/>
  <c r="AJ15" i="3"/>
  <c r="AS12" i="3"/>
  <c r="AJ12" i="3"/>
  <c r="AS20" i="3"/>
  <c r="AJ20" i="3"/>
  <c r="AS13" i="3"/>
  <c r="AJ13" i="3"/>
  <c r="AS24" i="3"/>
  <c r="AJ24" i="3"/>
  <c r="AS11" i="3"/>
  <c r="AT11" i="3" s="1"/>
  <c r="AR11" i="3"/>
  <c r="AS22" i="3"/>
  <c r="AR22" i="3"/>
  <c r="AS48" i="3"/>
  <c r="BA48" i="3" s="1"/>
  <c r="AR48" i="3"/>
  <c r="AS31" i="3"/>
  <c r="AR31" i="3"/>
  <c r="AS21" i="3"/>
  <c r="AR21" i="3"/>
  <c r="AS32" i="3"/>
  <c r="BA32" i="3" s="1"/>
  <c r="AR32" i="3"/>
  <c r="AS35" i="3"/>
  <c r="AT35" i="3" s="1"/>
  <c r="AR35" i="3"/>
  <c r="AS14" i="3"/>
  <c r="AT14" i="3" s="1"/>
  <c r="AR14" i="3"/>
  <c r="AS49" i="3"/>
  <c r="BA49" i="3" s="1"/>
  <c r="AR49" i="3"/>
  <c r="AS41" i="3"/>
  <c r="AR41" i="3"/>
  <c r="AS25" i="3"/>
  <c r="BA25" i="3" s="1"/>
  <c r="AR25" i="3"/>
  <c r="AS45" i="3"/>
  <c r="AT45" i="3" s="1"/>
  <c r="AR45" i="3"/>
  <c r="AT32" i="3"/>
  <c r="AT15" i="3"/>
  <c r="BA15" i="3"/>
  <c r="AT20" i="3"/>
  <c r="BA20" i="3"/>
  <c r="AT24" i="3"/>
  <c r="BA24" i="3"/>
  <c r="AT48" i="3"/>
  <c r="BA23" i="3"/>
  <c r="BA11" i="3"/>
  <c r="BA43" i="3"/>
  <c r="AT31" i="3"/>
  <c r="BA31" i="3"/>
  <c r="BA9" i="3"/>
  <c r="AT17" i="3"/>
  <c r="BA17" i="3"/>
  <c r="BA35" i="3"/>
  <c r="AT12" i="3"/>
  <c r="BA12" i="3"/>
  <c r="AT13" i="3"/>
  <c r="BA13" i="3"/>
  <c r="AT44" i="3"/>
  <c r="BA44" i="3"/>
  <c r="AT34" i="3"/>
  <c r="BA34" i="3"/>
  <c r="AT21" i="3"/>
  <c r="BA21" i="3"/>
  <c r="AT42" i="3"/>
  <c r="BA42" i="3"/>
  <c r="AT47" i="3"/>
  <c r="BA47" i="3"/>
  <c r="AT16" i="3"/>
  <c r="BA16" i="3"/>
  <c r="AT22" i="3"/>
  <c r="BA22" i="3"/>
  <c r="AT50" i="3"/>
  <c r="BA50" i="3"/>
  <c r="AT41" i="3"/>
  <c r="BA41" i="3"/>
  <c r="AT19" i="3"/>
  <c r="BA19" i="3"/>
  <c r="AQ8" i="3"/>
  <c r="AS10" i="3"/>
  <c r="AS33" i="3"/>
  <c r="AS18" i="3"/>
  <c r="BA14" i="3" l="1"/>
  <c r="BB14" i="3" s="1"/>
  <c r="BA45" i="3"/>
  <c r="AT25" i="3"/>
  <c r="AT49" i="3"/>
  <c r="BB11" i="3"/>
  <c r="BB48" i="3"/>
  <c r="AS8" i="3"/>
  <c r="BA8" i="3" s="1"/>
  <c r="AR8" i="3"/>
  <c r="BB49" i="3"/>
  <c r="BB32" i="3"/>
  <c r="BB19" i="3"/>
  <c r="BB16" i="3"/>
  <c r="BB42" i="3"/>
  <c r="BB34" i="3"/>
  <c r="BB45" i="3"/>
  <c r="BB12" i="3"/>
  <c r="BB35" i="3"/>
  <c r="BB9" i="3"/>
  <c r="BB43" i="3"/>
  <c r="BB23" i="3"/>
  <c r="BB24" i="3"/>
  <c r="BB25" i="3"/>
  <c r="BB15" i="3"/>
  <c r="AT18" i="3"/>
  <c r="BA18" i="3"/>
  <c r="BB50" i="3"/>
  <c r="AT10" i="3"/>
  <c r="BA10" i="3"/>
  <c r="AT33" i="3"/>
  <c r="BA33" i="3"/>
  <c r="AT8" i="3"/>
  <c r="BB41" i="3"/>
  <c r="BB22" i="3"/>
  <c r="BB47" i="3"/>
  <c r="BB21" i="3"/>
  <c r="BB44" i="3"/>
  <c r="BB13" i="3"/>
  <c r="BB17" i="3"/>
  <c r="BB31" i="3"/>
  <c r="BB20" i="3"/>
  <c r="D81" i="9"/>
  <c r="D76" i="9"/>
  <c r="D77" i="9"/>
  <c r="D75" i="9"/>
  <c r="D80" i="9"/>
  <c r="D78" i="9"/>
  <c r="D79" i="9"/>
  <c r="D84" i="9"/>
  <c r="D82" i="9"/>
  <c r="D85" i="9"/>
  <c r="D86" i="9"/>
  <c r="D96" i="3"/>
  <c r="D94" i="3"/>
  <c r="D95" i="3"/>
  <c r="C73" i="8" a="1"/>
  <c r="C72" i="8" a="1"/>
  <c r="C55" i="6" a="1"/>
  <c r="C43" i="5" a="1"/>
  <c r="BB33" i="3" l="1"/>
  <c r="BB18" i="3"/>
  <c r="BB8" i="3"/>
  <c r="BB10" i="3"/>
  <c r="D58" i="6"/>
  <c r="D59" i="6"/>
  <c r="D47" i="5"/>
  <c r="C72" i="8"/>
  <c r="D72" i="8" s="1"/>
  <c r="C43" i="5"/>
  <c r="D43" i="5" s="1"/>
  <c r="D44" i="5"/>
  <c r="D56" i="6"/>
  <c r="D54" i="6"/>
  <c r="C55" i="6"/>
  <c r="D55" i="6" s="1"/>
  <c r="D60" i="6"/>
  <c r="D45" i="5"/>
  <c r="D42" i="5"/>
  <c r="D46" i="5"/>
  <c r="D57" i="6"/>
  <c r="D53" i="6"/>
  <c r="C73" i="8"/>
  <c r="D73" i="8" s="1"/>
  <c r="C102" i="3" a="1"/>
  <c r="C102" i="3" l="1"/>
  <c r="D102" i="3" s="1"/>
  <c r="C101" i="3" a="1"/>
  <c r="C97" i="3" a="1"/>
  <c r="C110" i="3" a="1"/>
  <c r="C108" i="3" a="1"/>
  <c r="C107" i="3" a="1"/>
  <c r="C103" i="3" a="1"/>
  <c r="C109" i="3" a="1"/>
  <c r="C98" i="3" a="1"/>
  <c r="C104" i="3" a="1"/>
  <c r="C105" i="3" a="1"/>
  <c r="C99" i="3" a="1"/>
  <c r="C106" i="3" a="1"/>
  <c r="C100" i="3" a="1"/>
  <c r="C109" i="3" l="1"/>
  <c r="D109" i="3" s="1"/>
  <c r="C110" i="3"/>
  <c r="D110" i="3" s="1"/>
  <c r="C100" i="3"/>
  <c r="D100" i="3" s="1"/>
  <c r="C105" i="3"/>
  <c r="D105" i="3" s="1"/>
  <c r="C103" i="3"/>
  <c r="D103" i="3" s="1"/>
  <c r="C97" i="3"/>
  <c r="D97" i="3" s="1"/>
  <c r="C106" i="3"/>
  <c r="D106" i="3" s="1"/>
  <c r="C104" i="3"/>
  <c r="D104" i="3" s="1"/>
  <c r="C107" i="3"/>
  <c r="D107" i="3" s="1"/>
  <c r="C101" i="3"/>
  <c r="D101" i="3" s="1"/>
  <c r="C99" i="3"/>
  <c r="D99" i="3" s="1"/>
  <c r="C98" i="3"/>
  <c r="D98" i="3" s="1"/>
  <c r="C108" i="3"/>
  <c r="D108" i="3" s="1"/>
  <c r="C112" i="3" l="1" a="1"/>
  <c r="C111" i="3" a="1"/>
  <c r="C111" i="3" l="1"/>
  <c r="D111" i="3" s="1"/>
  <c r="C112" i="3"/>
  <c r="D112" i="3" s="1"/>
</calcChain>
</file>

<file path=xl/sharedStrings.xml><?xml version="1.0" encoding="utf-8"?>
<sst xmlns="http://schemas.openxmlformats.org/spreadsheetml/2006/main" count="782" uniqueCount="103">
  <si>
    <t>G</t>
  </si>
  <si>
    <t>E</t>
  </si>
  <si>
    <t>J</t>
  </si>
  <si>
    <t>Section</t>
  </si>
  <si>
    <t>1200WB455</t>
  </si>
  <si>
    <t>350WC197</t>
  </si>
  <si>
    <t>75PFC</t>
  </si>
  <si>
    <t>610UB125</t>
  </si>
  <si>
    <t>150x10EA</t>
  </si>
  <si>
    <t>125x75x6UA</t>
  </si>
  <si>
    <r>
      <t>k</t>
    </r>
    <r>
      <rPr>
        <vertAlign val="subscript"/>
        <sz val="8"/>
        <color theme="1"/>
        <rFont val="Calibri"/>
        <family val="2"/>
        <scheme val="minor"/>
      </rPr>
      <t>f</t>
    </r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</si>
  <si>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</si>
  <si>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ref</t>
    </r>
  </si>
  <si>
    <r>
      <t>α</t>
    </r>
    <r>
      <rPr>
        <vertAlign val="subscript"/>
        <sz val="8"/>
        <color theme="1"/>
        <rFont val="Calibri"/>
        <family val="2"/>
        <scheme val="minor"/>
      </rPr>
      <t>b</t>
    </r>
  </si>
  <si>
    <r>
      <t>λ</t>
    </r>
    <r>
      <rPr>
        <vertAlign val="subscript"/>
        <sz val="8"/>
        <color theme="1"/>
        <rFont val="Calibri"/>
        <family val="2"/>
        <scheme val="minor"/>
      </rPr>
      <t>nx</t>
    </r>
  </si>
  <si>
    <r>
      <t>α</t>
    </r>
    <r>
      <rPr>
        <vertAlign val="subscript"/>
        <sz val="8"/>
        <color theme="1"/>
        <rFont val="Calibri"/>
        <family val="2"/>
        <scheme val="minor"/>
      </rPr>
      <t>ax</t>
    </r>
  </si>
  <si>
    <r>
      <t>λ</t>
    </r>
    <r>
      <rPr>
        <vertAlign val="subscript"/>
        <sz val="8"/>
        <color theme="1"/>
        <rFont val="Calibri"/>
        <family val="2"/>
      </rPr>
      <t>x</t>
    </r>
  </si>
  <si>
    <r>
      <t>η</t>
    </r>
    <r>
      <rPr>
        <vertAlign val="subscript"/>
        <sz val="8"/>
        <color theme="1"/>
        <rFont val="Calibri"/>
        <family val="2"/>
      </rPr>
      <t>x</t>
    </r>
  </si>
  <si>
    <r>
      <t>ξ</t>
    </r>
    <r>
      <rPr>
        <vertAlign val="subscript"/>
        <sz val="8"/>
        <color theme="1"/>
        <rFont val="Calibri"/>
        <family val="2"/>
      </rPr>
      <t>x</t>
    </r>
  </si>
  <si>
    <r>
      <t>α</t>
    </r>
    <r>
      <rPr>
        <vertAlign val="subscript"/>
        <sz val="8"/>
        <color theme="1"/>
        <rFont val="Calibri"/>
        <family val="2"/>
        <scheme val="minor"/>
      </rPr>
      <t>cx</t>
    </r>
  </si>
  <si>
    <r>
      <t>λ</t>
    </r>
    <r>
      <rPr>
        <vertAlign val="subscript"/>
        <sz val="8"/>
        <color theme="1"/>
        <rFont val="Calibri"/>
        <family val="2"/>
        <scheme val="minor"/>
      </rPr>
      <t>ny</t>
    </r>
  </si>
  <si>
    <r>
      <t>α</t>
    </r>
    <r>
      <rPr>
        <vertAlign val="subscript"/>
        <sz val="8"/>
        <color theme="1"/>
        <rFont val="Calibri"/>
        <family val="2"/>
      </rPr>
      <t>ay</t>
    </r>
  </si>
  <si>
    <r>
      <t>λ</t>
    </r>
    <r>
      <rPr>
        <vertAlign val="subscript"/>
        <sz val="8"/>
        <color theme="1"/>
        <rFont val="Calibri"/>
        <family val="2"/>
      </rPr>
      <t>y</t>
    </r>
  </si>
  <si>
    <r>
      <t>η</t>
    </r>
    <r>
      <rPr>
        <vertAlign val="subscript"/>
        <sz val="8"/>
        <color theme="1"/>
        <rFont val="Calibri"/>
        <family val="2"/>
      </rPr>
      <t>y</t>
    </r>
  </si>
  <si>
    <r>
      <t>ξ</t>
    </r>
    <r>
      <rPr>
        <vertAlign val="subscript"/>
        <sz val="8"/>
        <color theme="1"/>
        <rFont val="Calibri"/>
        <family val="2"/>
      </rPr>
      <t>y</t>
    </r>
  </si>
  <si>
    <r>
      <t>α</t>
    </r>
    <r>
      <rPr>
        <vertAlign val="subscript"/>
        <sz val="8"/>
        <color theme="1"/>
        <rFont val="Calibri"/>
        <family val="2"/>
      </rPr>
      <t>cy</t>
    </r>
  </si>
  <si>
    <r>
      <t>A</t>
    </r>
    <r>
      <rPr>
        <vertAlign val="subscript"/>
        <sz val="8"/>
        <color theme="1"/>
        <rFont val="Calibri"/>
        <family val="2"/>
      </rPr>
      <t>e</t>
    </r>
  </si>
  <si>
    <r>
      <t>N</t>
    </r>
    <r>
      <rPr>
        <vertAlign val="subscript"/>
        <sz val="8"/>
        <color theme="1"/>
        <rFont val="Calibri"/>
        <family val="2"/>
      </rPr>
      <t>s</t>
    </r>
  </si>
  <si>
    <r>
      <t>N</t>
    </r>
    <r>
      <rPr>
        <vertAlign val="subscript"/>
        <sz val="8"/>
        <color theme="1"/>
        <rFont val="Calibri"/>
        <family val="2"/>
        <scheme val="minor"/>
      </rPr>
      <t>cy</t>
    </r>
  </si>
  <si>
    <r>
      <t>N</t>
    </r>
    <r>
      <rPr>
        <vertAlign val="subscript"/>
        <sz val="8"/>
        <color theme="1"/>
        <rFont val="Calibri"/>
        <family val="2"/>
      </rPr>
      <t>cx</t>
    </r>
  </si>
  <si>
    <r>
      <t>N</t>
    </r>
    <r>
      <rPr>
        <vertAlign val="subscript"/>
        <sz val="8"/>
        <color theme="1"/>
        <rFont val="Calibri"/>
        <family val="2"/>
        <scheme val="minor"/>
      </rPr>
      <t>c</t>
    </r>
  </si>
  <si>
    <r>
      <t>φN</t>
    </r>
    <r>
      <rPr>
        <vertAlign val="subscript"/>
        <sz val="8"/>
        <color theme="1"/>
        <rFont val="Calibri"/>
        <family val="2"/>
      </rPr>
      <t>s</t>
    </r>
  </si>
  <si>
    <r>
      <t>r</t>
    </r>
    <r>
      <rPr>
        <vertAlign val="subscript"/>
        <sz val="8"/>
        <color theme="1"/>
        <rFont val="Calibri"/>
        <family val="2"/>
        <scheme val="minor"/>
      </rPr>
      <t>x</t>
    </r>
  </si>
  <si>
    <r>
      <t>r</t>
    </r>
    <r>
      <rPr>
        <vertAlign val="subscript"/>
        <sz val="8"/>
        <color theme="1"/>
        <rFont val="Calibri"/>
        <family val="2"/>
        <scheme val="minor"/>
      </rPr>
      <t>y</t>
    </r>
  </si>
  <si>
    <t>f_oxz</t>
  </si>
  <si>
    <t>β</t>
  </si>
  <si>
    <t>100UC15</t>
  </si>
  <si>
    <t>380PFC</t>
  </si>
  <si>
    <t>25x3EA</t>
  </si>
  <si>
    <t>a</t>
  </si>
  <si>
    <t>b</t>
  </si>
  <si>
    <t>c</t>
  </si>
  <si>
    <t>d</t>
  </si>
  <si>
    <t>eqn</t>
  </si>
  <si>
    <t>Goal seek column for 0 in eqn</t>
  </si>
  <si>
    <t>Axis</t>
  </si>
  <si>
    <t>I 500x20fl, 100x10wb, 100x20fl</t>
  </si>
  <si>
    <t>I 200x20fl, 500x10wb, 100x20fl</t>
  </si>
  <si>
    <t>['x', 'y']</t>
  </si>
  <si>
    <t>['x']</t>
  </si>
  <si>
    <t>['y']</t>
  </si>
  <si>
    <t>[]</t>
  </si>
  <si>
    <t>['point']</t>
  </si>
  <si>
    <r>
      <t>l</t>
    </r>
    <r>
      <rPr>
        <vertAlign val="subscript"/>
        <sz val="8"/>
        <color theme="1"/>
        <rFont val="Calibri"/>
        <family val="2"/>
        <scheme val="minor"/>
      </rPr>
      <t>ex</t>
    </r>
  </si>
  <si>
    <r>
      <t>l</t>
    </r>
    <r>
      <rPr>
        <vertAlign val="subscript"/>
        <sz val="8"/>
        <color theme="1"/>
        <rFont val="Calibri"/>
        <family val="2"/>
        <scheme val="minor"/>
      </rPr>
      <t>ey</t>
    </r>
  </si>
  <si>
    <r>
      <t>l</t>
    </r>
    <r>
      <rPr>
        <vertAlign val="subscript"/>
        <sz val="8"/>
        <color theme="1"/>
        <rFont val="Calibri"/>
        <family val="2"/>
        <scheme val="minor"/>
      </rPr>
      <t>ez</t>
    </r>
  </si>
  <si>
    <r>
      <t>x</t>
    </r>
    <r>
      <rPr>
        <vertAlign val="subscript"/>
        <sz val="8"/>
        <color theme="1"/>
        <rFont val="Calibri"/>
        <family val="2"/>
        <scheme val="minor"/>
      </rPr>
      <t>o</t>
    </r>
  </si>
  <si>
    <r>
      <t>y</t>
    </r>
    <r>
      <rPr>
        <vertAlign val="subscript"/>
        <sz val="8"/>
        <color theme="1"/>
        <rFont val="Calibri"/>
        <family val="2"/>
        <scheme val="minor"/>
      </rPr>
      <t>o</t>
    </r>
  </si>
  <si>
    <r>
      <t>I</t>
    </r>
    <r>
      <rPr>
        <vertAlign val="subscript"/>
        <sz val="8"/>
        <color theme="1"/>
        <rFont val="Calibri"/>
        <family val="2"/>
        <scheme val="minor"/>
      </rPr>
      <t>w</t>
    </r>
  </si>
  <si>
    <r>
      <t>A</t>
    </r>
    <r>
      <rPr>
        <vertAlign val="subscript"/>
        <sz val="8"/>
        <color theme="1"/>
        <rFont val="Calibri"/>
        <family val="2"/>
        <scheme val="minor"/>
      </rPr>
      <t>n</t>
    </r>
  </si>
  <si>
    <r>
      <t>r</t>
    </r>
    <r>
      <rPr>
        <vertAlign val="subscript"/>
        <sz val="8"/>
        <color theme="1"/>
        <rFont val="Calibri"/>
        <family val="2"/>
        <scheme val="minor"/>
      </rPr>
      <t>ol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</si>
  <si>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</si>
  <si>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oy</t>
    </r>
  </si>
  <si>
    <r>
      <t>f</t>
    </r>
    <r>
      <rPr>
        <vertAlign val="subscript"/>
        <sz val="8"/>
        <color theme="1"/>
        <rFont val="Calibri"/>
        <family val="2"/>
        <scheme val="minor"/>
      </rPr>
      <t>oz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</si>
  <si>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oc</t>
    </r>
  </si>
  <si>
    <r>
      <rPr>
        <sz val="8"/>
        <color theme="1"/>
        <rFont val="Calibri"/>
        <family val="2"/>
        <scheme val="minor"/>
      </rPr>
      <t>λ</t>
    </r>
    <r>
      <rPr>
        <vertAlign val="subscript"/>
        <sz val="8"/>
        <color theme="1"/>
        <rFont val="Calibri"/>
        <family val="2"/>
        <scheme val="minor"/>
      </rPr>
      <t>c</t>
    </r>
  </si>
  <si>
    <r>
      <t>f</t>
    </r>
    <r>
      <rPr>
        <vertAlign val="subscript"/>
        <sz val="8"/>
        <color theme="1"/>
        <rFont val="Calibri"/>
        <family val="2"/>
        <scheme val="minor"/>
      </rPr>
      <t>n</t>
    </r>
  </si>
  <si>
    <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</si>
  <si>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f</t>
    </r>
    <r>
      <rPr>
        <vertAlign val="subscript"/>
        <sz val="8"/>
        <color theme="1"/>
        <rFont val="Calibri"/>
        <family val="2"/>
        <scheme val="minor"/>
      </rPr>
      <t>ox_x</t>
    </r>
  </si>
  <si>
    <r>
      <t>β</t>
    </r>
    <r>
      <rPr>
        <vertAlign val="subscript"/>
        <sz val="8"/>
        <color theme="1"/>
        <rFont val="Calibri"/>
        <family val="2"/>
      </rPr>
      <t>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</si>
  <si>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oxz_x</t>
    </r>
  </si>
  <si>
    <r>
      <t>f</t>
    </r>
    <r>
      <rPr>
        <vertAlign val="subscript"/>
        <sz val="8"/>
        <color theme="1"/>
        <rFont val="Calibri"/>
        <family val="2"/>
        <scheme val="minor"/>
      </rPr>
      <t>ox_y</t>
    </r>
  </si>
  <si>
    <r>
      <t>β</t>
    </r>
    <r>
      <rPr>
        <vertAlign val="subscript"/>
        <sz val="8"/>
        <color theme="1"/>
        <rFont val="Calibri"/>
        <family val="2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</si>
  <si>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oxz_y</t>
    </r>
  </si>
  <si>
    <r>
      <t>f</t>
    </r>
    <r>
      <rPr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</si>
  <si>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</t>
    </r>
  </si>
  <si>
    <r>
      <rPr>
        <sz val="8"/>
        <color theme="1"/>
        <rFont val="Calibri"/>
        <family val="2"/>
        <scheme val="minor"/>
      </rP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</si>
  <si>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λ</t>
    </r>
    <r>
      <rPr>
        <vertAlign val="subscript"/>
        <sz val="8"/>
        <color theme="1"/>
        <rFont val="Calibri"/>
        <family val="2"/>
      </rPr>
      <t>c</t>
    </r>
  </si>
  <si>
    <r>
      <t>φN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</si>
  <si>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</si>
  <si>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cz_un</t>
    </r>
  </si>
  <si>
    <r>
      <t>N</t>
    </r>
    <r>
      <rPr>
        <vertAlign val="subscript"/>
        <sz val="8"/>
        <color theme="1"/>
        <rFont val="Calibri"/>
        <family val="2"/>
        <scheme val="minor"/>
      </rPr>
      <t>cz_sngl</t>
    </r>
  </si>
  <si>
    <r>
      <t>N</t>
    </r>
    <r>
      <rPr>
        <vertAlign val="subscript"/>
        <sz val="8"/>
        <color theme="1"/>
        <rFont val="Calibri"/>
        <family val="2"/>
        <scheme val="minor"/>
      </rPr>
      <t>cz_dbl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</si>
  <si>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</si>
  <si>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x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</si>
  <si>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</si>
  <si>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</si>
  <si>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</si>
  <si>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euler_torsion</t>
    </r>
  </si>
  <si>
    <r>
      <t>r</t>
    </r>
    <r>
      <rPr>
        <b/>
        <vertAlign val="subscript"/>
        <sz val="8"/>
        <color theme="1"/>
        <rFont val="Calibri"/>
        <family val="2"/>
        <scheme val="minor"/>
      </rPr>
      <t>ol</t>
    </r>
  </si>
  <si>
    <r>
      <t>N</t>
    </r>
    <r>
      <rPr>
        <vertAlign val="subscript"/>
        <sz val="8"/>
        <color theme="1"/>
        <rFont val="Calibri"/>
        <family val="2"/>
        <scheme val="minor"/>
      </rPr>
      <t>cflex</t>
    </r>
  </si>
  <si>
    <r>
      <t>N</t>
    </r>
    <r>
      <rPr>
        <vertAlign val="subscript"/>
        <sz val="8"/>
        <color theme="1"/>
        <rFont val="Calibri"/>
        <family val="2"/>
        <scheme val="minor"/>
      </rPr>
      <t>cz_base</t>
    </r>
  </si>
  <si>
    <r>
      <t>φN</t>
    </r>
    <r>
      <rPr>
        <vertAlign val="subscript"/>
        <sz val="8"/>
        <color theme="1"/>
        <rFont val="Calibri"/>
        <family val="2"/>
        <scheme val="minor"/>
      </rPr>
      <t>c</t>
    </r>
  </si>
  <si>
    <t>calc_buckle</t>
  </si>
  <si>
    <t>calc_torsion</t>
  </si>
  <si>
    <t>l</t>
  </si>
  <si>
    <r>
      <t>k</t>
    </r>
    <r>
      <rPr>
        <vertAlign val="subscript"/>
        <sz val="8"/>
        <color theme="1"/>
        <rFont val="Calibri"/>
        <family val="2"/>
        <scheme val="minor"/>
      </rPr>
      <t>ex</t>
    </r>
  </si>
  <si>
    <r>
      <t>k</t>
    </r>
    <r>
      <rPr>
        <vertAlign val="subscript"/>
        <sz val="8"/>
        <color theme="1"/>
        <rFont val="Calibri"/>
        <family val="2"/>
        <scheme val="minor"/>
      </rPr>
      <t>ey</t>
    </r>
  </si>
  <si>
    <r>
      <t>k</t>
    </r>
    <r>
      <rPr>
        <vertAlign val="subscript"/>
        <sz val="8"/>
        <color theme="1"/>
        <rFont val="Calibri"/>
        <family val="2"/>
        <scheme val="minor"/>
      </rPr>
      <t>ez</t>
    </r>
  </si>
  <si>
    <r>
      <t>φN</t>
    </r>
    <r>
      <rPr>
        <vertAlign val="subscript"/>
        <sz val="8"/>
        <color theme="1"/>
        <rFont val="Calibri"/>
        <family val="2"/>
        <scheme val="minor"/>
      </rPr>
      <t>cflex</t>
    </r>
  </si>
  <si>
    <r>
      <rPr>
        <sz val="8"/>
        <color theme="1"/>
        <rFont val="Calibri"/>
        <family val="2"/>
      </rPr>
      <t>φ</t>
    </r>
    <r>
      <rPr>
        <sz val="8"/>
        <color theme="1"/>
        <rFont val="Calibri"/>
        <family val="2"/>
        <scheme val="minor"/>
      </rPr>
      <t>N</t>
    </r>
    <r>
      <rPr>
        <vertAlign val="subscript"/>
        <sz val="8"/>
        <color theme="1"/>
        <rFont val="Calibri"/>
        <family val="2"/>
        <scheme val="minor"/>
      </rPr>
      <t>cx</t>
    </r>
  </si>
  <si>
    <r>
      <t>φN</t>
    </r>
    <r>
      <rPr>
        <vertAlign val="subscript"/>
        <sz val="8"/>
        <color theme="1"/>
        <rFont val="Calibri"/>
        <family val="2"/>
        <scheme val="minor"/>
      </rPr>
      <t>cy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</si>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</sst>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0.00000"/>
    <numFmt numFmtId="165" formatCode="0.000000"/>
    <numFmt numFmtId="166" formatCode="0.0000"/>
    <numFmt numFmtId="167" formatCode="0.000"/>
    <numFmt numFmtId="168" formatCode="0.0"/>
    <numFmt numFmtId="169" formatCode="0.0000000"/>
    <numFmt numFmtId="170" formatCode="0.00000000"/>
    <numFmt numFmtId="171" formatCode="0.000000000"/>
    <numFmt numFmtId="172" formatCode="0.0000000000000000"/>
    <numFmt numFmtId="173" formatCode="0.0000E+00"/>
    <numFmt numFmtId="174" formatCode="0.00000E+00"/>
    <numFmt numFmtId="175" formatCode="0.000000&quot; m²&quot;"/>
    <numFmt numFmtId="176" formatCode="0.000&quot; m&quot;"/>
    <numFmt numFmtId="177" formatCode="0.000000&quot; m&quot;"/>
    <numFmt numFmtId="178" formatCode="##0.00E+00&quot; m⁴&quot;"/>
    <numFmt numFmtId="179" formatCode="##0.00E+00&quot; m⁶&quot;"/>
    <numFmt numFmtId="180" formatCode="##0E+00&quot; Pa&quot;"/>
    <numFmt numFmtId="181" formatCode="##0.00E+00&quot; N&quot;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1" fillId="2" borderId="0" xfId="0" applyFont="1" applyFill="1"/>
    <xf numFmtId="166" fontId="1" fillId="2" borderId="0" xfId="0" applyNumberFormat="1" applyFont="1" applyFill="1"/>
    <xf numFmtId="11" fontId="1" fillId="2" borderId="0" xfId="0" applyNumberFormat="1" applyFont="1" applyFill="1"/>
    <xf numFmtId="168" fontId="1" fillId="2" borderId="0" xfId="0" applyNumberFormat="1" applyFont="1" applyFill="1" applyBorder="1"/>
    <xf numFmtId="168" fontId="1" fillId="2" borderId="0" xfId="0" applyNumberFormat="1" applyFont="1" applyFill="1"/>
    <xf numFmtId="167" fontId="1" fillId="2" borderId="0" xfId="0" applyNumberFormat="1" applyFont="1" applyFill="1"/>
    <xf numFmtId="165" fontId="1" fillId="2" borderId="0" xfId="0" applyNumberFormat="1" applyFont="1" applyFill="1"/>
    <xf numFmtId="167" fontId="1" fillId="2" borderId="0" xfId="0" applyNumberFormat="1" applyFont="1" applyFill="1" applyBorder="1"/>
    <xf numFmtId="0" fontId="5" fillId="0" borderId="1" xfId="0" applyFont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66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0" borderId="0" xfId="0" applyFo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67" fontId="1" fillId="2" borderId="0" xfId="0" quotePrefix="1" applyNumberFormat="1" applyFont="1" applyFill="1" applyBorder="1"/>
    <xf numFmtId="11" fontId="1" fillId="2" borderId="0" xfId="0" quotePrefix="1" applyNumberFormat="1" applyFont="1" applyFill="1" applyBorder="1"/>
    <xf numFmtId="0" fontId="1" fillId="2" borderId="0" xfId="0" quotePrefix="1" applyFont="1" applyFill="1"/>
    <xf numFmtId="0" fontId="7" fillId="0" borderId="0" xfId="0" applyFont="1"/>
    <xf numFmtId="0" fontId="5" fillId="0" borderId="0" xfId="0" applyFont="1" applyBorder="1"/>
    <xf numFmtId="0" fontId="5" fillId="0" borderId="0" xfId="0" applyFont="1"/>
    <xf numFmtId="174" fontId="1" fillId="0" borderId="0" xfId="0" applyNumberFormat="1" applyFont="1" applyFill="1" applyBorder="1"/>
    <xf numFmtId="174" fontId="1" fillId="0" borderId="0" xfId="0" applyNumberFormat="1" applyFont="1" applyBorder="1"/>
    <xf numFmtId="174" fontId="1" fillId="4" borderId="0" xfId="0" applyNumberFormat="1" applyFont="1" applyFill="1" applyBorder="1"/>
    <xf numFmtId="174" fontId="1" fillId="0" borderId="0" xfId="0" applyNumberFormat="1" applyFont="1" applyFill="1"/>
    <xf numFmtId="174" fontId="1" fillId="0" borderId="0" xfId="0" applyNumberFormat="1" applyFont="1"/>
    <xf numFmtId="174" fontId="1" fillId="4" borderId="0" xfId="0" applyNumberFormat="1" applyFont="1" applyFill="1"/>
    <xf numFmtId="167" fontId="1" fillId="2" borderId="0" xfId="0" quotePrefix="1" applyNumberFormat="1" applyFont="1" applyFill="1"/>
    <xf numFmtId="0" fontId="8" fillId="0" borderId="0" xfId="0" applyFont="1"/>
    <xf numFmtId="0" fontId="3" fillId="0" borderId="0" xfId="0" applyFont="1"/>
    <xf numFmtId="173" fontId="1" fillId="0" borderId="0" xfId="0" applyNumberFormat="1" applyFont="1"/>
    <xf numFmtId="173" fontId="9" fillId="0" borderId="0" xfId="0" applyNumberFormat="1" applyFont="1"/>
    <xf numFmtId="11" fontId="1" fillId="2" borderId="0" xfId="0" quotePrefix="1" applyNumberFormat="1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11" fontId="1" fillId="0" borderId="0" xfId="0" applyNumberFormat="1" applyFont="1"/>
    <xf numFmtId="11" fontId="1" fillId="0" borderId="0" xfId="0" applyNumberFormat="1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0" fontId="2" fillId="0" borderId="0" xfId="0" applyFont="1"/>
    <xf numFmtId="172" fontId="1" fillId="0" borderId="0" xfId="0" applyNumberFormat="1" applyFont="1"/>
    <xf numFmtId="170" fontId="1" fillId="0" borderId="0" xfId="0" applyNumberFormat="1" applyFont="1"/>
    <xf numFmtId="169" fontId="1" fillId="0" borderId="0" xfId="0" applyNumberFormat="1" applyFont="1"/>
    <xf numFmtId="171" fontId="1" fillId="0" borderId="0" xfId="0" applyNumberFormat="1" applyFont="1"/>
    <xf numFmtId="0" fontId="1" fillId="2" borderId="0" xfId="0" quotePrefix="1" applyFont="1" applyFill="1" applyBorder="1"/>
    <xf numFmtId="2" fontId="1" fillId="0" borderId="0" xfId="0" applyNumberFormat="1" applyFont="1" applyFill="1" applyBorder="1"/>
    <xf numFmtId="2" fontId="1" fillId="0" borderId="0" xfId="0" applyNumberFormat="1" applyFont="1" applyFill="1"/>
    <xf numFmtId="175" fontId="1" fillId="2" borderId="0" xfId="0" applyNumberFormat="1" applyFont="1" applyFill="1" applyBorder="1"/>
    <xf numFmtId="175" fontId="1" fillId="2" borderId="0" xfId="0" applyNumberFormat="1" applyFont="1" applyFill="1"/>
    <xf numFmtId="176" fontId="1" fillId="2" borderId="0" xfId="0" applyNumberFormat="1" applyFont="1" applyFill="1" applyBorder="1"/>
    <xf numFmtId="176" fontId="1" fillId="2" borderId="0" xfId="0" applyNumberFormat="1" applyFont="1" applyFill="1"/>
    <xf numFmtId="176" fontId="1" fillId="2" borderId="0" xfId="0" quotePrefix="1" applyNumberFormat="1" applyFont="1" applyFill="1" applyBorder="1"/>
    <xf numFmtId="177" fontId="1" fillId="2" borderId="0" xfId="0" applyNumberFormat="1" applyFont="1" applyFill="1" applyBorder="1"/>
    <xf numFmtId="177" fontId="1" fillId="2" borderId="0" xfId="0" applyNumberFormat="1" applyFont="1" applyFill="1"/>
    <xf numFmtId="178" fontId="1" fillId="2" borderId="0" xfId="0" applyNumberFormat="1" applyFont="1" applyFill="1" applyBorder="1"/>
    <xf numFmtId="178" fontId="1" fillId="2" borderId="0" xfId="0" applyNumberFormat="1" applyFont="1" applyFill="1"/>
    <xf numFmtId="179" fontId="1" fillId="2" borderId="0" xfId="0" applyNumberFormat="1" applyFont="1" applyFill="1" applyBorder="1"/>
    <xf numFmtId="179" fontId="1" fillId="2" borderId="0" xfId="0" applyNumberFormat="1" applyFont="1" applyFill="1"/>
    <xf numFmtId="180" fontId="1" fillId="2" borderId="0" xfId="0" applyNumberFormat="1" applyFont="1" applyFill="1"/>
    <xf numFmtId="180" fontId="1" fillId="2" borderId="0" xfId="0" applyNumberFormat="1" applyFont="1" applyFill="1" applyBorder="1"/>
    <xf numFmtId="180" fontId="1" fillId="2" borderId="0" xfId="0" quotePrefix="1" applyNumberFormat="1" applyFont="1" applyFill="1" applyBorder="1"/>
    <xf numFmtId="175" fontId="1" fillId="0" borderId="0" xfId="0" applyNumberFormat="1" applyFont="1" applyFill="1" applyBorder="1"/>
    <xf numFmtId="181" fontId="1" fillId="0" borderId="0" xfId="0" applyNumberFormat="1" applyFont="1" applyFill="1"/>
    <xf numFmtId="181" fontId="1" fillId="0" borderId="0" xfId="0" applyNumberFormat="1" applyFont="1" applyFill="1" applyBorder="1"/>
    <xf numFmtId="176" fontId="1" fillId="0" borderId="0" xfId="0" applyNumberFormat="1" applyFont="1" applyFill="1" applyBorder="1"/>
    <xf numFmtId="176" fontId="1" fillId="0" borderId="0" xfId="0" applyNumberFormat="1" applyFont="1" applyFill="1"/>
    <xf numFmtId="2" fontId="3" fillId="0" borderId="0" xfId="0" applyNumberFormat="1" applyFont="1" applyFill="1" applyBorder="1"/>
    <xf numFmtId="0" fontId="10" fillId="0" borderId="0" xfId="0" applyFont="1" applyBorder="1"/>
    <xf numFmtId="0" fontId="5" fillId="0" borderId="0" xfId="0" applyFont="1" applyFill="1" applyBorder="1"/>
    <xf numFmtId="180" fontId="1" fillId="0" borderId="0" xfId="0" applyNumberFormat="1" applyFont="1" applyFill="1" applyBorder="1"/>
  </cellXfs>
  <cellStyles count="1">
    <cellStyle name="Normal" xfId="0" builtinId="0"/>
  </cellStyles>
  <dxfs count="2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rgb="FF000000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0" formatCode="0.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216"/>
      <tableStyleElement type="headerRow" dxfId="215"/>
      <tableStyleElement type="secondRowStripe" dxfId="214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Euler" displayName="tblEuler" ref="B2:AA57" totalsRowShown="0" headerRowDxfId="213" dataDxfId="212">
  <autoFilter ref="B2:AA57"/>
  <tableColumns count="26">
    <tableColumn id="1" name="Section" dataDxfId="211"/>
    <tableColumn id="2" name="An" dataDxfId="210"/>
    <tableColumn id="3" name="kf" dataDxfId="209"/>
    <tableColumn id="4" name="lex" dataDxfId="208"/>
    <tableColumn id="5" name="ley" dataDxfId="207"/>
    <tableColumn id="6" name="lez" dataDxfId="206"/>
    <tableColumn id="7" name="rx" dataDxfId="205"/>
    <tableColumn id="8" name="ry" dataDxfId="204"/>
    <tableColumn id="9" name="xo" dataDxfId="203"/>
    <tableColumn id="10" name="yo" dataDxfId="202"/>
    <tableColumn id="22" name="Ix" dataDxfId="201"/>
    <tableColumn id="21" name="Iy" dataDxfId="200"/>
    <tableColumn id="11" name="J" dataDxfId="199"/>
    <tableColumn id="12" name="Iw" dataDxfId="198"/>
    <tableColumn id="13" name="fy" dataDxfId="197"/>
    <tableColumn id="14" name="E" dataDxfId="196"/>
    <tableColumn id="15" name="G" dataDxfId="195"/>
    <tableColumn id="16" name="fref" dataDxfId="194"/>
    <tableColumn id="17" name="αb" dataDxfId="193"/>
    <tableColumn id="18" name="Axis" dataDxfId="192"/>
    <tableColumn id="19" name="feuler_x" dataDxfId="2">
      <calculatedColumnFormula>(tblEuler[[#This Row],[E]]*PI()^2)/((tblEuler[[#This Row],[lex]]/tblEuler[[#This Row],[rx]])^2)</calculatedColumnFormula>
    </tableColumn>
    <tableColumn id="20" name="Neuler_x" dataDxfId="191">
      <calculatedColumnFormula>(tblEuler[[#This Row],[Ix]]*tblEuler[[#This Row],[E]]*PI()^2)/(tblEuler[[#This Row],[lex]]^2)</calculatedColumnFormula>
    </tableColumn>
    <tableColumn id="23" name="Feuler_y" dataDxfId="1">
      <calculatedColumnFormula>(tblEuler[[#This Row],[E]]*PI()^2)/((tblEuler[[#This Row],[ley]]/tblEuler[[#This Row],[ry]])^2)</calculatedColumnFormula>
    </tableColumn>
    <tableColumn id="24" name="Neuler_y" dataDxfId="190">
      <calculatedColumnFormula>(tblEuler[[#This Row],[Iy]]*tblEuler[[#This Row],[E]]*PI()^2)/(tblEuler[[#This Row],[ley]]^2)</calculatedColumnFormula>
    </tableColumn>
    <tableColumn id="26" name="rol" dataDxfId="189">
      <calculatedColumnFormula>SQRT(tblEuler[[#This Row],[rx]]^2+tblEuler[[#This Row],[ry]]^2+tblEuler[[#This Row],[xo]]^2+tblEuler[[#This Row],[yo]]^2)</calculatedColumnFormula>
    </tableColumn>
    <tableColumn id="25" name="Feuler_torsion" dataDxfId="0">
      <calculatedColumnFormula>((tblEuler[[#This Row],[G]]*tblEuler[[#This Row],[J]])/(tblEuler[[#This Row],[An]]*tblEuler[[#This Row],[rol]]^2))*(1+((tblEuler[[#This Row],[Iw]]*tblEuler[[#This Row],[E]]*PI()^2)/(tblEuler[[#This Row],[G]]*tblEuler[[#This Row],[J]]*tblEuler[[#This Row],[lez]]^2)))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Nc" displayName="tblNc" ref="B3:BB58" totalsRowShown="0" headerRowDxfId="188" dataDxfId="187">
  <autoFilter ref="B3:BB58"/>
  <sortState ref="B4:AL58">
    <sortCondition ref="B3:B58"/>
  </sortState>
  <tableColumns count="53">
    <tableColumn id="1" name="Section" dataDxfId="186"/>
    <tableColumn id="22" name="An" dataDxfId="185"/>
    <tableColumn id="5" name="kf" dataDxfId="184"/>
    <tableColumn id="51" name="l" dataDxfId="183"/>
    <tableColumn id="50" name="kex" dataDxfId="182"/>
    <tableColumn id="49" name="key" dataDxfId="181"/>
    <tableColumn id="48" name="kez" dataDxfId="180"/>
    <tableColumn id="3" name="rx" dataDxfId="179"/>
    <tableColumn id="4" name="ry" dataDxfId="178"/>
    <tableColumn id="32" name="xo" dataDxfId="177"/>
    <tableColumn id="31" name="yo" dataDxfId="176"/>
    <tableColumn id="36" name="J" dataDxfId="175"/>
    <tableColumn id="35" name="Iw" dataDxfId="174"/>
    <tableColumn id="6" name="fy" dataDxfId="173"/>
    <tableColumn id="34" name="E" dataDxfId="172"/>
    <tableColumn id="33" name="G" dataDxfId="171"/>
    <tableColumn id="7" name="fref" dataDxfId="170"/>
    <tableColumn id="8" name="αb" dataDxfId="169"/>
    <tableColumn id="37" name="Axis" dataDxfId="168"/>
    <tableColumn id="47" name="calc_buckle" dataDxfId="167"/>
    <tableColumn id="46" name="calc_torsion" dataDxfId="166"/>
    <tableColumn id="23" name="Ae" dataDxfId="165">
      <calculatedColumnFormula>tblNc[[#This Row],[An]]*tblNc[[#This Row],[kf]]</calculatedColumnFormula>
    </tableColumn>
    <tableColumn id="24" name="Ns" dataDxfId="164">
      <calculatedColumnFormula>tblNc[[#This Row],[Ae]]*tblNc[[#This Row],[fy]]</calculatedColumnFormula>
    </tableColumn>
    <tableColumn id="29" name="φNs" dataDxfId="163">
      <calculatedColumnFormula>tblNc[[#This Row],[Ns]]*0.9</calculatedColumnFormula>
    </tableColumn>
    <tableColumn id="2" name="lex" dataDxfId="162">
      <calculatedColumnFormula>tblNc[[#This Row],[l]]*tblNc[[#This Row],[kex]]</calculatedColumnFormula>
    </tableColumn>
    <tableColumn id="30" name="ley" dataDxfId="161">
      <calculatedColumnFormula>tblNc[[#This Row],[l]]*tblNc[[#This Row],[key]]</calculatedColumnFormula>
    </tableColumn>
    <tableColumn id="21" name="lez" dataDxfId="160">
      <calculatedColumnFormula>tblNc[[#This Row],[kez]]*tblNc[[#This Row],[l]]</calculatedColumnFormula>
    </tableColumn>
    <tableColumn id="9" name="λnx" dataDxfId="159">
      <calculatedColumnFormula>(tblNc[[#This Row],[lex]]/tblNc[[#This Row],[rx]])*(SQRT(tblNc[[#This Row],[kf]]))*SQRT((tblNc[[#This Row],[fy]]/tblNc[[#This Row],[fref]]))</calculatedColumnFormula>
    </tableColumn>
    <tableColumn id="10" name="αax" dataDxfId="158">
      <calculatedColumnFormula>(2100*(tblNc[[#This Row],[λnx]]-13.5))/((tblNc[[#This Row],[λnx]]^2)-(15.3*tblNc[[#This Row],[λnx]])+2050)</calculatedColumnFormula>
    </tableColumn>
    <tableColumn id="11" name="λx" dataDxfId="157">
      <calculatedColumnFormula>tblNc[[#This Row],[λnx]]+tblNc[[#This Row],[αax]]*tblNc[[#This Row],[αb]]</calculatedColumnFormula>
    </tableColumn>
    <tableColumn id="12" name="ηx" dataDxfId="156">
      <calculatedColumnFormula>MAX((0.00326*(tblNc[[#This Row],[λx]]-13.5)),0)</calculatedColumnFormula>
    </tableColumn>
    <tableColumn id="13" name="ξx" dataDxfId="155">
      <calculatedColumnFormula>((tblNc[[#This Row],[λx]]/90)^2+1+tblNc[[#This Row],[ηx]])/(2*(tblNc[[#This Row],[λx]]/90)^2)</calculatedColumnFormula>
    </tableColumn>
    <tableColumn id="14" name="αcx" dataDxfId="154">
      <calculatedColumnFormula>tblNc[[#This Row],[ξx]]*(1-SQRT(1-(90/(tblNc[[#This Row],[ξx]]*tblNc[[#This Row],[λx]]))^2))</calculatedColumnFormula>
    </tableColumn>
    <tableColumn id="26" name="Ncx" dataDxfId="153">
      <calculatedColumnFormula>tblNc[[#This Row],[αcx]]*tblNc[[#This Row],[Ns]]</calculatedColumnFormula>
    </tableColumn>
    <tableColumn id="53" name="φNcx" dataDxfId="152">
      <calculatedColumnFormula>tblNc[[#This Row],[Ncx]]*0.9</calculatedColumnFormula>
    </tableColumn>
    <tableColumn id="15" name="λny" dataDxfId="151">
      <calculatedColumnFormula>(tblNc[[#This Row],[lex]]/tblNc[[#This Row],[ry]])*(SQRT(tblNc[[#This Row],[kf]]))*SQRT((tblNc[[#This Row],[fy]]/tblNc[[#This Row],[fref]]))</calculatedColumnFormula>
    </tableColumn>
    <tableColumn id="16" name="αay" dataDxfId="150">
      <calculatedColumnFormula>(2100*(tblNc[[#This Row],[λny]]-13.5))/((tblNc[[#This Row],[λny]]^2)-(15.3*tblNc[[#This Row],[λny]])+2050)</calculatedColumnFormula>
    </tableColumn>
    <tableColumn id="17" name="λy" dataDxfId="149">
      <calculatedColumnFormula>tblNc[[#This Row],[λny]]+tblNc[[#This Row],[αay]]*tblNc[[#This Row],[αb]]</calculatedColumnFormula>
    </tableColumn>
    <tableColumn id="18" name="ηy" dataDxfId="148">
      <calculatedColumnFormula>MAX((0.00326*(tblNc[[#This Row],[λy]]-13.5)),0)</calculatedColumnFormula>
    </tableColumn>
    <tableColumn id="19" name="ξy" dataDxfId="147">
      <calculatedColumnFormula>((tblNc[[#This Row],[λy]]/90)^2+1+tblNc[[#This Row],[ηy]])/(2*(tblNc[[#This Row],[λy]]/90)^2)</calculatedColumnFormula>
    </tableColumn>
    <tableColumn id="20" name="αcy" dataDxfId="146">
      <calculatedColumnFormula>tblNc[[#This Row],[ξy]]*(1-SQRT(1-(90/(tblNc[[#This Row],[ξy]]*tblNc[[#This Row],[λy]]))^2))</calculatedColumnFormula>
    </tableColumn>
    <tableColumn id="25" name="Ncy" dataDxfId="145">
      <calculatedColumnFormula>tblNc[[#This Row],[αcy]]*tblNc[[#This Row],[Ns]]</calculatedColumnFormula>
    </tableColumn>
    <tableColumn id="52" name="φNcy" dataDxfId="144">
      <calculatedColumnFormula>tblNc[[#This Row],[Ncy]]*0.9</calculatedColumnFormula>
    </tableColumn>
    <tableColumn id="27" name="Ncflex" dataDxfId="143">
      <calculatedColumnFormula>MIN(tblNc[[#This Row],[Ncy]],tblNc[[#This Row],[Ncx]],tblNc[[#This Row],[Ns]])</calculatedColumnFormula>
    </tableColumn>
    <tableColumn id="28" name="φNcflex" dataDxfId="142">
      <calculatedColumnFormula>tblNc[[#This Row],[Ncflex]]*0.9</calculatedColumnFormula>
    </tableColumn>
    <tableColumn id="38" name="Ncz_dbl" dataDxfId="141">
      <calculatedColumnFormula array="1">INDEX(tblfocDblSym[Nc],MATCH(tblNc[[#This Row],[Section]]&amp;tblNc[[#This Row],[lex]],tblfocDblSym[Section]&amp;tblfocDblSym[lex],0))</calculatedColumnFormula>
    </tableColumn>
    <tableColumn id="39" name="Ncz_sngl" dataDxfId="140">
      <calculatedColumnFormula array="1">INDEX(tblfocSglSym[Nc],MATCH(tblNc[[#This Row],[Section]]&amp;tblNc[[#This Row],[lex]],tblfocSglSym[Section]&amp;tblfocSglSym[lex],0))</calculatedColumnFormula>
    </tableColumn>
    <tableColumn id="41" name="Ncz_un" dataDxfId="139">
      <calculatedColumnFormula array="1">INDEX(tblfocunsym[Nc],MATCH(tblNc[[#This Row],[Section]]&amp;tblNc[[#This Row],[lex]],tblfocunsym[Section]&amp;tblfocunsym[lex],0))</calculatedColumnFormula>
    </tableColumn>
    <tableColumn id="42" name="Ncz_base" dataDxfId="138">
      <calculatedColumnFormula>IF(tblNc[[#This Row],[Axis]]="['x', 'y']",tblNc[[#This Row],[Ncz_dbl]],IF(tblNc[[#This Row],[Axis]]="[]",tblNc[[#This Row],[Ncz_un]],tblNc[[#This Row],[Ncz_sngl]]))</calculatedColumnFormula>
    </tableColumn>
    <tableColumn id="45" name="Ncz" dataDxfId="137">
      <calculatedColumnFormula>MIN(tblNc[[#This Row],[Ncz_base]],tblNc[[#This Row],[Ns]])</calculatedColumnFormula>
    </tableColumn>
    <tableColumn id="43" name="φNcz" dataDxfId="136">
      <calculatedColumnFormula>tblNc[[#This Row],[Ncz]]*0.9</calculatedColumnFormula>
    </tableColumn>
    <tableColumn id="40" name="Nc" dataDxfId="135">
      <calculatedColumnFormula>MIN(tblNc[[#This Row],[Ncflex]],tblNc[[#This Row],[Ncz]])</calculatedColumnFormula>
    </tableColumn>
    <tableColumn id="44" name="φNc" dataDxfId="134">
      <calculatedColumnFormula>tblNc[[#This Row],[Nc]]*0.9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id="3" name="tblfoxz" displayName="tblfoxz" ref="B2:R57" totalsRowShown="0" headerRowDxfId="133" dataDxfId="132">
  <autoFilter ref="B2:R57"/>
  <tableColumns count="17">
    <tableColumn id="1" name="Section" dataDxfId="131"/>
    <tableColumn id="18" name="An" dataDxfId="130"/>
    <tableColumn id="14" name="lex" dataDxfId="129"/>
    <tableColumn id="19" name="lez" dataDxfId="128"/>
    <tableColumn id="12" name="rx" dataDxfId="127"/>
    <tableColumn id="11" name="ry" dataDxfId="126"/>
    <tableColumn id="7" name="xo" dataDxfId="125"/>
    <tableColumn id="10" name="yo" dataDxfId="124"/>
    <tableColumn id="17" name="J" dataDxfId="123"/>
    <tableColumn id="20" name="Iw" dataDxfId="122"/>
    <tableColumn id="13" name="E" dataDxfId="121"/>
    <tableColumn id="16" name="G" dataDxfId="120"/>
    <tableColumn id="6" name="rol" dataDxfId="119">
      <calculatedColumnFormula>SQRT(tblfoxz[[#This Row],[rx]]^2+tblfoxz[[#This Row],[ry]]^2+tblfoxz[[#This Row],[xo]]^2+tblfoxz[[#This Row],[yo]]^2)</calculatedColumnFormula>
    </tableColumn>
    <tableColumn id="2" name="fox" dataDxfId="118">
      <calculatedColumnFormula>(tblfoxz[[#This Row],[E]]*PI()^2)/((tblfoxz[[#This Row],[lex]]/tblfoxz[[#This Row],[rx]])^2)</calculatedColumnFormula>
    </tableColumn>
    <tableColumn id="3" name="foz" dataDxfId="117">
      <calculatedColumnFormula>((tblfoxz[[#This Row],[G]]*tblfoxz[[#This Row],[J]])/(tblfoxz[[#This Row],[An]]*tblfoxz[[#This Row],[rol]]^2))*(1+((tblfoxz[[#This Row],[Iw]]*tblfoxz[[#This Row],[E]]*PI()^2)/(tblfoxz[[#This Row],[G]]*tblfoxz[[#This Row],[J]]*tblfoxz[[#This Row],[lez]]^2)))</calculatedColumnFormula>
    </tableColumn>
    <tableColumn id="4" name="β" dataDxfId="116">
      <calculatedColumnFormula>1-(tblfoxz[[#This Row],[xo]]/tblfoxz[[#This Row],[rol]])^2</calculatedColumnFormula>
    </tableColumn>
    <tableColumn id="5" name="f_oxz" dataDxfId="115">
      <calculatedColumnFormula>(1/(2*tblfoxz[[#This Row],[β]]))*((tblfoxz[[#This Row],[fox]]+tblfoxz[[#This Row],[foz]])-SQRT((tblfoxz[[#This Row],[fox]]+tblfoxz[[#This Row],[foz]])^2-4*tblfoxz[[#This Row],[β]]*tblfoxz[[#This Row],[fox]]*tblfoxz[[#This Row],[foz]]))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id="4" name="tblfocDblSym" displayName="tblfocDblSym" ref="B2:Z22" totalsRowShown="0" headerRowDxfId="114" dataDxfId="113">
  <autoFilter ref="B2:Z22"/>
  <tableColumns count="25">
    <tableColumn id="1" name="Section" dataDxfId="112"/>
    <tableColumn id="18" name="An" dataDxfId="111"/>
    <tableColumn id="23" name="kf" dataDxfId="110"/>
    <tableColumn id="14" name="lex" dataDxfId="109"/>
    <tableColumn id="25" name="ley" dataDxfId="108"/>
    <tableColumn id="19" name="lez" dataDxfId="107"/>
    <tableColumn id="12" name="rx" dataDxfId="106"/>
    <tableColumn id="11" name="ry" dataDxfId="105"/>
    <tableColumn id="7" name="xo" dataDxfId="104"/>
    <tableColumn id="10" name="yo" dataDxfId="103"/>
    <tableColumn id="17" name="J" dataDxfId="102"/>
    <tableColumn id="20" name="Iw" dataDxfId="101"/>
    <tableColumn id="8" name="fy" dataDxfId="100"/>
    <tableColumn id="13" name="E" dataDxfId="99"/>
    <tableColumn id="16" name="G" dataDxfId="98"/>
    <tableColumn id="24" name="Axis" dataDxfId="97"/>
    <tableColumn id="6" name="rol" dataDxfId="96">
      <calculatedColumnFormula>SQRT(tblfocDblSym[[#This Row],[rx]]^2+tblfocDblSym[[#This Row],[ry]]^2+tblfocDblSym[[#This Row],[xo]]^2+tblfocDblSym[[#This Row],[yo]]^2)</calculatedColumnFormula>
    </tableColumn>
    <tableColumn id="2" name="fox" dataDxfId="95">
      <calculatedColumnFormula>(tblfocDblSym[[#This Row],[E]]*PI()^2)/((tblfocDblSym[[#This Row],[lex]]/tblfocDblSym[[#This Row],[rx]])^2)</calculatedColumnFormula>
    </tableColumn>
    <tableColumn id="3" name="foz" dataDxfId="94">
      <calculatedColumnFormula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calculatedColumnFormula>
    </tableColumn>
    <tableColumn id="4" name="β" dataDxfId="93">
      <calculatedColumnFormula>1-(tblfocDblSym[[#This Row],[xo]]/tblfocDblSym[[#This Row],[rol]])^2</calculatedColumnFormula>
    </tableColumn>
    <tableColumn id="5" name="foxz" dataDxfId="92">
      <calculatedColumnFormula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calculatedColumnFormula>
    </tableColumn>
    <tableColumn id="21" name="foc" dataDxfId="91">
      <calculatedColumnFormula>MIN(tblfocDblSym[[#This Row],[foxz]],tblfocDblSym[[#This Row],[foz]])</calculatedColumnFormula>
    </tableColumn>
    <tableColumn id="9" name="λc" dataDxfId="90">
      <calculatedColumnFormula>SQRT(tblfocDblSym[[#This Row],[fy]]/tblfocDblSym[[#This Row],[foc]])</calculatedColumnFormula>
    </tableColumn>
    <tableColumn id="15" name="fn" dataDxfId="89">
      <calculatedColumnFormula>IF(tblfocDblSym[[#This Row],[λc]]&lt;=1.5,0.658^(tblfocDblSym[[#This Row],[λc]]^2),0.877/(tblfocDblSym[[#This Row],[λc]]^2))*tblfocDblSym[[#This Row],[fy]]</calculatedColumnFormula>
    </tableColumn>
    <tableColumn id="22" name="Nc" dataDxfId="88">
      <calculatedColumnFormula>0.85*tblfocDblSym[[#This Row],[An]]*tblfocDblSym[[#This Row],[kf]]*tblfocDblSym[[#This Row],[fn]]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id="5" name="tblfocSglSym" displayName="tblfocSglSym" ref="B2:AC31" totalsRowShown="0" headerRowDxfId="87" dataDxfId="86">
  <autoFilter ref="B2:AC31"/>
  <sortState ref="B3:AC31">
    <sortCondition ref="B2:B31"/>
  </sortState>
  <tableColumns count="28">
    <tableColumn id="1" name="Section" dataDxfId="85"/>
    <tableColumn id="18" name="An" dataDxfId="84"/>
    <tableColumn id="8" name="kf" dataDxfId="83"/>
    <tableColumn id="14" name="lex" dataDxfId="82"/>
    <tableColumn id="22" name="ley" dataDxfId="81"/>
    <tableColumn id="19" name="lez" dataDxfId="80"/>
    <tableColumn id="12" name="rx" dataDxfId="79"/>
    <tableColumn id="11" name="ry" dataDxfId="78"/>
    <tableColumn id="7" name="xo" dataDxfId="77"/>
    <tableColumn id="10" name="yo" dataDxfId="76"/>
    <tableColumn id="17" name="J" dataDxfId="75"/>
    <tableColumn id="20" name="Iw" dataDxfId="74"/>
    <tableColumn id="9" name="fy" dataDxfId="73"/>
    <tableColumn id="13" name="E" dataDxfId="72"/>
    <tableColumn id="16" name="G" dataDxfId="71"/>
    <tableColumn id="21" name="Axis" dataDxfId="70"/>
    <tableColumn id="6" name="rol" dataDxfId="69">
      <calculatedColumnFormula>SQRT(tblfocSglSym[[#This Row],[rx]]^2+tblfocSglSym[[#This Row],[ry]]^2+tblfocSglSym[[#This Row],[xo]]^2+tblfocSglSym[[#This Row],[yo]]^2)</calculatedColumnFormula>
    </tableColumn>
    <tableColumn id="3" name="foz" dataDxfId="68">
      <calculatedColumnFormula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calculatedColumnFormula>
    </tableColumn>
    <tableColumn id="2" name="fox_x" dataDxfId="67">
      <calculatedColumnFormula>(tblfocSglSym[[#This Row],[E]]*PI()^2)/((tblfocSglSym[[#This Row],[lex]]/tblfocSglSym[[#This Row],[rx]])^2)</calculatedColumnFormula>
    </tableColumn>
    <tableColumn id="4" name="βx" dataDxfId="66">
      <calculatedColumnFormula>1-(tblfocSglSym[[#This Row],[xo]]/tblfocSglSym[[#This Row],[rol]])^2</calculatedColumnFormula>
    </tableColumn>
    <tableColumn id="5" name="foxz_x" dataDxfId="65">
      <calculatedColumnFormula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calculatedColumnFormula>
    </tableColumn>
    <tableColumn id="29" name="fox_y" dataDxfId="64">
      <calculatedColumnFormula>(tblfocSglSym[[#This Row],[E]]*PI()^2)/((tblfocSglSym[[#This Row],[ley]]/tblfocSglSym[[#This Row],[ry]])^2)</calculatedColumnFormula>
    </tableColumn>
    <tableColumn id="27" name="βy" dataDxfId="63">
      <calculatedColumnFormula>1-(tblfocSglSym[[#This Row],[yo]]/tblfocSglSym[[#This Row],[rol]])^2</calculatedColumnFormula>
    </tableColumn>
    <tableColumn id="26" name="foxz_y" dataDxfId="62">
      <calculatedColumnFormula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calculatedColumnFormula>
    </tableColumn>
    <tableColumn id="23" name="foc" dataDxfId="61">
      <calculatedColumnFormula>IF(tblfocSglSym[[#This Row],[Axis]]="['x']",tblfocSglSym[[#This Row],[foxz_x]],tblfocSglSym[[#This Row],[foxz_y]])</calculatedColumnFormula>
    </tableColumn>
    <tableColumn id="15" name="λc" dataDxfId="60">
      <calculatedColumnFormula>SQRT(tblfocSglSym[[#This Row],[fy]]/tblfocSglSym[[#This Row],[foc]])</calculatedColumnFormula>
    </tableColumn>
    <tableColumn id="24" name="fn" dataDxfId="59">
      <calculatedColumnFormula>IF(tblfocSglSym[[#This Row],[λc]]&lt;=1.5,0.658^(tblfocSglSym[[#This Row],[λc]]^2),0.877/(tblfocSglSym[[#This Row],[λc]]^2))*tblfocSglSym[[#This Row],[fy]]</calculatedColumnFormula>
    </tableColumn>
    <tableColumn id="25" name="Nc" dataDxfId="58">
      <calculatedColumnFormula>0.85*tblfocSglSym[[#This Row],[An]]*tblfocSglSym[[#This Row],[kf]]*tblfocSglSym[[#This Row],[fn]]</calculatedColumnFormula>
    </tableColumn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id="6" name="tblfocpntsym" displayName="tblfocpntsym" ref="B2:W51" totalsRowShown="0" headerRowDxfId="57" dataDxfId="56">
  <autoFilter ref="B2:W51"/>
  <sortState ref="B3:W59">
    <sortCondition ref="B2:B59"/>
  </sortState>
  <tableColumns count="22">
    <tableColumn id="1" name="Section" dataDxfId="55"/>
    <tableColumn id="18" name="An" dataDxfId="54"/>
    <tableColumn id="8" name="kf" dataDxfId="53"/>
    <tableColumn id="15" name="lex" dataDxfId="52"/>
    <tableColumn id="14" name="ley" dataDxfId="51"/>
    <tableColumn id="19" name="lez" dataDxfId="50"/>
    <tableColumn id="12" name="rx" dataDxfId="49"/>
    <tableColumn id="11" name="ry" dataDxfId="48"/>
    <tableColumn id="7" name="xo" dataDxfId="47"/>
    <tableColumn id="10" name="yo" dataDxfId="46"/>
    <tableColumn id="17" name="J" dataDxfId="45"/>
    <tableColumn id="20" name="Iw" dataDxfId="44"/>
    <tableColumn id="9" name="fy" dataDxfId="43"/>
    <tableColumn id="13" name="E" dataDxfId="42"/>
    <tableColumn id="16" name="G" dataDxfId="41"/>
    <tableColumn id="21" name="Axis" dataDxfId="40"/>
    <tableColumn id="6" name="rol" dataDxfId="39">
      <calculatedColumnFormula>SQRT(tblfocpntsym[[#This Row],[rx]]^2+tblfocpntsym[[#This Row],[ry]]^2+tblfocpntsym[[#This Row],[xo]]^2+tblfocpntsym[[#This Row],[yo]]^2)</calculatedColumnFormula>
    </tableColumn>
    <tableColumn id="3" name="foz" dataDxfId="38">
      <calculatedColumnFormula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calculatedColumnFormula>
    </tableColumn>
    <tableColumn id="24" name="foc" dataDxfId="37">
      <calculatedColumnFormula>tblfocpntsym[[#This Row],[foz]]</calculatedColumnFormula>
    </tableColumn>
    <tableColumn id="2" name="λc" dataDxfId="36">
      <calculatedColumnFormula>SQRT(tblfocpntsym[[#This Row],[fy]]/tblfocpntsym[[#This Row],[foc]])</calculatedColumnFormula>
    </tableColumn>
    <tableColumn id="4" name="fn" dataDxfId="35">
      <calculatedColumnFormula>IF(tblfocpntsym[[#This Row],[λc]]&lt;=1.5,0.658^(tblfocpntsym[[#This Row],[λc]]^2),0.877/(tblfocpntsym[[#This Row],[λc]]^2))*tblfocpntsym[[#This Row],[fy]]</calculatedColumnFormula>
    </tableColumn>
    <tableColumn id="5" name="Nc" dataDxfId="34">
      <calculatedColumnFormula>0.85*tblfocpntsym[[#This Row],[An]]*tblfocpntsym[[#This Row],[kf]]*tblfocpntsym[[#This Row],[fn]]</calculatedColumnFormula>
    </tableColumn>
  </tableColumns>
  <tableStyleInfo name="tblIntegral" showFirstColumn="0" showLastColumn="0" showRowStripes="1" showColumnStripes="0"/>
</table>
</file>

<file path=xl/tables/table7.xml><?xml version="1.0" encoding="utf-8"?>
<table xmlns="http://schemas.openxmlformats.org/spreadsheetml/2006/main" id="7" name="tblfocunsym" displayName="tblfocunsym" ref="B2:AD57" totalsRowShown="0" headerRowDxfId="33" dataDxfId="32">
  <autoFilter ref="B2:AD57"/>
  <sortState ref="B3:AD57">
    <sortCondition ref="B2:B57"/>
  </sortState>
  <tableColumns count="29">
    <tableColumn id="1" name="Section" dataDxfId="31"/>
    <tableColumn id="4" name="An" dataDxfId="30"/>
    <tableColumn id="25" name="kf" dataDxfId="29"/>
    <tableColumn id="7" name="lex" dataDxfId="28"/>
    <tableColumn id="8" name="ley" dataDxfId="27"/>
    <tableColumn id="9" name="lez" dataDxfId="26"/>
    <tableColumn id="10" name="rx" dataDxfId="25"/>
    <tableColumn id="11" name="ry" dataDxfId="24"/>
    <tableColumn id="12" name="xo" dataDxfId="23"/>
    <tableColumn id="13" name="yo" dataDxfId="22"/>
    <tableColumn id="5" name="J" dataDxfId="21"/>
    <tableColumn id="6" name="Iw" dataDxfId="20"/>
    <tableColumn id="26" name="fy" dataDxfId="19"/>
    <tableColumn id="2" name="E" dataDxfId="18"/>
    <tableColumn id="3" name="G" dataDxfId="17"/>
    <tableColumn id="30" name="Axis" dataDxfId="16"/>
    <tableColumn id="14" name="rol" dataDxfId="15">
      <calculatedColumnFormula>SQRT(tblfocunsym[[#This Row],[rx]]^2+tblfocunsym[[#This Row],[ry]]^2+tblfocunsym[[#This Row],[xo]]^2+tblfocunsym[[#This Row],[yo]]^2)</calculatedColumnFormula>
    </tableColumn>
    <tableColumn id="17" name="fox" dataDxfId="14">
      <calculatedColumnFormula>(tblfocunsym[[#This Row],[E]]*PI()^2)/((tblfocunsym[[#This Row],[lex]]/tblfocunsym[[#This Row],[rx]])^2)</calculatedColumnFormula>
    </tableColumn>
    <tableColumn id="16" name="foy" dataDxfId="13">
      <calculatedColumnFormula>(tblfocunsym[[#This Row],[E]]*PI()^2)/((tblfocunsym[[#This Row],[ley]]/tblfocunsym[[#This Row],[ry]])^2)</calculatedColumnFormula>
    </tableColumn>
    <tableColumn id="15" name="foz" dataDxfId="12">
      <calculatedColumnFormula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calculatedColumnFormula>
    </tableColumn>
    <tableColumn id="18" name="a" dataDxfId="11">
      <calculatedColumnFormula>((tblfocunsym[[#This Row],[rol]]^2)-((tblfocunsym[[#This Row],[xo]]^2)*(tblfocunsym[[#This Row],[yo]]^2)))</calculatedColumnFormula>
    </tableColumn>
    <tableColumn id="19" name="b" dataDxfId="10">
      <calculatedColumnFormula>((tblfocunsym[[#This Row],[rol]]^2)*(tblfocunsym[[#This Row],[fox]]+tblfocunsym[[#This Row],[foy]]+tblfocunsym[[#This Row],[foz]])-((tblfocunsym[[#This Row],[foy]]*(tblfocunsym[[#This Row],[xo]]^2))+(tblfocunsym[[#This Row],[fox]]*(tblfocunsym[[#This Row],[yo]]^2))))</calculatedColumnFormula>
    </tableColumn>
    <tableColumn id="20" name="c" dataDxfId="9">
      <calculatedColumnFormula>((tblfocunsym[[#This Row],[fox]]*tblfocunsym[[#This Row],[foy]])+(tblfocunsym[[#This Row],[foy]]*tblfocunsym[[#This Row],[foz]])+(tblfocunsym[[#This Row],[fox]]*tblfocunsym[[#This Row],[foz]]))*(tblfocunsym[[#This Row],[rol]]^2)</calculatedColumnFormula>
    </tableColumn>
    <tableColumn id="21" name="d" dataDxfId="8">
      <calculatedColumnFormula>tblfocunsym[[#This Row],[fox]]*tblfocunsym[[#This Row],[foy]]*tblfocunsym[[#This Row],[foz]]*tblfocunsym[[#This Row],[rol]]*tblfocunsym[[#This Row],[rol]]</calculatedColumnFormula>
    </tableColumn>
    <tableColumn id="23" name="eqn" dataDxfId="7">
      <calculatedColumnFormula>tblfocunsym[[#This Row],[a]]*tblfocunsym[[#This Row],[foc]]^3-tblfocunsym[[#This Row],[b]]*tblfocunsym[[#This Row],[foc]]^2+tblfocunsym[[#This Row],[c]]*tblfocunsym[[#This Row],[foc]]-tblfocunsym[[#This Row],[d]]</calculatedColumnFormula>
    </tableColumn>
    <tableColumn id="24" name="foc" dataDxfId="6"/>
    <tableColumn id="27" name="λc" dataDxfId="5">
      <calculatedColumnFormula>SQRT(tblfocunsym[[#This Row],[fy]]/tblfocunsym[[#This Row],[foc]])</calculatedColumnFormula>
    </tableColumn>
    <tableColumn id="28" name="fn" dataDxfId="4">
      <calculatedColumnFormula>IF(tblfocunsym[[#This Row],[λc]]&lt;=1.5,0.658^(tblfocunsym[[#This Row],[λc]]^2),0.877/(tblfocunsym[[#This Row],[λc]]^2))*tblfocunsym[[#This Row],[fy]]</calculatedColumnFormula>
    </tableColumn>
    <tableColumn id="29" name="Nc" dataDxfId="3">
      <calculatedColumnFormula>0.85*tblfocunsym[[#This Row],[An]]*tblfocunsym[[#This Row],[kf]]*tblfocunsym[[#This Row],[fn]]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84"/>
  <sheetViews>
    <sheetView tabSelected="1" workbookViewId="0">
      <selection activeCell="Z7" sqref="Z7"/>
    </sheetView>
  </sheetViews>
  <sheetFormatPr defaultColWidth="9" defaultRowHeight="11.25" x14ac:dyDescent="0.2"/>
  <cols>
    <col min="1" max="1" width="3.85546875" style="17" customWidth="1"/>
    <col min="2" max="2" width="10.140625" style="17" customWidth="1"/>
    <col min="3" max="3" width="11.5703125" style="17" customWidth="1"/>
    <col min="4" max="4" width="8.85546875" style="17" customWidth="1"/>
    <col min="5" max="7" width="7.28515625" style="17" bestFit="1" customWidth="1"/>
    <col min="8" max="9" width="6.42578125" style="17" bestFit="1" customWidth="1"/>
    <col min="10" max="11" width="6.7109375" style="17" bestFit="1" customWidth="1"/>
    <col min="12" max="14" width="12" style="17" customWidth="1"/>
    <col min="15" max="15" width="11.42578125" style="17" customWidth="1"/>
    <col min="16" max="17" width="8.7109375" style="17" bestFit="1" customWidth="1"/>
    <col min="18" max="18" width="7.85546875" style="17" bestFit="1" customWidth="1"/>
    <col min="19" max="19" width="8.7109375" style="17" bestFit="1" customWidth="1"/>
    <col min="20" max="20" width="4.85546875" style="17" bestFit="1" customWidth="1"/>
    <col min="21" max="21" width="6" style="17" bestFit="1" customWidth="1"/>
    <col min="22" max="22" width="10.140625" style="17" bestFit="1" customWidth="1"/>
    <col min="23" max="25" width="13.42578125" style="17" bestFit="1" customWidth="1"/>
    <col min="26" max="26" width="12.85546875" style="17" bestFit="1" customWidth="1"/>
    <col min="27" max="27" width="12.5703125" style="17" customWidth="1"/>
    <col min="28" max="16384" width="9" style="17"/>
  </cols>
  <sheetData>
    <row r="2" spans="2:27" ht="12.75" x14ac:dyDescent="0.25">
      <c r="B2" s="24" t="s">
        <v>3</v>
      </c>
      <c r="C2" s="24" t="s">
        <v>59</v>
      </c>
      <c r="D2" s="24" t="s">
        <v>10</v>
      </c>
      <c r="E2" s="24" t="s">
        <v>53</v>
      </c>
      <c r="F2" s="24" t="s">
        <v>54</v>
      </c>
      <c r="G2" s="24" t="s">
        <v>55</v>
      </c>
      <c r="H2" s="24" t="s">
        <v>32</v>
      </c>
      <c r="I2" s="24" t="s">
        <v>33</v>
      </c>
      <c r="J2" s="24" t="s">
        <v>56</v>
      </c>
      <c r="K2" s="24" t="s">
        <v>57</v>
      </c>
      <c r="L2" s="24" t="s">
        <v>84</v>
      </c>
      <c r="M2" s="24" t="s">
        <v>83</v>
      </c>
      <c r="N2" s="24" t="s">
        <v>2</v>
      </c>
      <c r="O2" s="24" t="s">
        <v>58</v>
      </c>
      <c r="P2" s="24" t="s">
        <v>11</v>
      </c>
      <c r="Q2" s="24" t="s">
        <v>1</v>
      </c>
      <c r="R2" s="24" t="s">
        <v>0</v>
      </c>
      <c r="S2" s="24" t="s">
        <v>12</v>
      </c>
      <c r="T2" s="74" t="s">
        <v>13</v>
      </c>
      <c r="U2" s="74" t="s">
        <v>45</v>
      </c>
      <c r="V2" s="75" t="s">
        <v>102</v>
      </c>
      <c r="W2" s="75" t="s">
        <v>86</v>
      </c>
      <c r="X2" s="75" t="s">
        <v>87</v>
      </c>
      <c r="Y2" s="75" t="s">
        <v>85</v>
      </c>
      <c r="Z2" s="75" t="s">
        <v>89</v>
      </c>
      <c r="AA2" s="24" t="s">
        <v>88</v>
      </c>
    </row>
    <row r="3" spans="2:27" x14ac:dyDescent="0.2">
      <c r="B3" s="13" t="s">
        <v>36</v>
      </c>
      <c r="C3" s="54">
        <v>1.89E-3</v>
      </c>
      <c r="D3" s="11">
        <v>1</v>
      </c>
      <c r="E3" s="56">
        <v>10</v>
      </c>
      <c r="F3" s="56">
        <v>10</v>
      </c>
      <c r="G3" s="56">
        <v>10</v>
      </c>
      <c r="H3" s="56">
        <v>4.1099999999999998E-2</v>
      </c>
      <c r="I3" s="56">
        <v>2.4500000000000001E-2</v>
      </c>
      <c r="J3" s="56">
        <v>0</v>
      </c>
      <c r="K3" s="56">
        <v>0</v>
      </c>
      <c r="L3" s="61">
        <v>3.18E-6</v>
      </c>
      <c r="M3" s="61">
        <v>1.1400000000000001E-6</v>
      </c>
      <c r="N3" s="61">
        <v>3.4900000000000001E-8</v>
      </c>
      <c r="O3" s="63">
        <v>2.2999999999999999E-9</v>
      </c>
      <c r="P3" s="66">
        <v>320000000</v>
      </c>
      <c r="Q3" s="66">
        <v>200000000000</v>
      </c>
      <c r="R3" s="66">
        <v>80000000000</v>
      </c>
      <c r="S3" s="66">
        <v>250000000</v>
      </c>
      <c r="T3" s="7">
        <v>0</v>
      </c>
      <c r="U3" s="7" t="s">
        <v>48</v>
      </c>
      <c r="V3" s="76">
        <f>(tblEuler[[#This Row],[E]]*PI()^2)/((tblEuler[[#This Row],[lex]]/tblEuler[[#This Row],[rx]])^2)</f>
        <v>33343668.900728308</v>
      </c>
      <c r="W3" s="70">
        <f>(tblEuler[[#This Row],[Ix]]*tblEuler[[#This Row],[E]]*PI()^2)/(tblEuler[[#This Row],[lex]]^2)</f>
        <v>62770.683990928315</v>
      </c>
      <c r="X3" s="76">
        <f>(tblEuler[[#This Row],[E]]*PI()^2)/((tblEuler[[#This Row],[ley]]/tblEuler[[#This Row],[ry]])^2)</f>
        <v>11848460.083507776</v>
      </c>
      <c r="Y3" s="70">
        <f>(tblEuler[[#This Row],[Iy]]*tblEuler[[#This Row],[E]]*PI()^2)/(tblEuler[[#This Row],[ley]]^2)</f>
        <v>22502.698034483739</v>
      </c>
      <c r="Z3" s="71">
        <f>SQRT(tblEuler[[#This Row],[rx]]^2+tblEuler[[#This Row],[ry]]^2+tblEuler[[#This Row],[xo]]^2+tblEuler[[#This Row],[yo]]^2)</f>
        <v>4.784830195524184E-2</v>
      </c>
      <c r="AA3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655731018.07307041</v>
      </c>
    </row>
    <row r="4" spans="2:27" x14ac:dyDescent="0.2">
      <c r="B4" s="13" t="s">
        <v>36</v>
      </c>
      <c r="C4" s="54">
        <v>1.89E-3</v>
      </c>
      <c r="D4" s="11">
        <v>1</v>
      </c>
      <c r="E4" s="56">
        <v>5</v>
      </c>
      <c r="F4" s="56">
        <v>5</v>
      </c>
      <c r="G4" s="56">
        <v>5</v>
      </c>
      <c r="H4" s="56">
        <v>4.1099999999999998E-2</v>
      </c>
      <c r="I4" s="56">
        <v>2.4500000000000001E-2</v>
      </c>
      <c r="J4" s="56">
        <v>0</v>
      </c>
      <c r="K4" s="56">
        <v>0</v>
      </c>
      <c r="L4" s="61">
        <v>3.18E-6</v>
      </c>
      <c r="M4" s="61">
        <v>1.1400000000000001E-6</v>
      </c>
      <c r="N4" s="61">
        <v>3.4900000000000001E-8</v>
      </c>
      <c r="O4" s="63">
        <v>2.2999999999999999E-9</v>
      </c>
      <c r="P4" s="66">
        <v>320000000</v>
      </c>
      <c r="Q4" s="66">
        <v>200000000000</v>
      </c>
      <c r="R4" s="66">
        <v>80000000000</v>
      </c>
      <c r="S4" s="66">
        <v>250000000</v>
      </c>
      <c r="T4" s="7">
        <v>0</v>
      </c>
      <c r="U4" s="7" t="s">
        <v>48</v>
      </c>
      <c r="V4" s="76">
        <f>(tblEuler[[#This Row],[E]]*PI()^2)/((tblEuler[[#This Row],[lex]]/tblEuler[[#This Row],[rx]])^2)</f>
        <v>133374675.60291323</v>
      </c>
      <c r="W4" s="70">
        <f>(tblEuler[[#This Row],[Ix]]*tblEuler[[#This Row],[E]]*PI()^2)/(tblEuler[[#This Row],[lex]]^2)</f>
        <v>251082.73596371326</v>
      </c>
      <c r="X4" s="76">
        <f>(tblEuler[[#This Row],[E]]*PI()^2)/((tblEuler[[#This Row],[ley]]/tblEuler[[#This Row],[ry]])^2)</f>
        <v>47393840.334031105</v>
      </c>
      <c r="Y4" s="70">
        <f>(tblEuler[[#This Row],[Iy]]*tblEuler[[#This Row],[E]]*PI()^2)/(tblEuler[[#This Row],[ley]]^2)</f>
        <v>90010.792137934957</v>
      </c>
      <c r="Z4" s="71">
        <f>SQRT(tblEuler[[#This Row],[rx]]^2+tblEuler[[#This Row],[ry]]^2+tblEuler[[#This Row],[xo]]^2+tblEuler[[#This Row],[yo]]^2)</f>
        <v>4.784830195524184E-2</v>
      </c>
      <c r="AA4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687207339.19974852</v>
      </c>
    </row>
    <row r="5" spans="2:27" x14ac:dyDescent="0.2">
      <c r="B5" s="13" t="s">
        <v>36</v>
      </c>
      <c r="C5" s="54">
        <v>1.89E-3</v>
      </c>
      <c r="D5" s="11">
        <v>1</v>
      </c>
      <c r="E5" s="56">
        <v>1</v>
      </c>
      <c r="F5" s="56">
        <v>1</v>
      </c>
      <c r="G5" s="56">
        <v>1</v>
      </c>
      <c r="H5" s="56">
        <v>4.1099999999999998E-2</v>
      </c>
      <c r="I5" s="56">
        <v>2.4500000000000001E-2</v>
      </c>
      <c r="J5" s="56">
        <v>0</v>
      </c>
      <c r="K5" s="56">
        <v>0</v>
      </c>
      <c r="L5" s="61">
        <v>3.18E-6</v>
      </c>
      <c r="M5" s="61">
        <v>1.1400000000000001E-6</v>
      </c>
      <c r="N5" s="61">
        <v>3.4900000000000001E-8</v>
      </c>
      <c r="O5" s="63">
        <v>2.2999999999999999E-9</v>
      </c>
      <c r="P5" s="66">
        <v>320000000</v>
      </c>
      <c r="Q5" s="66">
        <v>200000000000</v>
      </c>
      <c r="R5" s="66">
        <v>80000000000</v>
      </c>
      <c r="S5" s="66">
        <v>250000000</v>
      </c>
      <c r="T5" s="7">
        <v>0</v>
      </c>
      <c r="U5" s="7" t="s">
        <v>48</v>
      </c>
      <c r="V5" s="76">
        <f>(tblEuler[[#This Row],[E]]*PI()^2)/((tblEuler[[#This Row],[lex]]/tblEuler[[#This Row],[rx]])^2)</f>
        <v>3334366890.0728307</v>
      </c>
      <c r="W5" s="70">
        <f>(tblEuler[[#This Row],[Ix]]*tblEuler[[#This Row],[E]]*PI()^2)/(tblEuler[[#This Row],[lex]]^2)</f>
        <v>6277068.3990928316</v>
      </c>
      <c r="X5" s="76">
        <f>(tblEuler[[#This Row],[E]]*PI()^2)/((tblEuler[[#This Row],[ley]]/tblEuler[[#This Row],[ry]])^2)</f>
        <v>1184846008.3507776</v>
      </c>
      <c r="Y5" s="70">
        <f>(tblEuler[[#This Row],[Iy]]*tblEuler[[#This Row],[E]]*PI()^2)/(tblEuler[[#This Row],[ley]]^2)</f>
        <v>2250269.8034483739</v>
      </c>
      <c r="Z5" s="71">
        <f>SQRT(tblEuler[[#This Row],[rx]]^2+tblEuler[[#This Row],[ry]]^2+tblEuler[[#This Row],[xo]]^2+tblEuler[[#This Row],[yo]]^2)</f>
        <v>4.784830195524184E-2</v>
      </c>
      <c r="AA5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1694449615.253444</v>
      </c>
    </row>
    <row r="6" spans="2:27" x14ac:dyDescent="0.2">
      <c r="B6" s="13" t="s">
        <v>36</v>
      </c>
      <c r="C6" s="54">
        <v>1.89E-3</v>
      </c>
      <c r="D6" s="11">
        <v>1</v>
      </c>
      <c r="E6" s="56">
        <v>0.5</v>
      </c>
      <c r="F6" s="56">
        <v>0.5</v>
      </c>
      <c r="G6" s="56">
        <v>0.5</v>
      </c>
      <c r="H6" s="56">
        <v>4.1099999999999998E-2</v>
      </c>
      <c r="I6" s="56">
        <v>2.4500000000000001E-2</v>
      </c>
      <c r="J6" s="56">
        <v>0</v>
      </c>
      <c r="K6" s="56">
        <v>0</v>
      </c>
      <c r="L6" s="61">
        <v>3.18E-6</v>
      </c>
      <c r="M6" s="61">
        <v>1.1400000000000001E-6</v>
      </c>
      <c r="N6" s="61">
        <v>3.4900000000000001E-8</v>
      </c>
      <c r="O6" s="63">
        <v>2.2999999999999999E-9</v>
      </c>
      <c r="P6" s="66">
        <v>320000000</v>
      </c>
      <c r="Q6" s="66">
        <v>200000000000</v>
      </c>
      <c r="R6" s="66">
        <v>80000000000</v>
      </c>
      <c r="S6" s="66">
        <v>250000000</v>
      </c>
      <c r="T6" s="7">
        <v>0</v>
      </c>
      <c r="U6" s="7" t="s">
        <v>48</v>
      </c>
      <c r="V6" s="76">
        <f>(tblEuler[[#This Row],[E]]*PI()^2)/((tblEuler[[#This Row],[lex]]/tblEuler[[#This Row],[rx]])^2)</f>
        <v>13337467560.291323</v>
      </c>
      <c r="W6" s="70">
        <f>(tblEuler[[#This Row],[Ix]]*tblEuler[[#This Row],[E]]*PI()^2)/(tblEuler[[#This Row],[lex]]^2)</f>
        <v>25108273.596371327</v>
      </c>
      <c r="X6" s="76">
        <f>(tblEuler[[#This Row],[E]]*PI()^2)/((tblEuler[[#This Row],[ley]]/tblEuler[[#This Row],[ry]])^2)</f>
        <v>4739384033.4031105</v>
      </c>
      <c r="Y6" s="70">
        <f>(tblEuler[[#This Row],[Iy]]*tblEuler[[#This Row],[E]]*PI()^2)/(tblEuler[[#This Row],[ley]]^2)</f>
        <v>9001079.2137934957</v>
      </c>
      <c r="Z6" s="71">
        <f>SQRT(tblEuler[[#This Row],[rx]]^2+tblEuler[[#This Row],[ry]]^2+tblEuler[[#This Row],[xo]]^2+tblEuler[[#This Row],[yo]]^2)</f>
        <v>4.784830195524184E-2</v>
      </c>
      <c r="AA6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4842081727.9212427</v>
      </c>
    </row>
    <row r="7" spans="2:27" x14ac:dyDescent="0.2">
      <c r="B7" s="13" t="s">
        <v>4</v>
      </c>
      <c r="C7" s="54">
        <v>5.79E-2</v>
      </c>
      <c r="D7" s="11">
        <v>0.83699999999999997</v>
      </c>
      <c r="E7" s="56">
        <v>80</v>
      </c>
      <c r="F7" s="56">
        <v>80</v>
      </c>
      <c r="G7" s="56">
        <v>80</v>
      </c>
      <c r="H7" s="56">
        <v>0.51500000000000001</v>
      </c>
      <c r="I7" s="56">
        <v>0.12</v>
      </c>
      <c r="J7" s="56">
        <v>0</v>
      </c>
      <c r="K7" s="56">
        <v>0</v>
      </c>
      <c r="L7" s="61">
        <v>1.5299999999999999E-2</v>
      </c>
      <c r="M7" s="61">
        <v>8.34E-4</v>
      </c>
      <c r="N7" s="61">
        <v>2.1999999999999999E-5</v>
      </c>
      <c r="O7" s="63">
        <v>2.7999999999999998E-4</v>
      </c>
      <c r="P7" s="66">
        <v>280000000</v>
      </c>
      <c r="Q7" s="66">
        <v>200000000000</v>
      </c>
      <c r="R7" s="66">
        <v>80000000000</v>
      </c>
      <c r="S7" s="66">
        <v>250000000</v>
      </c>
      <c r="T7" s="7">
        <v>0.5</v>
      </c>
      <c r="U7" s="7" t="s">
        <v>48</v>
      </c>
      <c r="V7" s="76">
        <f>(tblEuler[[#This Row],[E]]*PI()^2)/((tblEuler[[#This Row],[lex]]/tblEuler[[#This Row],[rx]])^2)</f>
        <v>81802057.102466419</v>
      </c>
      <c r="W7" s="70">
        <f>(tblEuler[[#This Row],[Ix]]*tblEuler[[#This Row],[E]]*PI()^2)/(tblEuler[[#This Row],[lex]]^2)</f>
        <v>4718904.6042708494</v>
      </c>
      <c r="X7" s="76">
        <f>(tblEuler[[#This Row],[E]]*PI()^2)/((tblEuler[[#This Row],[ley]]/tblEuler[[#This Row],[ry]])^2)</f>
        <v>4441321.9804902095</v>
      </c>
      <c r="Y7" s="70">
        <f>(tblEuler[[#This Row],[Iy]]*tblEuler[[#This Row],[E]]*PI()^2)/(tblEuler[[#This Row],[ley]]^2)</f>
        <v>257226.56470339137</v>
      </c>
      <c r="Z7" s="71">
        <f>SQRT(tblEuler[[#This Row],[rx]]^2+tblEuler[[#This Row],[ry]]^2+tblEuler[[#This Row],[xo]]^2+tblEuler[[#This Row],[yo]]^2)</f>
        <v>0.52879580179876617</v>
      </c>
      <c r="AA7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114041152.0493093</v>
      </c>
    </row>
    <row r="8" spans="2:27" x14ac:dyDescent="0.2">
      <c r="B8" s="13" t="s">
        <v>4</v>
      </c>
      <c r="C8" s="54">
        <v>5.79E-2</v>
      </c>
      <c r="D8" s="11">
        <v>0.83699999999999997</v>
      </c>
      <c r="E8" s="56">
        <v>40</v>
      </c>
      <c r="F8" s="56">
        <v>40</v>
      </c>
      <c r="G8" s="56">
        <v>40</v>
      </c>
      <c r="H8" s="56">
        <v>0.51500000000000001</v>
      </c>
      <c r="I8" s="56">
        <v>0.12</v>
      </c>
      <c r="J8" s="56">
        <v>0</v>
      </c>
      <c r="K8" s="56">
        <v>0</v>
      </c>
      <c r="L8" s="61">
        <v>1.5299999999999999E-2</v>
      </c>
      <c r="M8" s="61">
        <v>8.34E-4</v>
      </c>
      <c r="N8" s="61">
        <v>2.1999999999999999E-5</v>
      </c>
      <c r="O8" s="63">
        <v>2.7999999999999998E-4</v>
      </c>
      <c r="P8" s="66">
        <v>280000000</v>
      </c>
      <c r="Q8" s="66">
        <v>200000000000</v>
      </c>
      <c r="R8" s="66">
        <v>80000000000</v>
      </c>
      <c r="S8" s="66">
        <v>250000000</v>
      </c>
      <c r="T8" s="7">
        <v>0.5</v>
      </c>
      <c r="U8" s="7" t="s">
        <v>48</v>
      </c>
      <c r="V8" s="76">
        <f>(tblEuler[[#This Row],[E]]*PI()^2)/((tblEuler[[#This Row],[lex]]/tblEuler[[#This Row],[rx]])^2)</f>
        <v>327208228.40986568</v>
      </c>
      <c r="W8" s="70">
        <f>(tblEuler[[#This Row],[Ix]]*tblEuler[[#This Row],[E]]*PI()^2)/(tblEuler[[#This Row],[lex]]^2)</f>
        <v>18875618.417083398</v>
      </c>
      <c r="X8" s="76">
        <f>(tblEuler[[#This Row],[E]]*PI()^2)/((tblEuler[[#This Row],[ley]]/tblEuler[[#This Row],[ry]])^2)</f>
        <v>17765287.921960838</v>
      </c>
      <c r="Y8" s="70">
        <f>(tblEuler[[#This Row],[Iy]]*tblEuler[[#This Row],[E]]*PI()^2)/(tblEuler[[#This Row],[ley]]^2)</f>
        <v>1028906.2588135655</v>
      </c>
      <c r="Z8" s="71">
        <f>SQRT(tblEuler[[#This Row],[rx]]^2+tblEuler[[#This Row],[ry]]^2+tblEuler[[#This Row],[xo]]^2+tblEuler[[#This Row],[yo]]^2)</f>
        <v>0.52879580179876617</v>
      </c>
      <c r="AA8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130043160.38477561</v>
      </c>
    </row>
    <row r="9" spans="2:27" x14ac:dyDescent="0.2">
      <c r="B9" s="13" t="s">
        <v>4</v>
      </c>
      <c r="C9" s="54">
        <v>5.79E-2</v>
      </c>
      <c r="D9" s="11">
        <v>0.83699999999999997</v>
      </c>
      <c r="E9" s="56">
        <v>20</v>
      </c>
      <c r="F9" s="56">
        <v>20</v>
      </c>
      <c r="G9" s="56">
        <v>20</v>
      </c>
      <c r="H9" s="56">
        <v>0.51500000000000001</v>
      </c>
      <c r="I9" s="56">
        <v>0.12</v>
      </c>
      <c r="J9" s="56">
        <v>0</v>
      </c>
      <c r="K9" s="56">
        <v>0</v>
      </c>
      <c r="L9" s="61">
        <v>1.5299999999999999E-2</v>
      </c>
      <c r="M9" s="61">
        <v>8.34E-4</v>
      </c>
      <c r="N9" s="61">
        <v>2.1999999999999999E-5</v>
      </c>
      <c r="O9" s="63">
        <v>2.7999999999999998E-4</v>
      </c>
      <c r="P9" s="66">
        <v>280000000</v>
      </c>
      <c r="Q9" s="66">
        <v>200000000000</v>
      </c>
      <c r="R9" s="66">
        <v>80000000000</v>
      </c>
      <c r="S9" s="66">
        <v>250000000</v>
      </c>
      <c r="T9" s="7">
        <v>0.5</v>
      </c>
      <c r="U9" s="7" t="s">
        <v>48</v>
      </c>
      <c r="V9" s="76">
        <f>(tblEuler[[#This Row],[E]]*PI()^2)/((tblEuler[[#This Row],[lex]]/tblEuler[[#This Row],[rx]])^2)</f>
        <v>1308832913.6394627</v>
      </c>
      <c r="W9" s="70">
        <f>(tblEuler[[#This Row],[Ix]]*tblEuler[[#This Row],[E]]*PI()^2)/(tblEuler[[#This Row],[lex]]^2)</f>
        <v>75502473.66833359</v>
      </c>
      <c r="X9" s="76">
        <f>(tblEuler[[#This Row],[E]]*PI()^2)/((tblEuler[[#This Row],[ley]]/tblEuler[[#This Row],[ry]])^2)</f>
        <v>71061151.687843353</v>
      </c>
      <c r="Y9" s="70">
        <f>(tblEuler[[#This Row],[Iy]]*tblEuler[[#This Row],[E]]*PI()^2)/(tblEuler[[#This Row],[ley]]^2)</f>
        <v>4115625.0352542619</v>
      </c>
      <c r="Z9" s="71">
        <f>SQRT(tblEuler[[#This Row],[rx]]^2+tblEuler[[#This Row],[ry]]^2+tblEuler[[#This Row],[xo]]^2+tblEuler[[#This Row],[yo]]^2)</f>
        <v>0.52879580179876617</v>
      </c>
      <c r="AA9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194051193.72664073</v>
      </c>
    </row>
    <row r="10" spans="2:27" x14ac:dyDescent="0.2">
      <c r="B10" s="13" t="s">
        <v>4</v>
      </c>
      <c r="C10" s="54">
        <v>5.79E-2</v>
      </c>
      <c r="D10" s="11">
        <v>0.83699999999999997</v>
      </c>
      <c r="E10" s="56">
        <v>10</v>
      </c>
      <c r="F10" s="56">
        <v>10</v>
      </c>
      <c r="G10" s="56">
        <v>10</v>
      </c>
      <c r="H10" s="56">
        <v>0.51500000000000001</v>
      </c>
      <c r="I10" s="56">
        <v>0.12</v>
      </c>
      <c r="J10" s="56">
        <v>0</v>
      </c>
      <c r="K10" s="56">
        <v>0</v>
      </c>
      <c r="L10" s="61">
        <v>1.5299999999999999E-2</v>
      </c>
      <c r="M10" s="61">
        <v>8.34E-4</v>
      </c>
      <c r="N10" s="61">
        <v>2.1999999999999999E-5</v>
      </c>
      <c r="O10" s="63">
        <v>2.7999999999999998E-4</v>
      </c>
      <c r="P10" s="66">
        <v>280000000</v>
      </c>
      <c r="Q10" s="66">
        <v>200000000000</v>
      </c>
      <c r="R10" s="66">
        <v>80000000000</v>
      </c>
      <c r="S10" s="66">
        <v>250000000</v>
      </c>
      <c r="T10" s="7">
        <v>0.5</v>
      </c>
      <c r="U10" s="7" t="s">
        <v>48</v>
      </c>
      <c r="V10" s="76">
        <f>(tblEuler[[#This Row],[E]]*PI()^2)/((tblEuler[[#This Row],[lex]]/tblEuler[[#This Row],[rx]])^2)</f>
        <v>5235331654.5578508</v>
      </c>
      <c r="W10" s="70">
        <f>(tblEuler[[#This Row],[Ix]]*tblEuler[[#This Row],[E]]*PI()^2)/(tblEuler[[#This Row],[lex]]^2)</f>
        <v>302009894.67333436</v>
      </c>
      <c r="X10" s="76">
        <f>(tblEuler[[#This Row],[E]]*PI()^2)/((tblEuler[[#This Row],[ley]]/tblEuler[[#This Row],[ry]])^2)</f>
        <v>284244606.75137341</v>
      </c>
      <c r="Y10" s="70">
        <f>(tblEuler[[#This Row],[Iy]]*tblEuler[[#This Row],[E]]*PI()^2)/(tblEuler[[#This Row],[ley]]^2)</f>
        <v>16462500.141017048</v>
      </c>
      <c r="Z10" s="71">
        <f>SQRT(tblEuler[[#This Row],[rx]]^2+tblEuler[[#This Row],[ry]]^2+tblEuler[[#This Row],[xo]]^2+tblEuler[[#This Row],[yo]]^2)</f>
        <v>0.52879580179876617</v>
      </c>
      <c r="AA10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450083327.09410137</v>
      </c>
    </row>
    <row r="11" spans="2:27" x14ac:dyDescent="0.2">
      <c r="B11" s="13" t="s">
        <v>4</v>
      </c>
      <c r="C11" s="54">
        <v>5.79E-2</v>
      </c>
      <c r="D11" s="11">
        <v>0.83699999999999997</v>
      </c>
      <c r="E11" s="56">
        <v>5</v>
      </c>
      <c r="F11" s="56">
        <v>5</v>
      </c>
      <c r="G11" s="56">
        <v>5</v>
      </c>
      <c r="H11" s="56">
        <v>0.51500000000000001</v>
      </c>
      <c r="I11" s="56">
        <v>0.12</v>
      </c>
      <c r="J11" s="56">
        <v>0</v>
      </c>
      <c r="K11" s="56">
        <v>0</v>
      </c>
      <c r="L11" s="61">
        <v>1.5299999999999999E-2</v>
      </c>
      <c r="M11" s="61">
        <v>8.34E-4</v>
      </c>
      <c r="N11" s="61">
        <v>2.1999999999999999E-5</v>
      </c>
      <c r="O11" s="63">
        <v>2.7999999999999998E-4</v>
      </c>
      <c r="P11" s="66">
        <v>280000000</v>
      </c>
      <c r="Q11" s="66">
        <v>200000000000</v>
      </c>
      <c r="R11" s="66">
        <v>80000000000</v>
      </c>
      <c r="S11" s="66">
        <v>250000000</v>
      </c>
      <c r="T11" s="7">
        <v>0.5</v>
      </c>
      <c r="U11" s="7" t="s">
        <v>48</v>
      </c>
      <c r="V11" s="76">
        <f>(tblEuler[[#This Row],[E]]*PI()^2)/((tblEuler[[#This Row],[lex]]/tblEuler[[#This Row],[rx]])^2)</f>
        <v>20941326618.231403</v>
      </c>
      <c r="W11" s="70">
        <f>(tblEuler[[#This Row],[Ix]]*tblEuler[[#This Row],[E]]*PI()^2)/(tblEuler[[#This Row],[lex]]^2)</f>
        <v>1208039578.6933374</v>
      </c>
      <c r="X11" s="76">
        <f>(tblEuler[[#This Row],[E]]*PI()^2)/((tblEuler[[#This Row],[ley]]/tblEuler[[#This Row],[ry]])^2)</f>
        <v>1136978427.0054936</v>
      </c>
      <c r="Y11" s="70">
        <f>(tblEuler[[#This Row],[Iy]]*tblEuler[[#This Row],[E]]*PI()^2)/(tblEuler[[#This Row],[ley]]^2)</f>
        <v>65850000.564068191</v>
      </c>
      <c r="Z11" s="71">
        <f>SQRT(tblEuler[[#This Row],[rx]]^2+tblEuler[[#This Row],[ry]]^2+tblEuler[[#This Row],[xo]]^2+tblEuler[[#This Row],[yo]]^2)</f>
        <v>0.52879580179876617</v>
      </c>
      <c r="AA11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1474211860.5639436</v>
      </c>
    </row>
    <row r="12" spans="2:27" x14ac:dyDescent="0.2">
      <c r="B12" s="13" t="s">
        <v>4</v>
      </c>
      <c r="C12" s="54">
        <v>5.79E-2</v>
      </c>
      <c r="D12" s="11">
        <v>0.83699999999999997</v>
      </c>
      <c r="E12" s="56">
        <v>1</v>
      </c>
      <c r="F12" s="56">
        <v>1</v>
      </c>
      <c r="G12" s="56">
        <v>1</v>
      </c>
      <c r="H12" s="56">
        <v>0.51500000000000001</v>
      </c>
      <c r="I12" s="56">
        <v>0.12</v>
      </c>
      <c r="J12" s="56">
        <v>0</v>
      </c>
      <c r="K12" s="56">
        <v>0</v>
      </c>
      <c r="L12" s="61">
        <v>1.5299999999999999E-2</v>
      </c>
      <c r="M12" s="61">
        <v>8.34E-4</v>
      </c>
      <c r="N12" s="61">
        <v>2.1999999999999999E-5</v>
      </c>
      <c r="O12" s="63">
        <v>2.7999999999999998E-4</v>
      </c>
      <c r="P12" s="66">
        <v>280000000</v>
      </c>
      <c r="Q12" s="66">
        <v>200000000000</v>
      </c>
      <c r="R12" s="66">
        <v>80000000000</v>
      </c>
      <c r="S12" s="66">
        <v>250000000</v>
      </c>
      <c r="T12" s="7">
        <v>0.5</v>
      </c>
      <c r="U12" s="7" t="s">
        <v>48</v>
      </c>
      <c r="V12" s="76">
        <f>(tblEuler[[#This Row],[E]]*PI()^2)/((tblEuler[[#This Row],[lex]]/tblEuler[[#This Row],[rx]])^2)</f>
        <v>523533165455.78497</v>
      </c>
      <c r="W12" s="70">
        <f>(tblEuler[[#This Row],[Ix]]*tblEuler[[#This Row],[E]]*PI()^2)/(tblEuler[[#This Row],[lex]]^2)</f>
        <v>30200989467.333435</v>
      </c>
      <c r="X12" s="76">
        <f>(tblEuler[[#This Row],[E]]*PI()^2)/((tblEuler[[#This Row],[ley]]/tblEuler[[#This Row],[ry]])^2)</f>
        <v>28424460675.137344</v>
      </c>
      <c r="Y12" s="70">
        <f>(tblEuler[[#This Row],[Iy]]*tblEuler[[#This Row],[E]]*PI()^2)/(tblEuler[[#This Row],[ley]]^2)</f>
        <v>1646250014.1017048</v>
      </c>
      <c r="Z12" s="71">
        <f>SQRT(tblEuler[[#This Row],[rx]]^2+tblEuler[[#This Row],[ry]]^2+tblEuler[[#This Row],[xo]]^2+tblEuler[[#This Row],[yo]]^2)</f>
        <v>0.52879580179876617</v>
      </c>
      <c r="AA12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34246324931.5989</v>
      </c>
    </row>
    <row r="13" spans="2:27" x14ac:dyDescent="0.2">
      <c r="B13" s="13" t="s">
        <v>9</v>
      </c>
      <c r="C13" s="54">
        <v>1.17E-3</v>
      </c>
      <c r="D13" s="11">
        <v>0.82399999999999995</v>
      </c>
      <c r="E13" s="56">
        <v>20</v>
      </c>
      <c r="F13" s="56">
        <v>20</v>
      </c>
      <c r="G13" s="56">
        <v>20</v>
      </c>
      <c r="H13" s="56">
        <v>4.2500000000000003E-2</v>
      </c>
      <c r="I13" s="56">
        <v>1.6400000000000001E-2</v>
      </c>
      <c r="J13" s="56">
        <v>0</v>
      </c>
      <c r="K13" s="56">
        <v>0</v>
      </c>
      <c r="L13" s="61">
        <v>2.0999999999999998E-6</v>
      </c>
      <c r="M13" s="61">
        <v>3.15E-7</v>
      </c>
      <c r="N13" s="61">
        <v>1.48E-8</v>
      </c>
      <c r="O13" s="63">
        <v>0</v>
      </c>
      <c r="P13" s="66">
        <v>320000000</v>
      </c>
      <c r="Q13" s="66">
        <v>200000000000</v>
      </c>
      <c r="R13" s="66">
        <v>80000000000</v>
      </c>
      <c r="S13" s="66">
        <v>250000000</v>
      </c>
      <c r="T13" s="7">
        <v>0.5</v>
      </c>
      <c r="U13" s="7" t="s">
        <v>51</v>
      </c>
      <c r="V13" s="76">
        <f>(tblEuler[[#This Row],[E]]*PI()^2)/((tblEuler[[#This Row],[lex]]/tblEuler[[#This Row],[rx]])^2)</f>
        <v>8913486.4747338276</v>
      </c>
      <c r="W13" s="70">
        <f>(tblEuler[[#This Row],[Ix]]*tblEuler[[#This Row],[E]]*PI()^2)/(tblEuler[[#This Row],[lex]]^2)</f>
        <v>10363.084621143824</v>
      </c>
      <c r="X13" s="76">
        <f>(tblEuler[[#This Row],[E]]*PI()^2)/((tblEuler[[#This Row],[ley]]/tblEuler[[#This Row],[ry]])^2)</f>
        <v>1327264.3998584969</v>
      </c>
      <c r="Y13" s="70">
        <f>(tblEuler[[#This Row],[Iy]]*tblEuler[[#This Row],[E]]*PI()^2)/(tblEuler[[#This Row],[ley]]^2)</f>
        <v>1554.4626931715738</v>
      </c>
      <c r="Z13" s="71">
        <f>SQRT(tblEuler[[#This Row],[rx]]^2+tblEuler[[#This Row],[ry]]^2+tblEuler[[#This Row],[xo]]^2+tblEuler[[#This Row],[yo]]^2)</f>
        <v>4.5554472886863706E-2</v>
      </c>
      <c r="AA13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4" spans="2:27" x14ac:dyDescent="0.2">
      <c r="B14" s="13" t="s">
        <v>9</v>
      </c>
      <c r="C14" s="54">
        <v>1.17E-3</v>
      </c>
      <c r="D14" s="11">
        <v>0.82399999999999995</v>
      </c>
      <c r="E14" s="56">
        <v>10</v>
      </c>
      <c r="F14" s="56">
        <v>10</v>
      </c>
      <c r="G14" s="56">
        <v>10</v>
      </c>
      <c r="H14" s="56">
        <v>4.2500000000000003E-2</v>
      </c>
      <c r="I14" s="56">
        <v>1.6400000000000001E-2</v>
      </c>
      <c r="J14" s="56">
        <v>0</v>
      </c>
      <c r="K14" s="56">
        <v>0</v>
      </c>
      <c r="L14" s="61">
        <v>2.0999999999999998E-6</v>
      </c>
      <c r="M14" s="61">
        <v>3.15E-7</v>
      </c>
      <c r="N14" s="61">
        <v>1.48E-8</v>
      </c>
      <c r="O14" s="63">
        <v>0</v>
      </c>
      <c r="P14" s="66">
        <v>320000000</v>
      </c>
      <c r="Q14" s="66">
        <v>200000000000</v>
      </c>
      <c r="R14" s="66">
        <v>80000000000</v>
      </c>
      <c r="S14" s="66">
        <v>250000000</v>
      </c>
      <c r="T14" s="7">
        <v>0.5</v>
      </c>
      <c r="U14" s="7" t="s">
        <v>51</v>
      </c>
      <c r="V14" s="76">
        <f>(tblEuler[[#This Row],[E]]*PI()^2)/((tblEuler[[#This Row],[lex]]/tblEuler[[#This Row],[rx]])^2)</f>
        <v>35653945.898935311</v>
      </c>
      <c r="W14" s="70">
        <f>(tblEuler[[#This Row],[Ix]]*tblEuler[[#This Row],[E]]*PI()^2)/(tblEuler[[#This Row],[lex]]^2)</f>
        <v>41452.338484575295</v>
      </c>
      <c r="X14" s="76">
        <f>(tblEuler[[#This Row],[E]]*PI()^2)/((tblEuler[[#This Row],[ley]]/tblEuler[[#This Row],[ry]])^2)</f>
        <v>5309057.5994339874</v>
      </c>
      <c r="Y14" s="70">
        <f>(tblEuler[[#This Row],[Iy]]*tblEuler[[#This Row],[E]]*PI()^2)/(tblEuler[[#This Row],[ley]]^2)</f>
        <v>6217.8507726862954</v>
      </c>
      <c r="Z14" s="71">
        <f>SQRT(tblEuler[[#This Row],[rx]]^2+tblEuler[[#This Row],[ry]]^2+tblEuler[[#This Row],[xo]]^2+tblEuler[[#This Row],[yo]]^2)</f>
        <v>4.5554472886863706E-2</v>
      </c>
      <c r="AA14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5" spans="2:27" x14ac:dyDescent="0.2">
      <c r="B15" s="13" t="s">
        <v>9</v>
      </c>
      <c r="C15" s="54">
        <v>1.17E-3</v>
      </c>
      <c r="D15" s="11">
        <v>0.82399999999999995</v>
      </c>
      <c r="E15" s="56">
        <v>5</v>
      </c>
      <c r="F15" s="56">
        <v>5</v>
      </c>
      <c r="G15" s="56">
        <v>5</v>
      </c>
      <c r="H15" s="56">
        <v>4.2500000000000003E-2</v>
      </c>
      <c r="I15" s="56">
        <v>1.6400000000000001E-2</v>
      </c>
      <c r="J15" s="56">
        <v>0</v>
      </c>
      <c r="K15" s="56">
        <v>0</v>
      </c>
      <c r="L15" s="61">
        <v>2.0999999999999998E-6</v>
      </c>
      <c r="M15" s="61">
        <v>3.15E-7</v>
      </c>
      <c r="N15" s="61">
        <v>1.48E-8</v>
      </c>
      <c r="O15" s="63">
        <v>0</v>
      </c>
      <c r="P15" s="66">
        <v>320000000</v>
      </c>
      <c r="Q15" s="66">
        <v>200000000000</v>
      </c>
      <c r="R15" s="66">
        <v>80000000000</v>
      </c>
      <c r="S15" s="66">
        <v>250000000</v>
      </c>
      <c r="T15" s="7">
        <v>0.5</v>
      </c>
      <c r="U15" s="7" t="s">
        <v>51</v>
      </c>
      <c r="V15" s="76">
        <f>(tblEuler[[#This Row],[E]]*PI()^2)/((tblEuler[[#This Row],[lex]]/tblEuler[[#This Row],[rx]])^2)</f>
        <v>142615783.59574124</v>
      </c>
      <c r="W15" s="70">
        <f>(tblEuler[[#This Row],[Ix]]*tblEuler[[#This Row],[E]]*PI()^2)/(tblEuler[[#This Row],[lex]]^2)</f>
        <v>165809.35393830118</v>
      </c>
      <c r="X15" s="76">
        <f>(tblEuler[[#This Row],[E]]*PI()^2)/((tblEuler[[#This Row],[ley]]/tblEuler[[#This Row],[ry]])^2)</f>
        <v>21236230.39773595</v>
      </c>
      <c r="Y15" s="70">
        <f>(tblEuler[[#This Row],[Iy]]*tblEuler[[#This Row],[E]]*PI()^2)/(tblEuler[[#This Row],[ley]]^2)</f>
        <v>24871.403090745182</v>
      </c>
      <c r="Z15" s="71">
        <f>SQRT(tblEuler[[#This Row],[rx]]^2+tblEuler[[#This Row],[ry]]^2+tblEuler[[#This Row],[xo]]^2+tblEuler[[#This Row],[yo]]^2)</f>
        <v>4.5554472886863706E-2</v>
      </c>
      <c r="AA15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6" spans="2:27" x14ac:dyDescent="0.2">
      <c r="B16" s="13" t="s">
        <v>9</v>
      </c>
      <c r="C16" s="54">
        <v>1.17E-3</v>
      </c>
      <c r="D16" s="11">
        <v>0.82399999999999995</v>
      </c>
      <c r="E16" s="56">
        <v>1</v>
      </c>
      <c r="F16" s="56">
        <v>1</v>
      </c>
      <c r="G16" s="56">
        <v>1</v>
      </c>
      <c r="H16" s="56">
        <v>4.2500000000000003E-2</v>
      </c>
      <c r="I16" s="56">
        <v>1.6400000000000001E-2</v>
      </c>
      <c r="J16" s="56">
        <v>0</v>
      </c>
      <c r="K16" s="56">
        <v>0</v>
      </c>
      <c r="L16" s="61">
        <v>2.0999999999999998E-6</v>
      </c>
      <c r="M16" s="61">
        <v>3.15E-7</v>
      </c>
      <c r="N16" s="61">
        <v>1.48E-8</v>
      </c>
      <c r="O16" s="63">
        <v>0</v>
      </c>
      <c r="P16" s="66">
        <v>320000000</v>
      </c>
      <c r="Q16" s="66">
        <v>200000000000</v>
      </c>
      <c r="R16" s="66">
        <v>80000000000</v>
      </c>
      <c r="S16" s="66">
        <v>250000000</v>
      </c>
      <c r="T16" s="7">
        <v>0.5</v>
      </c>
      <c r="U16" s="7" t="s">
        <v>51</v>
      </c>
      <c r="V16" s="76">
        <f>(tblEuler[[#This Row],[E]]*PI()^2)/((tblEuler[[#This Row],[lex]]/tblEuler[[#This Row],[rx]])^2)</f>
        <v>3565394589.8935313</v>
      </c>
      <c r="W16" s="70">
        <f>(tblEuler[[#This Row],[Ix]]*tblEuler[[#This Row],[E]]*PI()^2)/(tblEuler[[#This Row],[lex]]^2)</f>
        <v>4145233.8484575297</v>
      </c>
      <c r="X16" s="76">
        <f>(tblEuler[[#This Row],[E]]*PI()^2)/((tblEuler[[#This Row],[ley]]/tblEuler[[#This Row],[ry]])^2)</f>
        <v>530905759.94339889</v>
      </c>
      <c r="Y16" s="70">
        <f>(tblEuler[[#This Row],[Iy]]*tblEuler[[#This Row],[E]]*PI()^2)/(tblEuler[[#This Row],[ley]]^2)</f>
        <v>621785.07726862957</v>
      </c>
      <c r="Z16" s="71">
        <f>SQRT(tblEuler[[#This Row],[rx]]^2+tblEuler[[#This Row],[ry]]^2+tblEuler[[#This Row],[xo]]^2+tblEuler[[#This Row],[yo]]^2)</f>
        <v>4.5554472886863706E-2</v>
      </c>
      <c r="AA16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7" spans="2:27" x14ac:dyDescent="0.2">
      <c r="B17" s="13" t="s">
        <v>9</v>
      </c>
      <c r="C17" s="54">
        <v>1.17E-3</v>
      </c>
      <c r="D17" s="11">
        <v>0.82399999999999995</v>
      </c>
      <c r="E17" s="56">
        <v>0.5</v>
      </c>
      <c r="F17" s="56">
        <v>0.5</v>
      </c>
      <c r="G17" s="56">
        <v>0.5</v>
      </c>
      <c r="H17" s="56">
        <v>4.2500000000000003E-2</v>
      </c>
      <c r="I17" s="56">
        <v>1.6400000000000001E-2</v>
      </c>
      <c r="J17" s="56">
        <v>0</v>
      </c>
      <c r="K17" s="56">
        <v>0</v>
      </c>
      <c r="L17" s="61">
        <v>2.0999999999999998E-6</v>
      </c>
      <c r="M17" s="61">
        <v>3.15E-7</v>
      </c>
      <c r="N17" s="61">
        <v>1.48E-8</v>
      </c>
      <c r="O17" s="63">
        <v>0</v>
      </c>
      <c r="P17" s="66">
        <v>320000000</v>
      </c>
      <c r="Q17" s="66">
        <v>200000000000</v>
      </c>
      <c r="R17" s="66">
        <v>80000000000</v>
      </c>
      <c r="S17" s="66">
        <v>250000000</v>
      </c>
      <c r="T17" s="7">
        <v>0.5</v>
      </c>
      <c r="U17" s="7" t="s">
        <v>51</v>
      </c>
      <c r="V17" s="76">
        <f>(tblEuler[[#This Row],[E]]*PI()^2)/((tblEuler[[#This Row],[lex]]/tblEuler[[#This Row],[rx]])^2)</f>
        <v>14261578359.574125</v>
      </c>
      <c r="W17" s="70">
        <f>(tblEuler[[#This Row],[Ix]]*tblEuler[[#This Row],[E]]*PI()^2)/(tblEuler[[#This Row],[lex]]^2)</f>
        <v>16580935.393830119</v>
      </c>
      <c r="X17" s="76">
        <f>(tblEuler[[#This Row],[E]]*PI()^2)/((tblEuler[[#This Row],[ley]]/tblEuler[[#This Row],[ry]])^2)</f>
        <v>2123623039.7735956</v>
      </c>
      <c r="Y17" s="70">
        <f>(tblEuler[[#This Row],[Iy]]*tblEuler[[#This Row],[E]]*PI()^2)/(tblEuler[[#This Row],[ley]]^2)</f>
        <v>2487140.3090745183</v>
      </c>
      <c r="Z17" s="71">
        <f>SQRT(tblEuler[[#This Row],[rx]]^2+tblEuler[[#This Row],[ry]]^2+tblEuler[[#This Row],[xo]]^2+tblEuler[[#This Row],[yo]]^2)</f>
        <v>4.5554472886863706E-2</v>
      </c>
      <c r="AA17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8" spans="2:27" x14ac:dyDescent="0.2">
      <c r="B18" s="13" t="s">
        <v>9</v>
      </c>
      <c r="C18" s="54">
        <v>1.17E-3</v>
      </c>
      <c r="D18" s="11">
        <v>0.82399999999999995</v>
      </c>
      <c r="E18" s="56">
        <v>0.1</v>
      </c>
      <c r="F18" s="56">
        <v>0.1</v>
      </c>
      <c r="G18" s="56">
        <v>0.1</v>
      </c>
      <c r="H18" s="56">
        <v>4.2500000000000003E-2</v>
      </c>
      <c r="I18" s="56">
        <v>1.6400000000000001E-2</v>
      </c>
      <c r="J18" s="56">
        <v>0</v>
      </c>
      <c r="K18" s="56">
        <v>0</v>
      </c>
      <c r="L18" s="61">
        <v>2.0999999999999998E-6</v>
      </c>
      <c r="M18" s="61">
        <v>3.15E-7</v>
      </c>
      <c r="N18" s="61">
        <v>1.48E-8</v>
      </c>
      <c r="O18" s="63">
        <v>0</v>
      </c>
      <c r="P18" s="66">
        <v>320000000</v>
      </c>
      <c r="Q18" s="66">
        <v>200000000000</v>
      </c>
      <c r="R18" s="66">
        <v>80000000000</v>
      </c>
      <c r="S18" s="66">
        <v>250000000</v>
      </c>
      <c r="T18" s="7">
        <v>0.5</v>
      </c>
      <c r="U18" s="7" t="s">
        <v>51</v>
      </c>
      <c r="V18" s="76">
        <f>(tblEuler[[#This Row],[E]]*PI()^2)/((tblEuler[[#This Row],[lex]]/tblEuler[[#This Row],[rx]])^2)</f>
        <v>356539458989.35303</v>
      </c>
      <c r="W18" s="70">
        <f>(tblEuler[[#This Row],[Ix]]*tblEuler[[#This Row],[E]]*PI()^2)/(tblEuler[[#This Row],[lex]]^2)</f>
        <v>414523384.84575289</v>
      </c>
      <c r="X18" s="76">
        <f>(tblEuler[[#This Row],[E]]*PI()^2)/((tblEuler[[#This Row],[ley]]/tblEuler[[#This Row],[ry]])^2)</f>
        <v>53090575994.339874</v>
      </c>
      <c r="Y18" s="70">
        <f>(tblEuler[[#This Row],[Iy]]*tblEuler[[#This Row],[E]]*PI()^2)/(tblEuler[[#This Row],[ley]]^2)</f>
        <v>62178507.726862945</v>
      </c>
      <c r="Z18" s="71">
        <f>SQRT(tblEuler[[#This Row],[rx]]^2+tblEuler[[#This Row],[ry]]^2+tblEuler[[#This Row],[xo]]^2+tblEuler[[#This Row],[yo]]^2)</f>
        <v>4.5554472886863706E-2</v>
      </c>
      <c r="AA18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9" spans="2:27" x14ac:dyDescent="0.2">
      <c r="B19" s="13" t="s">
        <v>8</v>
      </c>
      <c r="C19" s="54">
        <v>2.7899999999999999E-3</v>
      </c>
      <c r="D19" s="11">
        <v>0.95799999999999996</v>
      </c>
      <c r="E19" s="56">
        <v>20</v>
      </c>
      <c r="F19" s="56">
        <v>20</v>
      </c>
      <c r="G19" s="56">
        <v>20</v>
      </c>
      <c r="H19" s="56">
        <v>5.8700000000000002E-2</v>
      </c>
      <c r="I19" s="56">
        <v>2.98E-2</v>
      </c>
      <c r="J19" s="56">
        <v>0</v>
      </c>
      <c r="K19" s="56">
        <v>0</v>
      </c>
      <c r="L19" s="61">
        <v>9.6099999999999995E-6</v>
      </c>
      <c r="M19" s="61">
        <v>2.48E-6</v>
      </c>
      <c r="N19" s="61">
        <v>8.8899999999999995E-8</v>
      </c>
      <c r="O19" s="63">
        <v>0</v>
      </c>
      <c r="P19" s="66">
        <v>320000000</v>
      </c>
      <c r="Q19" s="66">
        <v>200000000000</v>
      </c>
      <c r="R19" s="66">
        <v>80000000000</v>
      </c>
      <c r="S19" s="66">
        <v>250000000</v>
      </c>
      <c r="T19" s="7">
        <v>0.5</v>
      </c>
      <c r="U19" s="7" t="s">
        <v>49</v>
      </c>
      <c r="V19" s="76">
        <f>(tblEuler[[#This Row],[E]]*PI()^2)/((tblEuler[[#This Row],[lex]]/tblEuler[[#This Row],[rx]])^2)</f>
        <v>17003798.594394796</v>
      </c>
      <c r="W19" s="70">
        <f>(tblEuler[[#This Row],[Ix]]*tblEuler[[#This Row],[E]]*PI()^2)/(tblEuler[[#This Row],[lex]]^2)</f>
        <v>47423.449147234365</v>
      </c>
      <c r="X19" s="76">
        <f>(tblEuler[[#This Row],[E]]*PI()^2)/((tblEuler[[#This Row],[ley]]/tblEuler[[#This Row],[ry]])^2)</f>
        <v>4382301.746171697</v>
      </c>
      <c r="Y19" s="70">
        <f>(tblEuler[[#This Row],[Iy]]*tblEuler[[#This Row],[E]]*PI()^2)/(tblEuler[[#This Row],[ley]]^2)</f>
        <v>12238.309457350804</v>
      </c>
      <c r="Z19" s="71">
        <f>SQRT(tblEuler[[#This Row],[rx]]^2+tblEuler[[#This Row],[ry]]^2+tblEuler[[#This Row],[xo]]^2+tblEuler[[#This Row],[yo]]^2)</f>
        <v>6.5831071691109508E-2</v>
      </c>
      <c r="AA19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0" spans="2:27" x14ac:dyDescent="0.2">
      <c r="B20" s="13" t="s">
        <v>8</v>
      </c>
      <c r="C20" s="54">
        <v>2.7899999999999999E-3</v>
      </c>
      <c r="D20" s="11">
        <v>0.95799999999999996</v>
      </c>
      <c r="E20" s="56">
        <v>10</v>
      </c>
      <c r="F20" s="56">
        <v>10</v>
      </c>
      <c r="G20" s="56">
        <v>10</v>
      </c>
      <c r="H20" s="56">
        <v>5.8700000000000002E-2</v>
      </c>
      <c r="I20" s="56">
        <v>2.98E-2</v>
      </c>
      <c r="J20" s="56">
        <v>0</v>
      </c>
      <c r="K20" s="56">
        <v>0</v>
      </c>
      <c r="L20" s="61">
        <v>9.6099999999999995E-6</v>
      </c>
      <c r="M20" s="61">
        <v>2.48E-6</v>
      </c>
      <c r="N20" s="61">
        <v>8.8899999999999995E-8</v>
      </c>
      <c r="O20" s="63">
        <v>0</v>
      </c>
      <c r="P20" s="66">
        <v>320000000</v>
      </c>
      <c r="Q20" s="66">
        <v>200000000000</v>
      </c>
      <c r="R20" s="66">
        <v>80000000000</v>
      </c>
      <c r="S20" s="66">
        <v>250000000</v>
      </c>
      <c r="T20" s="7">
        <v>0.5</v>
      </c>
      <c r="U20" s="7" t="s">
        <v>49</v>
      </c>
      <c r="V20" s="76">
        <f>(tblEuler[[#This Row],[E]]*PI()^2)/((tblEuler[[#This Row],[lex]]/tblEuler[[#This Row],[rx]])^2)</f>
        <v>68015194.377579182</v>
      </c>
      <c r="W20" s="70">
        <f>(tblEuler[[#This Row],[Ix]]*tblEuler[[#This Row],[E]]*PI()^2)/(tblEuler[[#This Row],[lex]]^2)</f>
        <v>189693.79658893746</v>
      </c>
      <c r="X20" s="76">
        <f>(tblEuler[[#This Row],[E]]*PI()^2)/((tblEuler[[#This Row],[ley]]/tblEuler[[#This Row],[ry]])^2)</f>
        <v>17529206.984686788</v>
      </c>
      <c r="Y20" s="70">
        <f>(tblEuler[[#This Row],[Iy]]*tblEuler[[#This Row],[E]]*PI()^2)/(tblEuler[[#This Row],[ley]]^2)</f>
        <v>48953.237829403217</v>
      </c>
      <c r="Z20" s="71">
        <f>SQRT(tblEuler[[#This Row],[rx]]^2+tblEuler[[#This Row],[ry]]^2+tblEuler[[#This Row],[xo]]^2+tblEuler[[#This Row],[yo]]^2)</f>
        <v>6.5831071691109508E-2</v>
      </c>
      <c r="AA20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1" spans="2:27" x14ac:dyDescent="0.2">
      <c r="B21" s="13" t="s">
        <v>8</v>
      </c>
      <c r="C21" s="54">
        <v>2.7899999999999999E-3</v>
      </c>
      <c r="D21" s="11">
        <v>0.95799999999999996</v>
      </c>
      <c r="E21" s="56">
        <v>5</v>
      </c>
      <c r="F21" s="56">
        <v>5</v>
      </c>
      <c r="G21" s="56">
        <v>5</v>
      </c>
      <c r="H21" s="56">
        <v>5.8700000000000002E-2</v>
      </c>
      <c r="I21" s="56">
        <v>2.98E-2</v>
      </c>
      <c r="J21" s="56">
        <v>0</v>
      </c>
      <c r="K21" s="56">
        <v>0</v>
      </c>
      <c r="L21" s="61">
        <v>9.6099999999999995E-6</v>
      </c>
      <c r="M21" s="61">
        <v>2.48E-6</v>
      </c>
      <c r="N21" s="61">
        <v>8.8899999999999995E-8</v>
      </c>
      <c r="O21" s="63">
        <v>0</v>
      </c>
      <c r="P21" s="66">
        <v>320000000</v>
      </c>
      <c r="Q21" s="66">
        <v>200000000000</v>
      </c>
      <c r="R21" s="66">
        <v>80000000000</v>
      </c>
      <c r="S21" s="66">
        <v>250000000</v>
      </c>
      <c r="T21" s="7">
        <v>0.5</v>
      </c>
      <c r="U21" s="7" t="s">
        <v>49</v>
      </c>
      <c r="V21" s="76">
        <f>(tblEuler[[#This Row],[E]]*PI()^2)/((tblEuler[[#This Row],[lex]]/tblEuler[[#This Row],[rx]])^2)</f>
        <v>272060777.51031673</v>
      </c>
      <c r="W21" s="70">
        <f>(tblEuler[[#This Row],[Ix]]*tblEuler[[#This Row],[E]]*PI()^2)/(tblEuler[[#This Row],[lex]]^2)</f>
        <v>758775.18635574984</v>
      </c>
      <c r="X21" s="76">
        <f>(tblEuler[[#This Row],[E]]*PI()^2)/((tblEuler[[#This Row],[ley]]/tblEuler[[#This Row],[ry]])^2)</f>
        <v>70116827.938747153</v>
      </c>
      <c r="Y21" s="70">
        <f>(tblEuler[[#This Row],[Iy]]*tblEuler[[#This Row],[E]]*PI()^2)/(tblEuler[[#This Row],[ley]]^2)</f>
        <v>195812.95131761287</v>
      </c>
      <c r="Z21" s="71">
        <f>SQRT(tblEuler[[#This Row],[rx]]^2+tblEuler[[#This Row],[ry]]^2+tblEuler[[#This Row],[xo]]^2+tblEuler[[#This Row],[yo]]^2)</f>
        <v>6.5831071691109508E-2</v>
      </c>
      <c r="AA21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2" spans="2:27" x14ac:dyDescent="0.2">
      <c r="B22" s="13" t="s">
        <v>8</v>
      </c>
      <c r="C22" s="54">
        <v>2.7899999999999999E-3</v>
      </c>
      <c r="D22" s="11">
        <v>0.95799999999999996</v>
      </c>
      <c r="E22" s="56">
        <v>1</v>
      </c>
      <c r="F22" s="56">
        <v>1</v>
      </c>
      <c r="G22" s="56">
        <v>1</v>
      </c>
      <c r="H22" s="56">
        <v>5.8700000000000002E-2</v>
      </c>
      <c r="I22" s="56">
        <v>2.98E-2</v>
      </c>
      <c r="J22" s="56">
        <v>0</v>
      </c>
      <c r="K22" s="56">
        <v>0</v>
      </c>
      <c r="L22" s="61">
        <v>9.6099999999999995E-6</v>
      </c>
      <c r="M22" s="61">
        <v>2.48E-6</v>
      </c>
      <c r="N22" s="61">
        <v>8.8899999999999995E-8</v>
      </c>
      <c r="O22" s="63">
        <v>0</v>
      </c>
      <c r="P22" s="66">
        <v>320000000</v>
      </c>
      <c r="Q22" s="66">
        <v>200000000000</v>
      </c>
      <c r="R22" s="66">
        <v>80000000000</v>
      </c>
      <c r="S22" s="66">
        <v>250000000</v>
      </c>
      <c r="T22" s="7">
        <v>0.5</v>
      </c>
      <c r="U22" s="7" t="s">
        <v>49</v>
      </c>
      <c r="V22" s="76">
        <f>(tblEuler[[#This Row],[E]]*PI()^2)/((tblEuler[[#This Row],[lex]]/tblEuler[[#This Row],[rx]])^2)</f>
        <v>6801519437.7579174</v>
      </c>
      <c r="W22" s="70">
        <f>(tblEuler[[#This Row],[Ix]]*tblEuler[[#This Row],[E]]*PI()^2)/(tblEuler[[#This Row],[lex]]^2)</f>
        <v>18969379.658893745</v>
      </c>
      <c r="X22" s="76">
        <f>(tblEuler[[#This Row],[E]]*PI()^2)/((tblEuler[[#This Row],[ley]]/tblEuler[[#This Row],[ry]])^2)</f>
        <v>1752920698.4686785</v>
      </c>
      <c r="Y22" s="70">
        <f>(tblEuler[[#This Row],[Iy]]*tblEuler[[#This Row],[E]]*PI()^2)/(tblEuler[[#This Row],[ley]]^2)</f>
        <v>4895323.7829403216</v>
      </c>
      <c r="Z22" s="71">
        <f>SQRT(tblEuler[[#This Row],[rx]]^2+tblEuler[[#This Row],[ry]]^2+tblEuler[[#This Row],[xo]]^2+tblEuler[[#This Row],[yo]]^2)</f>
        <v>6.5831071691109508E-2</v>
      </c>
      <c r="AA22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3" spans="2:27" x14ac:dyDescent="0.2">
      <c r="B23" s="13" t="s">
        <v>8</v>
      </c>
      <c r="C23" s="54">
        <v>2.7899999999999999E-3</v>
      </c>
      <c r="D23" s="11">
        <v>0.95799999999999996</v>
      </c>
      <c r="E23" s="56">
        <v>0.5</v>
      </c>
      <c r="F23" s="56">
        <v>0.5</v>
      </c>
      <c r="G23" s="56">
        <v>0.5</v>
      </c>
      <c r="H23" s="56">
        <v>5.8700000000000002E-2</v>
      </c>
      <c r="I23" s="56">
        <v>2.98E-2</v>
      </c>
      <c r="J23" s="56">
        <v>0</v>
      </c>
      <c r="K23" s="56">
        <v>0</v>
      </c>
      <c r="L23" s="61">
        <v>9.6099999999999995E-6</v>
      </c>
      <c r="M23" s="61">
        <v>2.48E-6</v>
      </c>
      <c r="N23" s="61">
        <v>8.8899999999999995E-8</v>
      </c>
      <c r="O23" s="63">
        <v>0</v>
      </c>
      <c r="P23" s="66">
        <v>320000000</v>
      </c>
      <c r="Q23" s="66">
        <v>200000000000</v>
      </c>
      <c r="R23" s="66">
        <v>80000000000</v>
      </c>
      <c r="S23" s="66">
        <v>250000000</v>
      </c>
      <c r="T23" s="7">
        <v>0.5</v>
      </c>
      <c r="U23" s="7" t="s">
        <v>49</v>
      </c>
      <c r="V23" s="76">
        <f>(tblEuler[[#This Row],[E]]*PI()^2)/((tblEuler[[#This Row],[lex]]/tblEuler[[#This Row],[rx]])^2)</f>
        <v>27206077751.03167</v>
      </c>
      <c r="W23" s="70">
        <f>(tblEuler[[#This Row],[Ix]]*tblEuler[[#This Row],[E]]*PI()^2)/(tblEuler[[#This Row],[lex]]^2)</f>
        <v>75877518.635574982</v>
      </c>
      <c r="X23" s="76">
        <f>(tblEuler[[#This Row],[E]]*PI()^2)/((tblEuler[[#This Row],[ley]]/tblEuler[[#This Row],[ry]])^2)</f>
        <v>7011682793.8747139</v>
      </c>
      <c r="Y23" s="70">
        <f>(tblEuler[[#This Row],[Iy]]*tblEuler[[#This Row],[E]]*PI()^2)/(tblEuler[[#This Row],[ley]]^2)</f>
        <v>19581295.131761286</v>
      </c>
      <c r="Z23" s="71">
        <f>SQRT(tblEuler[[#This Row],[rx]]^2+tblEuler[[#This Row],[ry]]^2+tblEuler[[#This Row],[xo]]^2+tblEuler[[#This Row],[yo]]^2)</f>
        <v>6.5831071691109508E-2</v>
      </c>
      <c r="AA23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4" spans="2:27" x14ac:dyDescent="0.2">
      <c r="B24" s="13" t="s">
        <v>8</v>
      </c>
      <c r="C24" s="54">
        <v>2.7899999999999999E-3</v>
      </c>
      <c r="D24" s="11">
        <v>0.95799999999999996</v>
      </c>
      <c r="E24" s="56">
        <v>0.1</v>
      </c>
      <c r="F24" s="56">
        <v>0.1</v>
      </c>
      <c r="G24" s="56">
        <v>0.1</v>
      </c>
      <c r="H24" s="56">
        <v>5.8700000000000002E-2</v>
      </c>
      <c r="I24" s="56">
        <v>2.98E-2</v>
      </c>
      <c r="J24" s="56">
        <v>0</v>
      </c>
      <c r="K24" s="56">
        <v>0</v>
      </c>
      <c r="L24" s="61">
        <v>9.6099999999999995E-6</v>
      </c>
      <c r="M24" s="61">
        <v>2.48E-6</v>
      </c>
      <c r="N24" s="61">
        <v>8.8899999999999995E-8</v>
      </c>
      <c r="O24" s="63">
        <v>0</v>
      </c>
      <c r="P24" s="66">
        <v>320000000</v>
      </c>
      <c r="Q24" s="66">
        <v>200000000000</v>
      </c>
      <c r="R24" s="66">
        <v>80000000000</v>
      </c>
      <c r="S24" s="66">
        <v>250000000</v>
      </c>
      <c r="T24" s="7">
        <v>0.5</v>
      </c>
      <c r="U24" s="7" t="s">
        <v>49</v>
      </c>
      <c r="V24" s="76">
        <f>(tblEuler[[#This Row],[E]]*PI()^2)/((tblEuler[[#This Row],[lex]]/tblEuler[[#This Row],[rx]])^2)</f>
        <v>680151943775.79187</v>
      </c>
      <c r="W24" s="70">
        <f>(tblEuler[[#This Row],[Ix]]*tblEuler[[#This Row],[E]]*PI()^2)/(tblEuler[[#This Row],[lex]]^2)</f>
        <v>1896937965.8893743</v>
      </c>
      <c r="X24" s="76">
        <f>(tblEuler[[#This Row],[E]]*PI()^2)/((tblEuler[[#This Row],[ley]]/tblEuler[[#This Row],[ry]])^2)</f>
        <v>175292069846.86786</v>
      </c>
      <c r="Y24" s="70">
        <f>(tblEuler[[#This Row],[Iy]]*tblEuler[[#This Row],[E]]*PI()^2)/(tblEuler[[#This Row],[ley]]^2)</f>
        <v>489532378.29403204</v>
      </c>
      <c r="Z24" s="71">
        <f>SQRT(tblEuler[[#This Row],[rx]]^2+tblEuler[[#This Row],[ry]]^2+tblEuler[[#This Row],[xo]]^2+tblEuler[[#This Row],[yo]]^2)</f>
        <v>6.5831071691109508E-2</v>
      </c>
      <c r="AA24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5" spans="2:27" x14ac:dyDescent="0.2">
      <c r="B25" s="13" t="s">
        <v>38</v>
      </c>
      <c r="C25" s="54">
        <v>1.4300000000000001E-4</v>
      </c>
      <c r="D25" s="11">
        <v>1</v>
      </c>
      <c r="E25" s="56">
        <v>10</v>
      </c>
      <c r="F25" s="56">
        <v>10</v>
      </c>
      <c r="G25" s="56">
        <v>10</v>
      </c>
      <c r="H25" s="56">
        <v>9.2200000000000008E-3</v>
      </c>
      <c r="I25" s="56">
        <v>4.7299999999999998E-3</v>
      </c>
      <c r="J25" s="56">
        <v>0</v>
      </c>
      <c r="K25" s="56">
        <v>0</v>
      </c>
      <c r="L25" s="61">
        <v>1.2100000000000001E-8</v>
      </c>
      <c r="M25" s="61">
        <v>3.1899999999999999E-9</v>
      </c>
      <c r="N25" s="61">
        <v>5.1499999999999998E-10</v>
      </c>
      <c r="O25" s="63">
        <v>0</v>
      </c>
      <c r="P25" s="66">
        <v>320000000</v>
      </c>
      <c r="Q25" s="66">
        <v>200000000000</v>
      </c>
      <c r="R25" s="66">
        <v>80000000000</v>
      </c>
      <c r="S25" s="66">
        <v>250000000</v>
      </c>
      <c r="T25" s="7">
        <v>0.5</v>
      </c>
      <c r="U25" s="7" t="s">
        <v>49</v>
      </c>
      <c r="V25" s="76">
        <f>(tblEuler[[#This Row],[E]]*PI()^2)/((tblEuler[[#This Row],[lex]]/tblEuler[[#This Row],[rx]])^2)</f>
        <v>1677998.5575391292</v>
      </c>
      <c r="W25" s="70">
        <f>(tblEuler[[#This Row],[Ix]]*tblEuler[[#This Row],[E]]*PI()^2)/(tblEuler[[#This Row],[lex]]^2)</f>
        <v>238.84442650636248</v>
      </c>
      <c r="X25" s="76">
        <f>(tblEuler[[#This Row],[E]]*PI()^2)/((tblEuler[[#This Row],[ley]]/tblEuler[[#This Row],[ry]])^2)</f>
        <v>441623.34461026412</v>
      </c>
      <c r="Y25" s="70">
        <f>(tblEuler[[#This Row],[Iy]]*tblEuler[[#This Row],[E]]*PI()^2)/(tblEuler[[#This Row],[ley]]^2)</f>
        <v>62.968076078950105</v>
      </c>
      <c r="Z25" s="71">
        <f>SQRT(tblEuler[[#This Row],[rx]]^2+tblEuler[[#This Row],[ry]]^2+tblEuler[[#This Row],[xo]]^2+tblEuler[[#This Row],[yo]]^2)</f>
        <v>1.0362494873340107E-2</v>
      </c>
      <c r="AA25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6" spans="2:27" x14ac:dyDescent="0.2">
      <c r="B26" s="13" t="s">
        <v>38</v>
      </c>
      <c r="C26" s="54">
        <v>1.4300000000000001E-4</v>
      </c>
      <c r="D26" s="11">
        <v>1</v>
      </c>
      <c r="E26" s="56">
        <v>5</v>
      </c>
      <c r="F26" s="56">
        <v>5</v>
      </c>
      <c r="G26" s="56">
        <v>5</v>
      </c>
      <c r="H26" s="56">
        <v>9.2200000000000008E-3</v>
      </c>
      <c r="I26" s="56">
        <v>4.7299999999999998E-3</v>
      </c>
      <c r="J26" s="56">
        <v>0</v>
      </c>
      <c r="K26" s="56">
        <v>0</v>
      </c>
      <c r="L26" s="61">
        <v>1.2100000000000001E-8</v>
      </c>
      <c r="M26" s="61">
        <v>3.1899999999999999E-9</v>
      </c>
      <c r="N26" s="61">
        <v>5.1499999999999998E-10</v>
      </c>
      <c r="O26" s="63">
        <v>0</v>
      </c>
      <c r="P26" s="66">
        <v>320000000</v>
      </c>
      <c r="Q26" s="66">
        <v>200000000000</v>
      </c>
      <c r="R26" s="66">
        <v>80000000000</v>
      </c>
      <c r="S26" s="66">
        <v>250000000</v>
      </c>
      <c r="T26" s="7">
        <v>0.5</v>
      </c>
      <c r="U26" s="7" t="s">
        <v>49</v>
      </c>
      <c r="V26" s="76">
        <f>(tblEuler[[#This Row],[E]]*PI()^2)/((tblEuler[[#This Row],[lex]]/tblEuler[[#This Row],[rx]])^2)</f>
        <v>6711994.2301565167</v>
      </c>
      <c r="W26" s="70">
        <f>(tblEuler[[#This Row],[Ix]]*tblEuler[[#This Row],[E]]*PI()^2)/(tblEuler[[#This Row],[lex]]^2)</f>
        <v>955.37770602544992</v>
      </c>
      <c r="X26" s="76">
        <f>(tblEuler[[#This Row],[E]]*PI()^2)/((tblEuler[[#This Row],[ley]]/tblEuler[[#This Row],[ry]])^2)</f>
        <v>1766493.3784410565</v>
      </c>
      <c r="Y26" s="70">
        <f>(tblEuler[[#This Row],[Iy]]*tblEuler[[#This Row],[E]]*PI()^2)/(tblEuler[[#This Row],[ley]]^2)</f>
        <v>251.87230431580042</v>
      </c>
      <c r="Z26" s="71">
        <f>SQRT(tblEuler[[#This Row],[rx]]^2+tblEuler[[#This Row],[ry]]^2+tblEuler[[#This Row],[xo]]^2+tblEuler[[#This Row],[yo]]^2)</f>
        <v>1.0362494873340107E-2</v>
      </c>
      <c r="AA26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7" spans="2:27" x14ac:dyDescent="0.2">
      <c r="B27" s="13" t="s">
        <v>38</v>
      </c>
      <c r="C27" s="54">
        <v>1.4300000000000001E-4</v>
      </c>
      <c r="D27" s="11">
        <v>1</v>
      </c>
      <c r="E27" s="56">
        <v>1</v>
      </c>
      <c r="F27" s="56">
        <v>1</v>
      </c>
      <c r="G27" s="56">
        <v>1</v>
      </c>
      <c r="H27" s="56">
        <v>9.2200000000000008E-3</v>
      </c>
      <c r="I27" s="56">
        <v>4.7299999999999998E-3</v>
      </c>
      <c r="J27" s="56">
        <v>0</v>
      </c>
      <c r="K27" s="56">
        <v>0</v>
      </c>
      <c r="L27" s="61">
        <v>1.2100000000000001E-8</v>
      </c>
      <c r="M27" s="61">
        <v>3.1899999999999999E-9</v>
      </c>
      <c r="N27" s="61">
        <v>5.1499999999999998E-10</v>
      </c>
      <c r="O27" s="63">
        <v>0</v>
      </c>
      <c r="P27" s="66">
        <v>320000000</v>
      </c>
      <c r="Q27" s="66">
        <v>200000000000</v>
      </c>
      <c r="R27" s="66">
        <v>80000000000</v>
      </c>
      <c r="S27" s="66">
        <v>250000000</v>
      </c>
      <c r="T27" s="7">
        <v>0.5</v>
      </c>
      <c r="U27" s="7" t="s">
        <v>49</v>
      </c>
      <c r="V27" s="76">
        <f>(tblEuler[[#This Row],[E]]*PI()^2)/((tblEuler[[#This Row],[lex]]/tblEuler[[#This Row],[rx]])^2)</f>
        <v>167799855.75391296</v>
      </c>
      <c r="W27" s="70">
        <f>(tblEuler[[#This Row],[Ix]]*tblEuler[[#This Row],[E]]*PI()^2)/(tblEuler[[#This Row],[lex]]^2)</f>
        <v>23884.442650636247</v>
      </c>
      <c r="X27" s="76">
        <f>(tblEuler[[#This Row],[E]]*PI()^2)/((tblEuler[[#This Row],[ley]]/tblEuler[[#This Row],[ry]])^2)</f>
        <v>44162334.461026415</v>
      </c>
      <c r="Y27" s="70">
        <f>(tblEuler[[#This Row],[Iy]]*tblEuler[[#This Row],[E]]*PI()^2)/(tblEuler[[#This Row],[ley]]^2)</f>
        <v>6296.8076078950107</v>
      </c>
      <c r="Z27" s="71">
        <f>SQRT(tblEuler[[#This Row],[rx]]^2+tblEuler[[#This Row],[ry]]^2+tblEuler[[#This Row],[xo]]^2+tblEuler[[#This Row],[yo]]^2)</f>
        <v>1.0362494873340107E-2</v>
      </c>
      <c r="AA27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8" spans="2:27" x14ac:dyDescent="0.2">
      <c r="B28" s="13" t="s">
        <v>38</v>
      </c>
      <c r="C28" s="54">
        <v>1.4300000000000001E-4</v>
      </c>
      <c r="D28" s="11">
        <v>1</v>
      </c>
      <c r="E28" s="56">
        <v>0.5</v>
      </c>
      <c r="F28" s="56">
        <v>0.5</v>
      </c>
      <c r="G28" s="56">
        <v>0.5</v>
      </c>
      <c r="H28" s="56">
        <v>9.2200000000000008E-3</v>
      </c>
      <c r="I28" s="56">
        <v>4.7299999999999998E-3</v>
      </c>
      <c r="J28" s="56">
        <v>0</v>
      </c>
      <c r="K28" s="56">
        <v>0</v>
      </c>
      <c r="L28" s="61">
        <v>1.2100000000000001E-8</v>
      </c>
      <c r="M28" s="61">
        <v>3.1899999999999999E-9</v>
      </c>
      <c r="N28" s="61">
        <v>5.1499999999999998E-10</v>
      </c>
      <c r="O28" s="63">
        <v>0</v>
      </c>
      <c r="P28" s="66">
        <v>320000000</v>
      </c>
      <c r="Q28" s="66">
        <v>200000000000</v>
      </c>
      <c r="R28" s="66">
        <v>80000000000</v>
      </c>
      <c r="S28" s="66">
        <v>250000000</v>
      </c>
      <c r="T28" s="7">
        <v>0.5</v>
      </c>
      <c r="U28" s="7" t="s">
        <v>49</v>
      </c>
      <c r="V28" s="76">
        <f>(tblEuler[[#This Row],[E]]*PI()^2)/((tblEuler[[#This Row],[lex]]/tblEuler[[#This Row],[rx]])^2)</f>
        <v>671199423.01565182</v>
      </c>
      <c r="W28" s="70">
        <f>(tblEuler[[#This Row],[Ix]]*tblEuler[[#This Row],[E]]*PI()^2)/(tblEuler[[#This Row],[lex]]^2)</f>
        <v>95537.770602544988</v>
      </c>
      <c r="X28" s="76">
        <f>(tblEuler[[#This Row],[E]]*PI()^2)/((tblEuler[[#This Row],[ley]]/tblEuler[[#This Row],[ry]])^2)</f>
        <v>176649337.84410566</v>
      </c>
      <c r="Y28" s="70">
        <f>(tblEuler[[#This Row],[Iy]]*tblEuler[[#This Row],[E]]*PI()^2)/(tblEuler[[#This Row],[ley]]^2)</f>
        <v>25187.230431580043</v>
      </c>
      <c r="Z28" s="71">
        <f>SQRT(tblEuler[[#This Row],[rx]]^2+tblEuler[[#This Row],[ry]]^2+tblEuler[[#This Row],[xo]]^2+tblEuler[[#This Row],[yo]]^2)</f>
        <v>1.0362494873340107E-2</v>
      </c>
      <c r="AA28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9" spans="2:27" x14ac:dyDescent="0.2">
      <c r="B29" s="13" t="s">
        <v>38</v>
      </c>
      <c r="C29" s="54">
        <v>1.4300000000000001E-4</v>
      </c>
      <c r="D29" s="11">
        <v>1</v>
      </c>
      <c r="E29" s="56">
        <v>0.1</v>
      </c>
      <c r="F29" s="56">
        <v>0.1</v>
      </c>
      <c r="G29" s="56">
        <v>0.1</v>
      </c>
      <c r="H29" s="56">
        <v>9.2200000000000008E-3</v>
      </c>
      <c r="I29" s="56">
        <v>4.7299999999999998E-3</v>
      </c>
      <c r="J29" s="56">
        <v>0</v>
      </c>
      <c r="K29" s="56">
        <v>0</v>
      </c>
      <c r="L29" s="61">
        <v>1.2100000000000001E-8</v>
      </c>
      <c r="M29" s="61">
        <v>3.1899999999999999E-9</v>
      </c>
      <c r="N29" s="61">
        <v>5.1499999999999998E-10</v>
      </c>
      <c r="O29" s="63">
        <v>0</v>
      </c>
      <c r="P29" s="66">
        <v>320000000</v>
      </c>
      <c r="Q29" s="66">
        <v>200000000000</v>
      </c>
      <c r="R29" s="66">
        <v>80000000000</v>
      </c>
      <c r="S29" s="66">
        <v>250000000</v>
      </c>
      <c r="T29" s="7">
        <v>0.5</v>
      </c>
      <c r="U29" s="7" t="s">
        <v>49</v>
      </c>
      <c r="V29" s="76">
        <f>(tblEuler[[#This Row],[E]]*PI()^2)/((tblEuler[[#This Row],[lex]]/tblEuler[[#This Row],[rx]])^2)</f>
        <v>16779985575.391294</v>
      </c>
      <c r="W29" s="70">
        <f>(tblEuler[[#This Row],[Ix]]*tblEuler[[#This Row],[E]]*PI()^2)/(tblEuler[[#This Row],[lex]]^2)</f>
        <v>2388444.2650636244</v>
      </c>
      <c r="X29" s="76">
        <f>(tblEuler[[#This Row],[E]]*PI()^2)/((tblEuler[[#This Row],[ley]]/tblEuler[[#This Row],[ry]])^2)</f>
        <v>4416233446.1026411</v>
      </c>
      <c r="Y29" s="70">
        <f>(tblEuler[[#This Row],[Iy]]*tblEuler[[#This Row],[E]]*PI()^2)/(tblEuler[[#This Row],[ley]]^2)</f>
        <v>629680.7607895009</v>
      </c>
      <c r="Z29" s="71">
        <f>SQRT(tblEuler[[#This Row],[rx]]^2+tblEuler[[#This Row],[ry]]^2+tblEuler[[#This Row],[xo]]^2+tblEuler[[#This Row],[yo]]^2)</f>
        <v>1.0362494873340107E-2</v>
      </c>
      <c r="AA29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30" spans="2:27" x14ac:dyDescent="0.2">
      <c r="B30" s="13" t="s">
        <v>5</v>
      </c>
      <c r="C30" s="54">
        <v>2.5100000000000001E-2</v>
      </c>
      <c r="D30" s="11">
        <v>1</v>
      </c>
      <c r="E30" s="56">
        <v>40</v>
      </c>
      <c r="F30" s="56">
        <v>40</v>
      </c>
      <c r="G30" s="56">
        <v>40</v>
      </c>
      <c r="H30" s="56">
        <v>0.13900000000000001</v>
      </c>
      <c r="I30" s="56">
        <v>8.9300000000000004E-2</v>
      </c>
      <c r="J30" s="56">
        <v>0</v>
      </c>
      <c r="K30" s="56">
        <v>0</v>
      </c>
      <c r="L30" s="61">
        <v>4.86E-4</v>
      </c>
      <c r="M30" s="61">
        <v>2.0000000000000001E-4</v>
      </c>
      <c r="N30" s="61">
        <v>5.75E-6</v>
      </c>
      <c r="O30" s="63">
        <v>4.6E-6</v>
      </c>
      <c r="P30" s="66">
        <v>280000000</v>
      </c>
      <c r="Q30" s="66">
        <v>200000000000</v>
      </c>
      <c r="R30" s="66">
        <v>80000000000</v>
      </c>
      <c r="S30" s="66">
        <v>250000000</v>
      </c>
      <c r="T30" s="7">
        <v>0</v>
      </c>
      <c r="U30" s="7" t="s">
        <v>48</v>
      </c>
      <c r="V30" s="76">
        <f>(tblEuler[[#This Row],[E]]*PI()^2)/((tblEuler[[#This Row],[lex]]/tblEuler[[#This Row],[rx]])^2)</f>
        <v>23836328.329180941</v>
      </c>
      <c r="W30" s="70">
        <f>(tblEuler[[#This Row],[Ix]]*tblEuler[[#This Row],[E]]*PI()^2)/(tblEuler[[#This Row],[lex]]^2)</f>
        <v>599578.46736617852</v>
      </c>
      <c r="X30" s="76">
        <f>(tblEuler[[#This Row],[E]]*PI()^2)/((tblEuler[[#This Row],[ley]]/tblEuler[[#This Row],[ry]])^2)</f>
        <v>9838132.700055385</v>
      </c>
      <c r="Y30" s="70">
        <f>(tblEuler[[#This Row],[Iy]]*tblEuler[[#This Row],[E]]*PI()^2)/(tblEuler[[#This Row],[ley]]^2)</f>
        <v>246740.11002723395</v>
      </c>
      <c r="Z30" s="71">
        <f>SQRT(tblEuler[[#This Row],[rx]]^2+tblEuler[[#This Row],[ry]]^2+tblEuler[[#This Row],[xo]]^2+tblEuler[[#This Row],[yo]]^2)</f>
        <v>0.16521346797401235</v>
      </c>
      <c r="AA30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679701655.55760407</v>
      </c>
    </row>
    <row r="31" spans="2:27" x14ac:dyDescent="0.2">
      <c r="B31" s="13" t="s">
        <v>5</v>
      </c>
      <c r="C31" s="54">
        <v>2.5100000000000001E-2</v>
      </c>
      <c r="D31" s="11">
        <v>1</v>
      </c>
      <c r="E31" s="56">
        <v>20</v>
      </c>
      <c r="F31" s="56">
        <v>20</v>
      </c>
      <c r="G31" s="56">
        <v>20</v>
      </c>
      <c r="H31" s="56">
        <v>0.13900000000000001</v>
      </c>
      <c r="I31" s="56">
        <v>8.9300000000000004E-2</v>
      </c>
      <c r="J31" s="56">
        <v>0</v>
      </c>
      <c r="K31" s="56">
        <v>0</v>
      </c>
      <c r="L31" s="61">
        <v>4.86E-4</v>
      </c>
      <c r="M31" s="61">
        <v>2.0000000000000001E-4</v>
      </c>
      <c r="N31" s="61">
        <v>5.75E-6</v>
      </c>
      <c r="O31" s="63">
        <v>4.6E-6</v>
      </c>
      <c r="P31" s="66">
        <v>280000000</v>
      </c>
      <c r="Q31" s="66">
        <v>200000000000</v>
      </c>
      <c r="R31" s="66">
        <v>80000000000</v>
      </c>
      <c r="S31" s="66">
        <v>250000000</v>
      </c>
      <c r="T31" s="7">
        <v>0</v>
      </c>
      <c r="U31" s="7" t="s">
        <v>48</v>
      </c>
      <c r="V31" s="76">
        <f>(tblEuler[[#This Row],[E]]*PI()^2)/((tblEuler[[#This Row],[lex]]/tblEuler[[#This Row],[rx]])^2)</f>
        <v>95345313.316723764</v>
      </c>
      <c r="W31" s="70">
        <f>(tblEuler[[#This Row],[Ix]]*tblEuler[[#This Row],[E]]*PI()^2)/(tblEuler[[#This Row],[lex]]^2)</f>
        <v>2398313.8694647141</v>
      </c>
      <c r="X31" s="76">
        <f>(tblEuler[[#This Row],[E]]*PI()^2)/((tblEuler[[#This Row],[ley]]/tblEuler[[#This Row],[ry]])^2)</f>
        <v>39352530.80022154</v>
      </c>
      <c r="Y31" s="70">
        <f>(tblEuler[[#This Row],[Iy]]*tblEuler[[#This Row],[E]]*PI()^2)/(tblEuler[[#This Row],[ley]]^2)</f>
        <v>986960.44010893581</v>
      </c>
      <c r="Z31" s="71">
        <f>SQRT(tblEuler[[#This Row],[rx]]^2+tblEuler[[#This Row],[ry]]^2+tblEuler[[#This Row],[xo]]^2+tblEuler[[#This Row],[yo]]^2)</f>
        <v>0.16521346797401235</v>
      </c>
      <c r="AA31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704551531.69073784</v>
      </c>
    </row>
    <row r="32" spans="2:27" x14ac:dyDescent="0.2">
      <c r="B32" s="13" t="s">
        <v>5</v>
      </c>
      <c r="C32" s="54">
        <v>2.5100000000000001E-2</v>
      </c>
      <c r="D32" s="11">
        <v>1</v>
      </c>
      <c r="E32" s="56">
        <v>10</v>
      </c>
      <c r="F32" s="56">
        <v>10</v>
      </c>
      <c r="G32" s="56">
        <v>10</v>
      </c>
      <c r="H32" s="56">
        <v>0.13900000000000001</v>
      </c>
      <c r="I32" s="56">
        <v>8.9300000000000004E-2</v>
      </c>
      <c r="J32" s="56">
        <v>0</v>
      </c>
      <c r="K32" s="56">
        <v>0</v>
      </c>
      <c r="L32" s="61">
        <v>4.86E-4</v>
      </c>
      <c r="M32" s="61">
        <v>2.0000000000000001E-4</v>
      </c>
      <c r="N32" s="61">
        <v>5.75E-6</v>
      </c>
      <c r="O32" s="63">
        <v>4.6E-6</v>
      </c>
      <c r="P32" s="66">
        <v>280000000</v>
      </c>
      <c r="Q32" s="66">
        <v>200000000000</v>
      </c>
      <c r="R32" s="66">
        <v>80000000000</v>
      </c>
      <c r="S32" s="66">
        <v>250000000</v>
      </c>
      <c r="T32" s="7">
        <v>0</v>
      </c>
      <c r="U32" s="7" t="s">
        <v>48</v>
      </c>
      <c r="V32" s="76">
        <f>(tblEuler[[#This Row],[E]]*PI()^2)/((tblEuler[[#This Row],[lex]]/tblEuler[[#This Row],[rx]])^2)</f>
        <v>381381253.26689506</v>
      </c>
      <c r="W32" s="70">
        <f>(tblEuler[[#This Row],[Ix]]*tblEuler[[#This Row],[E]]*PI()^2)/(tblEuler[[#This Row],[lex]]^2)</f>
        <v>9593255.4778588563</v>
      </c>
      <c r="X32" s="76">
        <f>(tblEuler[[#This Row],[E]]*PI()^2)/((tblEuler[[#This Row],[ley]]/tblEuler[[#This Row],[ry]])^2)</f>
        <v>157410123.20088616</v>
      </c>
      <c r="Y32" s="70">
        <f>(tblEuler[[#This Row],[Iy]]*tblEuler[[#This Row],[E]]*PI()^2)/(tblEuler[[#This Row],[ley]]^2)</f>
        <v>3947841.7604357433</v>
      </c>
      <c r="Z32" s="71">
        <f>SQRT(tblEuler[[#This Row],[rx]]^2+tblEuler[[#This Row],[ry]]^2+tblEuler[[#This Row],[xo]]^2+tblEuler[[#This Row],[yo]]^2)</f>
        <v>0.16521346797401235</v>
      </c>
      <c r="AA32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803951036.22327316</v>
      </c>
    </row>
    <row r="33" spans="2:27" x14ac:dyDescent="0.2">
      <c r="B33" s="13" t="s">
        <v>5</v>
      </c>
      <c r="C33" s="54">
        <v>2.5100000000000001E-2</v>
      </c>
      <c r="D33" s="11">
        <v>1</v>
      </c>
      <c r="E33" s="56">
        <v>5</v>
      </c>
      <c r="F33" s="56">
        <v>5</v>
      </c>
      <c r="G33" s="56">
        <v>5</v>
      </c>
      <c r="H33" s="56">
        <v>0.13900000000000001</v>
      </c>
      <c r="I33" s="56">
        <v>8.9300000000000004E-2</v>
      </c>
      <c r="J33" s="56">
        <v>0</v>
      </c>
      <c r="K33" s="56">
        <v>0</v>
      </c>
      <c r="L33" s="61">
        <v>4.86E-4</v>
      </c>
      <c r="M33" s="61">
        <v>2.0000000000000001E-4</v>
      </c>
      <c r="N33" s="61">
        <v>5.75E-6</v>
      </c>
      <c r="O33" s="63">
        <v>4.6E-6</v>
      </c>
      <c r="P33" s="66">
        <v>280000000</v>
      </c>
      <c r="Q33" s="66">
        <v>200000000000</v>
      </c>
      <c r="R33" s="66">
        <v>80000000000</v>
      </c>
      <c r="S33" s="66">
        <v>250000000</v>
      </c>
      <c r="T33" s="7">
        <v>0</v>
      </c>
      <c r="U33" s="7" t="s">
        <v>48</v>
      </c>
      <c r="V33" s="76">
        <f>(tblEuler[[#This Row],[E]]*PI()^2)/((tblEuler[[#This Row],[lex]]/tblEuler[[#This Row],[rx]])^2)</f>
        <v>1525525013.0675802</v>
      </c>
      <c r="W33" s="70">
        <f>(tblEuler[[#This Row],[Ix]]*tblEuler[[#This Row],[E]]*PI()^2)/(tblEuler[[#This Row],[lex]]^2)</f>
        <v>38373021.911435425</v>
      </c>
      <c r="X33" s="76">
        <f>(tblEuler[[#This Row],[E]]*PI()^2)/((tblEuler[[#This Row],[ley]]/tblEuler[[#This Row],[ry]])^2)</f>
        <v>629640492.80354464</v>
      </c>
      <c r="Y33" s="70">
        <f>(tblEuler[[#This Row],[Iy]]*tblEuler[[#This Row],[E]]*PI()^2)/(tblEuler[[#This Row],[ley]]^2)</f>
        <v>15791367.041742973</v>
      </c>
      <c r="Z33" s="71">
        <f>SQRT(tblEuler[[#This Row],[rx]]^2+tblEuler[[#This Row],[ry]]^2+tblEuler[[#This Row],[xo]]^2+tblEuler[[#This Row],[yo]]^2)</f>
        <v>0.16521346797401235</v>
      </c>
      <c r="AA33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1201549054.3534143</v>
      </c>
    </row>
    <row r="34" spans="2:27" x14ac:dyDescent="0.2">
      <c r="B34" s="13" t="s">
        <v>5</v>
      </c>
      <c r="C34" s="54">
        <v>2.5100000000000001E-2</v>
      </c>
      <c r="D34" s="11">
        <v>1</v>
      </c>
      <c r="E34" s="56">
        <v>1</v>
      </c>
      <c r="F34" s="56">
        <v>1</v>
      </c>
      <c r="G34" s="56">
        <v>1</v>
      </c>
      <c r="H34" s="56">
        <v>0.13900000000000001</v>
      </c>
      <c r="I34" s="56">
        <v>8.9300000000000004E-2</v>
      </c>
      <c r="J34" s="56">
        <v>0</v>
      </c>
      <c r="K34" s="56">
        <v>0</v>
      </c>
      <c r="L34" s="61">
        <v>4.86E-4</v>
      </c>
      <c r="M34" s="61">
        <v>2.0000000000000001E-4</v>
      </c>
      <c r="N34" s="61">
        <v>5.75E-6</v>
      </c>
      <c r="O34" s="63">
        <v>4.6E-6</v>
      </c>
      <c r="P34" s="66">
        <v>280000000</v>
      </c>
      <c r="Q34" s="66">
        <v>200000000000</v>
      </c>
      <c r="R34" s="66">
        <v>80000000000</v>
      </c>
      <c r="S34" s="66">
        <v>250000000</v>
      </c>
      <c r="T34" s="7">
        <v>0</v>
      </c>
      <c r="U34" s="7" t="s">
        <v>48</v>
      </c>
      <c r="V34" s="76">
        <f>(tblEuler[[#This Row],[E]]*PI()^2)/((tblEuler[[#This Row],[lex]]/tblEuler[[#This Row],[rx]])^2)</f>
        <v>38138125326.689499</v>
      </c>
      <c r="W34" s="70">
        <f>(tblEuler[[#This Row],[Ix]]*tblEuler[[#This Row],[E]]*PI()^2)/(tblEuler[[#This Row],[lex]]^2)</f>
        <v>959325547.78588557</v>
      </c>
      <c r="X34" s="76">
        <f>(tblEuler[[#This Row],[E]]*PI()^2)/((tblEuler[[#This Row],[ley]]/tblEuler[[#This Row],[ry]])^2)</f>
        <v>15741012320.088619</v>
      </c>
      <c r="Y34" s="70">
        <f>(tblEuler[[#This Row],[Iy]]*tblEuler[[#This Row],[E]]*PI()^2)/(tblEuler[[#This Row],[ley]]^2)</f>
        <v>394784176.04357433</v>
      </c>
      <c r="Z34" s="71">
        <f>SQRT(tblEuler[[#This Row],[rx]]^2+tblEuler[[#This Row],[ry]]^2+tblEuler[[#This Row],[xo]]^2+tblEuler[[#This Row],[yo]]^2)</f>
        <v>0.16521346797401235</v>
      </c>
      <c r="AA34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13924685634.517929</v>
      </c>
    </row>
    <row r="35" spans="2:27" x14ac:dyDescent="0.2">
      <c r="B35" s="13" t="s">
        <v>37</v>
      </c>
      <c r="C35" s="54">
        <v>7.0299999999999998E-3</v>
      </c>
      <c r="D35" s="11">
        <v>1</v>
      </c>
      <c r="E35" s="56">
        <v>20</v>
      </c>
      <c r="F35" s="56">
        <v>20</v>
      </c>
      <c r="G35" s="56">
        <v>20</v>
      </c>
      <c r="H35" s="56">
        <v>0.14699999999999999</v>
      </c>
      <c r="I35" s="56">
        <v>3.04E-2</v>
      </c>
      <c r="J35" s="56">
        <v>5.67E-2</v>
      </c>
      <c r="K35" s="56">
        <v>0</v>
      </c>
      <c r="L35" s="61">
        <v>1.5200000000000001E-4</v>
      </c>
      <c r="M35" s="61">
        <v>6.4799999999999998E-6</v>
      </c>
      <c r="N35" s="61">
        <v>4.7199999999999999E-7</v>
      </c>
      <c r="O35" s="63">
        <v>1.5099999999999999E-7</v>
      </c>
      <c r="P35" s="66">
        <v>280000000</v>
      </c>
      <c r="Q35" s="66">
        <v>200000000000</v>
      </c>
      <c r="R35" s="66">
        <v>80000000000</v>
      </c>
      <c r="S35" s="66">
        <v>250000000</v>
      </c>
      <c r="T35" s="7">
        <v>0.5</v>
      </c>
      <c r="U35" s="7" t="s">
        <v>49</v>
      </c>
      <c r="V35" s="76">
        <f>(tblEuler[[#This Row],[E]]*PI()^2)/((tblEuler[[#This Row],[lex]]/tblEuler[[#This Row],[rx]])^2)</f>
        <v>106636140.75156994</v>
      </c>
      <c r="W35" s="70">
        <f>(tblEuler[[#This Row],[Ix]]*tblEuler[[#This Row],[E]]*PI()^2)/(tblEuler[[#This Row],[lex]]^2)</f>
        <v>750089.93448279123</v>
      </c>
      <c r="X35" s="76">
        <f>(tblEuler[[#This Row],[E]]*PI()^2)/((tblEuler[[#This Row],[ley]]/tblEuler[[#This Row],[ry]])^2)</f>
        <v>4560546.8016553698</v>
      </c>
      <c r="Y35" s="70">
        <f>(tblEuler[[#This Row],[Iy]]*tblEuler[[#This Row],[E]]*PI()^2)/(tblEuler[[#This Row],[ley]]^2)</f>
        <v>31977.518259529519</v>
      </c>
      <c r="Z35" s="71">
        <f>SQRT(tblEuler[[#This Row],[rx]]^2+tblEuler[[#This Row],[ry]]^2+tblEuler[[#This Row],[xo]]^2+tblEuler[[#This Row],[yo]]^2)</f>
        <v>0.16046198926848687</v>
      </c>
      <c r="AA35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212725331.25708571</v>
      </c>
    </row>
    <row r="36" spans="2:27" x14ac:dyDescent="0.2">
      <c r="B36" s="13" t="s">
        <v>37</v>
      </c>
      <c r="C36" s="54">
        <v>7.0299999999999998E-3</v>
      </c>
      <c r="D36" s="11">
        <v>1</v>
      </c>
      <c r="E36" s="56">
        <v>10</v>
      </c>
      <c r="F36" s="56">
        <v>10</v>
      </c>
      <c r="G36" s="56">
        <v>10</v>
      </c>
      <c r="H36" s="56">
        <v>0.14699999999999999</v>
      </c>
      <c r="I36" s="56">
        <v>3.04E-2</v>
      </c>
      <c r="J36" s="56">
        <v>5.67E-2</v>
      </c>
      <c r="K36" s="56">
        <v>0</v>
      </c>
      <c r="L36" s="61">
        <v>1.5200000000000001E-4</v>
      </c>
      <c r="M36" s="61">
        <v>6.4799999999999998E-6</v>
      </c>
      <c r="N36" s="61">
        <v>4.7199999999999999E-7</v>
      </c>
      <c r="O36" s="63">
        <v>1.5099999999999999E-7</v>
      </c>
      <c r="P36" s="66">
        <v>280000000</v>
      </c>
      <c r="Q36" s="66">
        <v>200000000000</v>
      </c>
      <c r="R36" s="66">
        <v>80000000000</v>
      </c>
      <c r="S36" s="66">
        <v>250000000</v>
      </c>
      <c r="T36" s="7">
        <v>0.5</v>
      </c>
      <c r="U36" s="7" t="s">
        <v>49</v>
      </c>
      <c r="V36" s="76">
        <f>(tblEuler[[#This Row],[E]]*PI()^2)/((tblEuler[[#This Row],[lex]]/tblEuler[[#This Row],[rx]])^2)</f>
        <v>426544563.00627977</v>
      </c>
      <c r="W36" s="70">
        <f>(tblEuler[[#This Row],[Ix]]*tblEuler[[#This Row],[E]]*PI()^2)/(tblEuler[[#This Row],[lex]]^2)</f>
        <v>3000359.7379311649</v>
      </c>
      <c r="X36" s="76">
        <f>(tblEuler[[#This Row],[E]]*PI()^2)/((tblEuler[[#This Row],[ley]]/tblEuler[[#This Row],[ry]])^2)</f>
        <v>18242187.206621479</v>
      </c>
      <c r="Y36" s="70">
        <f>(tblEuler[[#This Row],[Iy]]*tblEuler[[#This Row],[E]]*PI()^2)/(tblEuler[[#This Row],[ley]]^2)</f>
        <v>127910.07303811808</v>
      </c>
      <c r="Z36" s="71">
        <f>SQRT(tblEuler[[#This Row],[rx]]^2+tblEuler[[#This Row],[ry]]^2+tblEuler[[#This Row],[xo]]^2+tblEuler[[#This Row],[yo]]^2)</f>
        <v>0.16046198926848687</v>
      </c>
      <c r="AA36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225075368.94487798</v>
      </c>
    </row>
    <row r="37" spans="2:27" x14ac:dyDescent="0.2">
      <c r="B37" s="13" t="s">
        <v>37</v>
      </c>
      <c r="C37" s="54">
        <v>7.0299999999999998E-3</v>
      </c>
      <c r="D37" s="11">
        <v>1</v>
      </c>
      <c r="E37" s="56">
        <v>5</v>
      </c>
      <c r="F37" s="56">
        <v>5</v>
      </c>
      <c r="G37" s="56">
        <v>5</v>
      </c>
      <c r="H37" s="56">
        <v>0.14699999999999999</v>
      </c>
      <c r="I37" s="56">
        <v>3.04E-2</v>
      </c>
      <c r="J37" s="56">
        <v>5.67E-2</v>
      </c>
      <c r="K37" s="56">
        <v>0</v>
      </c>
      <c r="L37" s="61">
        <v>1.5200000000000001E-4</v>
      </c>
      <c r="M37" s="61">
        <v>6.4799999999999998E-6</v>
      </c>
      <c r="N37" s="61">
        <v>4.7199999999999999E-7</v>
      </c>
      <c r="O37" s="63">
        <v>1.5099999999999999E-7</v>
      </c>
      <c r="P37" s="66">
        <v>280000000</v>
      </c>
      <c r="Q37" s="66">
        <v>200000000000</v>
      </c>
      <c r="R37" s="66">
        <v>80000000000</v>
      </c>
      <c r="S37" s="66">
        <v>250000000</v>
      </c>
      <c r="T37" s="7">
        <v>0.5</v>
      </c>
      <c r="U37" s="7" t="s">
        <v>49</v>
      </c>
      <c r="V37" s="76">
        <f>(tblEuler[[#This Row],[E]]*PI()^2)/((tblEuler[[#This Row],[lex]]/tblEuler[[#This Row],[rx]])^2)</f>
        <v>1706178252.0251191</v>
      </c>
      <c r="W37" s="70">
        <f>(tblEuler[[#This Row],[Ix]]*tblEuler[[#This Row],[E]]*PI()^2)/(tblEuler[[#This Row],[lex]]^2)</f>
        <v>12001438.95172466</v>
      </c>
      <c r="X37" s="76">
        <f>(tblEuler[[#This Row],[E]]*PI()^2)/((tblEuler[[#This Row],[ley]]/tblEuler[[#This Row],[ry]])^2)</f>
        <v>72968748.826485917</v>
      </c>
      <c r="Y37" s="70">
        <f>(tblEuler[[#This Row],[Iy]]*tblEuler[[#This Row],[E]]*PI()^2)/(tblEuler[[#This Row],[ley]]^2)</f>
        <v>511640.29215247231</v>
      </c>
      <c r="Z37" s="71">
        <f>SQRT(tblEuler[[#This Row],[rx]]^2+tblEuler[[#This Row],[ry]]^2+tblEuler[[#This Row],[xo]]^2+tblEuler[[#This Row],[yo]]^2)</f>
        <v>0.16046198926848687</v>
      </c>
      <c r="AA37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274475519.69604725</v>
      </c>
    </row>
    <row r="38" spans="2:27" x14ac:dyDescent="0.2">
      <c r="B38" s="13" t="s">
        <v>37</v>
      </c>
      <c r="C38" s="54">
        <v>7.0299999999999998E-3</v>
      </c>
      <c r="D38" s="11">
        <v>1</v>
      </c>
      <c r="E38" s="56">
        <v>1</v>
      </c>
      <c r="F38" s="56">
        <v>1</v>
      </c>
      <c r="G38" s="56">
        <v>1</v>
      </c>
      <c r="H38" s="56">
        <v>0.14699999999999999</v>
      </c>
      <c r="I38" s="56">
        <v>3.04E-2</v>
      </c>
      <c r="J38" s="56">
        <v>5.67E-2</v>
      </c>
      <c r="K38" s="56">
        <v>0</v>
      </c>
      <c r="L38" s="61">
        <v>1.5200000000000001E-4</v>
      </c>
      <c r="M38" s="61">
        <v>6.4799999999999998E-6</v>
      </c>
      <c r="N38" s="61">
        <v>4.7199999999999999E-7</v>
      </c>
      <c r="O38" s="63">
        <v>1.5099999999999999E-7</v>
      </c>
      <c r="P38" s="66">
        <v>280000000</v>
      </c>
      <c r="Q38" s="66">
        <v>200000000000</v>
      </c>
      <c r="R38" s="66">
        <v>80000000000</v>
      </c>
      <c r="S38" s="66">
        <v>250000000</v>
      </c>
      <c r="T38" s="7">
        <v>0.5</v>
      </c>
      <c r="U38" s="7" t="s">
        <v>49</v>
      </c>
      <c r="V38" s="76">
        <f>(tblEuler[[#This Row],[E]]*PI()^2)/((tblEuler[[#This Row],[lex]]/tblEuler[[#This Row],[rx]])^2)</f>
        <v>42654456300.627983</v>
      </c>
      <c r="W38" s="70">
        <f>(tblEuler[[#This Row],[Ix]]*tblEuler[[#This Row],[E]]*PI()^2)/(tblEuler[[#This Row],[lex]]^2)</f>
        <v>300035973.79311651</v>
      </c>
      <c r="X38" s="76">
        <f>(tblEuler[[#This Row],[E]]*PI()^2)/((tblEuler[[#This Row],[ley]]/tblEuler[[#This Row],[ry]])^2)</f>
        <v>1824218720.6621485</v>
      </c>
      <c r="Y38" s="70">
        <f>(tblEuler[[#This Row],[Iy]]*tblEuler[[#This Row],[E]]*PI()^2)/(tblEuler[[#This Row],[ley]]^2)</f>
        <v>12791007.303811807</v>
      </c>
      <c r="Z38" s="71">
        <f>SQRT(tblEuler[[#This Row],[rx]]^2+tblEuler[[#This Row],[ry]]^2+tblEuler[[#This Row],[xo]]^2+tblEuler[[#This Row],[yo]]^2)</f>
        <v>0.16046198926848687</v>
      </c>
      <c r="AA38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1855280343.733463</v>
      </c>
    </row>
    <row r="39" spans="2:27" x14ac:dyDescent="0.2">
      <c r="B39" s="13" t="s">
        <v>37</v>
      </c>
      <c r="C39" s="54">
        <v>7.0299999999999998E-3</v>
      </c>
      <c r="D39" s="11">
        <v>1</v>
      </c>
      <c r="E39" s="56">
        <v>0.5</v>
      </c>
      <c r="F39" s="56">
        <v>0.5</v>
      </c>
      <c r="G39" s="56">
        <v>0.5</v>
      </c>
      <c r="H39" s="56">
        <v>0.14699999999999999</v>
      </c>
      <c r="I39" s="56">
        <v>3.04E-2</v>
      </c>
      <c r="J39" s="56">
        <v>5.67E-2</v>
      </c>
      <c r="K39" s="56">
        <v>0</v>
      </c>
      <c r="L39" s="61">
        <v>1.5200000000000001E-4</v>
      </c>
      <c r="M39" s="61">
        <v>6.4799999999999998E-6</v>
      </c>
      <c r="N39" s="61">
        <v>4.7199999999999999E-7</v>
      </c>
      <c r="O39" s="63">
        <v>1.5099999999999999E-7</v>
      </c>
      <c r="P39" s="66">
        <v>280000000</v>
      </c>
      <c r="Q39" s="66">
        <v>200000000000</v>
      </c>
      <c r="R39" s="66">
        <v>80000000000</v>
      </c>
      <c r="S39" s="66">
        <v>250000000</v>
      </c>
      <c r="T39" s="7">
        <v>0.5</v>
      </c>
      <c r="U39" s="7" t="s">
        <v>49</v>
      </c>
      <c r="V39" s="76">
        <f>(tblEuler[[#This Row],[E]]*PI()^2)/((tblEuler[[#This Row],[lex]]/tblEuler[[#This Row],[rx]])^2)</f>
        <v>170617825202.51193</v>
      </c>
      <c r="W39" s="70">
        <f>(tblEuler[[#This Row],[Ix]]*tblEuler[[#This Row],[E]]*PI()^2)/(tblEuler[[#This Row],[lex]]^2)</f>
        <v>1200143895.172466</v>
      </c>
      <c r="X39" s="76">
        <f>(tblEuler[[#This Row],[E]]*PI()^2)/((tblEuler[[#This Row],[ley]]/tblEuler[[#This Row],[ry]])^2)</f>
        <v>7296874882.6485939</v>
      </c>
      <c r="Y39" s="70">
        <f>(tblEuler[[#This Row],[Iy]]*tblEuler[[#This Row],[E]]*PI()^2)/(tblEuler[[#This Row],[ley]]^2)</f>
        <v>51164029.215247229</v>
      </c>
      <c r="Z39" s="71">
        <f>SQRT(tblEuler[[#This Row],[rx]]^2+tblEuler[[#This Row],[ry]]^2+tblEuler[[#This Row],[xo]]^2+tblEuler[[#This Row],[yo]]^2)</f>
        <v>0.16046198926848687</v>
      </c>
      <c r="AA39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6795295418.8503876</v>
      </c>
    </row>
    <row r="40" spans="2:27" x14ac:dyDescent="0.2">
      <c r="B40" s="13" t="s">
        <v>7</v>
      </c>
      <c r="C40" s="54">
        <v>1.6E-2</v>
      </c>
      <c r="D40" s="11">
        <v>0.95</v>
      </c>
      <c r="E40" s="56">
        <v>40</v>
      </c>
      <c r="F40" s="56">
        <v>40</v>
      </c>
      <c r="G40" s="56">
        <v>40</v>
      </c>
      <c r="H40" s="56">
        <v>0.249</v>
      </c>
      <c r="I40" s="56">
        <v>4.9599999999999998E-2</v>
      </c>
      <c r="J40" s="56">
        <v>0</v>
      </c>
      <c r="K40" s="56">
        <v>0</v>
      </c>
      <c r="L40" s="61">
        <v>9.859999999999999E-4</v>
      </c>
      <c r="M40" s="61">
        <v>3.93E-5</v>
      </c>
      <c r="N40" s="61">
        <v>1.5600000000000001E-6</v>
      </c>
      <c r="O40" s="63">
        <v>3.45E-6</v>
      </c>
      <c r="P40" s="66">
        <v>280000000</v>
      </c>
      <c r="Q40" s="66">
        <v>200000000000</v>
      </c>
      <c r="R40" s="66">
        <v>80000000000</v>
      </c>
      <c r="S40" s="66">
        <v>250000000</v>
      </c>
      <c r="T40" s="7">
        <v>0</v>
      </c>
      <c r="U40" s="7" t="s">
        <v>48</v>
      </c>
      <c r="V40" s="76">
        <f>(tblEuler[[#This Row],[E]]*PI()^2)/((tblEuler[[#This Row],[lex]]/tblEuler[[#This Row],[rx]])^2)</f>
        <v>76490667.808992654</v>
      </c>
      <c r="W40" s="70">
        <f>(tblEuler[[#This Row],[Ix]]*tblEuler[[#This Row],[E]]*PI()^2)/(tblEuler[[#This Row],[lex]]^2)</f>
        <v>1216428.7424342632</v>
      </c>
      <c r="X40" s="76">
        <f>(tblEuler[[#This Row],[E]]*PI()^2)/((tblEuler[[#This Row],[ley]]/tblEuler[[#This Row],[ry]])^2)</f>
        <v>3035100.7454229989</v>
      </c>
      <c r="Y40" s="70">
        <f>(tblEuler[[#This Row],[Iy]]*tblEuler[[#This Row],[E]]*PI()^2)/(tblEuler[[#This Row],[ley]]^2)</f>
        <v>48484.431620351468</v>
      </c>
      <c r="Z40" s="71">
        <f>SQRT(tblEuler[[#This Row],[rx]]^2+tblEuler[[#This Row],[ry]]^2+tblEuler[[#This Row],[xo]]^2+tblEuler[[#This Row],[yo]]^2)</f>
        <v>0.25389202429379304</v>
      </c>
      <c r="AA40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125129871.71070321</v>
      </c>
    </row>
    <row r="41" spans="2:27" x14ac:dyDescent="0.2">
      <c r="B41" s="13" t="s">
        <v>7</v>
      </c>
      <c r="C41" s="54">
        <v>1.6E-2</v>
      </c>
      <c r="D41" s="11">
        <v>0.95</v>
      </c>
      <c r="E41" s="56">
        <v>20</v>
      </c>
      <c r="F41" s="56">
        <v>20</v>
      </c>
      <c r="G41" s="56">
        <v>20</v>
      </c>
      <c r="H41" s="56">
        <v>0.249</v>
      </c>
      <c r="I41" s="56">
        <v>4.9599999999999998E-2</v>
      </c>
      <c r="J41" s="56">
        <v>0</v>
      </c>
      <c r="K41" s="56">
        <v>0</v>
      </c>
      <c r="L41" s="61">
        <v>9.859999999999999E-4</v>
      </c>
      <c r="M41" s="61">
        <v>3.93E-5</v>
      </c>
      <c r="N41" s="61">
        <v>1.5600000000000001E-6</v>
      </c>
      <c r="O41" s="63">
        <v>3.45E-6</v>
      </c>
      <c r="P41" s="66">
        <v>280000000</v>
      </c>
      <c r="Q41" s="66">
        <v>200000000000</v>
      </c>
      <c r="R41" s="66">
        <v>80000000000</v>
      </c>
      <c r="S41" s="66">
        <v>250000000</v>
      </c>
      <c r="T41" s="7">
        <v>0</v>
      </c>
      <c r="U41" s="7" t="s">
        <v>48</v>
      </c>
      <c r="V41" s="76">
        <f>(tblEuler[[#This Row],[E]]*PI()^2)/((tblEuler[[#This Row],[lex]]/tblEuler[[#This Row],[rx]])^2)</f>
        <v>305962671.23597062</v>
      </c>
      <c r="W41" s="70">
        <f>(tblEuler[[#This Row],[Ix]]*tblEuler[[#This Row],[E]]*PI()^2)/(tblEuler[[#This Row],[lex]]^2)</f>
        <v>4865714.9697370529</v>
      </c>
      <c r="X41" s="76">
        <f>(tblEuler[[#This Row],[E]]*PI()^2)/((tblEuler[[#This Row],[ley]]/tblEuler[[#This Row],[ry]])^2)</f>
        <v>12140402.981691996</v>
      </c>
      <c r="Y41" s="70">
        <f>(tblEuler[[#This Row],[Iy]]*tblEuler[[#This Row],[E]]*PI()^2)/(tblEuler[[#This Row],[ley]]^2)</f>
        <v>193937.72648140587</v>
      </c>
      <c r="Z41" s="71">
        <f>SQRT(tblEuler[[#This Row],[rx]]^2+tblEuler[[#This Row],[ry]]^2+tblEuler[[#This Row],[xo]]^2+tblEuler[[#This Row],[yo]]^2)</f>
        <v>0.25389202429379304</v>
      </c>
      <c r="AA41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137510195.66654477</v>
      </c>
    </row>
    <row r="42" spans="2:27" x14ac:dyDescent="0.2">
      <c r="B42" s="13" t="s">
        <v>7</v>
      </c>
      <c r="C42" s="54">
        <v>1.6E-2</v>
      </c>
      <c r="D42" s="11">
        <v>0.95</v>
      </c>
      <c r="E42" s="56">
        <v>10</v>
      </c>
      <c r="F42" s="56">
        <v>10</v>
      </c>
      <c r="G42" s="56">
        <v>10</v>
      </c>
      <c r="H42" s="56">
        <v>0.249</v>
      </c>
      <c r="I42" s="56">
        <v>4.9599999999999998E-2</v>
      </c>
      <c r="J42" s="56">
        <v>0</v>
      </c>
      <c r="K42" s="56">
        <v>0</v>
      </c>
      <c r="L42" s="61">
        <v>9.859999999999999E-4</v>
      </c>
      <c r="M42" s="61">
        <v>3.93E-5</v>
      </c>
      <c r="N42" s="61">
        <v>1.5600000000000001E-6</v>
      </c>
      <c r="O42" s="63">
        <v>3.45E-6</v>
      </c>
      <c r="P42" s="66">
        <v>280000000</v>
      </c>
      <c r="Q42" s="66">
        <v>200000000000</v>
      </c>
      <c r="R42" s="66">
        <v>80000000000</v>
      </c>
      <c r="S42" s="66">
        <v>250000000</v>
      </c>
      <c r="T42" s="7">
        <v>0</v>
      </c>
      <c r="U42" s="7" t="s">
        <v>48</v>
      </c>
      <c r="V42" s="76">
        <f>(tblEuler[[#This Row],[E]]*PI()^2)/((tblEuler[[#This Row],[lex]]/tblEuler[[#This Row],[rx]])^2)</f>
        <v>1223850684.9438825</v>
      </c>
      <c r="W42" s="70">
        <f>(tblEuler[[#This Row],[Ix]]*tblEuler[[#This Row],[E]]*PI()^2)/(tblEuler[[#This Row],[lex]]^2)</f>
        <v>19462859.878948212</v>
      </c>
      <c r="X42" s="76">
        <f>(tblEuler[[#This Row],[E]]*PI()^2)/((tblEuler[[#This Row],[ley]]/tblEuler[[#This Row],[ry]])^2)</f>
        <v>48561611.926767983</v>
      </c>
      <c r="Y42" s="70">
        <f>(tblEuler[[#This Row],[Iy]]*tblEuler[[#This Row],[E]]*PI()^2)/(tblEuler[[#This Row],[ley]]^2)</f>
        <v>775750.90592562349</v>
      </c>
      <c r="Z42" s="71">
        <f>SQRT(tblEuler[[#This Row],[rx]]^2+tblEuler[[#This Row],[ry]]^2+tblEuler[[#This Row],[xo]]^2+tblEuler[[#This Row],[yo]]^2)</f>
        <v>0.25389202429379304</v>
      </c>
      <c r="AA42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187031491.48991096</v>
      </c>
    </row>
    <row r="43" spans="2:27" x14ac:dyDescent="0.2">
      <c r="B43" s="13" t="s">
        <v>7</v>
      </c>
      <c r="C43" s="54">
        <v>1.6E-2</v>
      </c>
      <c r="D43" s="11">
        <v>0.95</v>
      </c>
      <c r="E43" s="56">
        <v>5</v>
      </c>
      <c r="F43" s="56">
        <v>5</v>
      </c>
      <c r="G43" s="56">
        <v>5</v>
      </c>
      <c r="H43" s="56">
        <v>0.249</v>
      </c>
      <c r="I43" s="56">
        <v>4.9599999999999998E-2</v>
      </c>
      <c r="J43" s="56">
        <v>0</v>
      </c>
      <c r="K43" s="56">
        <v>0</v>
      </c>
      <c r="L43" s="61">
        <v>9.859999999999999E-4</v>
      </c>
      <c r="M43" s="61">
        <v>3.93E-5</v>
      </c>
      <c r="N43" s="61">
        <v>1.5600000000000001E-6</v>
      </c>
      <c r="O43" s="63">
        <v>3.45E-6</v>
      </c>
      <c r="P43" s="66">
        <v>280000000</v>
      </c>
      <c r="Q43" s="66">
        <v>200000000000</v>
      </c>
      <c r="R43" s="66">
        <v>80000000000</v>
      </c>
      <c r="S43" s="66">
        <v>250000000</v>
      </c>
      <c r="T43" s="7">
        <v>0</v>
      </c>
      <c r="U43" s="7" t="s">
        <v>48</v>
      </c>
      <c r="V43" s="76">
        <f>(tblEuler[[#This Row],[E]]*PI()^2)/((tblEuler[[#This Row],[lex]]/tblEuler[[#This Row],[rx]])^2)</f>
        <v>4895402739.7755299</v>
      </c>
      <c r="W43" s="70">
        <f>(tblEuler[[#This Row],[Ix]]*tblEuler[[#This Row],[E]]*PI()^2)/(tblEuler[[#This Row],[lex]]^2)</f>
        <v>77851439.515792847</v>
      </c>
      <c r="X43" s="76">
        <f>(tblEuler[[#This Row],[E]]*PI()^2)/((tblEuler[[#This Row],[ley]]/tblEuler[[#This Row],[ry]])^2)</f>
        <v>194246447.70707193</v>
      </c>
      <c r="Y43" s="70">
        <f>(tblEuler[[#This Row],[Iy]]*tblEuler[[#This Row],[E]]*PI()^2)/(tblEuler[[#This Row],[ley]]^2)</f>
        <v>3103003.623702494</v>
      </c>
      <c r="Z43" s="71">
        <f>SQRT(tblEuler[[#This Row],[rx]]^2+tblEuler[[#This Row],[ry]]^2+tblEuler[[#This Row],[xo]]^2+tblEuler[[#This Row],[yo]]^2)</f>
        <v>0.25389202429379304</v>
      </c>
      <c r="AA43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385116674.78337574</v>
      </c>
    </row>
    <row r="44" spans="2:27" x14ac:dyDescent="0.2">
      <c r="B44" s="13" t="s">
        <v>7</v>
      </c>
      <c r="C44" s="54">
        <v>1.6E-2</v>
      </c>
      <c r="D44" s="11">
        <v>0.95</v>
      </c>
      <c r="E44" s="56">
        <v>1</v>
      </c>
      <c r="F44" s="56">
        <v>1</v>
      </c>
      <c r="G44" s="56">
        <v>1</v>
      </c>
      <c r="H44" s="56">
        <v>0.249</v>
      </c>
      <c r="I44" s="56">
        <v>4.9599999999999998E-2</v>
      </c>
      <c r="J44" s="56">
        <v>0</v>
      </c>
      <c r="K44" s="56">
        <v>0</v>
      </c>
      <c r="L44" s="61">
        <v>9.859999999999999E-4</v>
      </c>
      <c r="M44" s="61">
        <v>3.93E-5</v>
      </c>
      <c r="N44" s="61">
        <v>1.5600000000000001E-6</v>
      </c>
      <c r="O44" s="63">
        <v>3.45E-6</v>
      </c>
      <c r="P44" s="66">
        <v>280000000</v>
      </c>
      <c r="Q44" s="66">
        <v>200000000000</v>
      </c>
      <c r="R44" s="66">
        <v>80000000000</v>
      </c>
      <c r="S44" s="66">
        <v>250000000</v>
      </c>
      <c r="T44" s="7">
        <v>0</v>
      </c>
      <c r="U44" s="7" t="s">
        <v>48</v>
      </c>
      <c r="V44" s="76">
        <f>(tblEuler[[#This Row],[E]]*PI()^2)/((tblEuler[[#This Row],[lex]]/tblEuler[[#This Row],[rx]])^2)</f>
        <v>122385068494.38824</v>
      </c>
      <c r="W44" s="70">
        <f>(tblEuler[[#This Row],[Ix]]*tblEuler[[#This Row],[E]]*PI()^2)/(tblEuler[[#This Row],[lex]]^2)</f>
        <v>1946285987.8948212</v>
      </c>
      <c r="X44" s="76">
        <f>(tblEuler[[#This Row],[E]]*PI()^2)/((tblEuler[[#This Row],[ley]]/tblEuler[[#This Row],[ry]])^2)</f>
        <v>4856161192.6767998</v>
      </c>
      <c r="Y44" s="70">
        <f>(tblEuler[[#This Row],[Iy]]*tblEuler[[#This Row],[E]]*PI()^2)/(tblEuler[[#This Row],[ley]]^2)</f>
        <v>77575090.592562348</v>
      </c>
      <c r="Z44" s="71">
        <f>SQRT(tblEuler[[#This Row],[rx]]^2+tblEuler[[#This Row],[ry]]^2+tblEuler[[#This Row],[xo]]^2+tblEuler[[#This Row],[yo]]^2)</f>
        <v>0.25389202429379304</v>
      </c>
      <c r="AA44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6723842540.1742487</v>
      </c>
    </row>
    <row r="45" spans="2:27" x14ac:dyDescent="0.2">
      <c r="B45" s="13" t="s">
        <v>6</v>
      </c>
      <c r="C45" s="54">
        <v>7.54E-4</v>
      </c>
      <c r="D45" s="11">
        <v>1</v>
      </c>
      <c r="E45" s="56">
        <v>10</v>
      </c>
      <c r="F45" s="56">
        <v>10</v>
      </c>
      <c r="G45" s="56">
        <v>10</v>
      </c>
      <c r="H45" s="56">
        <v>3.0099999999999998E-2</v>
      </c>
      <c r="I45" s="56">
        <v>1.26E-2</v>
      </c>
      <c r="J45" s="56">
        <v>2.7199999999999998E-2</v>
      </c>
      <c r="K45" s="56">
        <v>0</v>
      </c>
      <c r="L45" s="61">
        <v>6.8299999999999996E-7</v>
      </c>
      <c r="M45" s="61">
        <v>1.1999999999999999E-7</v>
      </c>
      <c r="N45" s="61">
        <v>8.1300000000000007E-9</v>
      </c>
      <c r="O45" s="63">
        <v>1.06E-10</v>
      </c>
      <c r="P45" s="66">
        <v>320000000</v>
      </c>
      <c r="Q45" s="66">
        <v>200000000000</v>
      </c>
      <c r="R45" s="66">
        <v>80000000000</v>
      </c>
      <c r="S45" s="66">
        <v>250000000</v>
      </c>
      <c r="T45" s="7">
        <v>0.5</v>
      </c>
      <c r="U45" s="7" t="s">
        <v>49</v>
      </c>
      <c r="V45" s="76">
        <f>(tblEuler[[#This Row],[E]]*PI()^2)/((tblEuler[[#This Row],[lex]]/tblEuler[[#This Row],[rx]])^2)</f>
        <v>17883920.566861939</v>
      </c>
      <c r="W45" s="70">
        <f>(tblEuler[[#This Row],[Ix]]*tblEuler[[#This Row],[E]]*PI()^2)/(tblEuler[[#This Row],[lex]]^2)</f>
        <v>13481.879611888062</v>
      </c>
      <c r="X45" s="76">
        <f>(tblEuler[[#This Row],[E]]*PI()^2)/((tblEuler[[#This Row],[ley]]/tblEuler[[#This Row],[ry]])^2)</f>
        <v>3133796.7894338933</v>
      </c>
      <c r="Y45" s="70">
        <f>(tblEuler[[#This Row],[Iy]]*tblEuler[[#This Row],[E]]*PI()^2)/(tblEuler[[#This Row],[ley]]^2)</f>
        <v>2368.7050562614454</v>
      </c>
      <c r="Z45" s="71">
        <f>SQRT(tblEuler[[#This Row],[rx]]^2+tblEuler[[#This Row],[ry]]^2+tblEuler[[#This Row],[xo]]^2+tblEuler[[#This Row],[yo]]^2)</f>
        <v>4.2480701500799162E-2</v>
      </c>
      <c r="AA45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479535455.10111028</v>
      </c>
    </row>
    <row r="46" spans="2:27" x14ac:dyDescent="0.2">
      <c r="B46" s="13" t="s">
        <v>6</v>
      </c>
      <c r="C46" s="54">
        <v>7.54E-4</v>
      </c>
      <c r="D46" s="11">
        <v>1</v>
      </c>
      <c r="E46" s="56">
        <v>5</v>
      </c>
      <c r="F46" s="56">
        <v>5</v>
      </c>
      <c r="G46" s="56">
        <v>5</v>
      </c>
      <c r="H46" s="56">
        <v>3.0099999999999998E-2</v>
      </c>
      <c r="I46" s="56">
        <v>1.26E-2</v>
      </c>
      <c r="J46" s="56">
        <v>2.7199999999999998E-2</v>
      </c>
      <c r="K46" s="56">
        <v>0</v>
      </c>
      <c r="L46" s="61">
        <v>6.8299999999999996E-7</v>
      </c>
      <c r="M46" s="61">
        <v>1.1999999999999999E-7</v>
      </c>
      <c r="N46" s="61">
        <v>8.1300000000000007E-9</v>
      </c>
      <c r="O46" s="63">
        <v>1.06E-10</v>
      </c>
      <c r="P46" s="66">
        <v>320000000</v>
      </c>
      <c r="Q46" s="66">
        <v>200000000000</v>
      </c>
      <c r="R46" s="66">
        <v>80000000000</v>
      </c>
      <c r="S46" s="66">
        <v>250000000</v>
      </c>
      <c r="T46" s="7">
        <v>0.5</v>
      </c>
      <c r="U46" s="7" t="s">
        <v>49</v>
      </c>
      <c r="V46" s="76">
        <f>(tblEuler[[#This Row],[E]]*PI()^2)/((tblEuler[[#This Row],[lex]]/tblEuler[[#This Row],[rx]])^2)</f>
        <v>71535682.267447755</v>
      </c>
      <c r="W46" s="70">
        <f>(tblEuler[[#This Row],[Ix]]*tblEuler[[#This Row],[E]]*PI()^2)/(tblEuler[[#This Row],[lex]]^2)</f>
        <v>53927.518447552247</v>
      </c>
      <c r="X46" s="76">
        <f>(tblEuler[[#This Row],[E]]*PI()^2)/((tblEuler[[#This Row],[ley]]/tblEuler[[#This Row],[ry]])^2)</f>
        <v>12535187.157735573</v>
      </c>
      <c r="Y46" s="70">
        <f>(tblEuler[[#This Row],[Iy]]*tblEuler[[#This Row],[E]]*PI()^2)/(tblEuler[[#This Row],[ley]]^2)</f>
        <v>9474.8202250457816</v>
      </c>
      <c r="Z46" s="71">
        <f>SQRT(tblEuler[[#This Row],[rx]]^2+tblEuler[[#This Row],[ry]]^2+tblEuler[[#This Row],[xo]]^2+tblEuler[[#This Row],[yo]]^2)</f>
        <v>4.2480701500799162E-2</v>
      </c>
      <c r="AA46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484148653.74346507</v>
      </c>
    </row>
    <row r="47" spans="2:27" x14ac:dyDescent="0.2">
      <c r="B47" s="13" t="s">
        <v>6</v>
      </c>
      <c r="C47" s="54">
        <v>7.54E-4</v>
      </c>
      <c r="D47" s="11">
        <v>1</v>
      </c>
      <c r="E47" s="56">
        <v>1</v>
      </c>
      <c r="F47" s="56">
        <v>1</v>
      </c>
      <c r="G47" s="56">
        <v>1</v>
      </c>
      <c r="H47" s="56">
        <v>3.0099999999999998E-2</v>
      </c>
      <c r="I47" s="56">
        <v>1.26E-2</v>
      </c>
      <c r="J47" s="56">
        <v>2.7199999999999998E-2</v>
      </c>
      <c r="K47" s="56">
        <v>0</v>
      </c>
      <c r="L47" s="61">
        <v>6.8299999999999996E-7</v>
      </c>
      <c r="M47" s="61">
        <v>1.1999999999999999E-7</v>
      </c>
      <c r="N47" s="61">
        <v>8.1300000000000007E-9</v>
      </c>
      <c r="O47" s="63">
        <v>1.06E-10</v>
      </c>
      <c r="P47" s="66">
        <v>320000000</v>
      </c>
      <c r="Q47" s="66">
        <v>200000000000</v>
      </c>
      <c r="R47" s="66">
        <v>80000000000</v>
      </c>
      <c r="S47" s="66">
        <v>250000000</v>
      </c>
      <c r="T47" s="7">
        <v>0.5</v>
      </c>
      <c r="U47" s="7" t="s">
        <v>49</v>
      </c>
      <c r="V47" s="76">
        <f>(tblEuler[[#This Row],[E]]*PI()^2)/((tblEuler[[#This Row],[lex]]/tblEuler[[#This Row],[rx]])^2)</f>
        <v>1788392056.6861939</v>
      </c>
      <c r="W47" s="70">
        <f>(tblEuler[[#This Row],[Ix]]*tblEuler[[#This Row],[E]]*PI()^2)/(tblEuler[[#This Row],[lex]]^2)</f>
        <v>1348187.9611888062</v>
      </c>
      <c r="X47" s="76">
        <f>(tblEuler[[#This Row],[E]]*PI()^2)/((tblEuler[[#This Row],[ley]]/tblEuler[[#This Row],[ry]])^2)</f>
        <v>313379678.94338924</v>
      </c>
      <c r="Y47" s="70">
        <f>(tblEuler[[#This Row],[Iy]]*tblEuler[[#This Row],[E]]*PI()^2)/(tblEuler[[#This Row],[ley]]^2)</f>
        <v>236870.50562614456</v>
      </c>
      <c r="Z47" s="71">
        <f>SQRT(tblEuler[[#This Row],[rx]]^2+tblEuler[[#This Row],[ry]]^2+tblEuler[[#This Row],[xo]]^2+tblEuler[[#This Row],[yo]]^2)</f>
        <v>4.2480701500799162E-2</v>
      </c>
      <c r="AA47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631771010.29881835</v>
      </c>
    </row>
    <row r="48" spans="2:27" x14ac:dyDescent="0.2">
      <c r="B48" s="13" t="s">
        <v>6</v>
      </c>
      <c r="C48" s="54">
        <v>7.54E-4</v>
      </c>
      <c r="D48" s="11">
        <v>1</v>
      </c>
      <c r="E48" s="56">
        <v>0.5</v>
      </c>
      <c r="F48" s="56">
        <v>0.5</v>
      </c>
      <c r="G48" s="56">
        <v>0.5</v>
      </c>
      <c r="H48" s="56">
        <v>3.0099999999999998E-2</v>
      </c>
      <c r="I48" s="56">
        <v>1.26E-2</v>
      </c>
      <c r="J48" s="56">
        <v>2.7199999999999998E-2</v>
      </c>
      <c r="K48" s="56">
        <v>0</v>
      </c>
      <c r="L48" s="61">
        <v>6.8299999999999996E-7</v>
      </c>
      <c r="M48" s="61">
        <v>1.1999999999999999E-7</v>
      </c>
      <c r="N48" s="61">
        <v>8.1300000000000007E-9</v>
      </c>
      <c r="O48" s="63">
        <v>1.06E-10</v>
      </c>
      <c r="P48" s="66">
        <v>320000000</v>
      </c>
      <c r="Q48" s="66">
        <v>200000000000</v>
      </c>
      <c r="R48" s="66">
        <v>80000000000</v>
      </c>
      <c r="S48" s="66">
        <v>250000000</v>
      </c>
      <c r="T48" s="7">
        <v>0.5</v>
      </c>
      <c r="U48" s="7" t="s">
        <v>49</v>
      </c>
      <c r="V48" s="76">
        <f>(tblEuler[[#This Row],[E]]*PI()^2)/((tblEuler[[#This Row],[lex]]/tblEuler[[#This Row],[rx]])^2)</f>
        <v>7153568226.7447758</v>
      </c>
      <c r="W48" s="70">
        <f>(tblEuler[[#This Row],[Ix]]*tblEuler[[#This Row],[E]]*PI()^2)/(tblEuler[[#This Row],[lex]]^2)</f>
        <v>5392751.8447552249</v>
      </c>
      <c r="X48" s="76">
        <f>(tblEuler[[#This Row],[E]]*PI()^2)/((tblEuler[[#This Row],[ley]]/tblEuler[[#This Row],[ry]])^2)</f>
        <v>1253518715.7735569</v>
      </c>
      <c r="Y48" s="70">
        <f>(tblEuler[[#This Row],[Iy]]*tblEuler[[#This Row],[E]]*PI()^2)/(tblEuler[[#This Row],[ley]]^2)</f>
        <v>947482.02250457823</v>
      </c>
      <c r="Z48" s="71">
        <f>SQRT(tblEuler[[#This Row],[rx]]^2+tblEuler[[#This Row],[ry]]^2+tblEuler[[#This Row],[xo]]^2+tblEuler[[#This Row],[yo]]^2)</f>
        <v>4.2480701500799162E-2</v>
      </c>
      <c r="AA48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1093090874.5342977</v>
      </c>
    </row>
    <row r="49" spans="2:27" x14ac:dyDescent="0.2">
      <c r="B49" s="13" t="s">
        <v>6</v>
      </c>
      <c r="C49" s="54">
        <v>7.54E-4</v>
      </c>
      <c r="D49" s="11">
        <v>1</v>
      </c>
      <c r="E49" s="56">
        <v>0.1</v>
      </c>
      <c r="F49" s="56">
        <v>0.1</v>
      </c>
      <c r="G49" s="56">
        <v>0.1</v>
      </c>
      <c r="H49" s="56">
        <v>3.0099999999999998E-2</v>
      </c>
      <c r="I49" s="56">
        <v>1.26E-2</v>
      </c>
      <c r="J49" s="56">
        <v>2.7199999999999998E-2</v>
      </c>
      <c r="K49" s="56">
        <v>0</v>
      </c>
      <c r="L49" s="61">
        <v>6.8299999999999996E-7</v>
      </c>
      <c r="M49" s="61">
        <v>1.1999999999999999E-7</v>
      </c>
      <c r="N49" s="61">
        <v>8.1300000000000007E-9</v>
      </c>
      <c r="O49" s="63">
        <v>1.06E-10</v>
      </c>
      <c r="P49" s="66">
        <v>320000000</v>
      </c>
      <c r="Q49" s="66">
        <v>200000000000</v>
      </c>
      <c r="R49" s="66">
        <v>80000000000</v>
      </c>
      <c r="S49" s="66">
        <v>250000000</v>
      </c>
      <c r="T49" s="7">
        <v>0.5</v>
      </c>
      <c r="U49" s="7" t="s">
        <v>49</v>
      </c>
      <c r="V49" s="76">
        <f>(tblEuler[[#This Row],[E]]*PI()^2)/((tblEuler[[#This Row],[lex]]/tblEuler[[#This Row],[rx]])^2)</f>
        <v>178839205668.61932</v>
      </c>
      <c r="W49" s="70">
        <f>(tblEuler[[#This Row],[Ix]]*tblEuler[[#This Row],[E]]*PI()^2)/(tblEuler[[#This Row],[lex]]^2)</f>
        <v>134818796.1188806</v>
      </c>
      <c r="X49" s="76">
        <f>(tblEuler[[#This Row],[E]]*PI()^2)/((tblEuler[[#This Row],[ley]]/tblEuler[[#This Row],[ry]])^2)</f>
        <v>31337967894.338928</v>
      </c>
      <c r="Y49" s="70">
        <f>(tblEuler[[#This Row],[Iy]]*tblEuler[[#This Row],[E]]*PI()^2)/(tblEuler[[#This Row],[ley]]^2)</f>
        <v>23687050.562614452</v>
      </c>
      <c r="Z49" s="71">
        <f>SQRT(tblEuler[[#This Row],[rx]]^2+tblEuler[[#This Row],[ry]]^2+tblEuler[[#This Row],[xo]]^2+tblEuler[[#This Row],[yo]]^2)</f>
        <v>4.2480701500799162E-2</v>
      </c>
      <c r="AA49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15855326530.069632</v>
      </c>
    </row>
    <row r="50" spans="2:27" x14ac:dyDescent="0.2">
      <c r="B50" s="13" t="s">
        <v>47</v>
      </c>
      <c r="C50" s="54">
        <v>1.0999999999999999E-2</v>
      </c>
      <c r="D50" s="20">
        <v>1</v>
      </c>
      <c r="E50" s="56">
        <v>10</v>
      </c>
      <c r="F50" s="56">
        <v>10</v>
      </c>
      <c r="G50" s="56">
        <v>10</v>
      </c>
      <c r="H50" s="56">
        <v>0.21</v>
      </c>
      <c r="I50" s="56">
        <v>3.6978999999999998E-2</v>
      </c>
      <c r="J50" s="56">
        <v>0</v>
      </c>
      <c r="K50" s="56">
        <v>0.15428504787</v>
      </c>
      <c r="L50" s="61">
        <v>4.8538484848000002E-4</v>
      </c>
      <c r="M50" s="61">
        <v>1.5041666666665999E-5</v>
      </c>
      <c r="N50" s="61">
        <v>9.1838800792000005E-7</v>
      </c>
      <c r="O50" s="63">
        <v>4.0290907437000001E-7</v>
      </c>
      <c r="P50" s="67">
        <v>300000000</v>
      </c>
      <c r="Q50" s="66">
        <v>200000000000</v>
      </c>
      <c r="R50" s="66">
        <v>80000000000</v>
      </c>
      <c r="S50" s="66">
        <v>250000000</v>
      </c>
      <c r="T50" s="7">
        <v>0.5</v>
      </c>
      <c r="U50" s="51" t="s">
        <v>50</v>
      </c>
      <c r="V50" s="76">
        <f>(tblEuler[[#This Row],[E]]*PI()^2)/((tblEuler[[#This Row],[lex]]/tblEuler[[#This Row],[rx]])^2)</f>
        <v>870499108.1760813</v>
      </c>
      <c r="W50" s="70">
        <f>(tblEuler[[#This Row],[Ix]]*tblEuler[[#This Row],[E]]*PI()^2)/(tblEuler[[#This Row],[lex]]^2)</f>
        <v>9581112.8735606</v>
      </c>
      <c r="X50" s="76">
        <f>(tblEuler[[#This Row],[E]]*PI()^2)/((tblEuler[[#This Row],[ley]]/tblEuler[[#This Row],[ry]])^2)</f>
        <v>26992310.824695159</v>
      </c>
      <c r="Y50" s="70">
        <f>(tblEuler[[#This Row],[Iy]]*tblEuler[[#This Row],[E]]*PI()^2)/(tblEuler[[#This Row],[ley]]^2)</f>
        <v>296910.59906609164</v>
      </c>
      <c r="Z50" s="71">
        <f>SQRT(tblEuler[[#This Row],[rx]]^2+tblEuler[[#This Row],[ry]]^2+tblEuler[[#This Row],[xo]]^2+tblEuler[[#This Row],[yo]]^2)</f>
        <v>0.26319445745921055</v>
      </c>
      <c r="AA50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106858002.98941475</v>
      </c>
    </row>
    <row r="51" spans="2:27" x14ac:dyDescent="0.2">
      <c r="B51" s="13" t="s">
        <v>47</v>
      </c>
      <c r="C51" s="54">
        <v>1.0999999999999999E-2</v>
      </c>
      <c r="D51" s="20">
        <v>1</v>
      </c>
      <c r="E51" s="56">
        <v>5</v>
      </c>
      <c r="F51" s="56">
        <v>5</v>
      </c>
      <c r="G51" s="56">
        <v>5</v>
      </c>
      <c r="H51" s="56">
        <v>0.21</v>
      </c>
      <c r="I51" s="56">
        <v>3.6978999999999998E-2</v>
      </c>
      <c r="J51" s="56">
        <v>0</v>
      </c>
      <c r="K51" s="56">
        <v>0.15428504787</v>
      </c>
      <c r="L51" s="61">
        <v>4.8538484848000002E-4</v>
      </c>
      <c r="M51" s="61">
        <v>1.5041666666665999E-5</v>
      </c>
      <c r="N51" s="61">
        <v>9.1838800792000005E-7</v>
      </c>
      <c r="O51" s="63">
        <v>4.0290907437000001E-7</v>
      </c>
      <c r="P51" s="67">
        <v>300000000</v>
      </c>
      <c r="Q51" s="66">
        <v>200000000000</v>
      </c>
      <c r="R51" s="66">
        <v>80000000000</v>
      </c>
      <c r="S51" s="66">
        <v>250000000</v>
      </c>
      <c r="T51" s="7">
        <v>0.5</v>
      </c>
      <c r="U51" s="51" t="s">
        <v>50</v>
      </c>
      <c r="V51" s="76">
        <f>(tblEuler[[#This Row],[E]]*PI()^2)/((tblEuler[[#This Row],[lex]]/tblEuler[[#This Row],[rx]])^2)</f>
        <v>3481996432.7043252</v>
      </c>
      <c r="W51" s="70">
        <f>(tblEuler[[#This Row],[Ix]]*tblEuler[[#This Row],[E]]*PI()^2)/(tblEuler[[#This Row],[lex]]^2)</f>
        <v>38324451.4942424</v>
      </c>
      <c r="X51" s="76">
        <f>(tblEuler[[#This Row],[E]]*PI()^2)/((tblEuler[[#This Row],[ley]]/tblEuler[[#This Row],[ry]])^2)</f>
        <v>107969243.29878063</v>
      </c>
      <c r="Y51" s="70">
        <f>(tblEuler[[#This Row],[Iy]]*tblEuler[[#This Row],[E]]*PI()^2)/(tblEuler[[#This Row],[ley]]^2)</f>
        <v>1187642.3962643666</v>
      </c>
      <c r="Z51" s="71">
        <f>SQRT(tblEuler[[#This Row],[rx]]^2+tblEuler[[#This Row],[ry]]^2+tblEuler[[#This Row],[xo]]^2+tblEuler[[#This Row],[yo]]^2)</f>
        <v>0.26319445745921055</v>
      </c>
      <c r="AA51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138170080.30350193</v>
      </c>
    </row>
    <row r="52" spans="2:27" x14ac:dyDescent="0.2">
      <c r="B52" s="13" t="s">
        <v>47</v>
      </c>
      <c r="C52" s="54">
        <v>1.0999999999999999E-2</v>
      </c>
      <c r="D52" s="20">
        <v>1</v>
      </c>
      <c r="E52" s="56">
        <v>1</v>
      </c>
      <c r="F52" s="56">
        <v>1</v>
      </c>
      <c r="G52" s="56">
        <v>1</v>
      </c>
      <c r="H52" s="56">
        <v>0.21</v>
      </c>
      <c r="I52" s="56">
        <v>3.6978999999999998E-2</v>
      </c>
      <c r="J52" s="56">
        <v>0</v>
      </c>
      <c r="K52" s="56">
        <v>0.15428504787</v>
      </c>
      <c r="L52" s="61">
        <v>4.8538484848000002E-4</v>
      </c>
      <c r="M52" s="61">
        <v>1.5041666666665999E-5</v>
      </c>
      <c r="N52" s="61">
        <v>9.1838800792000005E-7</v>
      </c>
      <c r="O52" s="63">
        <v>4.0290907437000001E-7</v>
      </c>
      <c r="P52" s="67">
        <v>300000000</v>
      </c>
      <c r="Q52" s="66">
        <v>200000000000</v>
      </c>
      <c r="R52" s="66">
        <v>80000000000</v>
      </c>
      <c r="S52" s="66">
        <v>250000000</v>
      </c>
      <c r="T52" s="7">
        <v>0.5</v>
      </c>
      <c r="U52" s="51" t="s">
        <v>50</v>
      </c>
      <c r="V52" s="76">
        <f>(tblEuler[[#This Row],[E]]*PI()^2)/((tblEuler[[#This Row],[lex]]/tblEuler[[#This Row],[rx]])^2)</f>
        <v>87049910817.608139</v>
      </c>
      <c r="W52" s="70">
        <f>(tblEuler[[#This Row],[Ix]]*tblEuler[[#This Row],[E]]*PI()^2)/(tblEuler[[#This Row],[lex]]^2)</f>
        <v>958111287.35605991</v>
      </c>
      <c r="X52" s="76">
        <f>(tblEuler[[#This Row],[E]]*PI()^2)/((tblEuler[[#This Row],[ley]]/tblEuler[[#This Row],[ry]])^2)</f>
        <v>2699231082.4695158</v>
      </c>
      <c r="Y52" s="70">
        <f>(tblEuler[[#This Row],[Iy]]*tblEuler[[#This Row],[E]]*PI()^2)/(tblEuler[[#This Row],[ley]]^2)</f>
        <v>29691059.906609166</v>
      </c>
      <c r="Z52" s="71">
        <f>SQRT(tblEuler[[#This Row],[rx]]^2+tblEuler[[#This Row],[ry]]^2+tblEuler[[#This Row],[xo]]^2+tblEuler[[#This Row],[yo]]^2)</f>
        <v>0.26319445745921055</v>
      </c>
      <c r="AA52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1140156554.3542917</v>
      </c>
    </row>
    <row r="53" spans="2:27" x14ac:dyDescent="0.2">
      <c r="B53" s="13" t="s">
        <v>47</v>
      </c>
      <c r="C53" s="54">
        <v>1.0999999999999999E-2</v>
      </c>
      <c r="D53" s="20">
        <v>1</v>
      </c>
      <c r="E53" s="56">
        <v>0.5</v>
      </c>
      <c r="F53" s="56">
        <v>0.5</v>
      </c>
      <c r="G53" s="56">
        <v>0.5</v>
      </c>
      <c r="H53" s="56">
        <v>0.21</v>
      </c>
      <c r="I53" s="56">
        <v>3.6978999999999998E-2</v>
      </c>
      <c r="J53" s="56">
        <v>0</v>
      </c>
      <c r="K53" s="56">
        <v>0.15428504787</v>
      </c>
      <c r="L53" s="61">
        <v>4.8538484848000002E-4</v>
      </c>
      <c r="M53" s="61">
        <v>1.5041666666665999E-5</v>
      </c>
      <c r="N53" s="61">
        <v>9.1838800792000005E-7</v>
      </c>
      <c r="O53" s="63">
        <v>4.0290907437000001E-7</v>
      </c>
      <c r="P53" s="67">
        <v>300000000</v>
      </c>
      <c r="Q53" s="66">
        <v>200000000000</v>
      </c>
      <c r="R53" s="66">
        <v>80000000000</v>
      </c>
      <c r="S53" s="66">
        <v>250000000</v>
      </c>
      <c r="T53" s="7">
        <v>0.5</v>
      </c>
      <c r="U53" s="51" t="s">
        <v>50</v>
      </c>
      <c r="V53" s="76">
        <f>(tblEuler[[#This Row],[E]]*PI()^2)/((tblEuler[[#This Row],[lex]]/tblEuler[[#This Row],[rx]])^2)</f>
        <v>348199643270.43256</v>
      </c>
      <c r="W53" s="70">
        <f>(tblEuler[[#This Row],[Ix]]*tblEuler[[#This Row],[E]]*PI()^2)/(tblEuler[[#This Row],[lex]]^2)</f>
        <v>3832445149.4242396</v>
      </c>
      <c r="X53" s="76">
        <f>(tblEuler[[#This Row],[E]]*PI()^2)/((tblEuler[[#This Row],[ley]]/tblEuler[[#This Row],[ry]])^2)</f>
        <v>10796924329.878063</v>
      </c>
      <c r="Y53" s="70">
        <f>(tblEuler[[#This Row],[Iy]]*tblEuler[[#This Row],[E]]*PI()^2)/(tblEuler[[#This Row],[ley]]^2)</f>
        <v>118764239.62643667</v>
      </c>
      <c r="Z53" s="71">
        <f>SQRT(tblEuler[[#This Row],[rx]]^2+tblEuler[[#This Row],[ry]]^2+tblEuler[[#This Row],[xo]]^2+tblEuler[[#This Row],[yo]]^2)</f>
        <v>0.26319445745921055</v>
      </c>
      <c r="AA53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4271364285.7630091</v>
      </c>
    </row>
    <row r="54" spans="2:27" x14ac:dyDescent="0.2">
      <c r="B54" s="13" t="s">
        <v>46</v>
      </c>
      <c r="C54" s="54">
        <v>1.2999999999999999E-2</v>
      </c>
      <c r="D54" s="20">
        <v>1</v>
      </c>
      <c r="E54" s="56">
        <v>10</v>
      </c>
      <c r="F54" s="56">
        <v>10</v>
      </c>
      <c r="G54" s="56">
        <v>10</v>
      </c>
      <c r="H54" s="56">
        <v>0.12710030359999999</v>
      </c>
      <c r="I54" s="56">
        <v>4.5328083000300001E-2</v>
      </c>
      <c r="J54" s="56">
        <v>2.20614080619E-2</v>
      </c>
      <c r="K54" s="56">
        <v>0</v>
      </c>
      <c r="L54" s="61">
        <v>2.1000833333333299E-4</v>
      </c>
      <c r="M54" s="61">
        <v>2.6710256410200001E-5</v>
      </c>
      <c r="N54" s="61">
        <v>1.5847556188E-6</v>
      </c>
      <c r="O54" s="63">
        <v>3.0634423938800001E-8</v>
      </c>
      <c r="P54" s="67">
        <v>300000000</v>
      </c>
      <c r="Q54" s="66">
        <v>200000000000</v>
      </c>
      <c r="R54" s="66">
        <v>80000000000</v>
      </c>
      <c r="S54" s="66">
        <v>250000000</v>
      </c>
      <c r="T54" s="7">
        <v>0.5</v>
      </c>
      <c r="U54" s="51" t="s">
        <v>49</v>
      </c>
      <c r="V54" s="76">
        <f>(tblEuler[[#This Row],[E]]*PI()^2)/((tblEuler[[#This Row],[lex]]/tblEuler[[#This Row],[rx]])^2)</f>
        <v>318876795.44363129</v>
      </c>
      <c r="W54" s="70">
        <f>(tblEuler[[#This Row],[Ix]]*tblEuler[[#This Row],[E]]*PI()^2)/(tblEuler[[#This Row],[lex]]^2)</f>
        <v>4145398.3418642087</v>
      </c>
      <c r="X54" s="76">
        <f>(tblEuler[[#This Row],[E]]*PI()^2)/((tblEuler[[#This Row],[ley]]/tblEuler[[#This Row],[ry]])^2)</f>
        <v>40556871.418615013</v>
      </c>
      <c r="Y54" s="70">
        <f>(tblEuler[[#This Row],[Iy]]*tblEuler[[#This Row],[E]]*PI()^2)/(tblEuler[[#This Row],[ley]]^2)</f>
        <v>527239.32844067027</v>
      </c>
      <c r="Z54" s="71">
        <f>SQRT(tblEuler[[#This Row],[rx]]^2+tblEuler[[#This Row],[ry]]^2+tblEuler[[#This Row],[xo]]^2+tblEuler[[#This Row],[yo]]^2)</f>
        <v>0.13673268815235048</v>
      </c>
      <c r="AA54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524120011.94488424</v>
      </c>
    </row>
    <row r="55" spans="2:27" x14ac:dyDescent="0.2">
      <c r="B55" s="13" t="s">
        <v>46</v>
      </c>
      <c r="C55" s="54">
        <v>1.2999999999999999E-2</v>
      </c>
      <c r="D55" s="20">
        <v>1</v>
      </c>
      <c r="E55" s="56">
        <v>5</v>
      </c>
      <c r="F55" s="56">
        <v>5</v>
      </c>
      <c r="G55" s="56">
        <v>5</v>
      </c>
      <c r="H55" s="56">
        <v>0.12710030359999999</v>
      </c>
      <c r="I55" s="56">
        <v>4.5328083000300001E-2</v>
      </c>
      <c r="J55" s="56">
        <v>2.20614080619E-2</v>
      </c>
      <c r="K55" s="56">
        <v>0</v>
      </c>
      <c r="L55" s="61">
        <v>2.1000833333333299E-4</v>
      </c>
      <c r="M55" s="61">
        <v>2.6710256410200001E-5</v>
      </c>
      <c r="N55" s="61">
        <v>1.5847556188E-6</v>
      </c>
      <c r="O55" s="63">
        <v>3.0634423938800001E-8</v>
      </c>
      <c r="P55" s="67">
        <v>300000000</v>
      </c>
      <c r="Q55" s="66">
        <v>200000000000</v>
      </c>
      <c r="R55" s="66">
        <v>80000000000</v>
      </c>
      <c r="S55" s="66">
        <v>250000000</v>
      </c>
      <c r="T55" s="7">
        <v>0.5</v>
      </c>
      <c r="U55" s="51" t="s">
        <v>49</v>
      </c>
      <c r="V55" s="76">
        <f>(tblEuler[[#This Row],[E]]*PI()^2)/((tblEuler[[#This Row],[lex]]/tblEuler[[#This Row],[rx]])^2)</f>
        <v>1275507181.7745252</v>
      </c>
      <c r="W55" s="70">
        <f>(tblEuler[[#This Row],[Ix]]*tblEuler[[#This Row],[E]]*PI()^2)/(tblEuler[[#This Row],[lex]]^2)</f>
        <v>16581593.367456835</v>
      </c>
      <c r="X55" s="76">
        <f>(tblEuler[[#This Row],[E]]*PI()^2)/((tblEuler[[#This Row],[ley]]/tblEuler[[#This Row],[ry]])^2)</f>
        <v>162227485.67446005</v>
      </c>
      <c r="Y55" s="70">
        <f>(tblEuler[[#This Row],[Iy]]*tblEuler[[#This Row],[E]]*PI()^2)/(tblEuler[[#This Row],[ley]]^2)</f>
        <v>2108957.3137626811</v>
      </c>
      <c r="Z55" s="71">
        <f>SQRT(tblEuler[[#This Row],[rx]]^2+tblEuler[[#This Row],[ry]]^2+tblEuler[[#This Row],[xo]]^2+tblEuler[[#This Row],[yo]]^2)</f>
        <v>0.13673268815235048</v>
      </c>
      <c r="AA55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531584029.59004796</v>
      </c>
    </row>
    <row r="56" spans="2:27" x14ac:dyDescent="0.2">
      <c r="B56" s="13" t="s">
        <v>46</v>
      </c>
      <c r="C56" s="54">
        <v>1.2999999999999999E-2</v>
      </c>
      <c r="D56" s="20">
        <v>1</v>
      </c>
      <c r="E56" s="56">
        <v>1</v>
      </c>
      <c r="F56" s="56">
        <v>1</v>
      </c>
      <c r="G56" s="56">
        <v>1</v>
      </c>
      <c r="H56" s="56">
        <v>0.12710030359999999</v>
      </c>
      <c r="I56" s="56">
        <v>4.5328083000300001E-2</v>
      </c>
      <c r="J56" s="56">
        <v>2.20614080619E-2</v>
      </c>
      <c r="K56" s="56">
        <v>0</v>
      </c>
      <c r="L56" s="61">
        <v>2.1000833333333299E-4</v>
      </c>
      <c r="M56" s="61">
        <v>2.6710256410200001E-5</v>
      </c>
      <c r="N56" s="61">
        <v>1.5847556188E-6</v>
      </c>
      <c r="O56" s="63">
        <v>3.0634423938800001E-8</v>
      </c>
      <c r="P56" s="67">
        <v>300000000</v>
      </c>
      <c r="Q56" s="66">
        <v>200000000000</v>
      </c>
      <c r="R56" s="66">
        <v>80000000000</v>
      </c>
      <c r="S56" s="66">
        <v>250000000</v>
      </c>
      <c r="T56" s="7">
        <v>0.5</v>
      </c>
      <c r="U56" s="51" t="s">
        <v>49</v>
      </c>
      <c r="V56" s="76">
        <f>(tblEuler[[#This Row],[E]]*PI()^2)/((tblEuler[[#This Row],[lex]]/tblEuler[[#This Row],[rx]])^2)</f>
        <v>31887679544.363125</v>
      </c>
      <c r="W56" s="70">
        <f>(tblEuler[[#This Row],[Ix]]*tblEuler[[#This Row],[E]]*PI()^2)/(tblEuler[[#This Row],[lex]]^2)</f>
        <v>414539834.18642086</v>
      </c>
      <c r="X56" s="76">
        <f>(tblEuler[[#This Row],[E]]*PI()^2)/((tblEuler[[#This Row],[ley]]/tblEuler[[#This Row],[ry]])^2)</f>
        <v>4055687141.8615003</v>
      </c>
      <c r="Y56" s="70">
        <f>(tblEuler[[#This Row],[Iy]]*tblEuler[[#This Row],[E]]*PI()^2)/(tblEuler[[#This Row],[ley]]^2)</f>
        <v>52723932.84406703</v>
      </c>
      <c r="Z56" s="71">
        <f>SQRT(tblEuler[[#This Row],[rx]]^2+tblEuler[[#This Row],[ry]]^2+tblEuler[[#This Row],[xo]]^2+tblEuler[[#This Row],[yo]]^2)</f>
        <v>0.13673268815235048</v>
      </c>
      <c r="AA56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770432594.23528934</v>
      </c>
    </row>
    <row r="57" spans="2:27" x14ac:dyDescent="0.2">
      <c r="B57" s="13" t="s">
        <v>46</v>
      </c>
      <c r="C57" s="54">
        <v>1.2999999999999999E-2</v>
      </c>
      <c r="D57" s="20">
        <v>1</v>
      </c>
      <c r="E57" s="56">
        <v>0.5</v>
      </c>
      <c r="F57" s="56">
        <v>0.5</v>
      </c>
      <c r="G57" s="56">
        <v>0.5</v>
      </c>
      <c r="H57" s="56">
        <v>0.12710030359999999</v>
      </c>
      <c r="I57" s="56">
        <v>4.5328083000300001E-2</v>
      </c>
      <c r="J57" s="56">
        <v>2.20614080619E-2</v>
      </c>
      <c r="K57" s="56">
        <v>0</v>
      </c>
      <c r="L57" s="61">
        <v>2.1000833333333299E-4</v>
      </c>
      <c r="M57" s="61">
        <v>2.6710256410200001E-5</v>
      </c>
      <c r="N57" s="61">
        <v>1.5847556188E-6</v>
      </c>
      <c r="O57" s="63">
        <v>3.0634423938800001E-8</v>
      </c>
      <c r="P57" s="67">
        <v>300000000</v>
      </c>
      <c r="Q57" s="66">
        <v>200000000000</v>
      </c>
      <c r="R57" s="66">
        <v>80000000000</v>
      </c>
      <c r="S57" s="66">
        <v>250000000</v>
      </c>
      <c r="T57" s="7">
        <v>0.5</v>
      </c>
      <c r="U57" s="51" t="s">
        <v>49</v>
      </c>
      <c r="V57" s="76">
        <f>(tblEuler[[#This Row],[E]]*PI()^2)/((tblEuler[[#This Row],[lex]]/tblEuler[[#This Row],[rx]])^2)</f>
        <v>127550718177.4525</v>
      </c>
      <c r="W57" s="70">
        <f>(tblEuler[[#This Row],[Ix]]*tblEuler[[#This Row],[E]]*PI()^2)/(tblEuler[[#This Row],[lex]]^2)</f>
        <v>1658159336.7456834</v>
      </c>
      <c r="X57" s="76">
        <f>(tblEuler[[#This Row],[E]]*PI()^2)/((tblEuler[[#This Row],[ley]]/tblEuler[[#This Row],[ry]])^2)</f>
        <v>16222748567.446001</v>
      </c>
      <c r="Y57" s="70">
        <f>(tblEuler[[#This Row],[Iy]]*tblEuler[[#This Row],[E]]*PI()^2)/(tblEuler[[#This Row],[ley]]^2)</f>
        <v>210895731.37626812</v>
      </c>
      <c r="Z57" s="71">
        <f>SQRT(tblEuler[[#This Row],[rx]]^2+tblEuler[[#This Row],[ry]]^2+tblEuler[[#This Row],[xo]]^2+tblEuler[[#This Row],[yo]]^2)</f>
        <v>0.13673268815235048</v>
      </c>
      <c r="AA57" s="76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1516834358.7516687</v>
      </c>
    </row>
    <row r="59" spans="2:27" x14ac:dyDescent="0.2">
      <c r="B59" s="17" t="str">
        <f t="array" ref="B59:B84">TRANSPOSE(tblEuler[#Headers])</f>
        <v>Section</v>
      </c>
      <c r="C59" s="33" t="str">
        <f t="array" aca="1" ref="C59" ca="1">_xlfn.CONCAT(INDIRECT("tbleuler["&amp;B59&amp;"]")&amp;",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27" x14ac:dyDescent="0.2">
      <c r="B60" s="17" t="str">
        <v>An</v>
      </c>
      <c r="C60" s="33" t="str">
        <f t="array" aca="1" ref="C60" ca="1">_xlfn.CONCAT(TEXT(INDIRECT("tbleuler["&amp;B60&amp;"]"),"0.00000E+0")&amp;", ")</f>
        <v xml:space="preserve">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1.30000E-2, </v>
      </c>
      <c r="D60" s="17" t="str">
        <f t="shared" ref="D60:D82" ca="1" si="0">B60&amp;" = ["&amp;LEFT(C60,LEN(C60)-2)&amp;"]"</f>
        <v>An = [1.89000E-3,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1.30000E-2]</v>
      </c>
    </row>
    <row r="61" spans="2:27" x14ac:dyDescent="0.2">
      <c r="B61" s="17" t="str">
        <v>kf</v>
      </c>
      <c r="C61" s="33" t="str">
        <f t="array" aca="1" ref="C61" ca="1">_xlfn.CONCAT(INDIRECT("tbleuler["&amp;B61&amp;"]")&amp;",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27" x14ac:dyDescent="0.2">
      <c r="B62" s="17" t="str">
        <v>lex</v>
      </c>
      <c r="C62" s="33" t="str">
        <f t="array" aca="1" ref="C62" ca="1">_xlfn.CONCAT(INDIRECT("tbleuler["&amp;B62&amp;"]")&amp;",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27" x14ac:dyDescent="0.2">
      <c r="B63" s="17" t="str">
        <v>ley</v>
      </c>
      <c r="C63" s="33" t="str">
        <f t="array" aca="1" ref="C63" ca="1">_xlfn.CONCAT(INDIRECT("tbleuler["&amp;B63&amp;"]")&amp;",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27" x14ac:dyDescent="0.2">
      <c r="B64" s="17" t="str">
        <v>lez</v>
      </c>
      <c r="C64" s="33" t="str">
        <f t="array" aca="1" ref="C64" ca="1">_xlfn.CONCAT(INDIRECT("tbleuler["&amp;B64&amp;"]")&amp;",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3" t="str">
        <f t="array" aca="1" ref="C65" ca="1">_xlfn.CONCAT(TEXT(INDIRECT("tbleuler["&amp;B65&amp;"]"),"0.00000000E+0")&amp;", ")</f>
        <v xml:space="preserve">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1.27100304E-1, </v>
      </c>
      <c r="D65" s="17" t="str">
        <f t="shared" ca="1" si="0"/>
        <v>rx = [4.11000000E-2,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1.27100304E-1]</v>
      </c>
    </row>
    <row r="66" spans="2:4" x14ac:dyDescent="0.2">
      <c r="B66" s="17" t="str">
        <v>ry</v>
      </c>
      <c r="C66" s="33" t="str">
        <f t="array" aca="1" ref="C66" ca="1">_xlfn.CONCAT(TEXT(INDIRECT("tbleuler["&amp;B66&amp;"]"),"0.00000000E+0")&amp;", ")</f>
        <v xml:space="preserve">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4.53280830E-2, </v>
      </c>
      <c r="D66" s="17" t="str">
        <f t="shared" ca="1" si="0"/>
        <v>ry = [2.45000000E-2,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4.53280830E-2]</v>
      </c>
    </row>
    <row r="67" spans="2:4" x14ac:dyDescent="0.2">
      <c r="B67" s="17" t="str">
        <v>xo</v>
      </c>
      <c r="C67" s="33" t="str">
        <f t="array" aca="1" ref="C67" ca="1">_xlfn.CONCAT(TEXT(INDIRECT("tbleuler["&amp;B67&amp;"]"),"0.00000000E+0")&amp;",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2.20614081E-2, </v>
      </c>
      <c r="D67" s="17" t="str">
        <f t="shared" ca="1" si="0"/>
        <v>xo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2.20614081E-2]</v>
      </c>
    </row>
    <row r="68" spans="2:4" x14ac:dyDescent="0.2">
      <c r="B68" s="17" t="str">
        <v>yo</v>
      </c>
      <c r="C68" s="33" t="str">
        <f t="array" aca="1" ref="C68" ca="1">_xlfn.CONCAT(TEXT(INDIRECT("tbleuler["&amp;B68&amp;"]"),"0.00000000E+0")&amp;",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0.00000000E+0, </v>
      </c>
      <c r="D68" s="17" t="str">
        <f t="shared" ca="1" si="0"/>
        <v>yo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0.00000000E+0]</v>
      </c>
    </row>
    <row r="69" spans="2:4" x14ac:dyDescent="0.2">
      <c r="B69" s="17" t="str">
        <v>Ix</v>
      </c>
      <c r="C69" s="33" t="str">
        <f t="array" aca="1" ref="C69" ca="1">_xlfn.CONCAT(TEXT(INDIRECT("tbleuler["&amp;B69&amp;"]"),"0.00000000E+0")&amp;", ")</f>
        <v xml:space="preserve">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2.10008333E-4, </v>
      </c>
      <c r="D69" s="17" t="str">
        <f t="shared" ca="1" si="0"/>
        <v>Ix = [3.18000000E-6,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2.10008333E-4]</v>
      </c>
    </row>
    <row r="70" spans="2:4" x14ac:dyDescent="0.2">
      <c r="B70" s="17" t="str">
        <v>Iy</v>
      </c>
      <c r="C70" s="33" t="str">
        <f t="array" aca="1" ref="C70" ca="1">_xlfn.CONCAT(TEXT(INDIRECT("tbleuler["&amp;B70&amp;"]"),"0.00000000E+0")&amp;", ")</f>
        <v xml:space="preserve">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2.67102564E-5, </v>
      </c>
      <c r="D70" s="17" t="str">
        <f t="shared" ca="1" si="0"/>
        <v>Iy = [1.14000000E-6,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2.67102564E-5]</v>
      </c>
    </row>
    <row r="71" spans="2:4" x14ac:dyDescent="0.2">
      <c r="B71" s="17" t="str">
        <v>J</v>
      </c>
      <c r="C71" s="33" t="str">
        <f t="array" aca="1" ref="C71" ca="1">_xlfn.CONCAT(TEXT(INDIRECT("tbleuler["&amp;B71&amp;"]"),"0.00000000E+0")&amp;", ")</f>
        <v xml:space="preserve">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1.58475562E-6, </v>
      </c>
      <c r="D71" s="17" t="str">
        <f t="shared" ca="1" si="0"/>
        <v>J = [3.49000000E-8,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1.58475562E-6]</v>
      </c>
    </row>
    <row r="72" spans="2:4" x14ac:dyDescent="0.2">
      <c r="B72" s="17" t="str">
        <v>Iw</v>
      </c>
      <c r="C72" s="33" t="str">
        <f t="array" aca="1" ref="C72" ca="1">_xlfn.CONCAT(TEXT(INDIRECT("tbleuler["&amp;B72&amp;"]"),"0.00000000E+0")&amp;", ")</f>
        <v xml:space="preserve">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3.06344239E-8, </v>
      </c>
      <c r="D72" s="17" t="str">
        <f t="shared" ca="1" si="0"/>
        <v>Iw = [2.30000000E-9,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3.06344239E-8]</v>
      </c>
    </row>
    <row r="73" spans="2:4" x14ac:dyDescent="0.2">
      <c r="B73" s="17" t="str">
        <v>fy</v>
      </c>
      <c r="C73" s="33" t="str">
        <f t="array" aca="1" ref="C73" ca="1">_xlfn.CONCAT(TEXT(INDIRECT("tbleuler["&amp;B73&amp;"]"),"0.000E+0")&amp;",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33" t="str">
        <f t="array" aca="1" ref="C74" ca="1">_xlfn.CONCAT(TEXT(INDIRECT("tbleuler["&amp;B74&amp;"]"),"0.000E+0")&amp;",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33" t="str">
        <f t="array" aca="1" ref="C75" ca="1">_xlfn.CONCAT(TEXT(INDIRECT("tbleuler["&amp;B75&amp;"]"),"0.000E+0")&amp;",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33" t="str">
        <f t="array" aca="1" ref="C76" ca="1">_xlfn.CONCAT(TEXT(INDIRECT("tbleuler["&amp;B76&amp;"]"),"0.000E+0")&amp;", ")</f>
        <v xml:space="preserve">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</v>
      </c>
      <c r="D76" s="17" t="str">
        <f t="shared" ca="1" si="0"/>
        <v>fref = [2.500E+8,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2.500E+8]</v>
      </c>
    </row>
    <row r="77" spans="2:4" x14ac:dyDescent="0.2">
      <c r="B77" s="17" t="str">
        <v>αb</v>
      </c>
      <c r="C77" s="33" t="str">
        <f t="array" aca="1" ref="C77" ca="1">_xlfn.CONCAT(INDIRECT("tbleuler["&amp;B77&amp;"]")&amp;",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33" t="str">
        <f t="array" aca="1" ref="C78" ca="1">_xlfn.CONCAT(INDIRECT("tbleuler["&amp;B78&amp;"]")&amp;",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feuler_x</v>
      </c>
      <c r="C79" s="33" t="str">
        <f t="array" aca="1" ref="C79" ca="1">_xlfn.CONCAT(TEXT(INDIRECT("tbleuler["&amp;B79&amp;"]"),"0.00000000E+0")&amp;", ")</f>
        <v xml:space="preserve">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1.27550718E+11, </v>
      </c>
      <c r="D79" s="17" t="str">
        <f t="shared" ca="1" si="0"/>
        <v>feuler_x = [3.33436689E+7,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1.27550718E+11]</v>
      </c>
    </row>
    <row r="80" spans="2:4" x14ac:dyDescent="0.2">
      <c r="B80" s="17" t="str">
        <v>Neuler_x</v>
      </c>
      <c r="C80" s="33" t="str">
        <f t="array" aca="1" ref="C80" ca="1">_xlfn.CONCAT(TEXT(INDIRECT("tbleuler["&amp;B80&amp;"]"),"0.00000000E+0")&amp;", ")</f>
        <v xml:space="preserve">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1.65815934E+9, </v>
      </c>
      <c r="D80" s="17" t="str">
        <f t="shared" ca="1" si="0"/>
        <v>Neuler_x = [6.27706840E+4,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1.65815934E+9]</v>
      </c>
    </row>
    <row r="81" spans="2:4" x14ac:dyDescent="0.2">
      <c r="B81" s="17" t="str">
        <v>Feuler_y</v>
      </c>
      <c r="C81" s="33" t="str">
        <f t="array" aca="1" ref="C81" ca="1">_xlfn.CONCAT(TEXT(INDIRECT("tbleuler["&amp;B81&amp;"]"),"0.00000000E+0")&amp;", ")</f>
        <v xml:space="preserve">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1.62227486E+10, </v>
      </c>
      <c r="D81" s="17" t="str">
        <f t="shared" ca="1" si="0"/>
        <v>Feuler_y = [1.18484601E+7,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1.62227486E+10]</v>
      </c>
    </row>
    <row r="82" spans="2:4" x14ac:dyDescent="0.2">
      <c r="B82" s="17" t="str">
        <v>Neuler_y</v>
      </c>
      <c r="C82" s="33" t="str">
        <f t="array" aca="1" ref="C82" ca="1">_xlfn.CONCAT(TEXT(INDIRECT("tbleuler["&amp;B82&amp;"]"),"0.00000000E+0")&amp;", ")</f>
        <v xml:space="preserve">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2.10895731E+8, </v>
      </c>
      <c r="D82" s="17" t="str">
        <f t="shared" ca="1" si="0"/>
        <v>Neuler_y = [2.25026980E+4,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2.10895731E+8]</v>
      </c>
    </row>
    <row r="83" spans="2:4" x14ac:dyDescent="0.2">
      <c r="B83" s="17" t="str">
        <v>rol</v>
      </c>
      <c r="C83" s="33" t="str">
        <f t="array" aca="1" ref="C83" ca="1">_xlfn.CONCAT(TEXT(INDIRECT("tbleuler["&amp;B83&amp;"]"),"0.00000000E+0")&amp;", ")</f>
        <v xml:space="preserve">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1.36732688E-1, </v>
      </c>
      <c r="D83" s="17" t="str">
        <f t="shared" ref="D83:D84" ca="1" si="1">B83&amp;" = ["&amp;LEFT(C83,LEN(C83)-2)&amp;"]"</f>
        <v>rol = [4.78483020E-2,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1.36732688E-1]</v>
      </c>
    </row>
    <row r="84" spans="2:4" x14ac:dyDescent="0.2">
      <c r="B84" s="17" t="str">
        <v>Feuler_torsion</v>
      </c>
      <c r="C84" s="33" t="str">
        <f t="array" aca="1" ref="C84" ca="1">_xlfn.CONCAT(TEXT(INDIRECT("tbleuler["&amp;B84&amp;"]"),"0.00000000E+0")&amp;", ")</f>
        <v xml:space="preserve">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1.51683436E+9, </v>
      </c>
      <c r="D84" s="17" t="str">
        <f t="shared" ca="1" si="1"/>
        <v>Feuler_torsion = [6.55731018E+8,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1.51683436E+9]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2"/>
  <sheetViews>
    <sheetView topLeftCell="Z1" zoomScaleNormal="100" workbookViewId="0">
      <selection activeCell="BC4" sqref="BC4"/>
    </sheetView>
  </sheetViews>
  <sheetFormatPr defaultColWidth="9" defaultRowHeight="11.25" x14ac:dyDescent="0.2"/>
  <cols>
    <col min="1" max="1" width="3.85546875" style="17" customWidth="1"/>
    <col min="2" max="2" width="22.28515625" style="17" bestFit="1" customWidth="1"/>
    <col min="3" max="3" width="13.42578125" style="17" customWidth="1"/>
    <col min="4" max="4" width="6.5703125" style="17" bestFit="1" customWidth="1"/>
    <col min="5" max="5" width="8.5703125" style="17" customWidth="1"/>
    <col min="6" max="8" width="4.85546875" style="17" bestFit="1" customWidth="1"/>
    <col min="9" max="12" width="9" style="17" bestFit="1" customWidth="1"/>
    <col min="13" max="13" width="9.85546875" style="17" bestFit="1" customWidth="1"/>
    <col min="14" max="14" width="10.7109375" style="17" bestFit="1" customWidth="1"/>
    <col min="15" max="16" width="8.7109375" style="17" bestFit="1" customWidth="1"/>
    <col min="17" max="17" width="7.85546875" style="17" bestFit="1" customWidth="1"/>
    <col min="18" max="18" width="7.140625" style="17" bestFit="1" customWidth="1"/>
    <col min="19" max="19" width="4.28515625" style="17" bestFit="1" customWidth="1"/>
    <col min="20" max="20" width="5.28515625" style="17" bestFit="1" customWidth="1"/>
    <col min="21" max="21" width="9.5703125" style="17" bestFit="1" customWidth="1"/>
    <col min="22" max="22" width="9.85546875" style="17" bestFit="1" customWidth="1"/>
    <col min="23" max="23" width="9.5703125" style="17" bestFit="1" customWidth="1"/>
    <col min="24" max="24" width="10.28515625" style="17" customWidth="1"/>
    <col min="25" max="25" width="10" style="17" customWidth="1"/>
    <col min="26" max="29" width="7.28515625" style="17" bestFit="1" customWidth="1"/>
    <col min="30" max="31" width="7.7109375" style="17" bestFit="1" customWidth="1"/>
    <col min="32" max="32" width="7.28515625" style="17" bestFit="1" customWidth="1"/>
    <col min="33" max="33" width="7.42578125" style="17" bestFit="1" customWidth="1"/>
    <col min="34" max="34" width="7.28515625" style="17" bestFit="1" customWidth="1"/>
    <col min="35" max="36" width="10.42578125" style="17" customWidth="1"/>
    <col min="37" max="37" width="7.28515625" style="17" bestFit="1" customWidth="1"/>
    <col min="38" max="39" width="6.7109375" style="17" bestFit="1" customWidth="1"/>
    <col min="40" max="40" width="6.42578125" style="17" bestFit="1" customWidth="1"/>
    <col min="41" max="41" width="6.5703125" style="17" bestFit="1" customWidth="1"/>
    <col min="42" max="42" width="6.42578125" style="17" bestFit="1" customWidth="1"/>
    <col min="43" max="44" width="10.5703125" style="17" customWidth="1"/>
    <col min="45" max="46" width="10.7109375" style="17" customWidth="1"/>
    <col min="47" max="47" width="10.42578125" style="17" customWidth="1"/>
    <col min="48" max="48" width="10.5703125" style="17" customWidth="1"/>
    <col min="49" max="54" width="10.140625" style="17" customWidth="1"/>
    <col min="55" max="16384" width="9" style="17"/>
  </cols>
  <sheetData>
    <row r="1" spans="2:54" x14ac:dyDescent="0.2">
      <c r="C1" s="34"/>
      <c r="M1" s="34"/>
    </row>
    <row r="3" spans="2:54" ht="12.75" x14ac:dyDescent="0.25">
      <c r="B3" s="1" t="s">
        <v>3</v>
      </c>
      <c r="C3" s="1" t="s">
        <v>59</v>
      </c>
      <c r="D3" s="1" t="s">
        <v>10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32</v>
      </c>
      <c r="J3" s="2" t="s">
        <v>33</v>
      </c>
      <c r="K3" s="2" t="s">
        <v>56</v>
      </c>
      <c r="L3" s="2" t="s">
        <v>57</v>
      </c>
      <c r="M3" s="2" t="s">
        <v>2</v>
      </c>
      <c r="N3" s="2" t="s">
        <v>58</v>
      </c>
      <c r="O3" s="1" t="s">
        <v>11</v>
      </c>
      <c r="P3" s="2" t="s">
        <v>1</v>
      </c>
      <c r="Q3" s="2" t="s">
        <v>0</v>
      </c>
      <c r="R3" s="1" t="s">
        <v>12</v>
      </c>
      <c r="S3" s="3" t="s">
        <v>13</v>
      </c>
      <c r="T3" s="3" t="s">
        <v>45</v>
      </c>
      <c r="U3" s="3" t="s">
        <v>93</v>
      </c>
      <c r="V3" s="3" t="s">
        <v>94</v>
      </c>
      <c r="W3" s="3" t="s">
        <v>26</v>
      </c>
      <c r="X3" s="3" t="s">
        <v>27</v>
      </c>
      <c r="Y3" s="3" t="s">
        <v>31</v>
      </c>
      <c r="Z3" s="1" t="s">
        <v>53</v>
      </c>
      <c r="AA3" s="1" t="s">
        <v>54</v>
      </c>
      <c r="AB3" s="1" t="s">
        <v>55</v>
      </c>
      <c r="AC3" s="1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29</v>
      </c>
      <c r="AJ3" s="2" t="s">
        <v>100</v>
      </c>
      <c r="AK3" s="1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3" t="s">
        <v>25</v>
      </c>
      <c r="AQ3" s="2" t="s">
        <v>28</v>
      </c>
      <c r="AR3" s="2" t="s">
        <v>101</v>
      </c>
      <c r="AS3" s="2" t="s">
        <v>90</v>
      </c>
      <c r="AT3" s="2" t="s">
        <v>99</v>
      </c>
      <c r="AU3" s="2" t="s">
        <v>82</v>
      </c>
      <c r="AV3" s="2" t="s">
        <v>81</v>
      </c>
      <c r="AW3" s="2" t="s">
        <v>80</v>
      </c>
      <c r="AX3" s="2" t="s">
        <v>91</v>
      </c>
      <c r="AY3" s="2" t="s">
        <v>79</v>
      </c>
      <c r="AZ3" s="2" t="s">
        <v>78</v>
      </c>
      <c r="BA3" s="2" t="s">
        <v>30</v>
      </c>
      <c r="BB3" s="2" t="s">
        <v>92</v>
      </c>
    </row>
    <row r="4" spans="2:54" x14ac:dyDescent="0.2">
      <c r="B4" s="13" t="s">
        <v>36</v>
      </c>
      <c r="C4" s="54">
        <v>1.89E-3</v>
      </c>
      <c r="D4" s="11">
        <v>1</v>
      </c>
      <c r="E4" s="56">
        <v>10</v>
      </c>
      <c r="F4" s="11">
        <v>1</v>
      </c>
      <c r="G4" s="11">
        <v>1</v>
      </c>
      <c r="H4" s="11">
        <v>1</v>
      </c>
      <c r="I4" s="59">
        <v>4.1099999999999998E-2</v>
      </c>
      <c r="J4" s="59">
        <v>2.4500000000000001E-2</v>
      </c>
      <c r="K4" s="59">
        <v>0</v>
      </c>
      <c r="L4" s="59">
        <v>0</v>
      </c>
      <c r="M4" s="61">
        <v>3.4900000000000001E-8</v>
      </c>
      <c r="N4" s="63">
        <v>2.2999999999999999E-9</v>
      </c>
      <c r="O4" s="65">
        <v>320000000</v>
      </c>
      <c r="P4" s="65">
        <v>200000000000</v>
      </c>
      <c r="Q4" s="65">
        <v>80000000000</v>
      </c>
      <c r="R4" s="65">
        <v>250000000</v>
      </c>
      <c r="S4" s="8">
        <v>0</v>
      </c>
      <c r="T4" s="7" t="s">
        <v>48</v>
      </c>
      <c r="U4" s="7" t="b">
        <v>1</v>
      </c>
      <c r="V4" s="7" t="b">
        <v>1</v>
      </c>
      <c r="W4" s="68">
        <f>tblNc[[#This Row],[An]]*tblNc[[#This Row],[kf]]</f>
        <v>1.89E-3</v>
      </c>
      <c r="X4" s="69">
        <f>tblNc[[#This Row],[Ae]]*tblNc[[#This Row],[fy]]</f>
        <v>604800</v>
      </c>
      <c r="Y4" s="69">
        <f>tblNc[[#This Row],[Ns]]*0.9</f>
        <v>544320</v>
      </c>
      <c r="Z4" s="71">
        <f>tblNc[[#This Row],[l]]*tblNc[[#This Row],[kex]]</f>
        <v>10</v>
      </c>
      <c r="AA4" s="71">
        <f>tblNc[[#This Row],[l]]*tblNc[[#This Row],[key]]</f>
        <v>10</v>
      </c>
      <c r="AB4" s="71">
        <f>tblNc[[#This Row],[kez]]*tblNc[[#This Row],[l]]</f>
        <v>10</v>
      </c>
      <c r="AC4" s="53">
        <f>(tblNc[[#This Row],[lex]]/tblNc[[#This Row],[rx]])*(SQRT(tblNc[[#This Row],[kf]]))*SQRT((tblNc[[#This Row],[fy]]/tblNc[[#This Row],[fref]]))</f>
        <v>275.27271287067543</v>
      </c>
      <c r="AD4" s="53">
        <f>(2100*(tblNc[[#This Row],[λnx]]-13.5))/((tblNc[[#This Row],[λnx]]^2)-(15.3*tblNc[[#This Row],[λnx]])+2050)</f>
        <v>7.4676993896609094</v>
      </c>
      <c r="AE4" s="53">
        <f>tblNc[[#This Row],[λnx]]+tblNc[[#This Row],[αax]]*tblNc[[#This Row],[αb]]</f>
        <v>275.27271287067543</v>
      </c>
      <c r="AF4" s="53">
        <f>MAX((0.00326*(tblNc[[#This Row],[λx]]-13.5)),0)</f>
        <v>0.85337904395840192</v>
      </c>
      <c r="AG4" s="53">
        <f>((tblNc[[#This Row],[λx]]/90)^2+1+tblNc[[#This Row],[ηx]])/(2*(tblNc[[#This Row],[λx]]/90)^2)</f>
        <v>0.59905877328220425</v>
      </c>
      <c r="AH4" s="53">
        <f>tblNc[[#This Row],[ξx]]*(1-SQRT(1-(90/(tblNc[[#This Row],[ξx]]*tblNc[[#This Row],[λx]]))^2))</f>
        <v>9.7086569336727407E-2</v>
      </c>
      <c r="AI4" s="69">
        <f>tblNc[[#This Row],[αcx]]*tblNc[[#This Row],[Ns]]</f>
        <v>58717.957134852739</v>
      </c>
      <c r="AJ4" s="69">
        <f>tblNc[[#This Row],[Ncx]]*0.9</f>
        <v>52846.161421367469</v>
      </c>
      <c r="AK4" s="53">
        <f>(tblNc[[#This Row],[lex]]/tblNc[[#This Row],[ry]])*(SQRT(tblNc[[#This Row],[kf]]))*SQRT((tblNc[[#This Row],[fy]]/tblNc[[#This Row],[fref]]))</f>
        <v>461.78402036672486</v>
      </c>
      <c r="AL4" s="53">
        <f>(2100*(tblNc[[#This Row],[λny]]-13.5))/((tblNc[[#This Row],[λny]]^2)-(15.3*tblNc[[#This Row],[λny]])+2050)</f>
        <v>4.5209629882339133</v>
      </c>
      <c r="AM4" s="53">
        <f>tblNc[[#This Row],[λny]]+tblNc[[#This Row],[αay]]*tblNc[[#This Row],[αb]]</f>
        <v>461.78402036672486</v>
      </c>
      <c r="AN4" s="53">
        <f>MAX((0.00326*(tblNc[[#This Row],[λy]]-13.5)),0)</f>
        <v>1.4614059063955229</v>
      </c>
      <c r="AO4" s="53">
        <f>((tblNc[[#This Row],[λy]]/90)^2+1+tblNc[[#This Row],[ηy]])/(2*(tblNc[[#This Row],[λy]]/90)^2)</f>
        <v>0.54674772285954176</v>
      </c>
      <c r="AP4" s="53">
        <f>tblNc[[#This Row],[ξy]]*(1-SQRT(1-(90/(tblNc[[#This Row],[ξy]]*tblNc[[#This Row],[λy]]))^2))</f>
        <v>3.5916535342966696E-2</v>
      </c>
      <c r="AQ4" s="69">
        <f>tblNc[[#This Row],[αcy]]*tblNc[[#This Row],[Ns]]</f>
        <v>21722.320575426256</v>
      </c>
      <c r="AR4" s="69">
        <f>tblNc[[#This Row],[Ncy]]*0.9</f>
        <v>19550.088517883632</v>
      </c>
      <c r="AS4" s="69">
        <f>MIN(tblNc[[#This Row],[Ncy]],tblNc[[#This Row],[Ncx]],tblNc[[#This Row],[Ns]])</f>
        <v>21722.320575426256</v>
      </c>
      <c r="AT4" s="69">
        <f>tblNc[[#This Row],[Ncflex]]*0.9</f>
        <v>19550.088517883632</v>
      </c>
      <c r="AU4" s="69">
        <f t="array" ref="AU4">INDEX(tblfocDblSym[Nc],MATCH(tblNc[[#This Row],[Section]]&amp;tblNc[[#This Row],[lex]],tblfocDblSym[Section]&amp;tblfocDblSym[lex],0))</f>
        <v>46977.911786070617</v>
      </c>
      <c r="AV4" s="69" t="e">
        <f t="array" ref="AV4">INDEX(tblfocSglSym[Nc],MATCH(tblNc[[#This Row],[Section]]&amp;tblNc[[#This Row],[lex]],tblfocSglSym[Section]&amp;tblfocSglSym[lex],0))</f>
        <v>#N/A</v>
      </c>
      <c r="AW4" s="69">
        <f t="array" ref="AW4">INDEX(tblfocunsym[Nc],MATCH(tblNc[[#This Row],[Section]]&amp;tblNc[[#This Row],[lex]],tblfocunsym[Section]&amp;tblfocunsym[lex],0))</f>
        <v>16693.301335884145</v>
      </c>
      <c r="AX4" s="69">
        <f>IF(tblNc[[#This Row],[Axis]]="['x', 'y']",tblNc[[#This Row],[Ncz_dbl]],IF(tblNc[[#This Row],[Axis]]="[]",tblNc[[#This Row],[Ncz_un]],tblNc[[#This Row],[Ncz_sngl]]))</f>
        <v>46977.911786070617</v>
      </c>
      <c r="AY4" s="69">
        <f>MIN(tblNc[[#This Row],[Ncz_base]],tblNc[[#This Row],[Ns]])</f>
        <v>46977.911786070617</v>
      </c>
      <c r="AZ4" s="69">
        <f>tblNc[[#This Row],[Ncz]]*0.9</f>
        <v>42280.120607463556</v>
      </c>
      <c r="BA4" s="69">
        <f>MIN(tblNc[[#This Row],[Ncflex]],tblNc[[#This Row],[Ncz]])</f>
        <v>21722.320575426256</v>
      </c>
      <c r="BB4" s="69">
        <f>tblNc[[#This Row],[Nc]]*0.9</f>
        <v>19550.088517883632</v>
      </c>
    </row>
    <row r="5" spans="2:54" x14ac:dyDescent="0.2">
      <c r="B5" s="13" t="s">
        <v>36</v>
      </c>
      <c r="C5" s="54">
        <v>1.89E-3</v>
      </c>
      <c r="D5" s="11">
        <v>1</v>
      </c>
      <c r="E5" s="56">
        <v>10</v>
      </c>
      <c r="F5" s="11">
        <v>0.5</v>
      </c>
      <c r="G5" s="11">
        <v>0.5</v>
      </c>
      <c r="H5" s="11">
        <v>0.5</v>
      </c>
      <c r="I5" s="59">
        <v>4.1099999999999998E-2</v>
      </c>
      <c r="J5" s="59">
        <v>2.4500000000000001E-2</v>
      </c>
      <c r="K5" s="59">
        <v>0</v>
      </c>
      <c r="L5" s="59">
        <v>0</v>
      </c>
      <c r="M5" s="61">
        <v>3.4900000000000001E-8</v>
      </c>
      <c r="N5" s="63">
        <v>2.2999999999999999E-9</v>
      </c>
      <c r="O5" s="65">
        <v>320000000</v>
      </c>
      <c r="P5" s="65">
        <v>200000000000</v>
      </c>
      <c r="Q5" s="65">
        <v>80000000000</v>
      </c>
      <c r="R5" s="65">
        <v>250000000</v>
      </c>
      <c r="S5" s="8">
        <v>0</v>
      </c>
      <c r="T5" s="7" t="s">
        <v>48</v>
      </c>
      <c r="U5" s="7" t="b">
        <v>1</v>
      </c>
      <c r="V5" s="7" t="b">
        <v>1</v>
      </c>
      <c r="W5" s="68">
        <f>tblNc[[#This Row],[An]]*tblNc[[#This Row],[kf]]</f>
        <v>1.89E-3</v>
      </c>
      <c r="X5" s="69">
        <f>tblNc[[#This Row],[Ae]]*tblNc[[#This Row],[fy]]</f>
        <v>604800</v>
      </c>
      <c r="Y5" s="69">
        <f>tblNc[[#This Row],[Ns]]*0.9</f>
        <v>544320</v>
      </c>
      <c r="Z5" s="71">
        <f>tblNc[[#This Row],[l]]*tblNc[[#This Row],[kex]]</f>
        <v>5</v>
      </c>
      <c r="AA5" s="71">
        <f>tblNc[[#This Row],[l]]*tblNc[[#This Row],[key]]</f>
        <v>5</v>
      </c>
      <c r="AB5" s="71">
        <f>tblNc[[#This Row],[kez]]*tblNc[[#This Row],[l]]</f>
        <v>5</v>
      </c>
      <c r="AC5" s="53">
        <f>(tblNc[[#This Row],[lex]]/tblNc[[#This Row],[rx]])*(SQRT(tblNc[[#This Row],[kf]]))*SQRT((tblNc[[#This Row],[fy]]/tblNc[[#This Row],[fref]]))</f>
        <v>137.63635643533772</v>
      </c>
      <c r="AD5" s="53">
        <f>(2100*(tblNc[[#This Row],[λnx]]-13.5))/((tblNc[[#This Row],[λnx]]^2)-(15.3*tblNc[[#This Row],[λnx]])+2050)</f>
        <v>13.801742358996712</v>
      </c>
      <c r="AE5" s="53">
        <f>tblNc[[#This Row],[λnx]]+tblNc[[#This Row],[αax]]*tblNc[[#This Row],[αb]]</f>
        <v>137.63635643533772</v>
      </c>
      <c r="AF5" s="53">
        <f>MAX((0.00326*(tblNc[[#This Row],[λx]]-13.5)),0)</f>
        <v>0.40468452197920096</v>
      </c>
      <c r="AG5" s="53">
        <f>((tblNc[[#This Row],[λx]]/90)^2+1+tblNc[[#This Row],[ηx]])/(2*(tblNc[[#This Row],[λx]]/90)^2)</f>
        <v>0.80030840382995527</v>
      </c>
      <c r="AH5" s="53">
        <f>tblNc[[#This Row],[ξx]]*(1-SQRT(1-(90/(tblNc[[#This Row],[ξx]]*tblNc[[#This Row],[λx]]))^2))</f>
        <v>0.33888423888965774</v>
      </c>
      <c r="AI5" s="69">
        <f>tblNc[[#This Row],[αcx]]*tblNc[[#This Row],[Ns]]</f>
        <v>204957.18768046499</v>
      </c>
      <c r="AJ5" s="69">
        <f>tblNc[[#This Row],[Ncx]]*0.9</f>
        <v>184461.4689124185</v>
      </c>
      <c r="AK5" s="53">
        <f>(tblNc[[#This Row],[lex]]/tblNc[[#This Row],[ry]])*(SQRT(tblNc[[#This Row],[kf]]))*SQRT((tblNc[[#This Row],[fy]]/tblNc[[#This Row],[fref]]))</f>
        <v>230.89201018336243</v>
      </c>
      <c r="AL5" s="53">
        <f>(2100*(tblNc[[#This Row],[λny]]-13.5))/((tblNc[[#This Row],[λny]]^2)-(15.3*tblNc[[#This Row],[λny]])+2050)</f>
        <v>8.8083479676137895</v>
      </c>
      <c r="AM5" s="53">
        <f>tblNc[[#This Row],[λny]]+tblNc[[#This Row],[αay]]*tblNc[[#This Row],[αb]]</f>
        <v>230.89201018336243</v>
      </c>
      <c r="AN5" s="53">
        <f>MAX((0.00326*(tblNc[[#This Row],[λy]]-13.5)),0)</f>
        <v>0.70869795319776152</v>
      </c>
      <c r="AO5" s="53">
        <f>((tblNc[[#This Row],[λy]]/90)^2+1+tblNc[[#This Row],[ηy]])/(2*(tblNc[[#This Row],[λy]]/90)^2)</f>
        <v>0.62980831509213042</v>
      </c>
      <c r="AP5" s="53">
        <f>tblNc[[#This Row],[ξy]]*(1-SQRT(1-(90/(tblNc[[#This Row],[ξy]]*tblNc[[#This Row],[λy]]))^2))</f>
        <v>0.13511625682841805</v>
      </c>
      <c r="AQ5" s="69">
        <f>tblNc[[#This Row],[αcy]]*tblNc[[#This Row],[Ns]]</f>
        <v>81718.312129827231</v>
      </c>
      <c r="AR5" s="69">
        <f>tblNc[[#This Row],[Ncy]]*0.9</f>
        <v>73546.480916844506</v>
      </c>
      <c r="AS5" s="69">
        <f>MIN(tblNc[[#This Row],[Ncy]],tblNc[[#This Row],[Ncx]],tblNc[[#This Row],[Ns]])</f>
        <v>81718.312129827231</v>
      </c>
      <c r="AT5" s="69">
        <f>tblNc[[#This Row],[Ncflex]]*0.9</f>
        <v>73546.480916844506</v>
      </c>
      <c r="AU5" s="69">
        <f t="array" ref="AU5">INDEX(tblfocDblSym[Nc],MATCH(tblNc[[#This Row],[Section]]&amp;tblNc[[#This Row],[lex]],tblfocDblSym[Section]&amp;tblfocDblSym[lex],0))</f>
        <v>187911.64714428229</v>
      </c>
      <c r="AV5" s="69" t="e">
        <f t="array" ref="AV5">INDEX(tblfocSglSym[Nc],MATCH(tblNc[[#This Row],[Section]]&amp;tblNc[[#This Row],[lex]],tblfocSglSym[Section]&amp;tblfocSglSym[lex],0))</f>
        <v>#N/A</v>
      </c>
      <c r="AW5" s="69">
        <f t="array" ref="AW5">INDEX(tblfocunsym[Nc],MATCH(tblNc[[#This Row],[Section]]&amp;tblNc[[#This Row],[lex]],tblfocunsym[Section]&amp;tblfocunsym[lex],0))</f>
        <v>66773.205343536581</v>
      </c>
      <c r="AX5" s="69">
        <f>IF(tblNc[[#This Row],[Axis]]="['x', 'y']",tblNc[[#This Row],[Ncz_dbl]],IF(tblNc[[#This Row],[Axis]]="[]",tblNc[[#This Row],[Ncz_un]],tblNc[[#This Row],[Ncz_sngl]]))</f>
        <v>187911.64714428229</v>
      </c>
      <c r="AY5" s="69">
        <f>MIN(tblNc[[#This Row],[Ncz_base]],tblNc[[#This Row],[Ns]])</f>
        <v>187911.64714428229</v>
      </c>
      <c r="AZ5" s="69">
        <f>tblNc[[#This Row],[Ncz]]*0.9</f>
        <v>169120.48242985408</v>
      </c>
      <c r="BA5" s="69">
        <f>MIN(tblNc[[#This Row],[Ncflex]],tblNc[[#This Row],[Ncz]])</f>
        <v>81718.312129827231</v>
      </c>
      <c r="BB5" s="69">
        <f>tblNc[[#This Row],[Nc]]*0.9</f>
        <v>73546.480916844506</v>
      </c>
    </row>
    <row r="6" spans="2:54" x14ac:dyDescent="0.2">
      <c r="B6" s="13" t="s">
        <v>36</v>
      </c>
      <c r="C6" s="54">
        <v>1.89E-3</v>
      </c>
      <c r="D6" s="11">
        <v>1</v>
      </c>
      <c r="E6" s="56">
        <v>10</v>
      </c>
      <c r="F6" s="11">
        <v>0.1</v>
      </c>
      <c r="G6" s="11">
        <v>0.1</v>
      </c>
      <c r="H6" s="11">
        <v>0.1</v>
      </c>
      <c r="I6" s="59">
        <v>4.1099999999999998E-2</v>
      </c>
      <c r="J6" s="59">
        <v>2.4500000000000001E-2</v>
      </c>
      <c r="K6" s="59">
        <v>0</v>
      </c>
      <c r="L6" s="59">
        <v>0</v>
      </c>
      <c r="M6" s="61">
        <v>3.4900000000000001E-8</v>
      </c>
      <c r="N6" s="63">
        <v>2.2999999999999999E-9</v>
      </c>
      <c r="O6" s="65">
        <v>320000000</v>
      </c>
      <c r="P6" s="65">
        <v>200000000000</v>
      </c>
      <c r="Q6" s="65">
        <v>80000000000</v>
      </c>
      <c r="R6" s="65">
        <v>250000000</v>
      </c>
      <c r="S6" s="8">
        <v>0</v>
      </c>
      <c r="T6" s="7" t="s">
        <v>48</v>
      </c>
      <c r="U6" s="7" t="b">
        <v>1</v>
      </c>
      <c r="V6" s="7" t="b">
        <v>1</v>
      </c>
      <c r="W6" s="68">
        <f>tblNc[[#This Row],[An]]*tblNc[[#This Row],[kf]]</f>
        <v>1.89E-3</v>
      </c>
      <c r="X6" s="69">
        <f>tblNc[[#This Row],[Ae]]*tblNc[[#This Row],[fy]]</f>
        <v>604800</v>
      </c>
      <c r="Y6" s="69">
        <f>tblNc[[#This Row],[Ns]]*0.9</f>
        <v>544320</v>
      </c>
      <c r="Z6" s="71">
        <f>tblNc[[#This Row],[l]]*tblNc[[#This Row],[kex]]</f>
        <v>1</v>
      </c>
      <c r="AA6" s="71">
        <f>tblNc[[#This Row],[l]]*tblNc[[#This Row],[key]]</f>
        <v>1</v>
      </c>
      <c r="AB6" s="71">
        <f>tblNc[[#This Row],[kez]]*tblNc[[#This Row],[l]]</f>
        <v>1</v>
      </c>
      <c r="AC6" s="53">
        <f>(tblNc[[#This Row],[lex]]/tblNc[[#This Row],[rx]])*(SQRT(tblNc[[#This Row],[kf]]))*SQRT((tblNc[[#This Row],[fy]]/tblNc[[#This Row],[fref]]))</f>
        <v>27.527271287067546</v>
      </c>
      <c r="AD6" s="53">
        <f>(2100*(tblNc[[#This Row],[λnx]]-13.5))/((tblNc[[#This Row],[λnx]]^2)-(15.3*tblNc[[#This Row],[λnx]])+2050)</f>
        <v>12.342861989347385</v>
      </c>
      <c r="AE6" s="53">
        <f>tblNc[[#This Row],[λnx]]+tblNc[[#This Row],[αax]]*tblNc[[#This Row],[αb]]</f>
        <v>27.527271287067546</v>
      </c>
      <c r="AF6" s="53">
        <f>MAX((0.00326*(tblNc[[#This Row],[λx]]-13.5)),0)</f>
        <v>4.5728904395840195E-2</v>
      </c>
      <c r="AG6" s="53">
        <f>((tblNc[[#This Row],[λx]]/90)^2+1+tblNc[[#This Row],[ηx]])/(2*(tblNc[[#This Row],[λx]]/90)^2)</f>
        <v>6.089176309771652</v>
      </c>
      <c r="AH6" s="53">
        <f>tblNc[[#This Row],[ξx]]*(1-SQRT(1-(90/(tblNc[[#This Row],[ξx]]*tblNc[[#This Row],[λx]]))^2))</f>
        <v>0.95219897867174608</v>
      </c>
      <c r="AI6" s="69">
        <f>tblNc[[#This Row],[αcx]]*tblNc[[#This Row],[Ns]]</f>
        <v>575889.94230067206</v>
      </c>
      <c r="AJ6" s="69">
        <f>tblNc[[#This Row],[Ncx]]*0.9</f>
        <v>518300.94807060488</v>
      </c>
      <c r="AK6" s="53">
        <f>(tblNc[[#This Row],[lex]]/tblNc[[#This Row],[ry]])*(SQRT(tblNc[[#This Row],[kf]]))*SQRT((tblNc[[#This Row],[fy]]/tblNc[[#This Row],[fref]]))</f>
        <v>46.178402036672487</v>
      </c>
      <c r="AL6" s="53">
        <f>(2100*(tblNc[[#This Row],[λny]]-13.5))/((tblNc[[#This Row],[λny]]^2)-(15.3*tblNc[[#This Row],[λny]])+2050)</f>
        <v>19.742899085498006</v>
      </c>
      <c r="AM6" s="53">
        <f>tblNc[[#This Row],[λny]]+tblNc[[#This Row],[αay]]*tblNc[[#This Row],[αb]]</f>
        <v>46.178402036672487</v>
      </c>
      <c r="AN6" s="53">
        <f>MAX((0.00326*(tblNc[[#This Row],[λy]]-13.5)),0)</f>
        <v>0.10653159063955231</v>
      </c>
      <c r="AO6" s="53">
        <f>((tblNc[[#This Row],[λy]]/90)^2+1+tblNc[[#This Row],[ηy]])/(2*(tblNc[[#This Row],[λy]]/90)^2)</f>
        <v>2.6015563503825274</v>
      </c>
      <c r="AP6" s="53">
        <f>tblNc[[#This Row],[ξy]]*(1-SQRT(1-(90/(tblNc[[#This Row],[ξy]]*tblNc[[#This Row],[λy]]))^2))</f>
        <v>0.87829246665326643</v>
      </c>
      <c r="AQ6" s="69">
        <f>tblNc[[#This Row],[αcy]]*tblNc[[#This Row],[Ns]]</f>
        <v>531191.28383189556</v>
      </c>
      <c r="AR6" s="69">
        <f>tblNc[[#This Row],[Ncy]]*0.9</f>
        <v>478072.15544870601</v>
      </c>
      <c r="AS6" s="69">
        <f>MIN(tblNc[[#This Row],[Ncy]],tblNc[[#This Row],[Ncx]],tblNc[[#This Row],[Ns]])</f>
        <v>531191.28383189556</v>
      </c>
      <c r="AT6" s="69">
        <f>tblNc[[#This Row],[Ncflex]]*0.9</f>
        <v>478072.15544870601</v>
      </c>
      <c r="AU6" s="69">
        <f t="array" ref="AU6">INDEX(tblfocDblSym[Nc],MATCH(tblNc[[#This Row],[Section]]&amp;tblNc[[#This Row],[lex]],tblfocDblSym[Section]&amp;tblfocDblSym[lex],0))</f>
        <v>475009.53342568688</v>
      </c>
      <c r="AV6" s="69" t="e">
        <f t="array" ref="AV6">INDEX(tblfocSglSym[Nc],MATCH(tblNc[[#This Row],[Section]]&amp;tblNc[[#This Row],[lex]],tblfocSglSym[Section]&amp;tblfocSglSym[lex],0))</f>
        <v>#N/A</v>
      </c>
      <c r="AW6" s="69">
        <f t="array" ref="AW6">INDEX(tblfocunsym[Nc],MATCH(tblNc[[#This Row],[Section]]&amp;tblNc[[#This Row],[lex]],tblfocunsym[Section]&amp;tblfocunsym[lex],0))</f>
        <v>459132.09227421664</v>
      </c>
      <c r="AX6" s="69">
        <f>IF(tblNc[[#This Row],[Axis]]="['x', 'y']",tblNc[[#This Row],[Ncz_dbl]],IF(tblNc[[#This Row],[Axis]]="[]",tblNc[[#This Row],[Ncz_un]],tblNc[[#This Row],[Ncz_sngl]]))</f>
        <v>475009.53342568688</v>
      </c>
      <c r="AY6" s="69">
        <f>MIN(tblNc[[#This Row],[Ncz_base]],tblNc[[#This Row],[Ns]])</f>
        <v>475009.53342568688</v>
      </c>
      <c r="AZ6" s="69">
        <f>tblNc[[#This Row],[Ncz]]*0.9</f>
        <v>427508.58008311823</v>
      </c>
      <c r="BA6" s="69">
        <f>MIN(tblNc[[#This Row],[Ncflex]],tblNc[[#This Row],[Ncz]])</f>
        <v>475009.53342568688</v>
      </c>
      <c r="BB6" s="69">
        <f>tblNc[[#This Row],[Nc]]*0.9</f>
        <v>427508.58008311823</v>
      </c>
    </row>
    <row r="7" spans="2:54" x14ac:dyDescent="0.2">
      <c r="B7" s="13" t="s">
        <v>36</v>
      </c>
      <c r="C7" s="54">
        <v>1.89E-3</v>
      </c>
      <c r="D7" s="11">
        <v>1</v>
      </c>
      <c r="E7" s="56">
        <v>10</v>
      </c>
      <c r="F7" s="11">
        <v>0.05</v>
      </c>
      <c r="G7" s="11">
        <v>0.05</v>
      </c>
      <c r="H7" s="11">
        <v>0.05</v>
      </c>
      <c r="I7" s="59">
        <v>4.1099999999999998E-2</v>
      </c>
      <c r="J7" s="59">
        <v>2.4500000000000001E-2</v>
      </c>
      <c r="K7" s="59">
        <v>0</v>
      </c>
      <c r="L7" s="59">
        <v>0</v>
      </c>
      <c r="M7" s="61">
        <v>3.4900000000000001E-8</v>
      </c>
      <c r="N7" s="63">
        <v>2.2999999999999999E-9</v>
      </c>
      <c r="O7" s="65">
        <v>320000000</v>
      </c>
      <c r="P7" s="65">
        <v>200000000000</v>
      </c>
      <c r="Q7" s="65">
        <v>80000000000</v>
      </c>
      <c r="R7" s="65">
        <v>250000000</v>
      </c>
      <c r="S7" s="8">
        <v>0</v>
      </c>
      <c r="T7" s="7" t="s">
        <v>48</v>
      </c>
      <c r="U7" s="7" t="b">
        <v>1</v>
      </c>
      <c r="V7" s="7" t="b">
        <v>1</v>
      </c>
      <c r="W7" s="68">
        <f>tblNc[[#This Row],[An]]*tblNc[[#This Row],[kf]]</f>
        <v>1.89E-3</v>
      </c>
      <c r="X7" s="69">
        <f>tblNc[[#This Row],[Ae]]*tblNc[[#This Row],[fy]]</f>
        <v>604800</v>
      </c>
      <c r="Y7" s="69">
        <f>tblNc[[#This Row],[Ns]]*0.9</f>
        <v>544320</v>
      </c>
      <c r="Z7" s="71">
        <f>tblNc[[#This Row],[l]]*tblNc[[#This Row],[kex]]</f>
        <v>0.5</v>
      </c>
      <c r="AA7" s="71">
        <f>tblNc[[#This Row],[l]]*tblNc[[#This Row],[key]]</f>
        <v>0.5</v>
      </c>
      <c r="AB7" s="71">
        <f>tblNc[[#This Row],[kez]]*tblNc[[#This Row],[l]]</f>
        <v>0.5</v>
      </c>
      <c r="AC7" s="53">
        <f>(tblNc[[#This Row],[lex]]/tblNc[[#This Row],[rx]])*(SQRT(tblNc[[#This Row],[kf]]))*SQRT((tblNc[[#This Row],[fy]]/tblNc[[#This Row],[fref]]))</f>
        <v>13.763635643533773</v>
      </c>
      <c r="AD7" s="53">
        <f>(2100*(tblNc[[#This Row],[λnx]]-13.5))/((tblNc[[#This Row],[λnx]]^2)-(15.3*tblNc[[#This Row],[λnx]])+2050)</f>
        <v>0.27288057213202049</v>
      </c>
      <c r="AE7" s="53">
        <f>tblNc[[#This Row],[λnx]]+tblNc[[#This Row],[αax]]*tblNc[[#This Row],[αb]]</f>
        <v>13.763635643533773</v>
      </c>
      <c r="AF7" s="53">
        <f>MAX((0.00326*(tblNc[[#This Row],[λx]]-13.5)),0)</f>
        <v>8.5945219792009928E-4</v>
      </c>
      <c r="AG7" s="53">
        <f>((tblNc[[#This Row],[λx]]/90)^2+1+tblNc[[#This Row],[ηx]])/(2*(tblNc[[#This Row],[λx]]/90)^2)</f>
        <v>21.897438346097989</v>
      </c>
      <c r="AH7" s="53">
        <f>tblNc[[#This Row],[ξx]]*(1-SQRT(1-(90/(tblNc[[#This Row],[ξx]]*tblNc[[#This Row],[λx]]))^2))</f>
        <v>0.99912075840297687</v>
      </c>
      <c r="AI7" s="69">
        <f>tblNc[[#This Row],[αcx]]*tblNc[[#This Row],[Ns]]</f>
        <v>604268.23468212038</v>
      </c>
      <c r="AJ7" s="69">
        <f>tblNc[[#This Row],[Ncx]]*0.9</f>
        <v>543841.41121390834</v>
      </c>
      <c r="AK7" s="53">
        <f>(tblNc[[#This Row],[lex]]/tblNc[[#This Row],[ry]])*(SQRT(tblNc[[#This Row],[kf]]))*SQRT((tblNc[[#This Row],[fy]]/tblNc[[#This Row],[fref]]))</f>
        <v>23.089201018336244</v>
      </c>
      <c r="AL7" s="53">
        <f>(2100*(tblNc[[#This Row],[λny]]-13.5))/((tblNc[[#This Row],[λny]]^2)-(15.3*tblNc[[#This Row],[λny]])+2050)</f>
        <v>9.0308112186020697</v>
      </c>
      <c r="AM7" s="53">
        <f>tblNc[[#This Row],[λny]]+tblNc[[#This Row],[αay]]*tblNc[[#This Row],[αb]]</f>
        <v>23.089201018336244</v>
      </c>
      <c r="AN7" s="53">
        <f>MAX((0.00326*(tblNc[[#This Row],[λy]]-13.5)),0)</f>
        <v>3.1260795319776151E-2</v>
      </c>
      <c r="AO7" s="53">
        <f>((tblNc[[#This Row],[λy]]/90)^2+1+tblNc[[#This Row],[ηy]])/(2*(tblNc[[#This Row],[λy]]/90)^2)</f>
        <v>8.3343996380697423</v>
      </c>
      <c r="AP7" s="53">
        <f>tblNc[[#This Row],[ξy]]*(1-SQRT(1-(90/(tblNc[[#This Row],[ξy]]*tblNc[[#This Row],[λy]]))^2))</f>
        <v>0.9676914721344958</v>
      </c>
      <c r="AQ7" s="69">
        <f>tblNc[[#This Row],[αcy]]*tblNc[[#This Row],[Ns]]</f>
        <v>585259.80234694306</v>
      </c>
      <c r="AR7" s="69">
        <f>tblNc[[#This Row],[Ncy]]*0.9</f>
        <v>526733.82211224874</v>
      </c>
      <c r="AS7" s="69">
        <f>MIN(tblNc[[#This Row],[Ncy]],tblNc[[#This Row],[Ncx]],tblNc[[#This Row],[Ns]])</f>
        <v>585259.80234694306</v>
      </c>
      <c r="AT7" s="69">
        <f>tblNc[[#This Row],[Ncflex]]*0.9</f>
        <v>526733.82211224874</v>
      </c>
      <c r="AU7" s="69">
        <f t="array" ref="AU7">INDEX(tblfocDblSym[Nc],MATCH(tblNc[[#This Row],[Section]]&amp;tblNc[[#This Row],[lex]],tblfocDblSym[Section]&amp;tblfocDblSym[lex],0))</f>
        <v>500054.97495751135</v>
      </c>
      <c r="AV7" s="69" t="e">
        <f t="array" ref="AV7">INDEX(tblfocSglSym[Nc],MATCH(tblNc[[#This Row],[Section]]&amp;tblNc[[#This Row],[lex]],tblfocSglSym[Section]&amp;tblfocSglSym[lex],0))</f>
        <v>#N/A</v>
      </c>
      <c r="AW7" s="69">
        <f t="array" ref="AW7">INDEX(tblfocunsym[Nc],MATCH(tblNc[[#This Row],[Section]]&amp;tblNc[[#This Row],[lex]],tblfocunsym[Section]&amp;tblfocunsym[lex],0))</f>
        <v>499755.34035355266</v>
      </c>
      <c r="AX7" s="69">
        <f>IF(tblNc[[#This Row],[Axis]]="['x', 'y']",tblNc[[#This Row],[Ncz_dbl]],IF(tblNc[[#This Row],[Axis]]="[]",tblNc[[#This Row],[Ncz_un]],tblNc[[#This Row],[Ncz_sngl]]))</f>
        <v>500054.97495751135</v>
      </c>
      <c r="AY7" s="69">
        <f>MIN(tblNc[[#This Row],[Ncz_base]],tblNc[[#This Row],[Ns]])</f>
        <v>500054.97495751135</v>
      </c>
      <c r="AZ7" s="69">
        <f>tblNc[[#This Row],[Ncz]]*0.9</f>
        <v>450049.47746176022</v>
      </c>
      <c r="BA7" s="69">
        <f>MIN(tblNc[[#This Row],[Ncflex]],tblNc[[#This Row],[Ncz]])</f>
        <v>500054.97495751135</v>
      </c>
      <c r="BB7" s="69">
        <f>tblNc[[#This Row],[Nc]]*0.9</f>
        <v>450049.47746176022</v>
      </c>
    </row>
    <row r="8" spans="2:54" x14ac:dyDescent="0.2">
      <c r="B8" s="4" t="s">
        <v>4</v>
      </c>
      <c r="C8" s="55">
        <v>5.79E-2</v>
      </c>
      <c r="D8" s="9">
        <v>0.83699999999999997</v>
      </c>
      <c r="E8" s="57">
        <v>80</v>
      </c>
      <c r="F8" s="9">
        <v>1</v>
      </c>
      <c r="G8" s="9">
        <v>1</v>
      </c>
      <c r="H8" s="9">
        <v>1</v>
      </c>
      <c r="I8" s="60">
        <v>0.51500000000000001</v>
      </c>
      <c r="J8" s="60">
        <v>0.12</v>
      </c>
      <c r="K8" s="59">
        <v>0</v>
      </c>
      <c r="L8" s="59">
        <v>0</v>
      </c>
      <c r="M8" s="61">
        <v>2.1999999999999999E-5</v>
      </c>
      <c r="N8" s="63">
        <v>2.7999999999999998E-4</v>
      </c>
      <c r="O8" s="65">
        <v>280000000</v>
      </c>
      <c r="P8" s="65">
        <v>200000000000</v>
      </c>
      <c r="Q8" s="65">
        <v>80000000000</v>
      </c>
      <c r="R8" s="65">
        <v>250000000</v>
      </c>
      <c r="S8" s="7">
        <v>0.5</v>
      </c>
      <c r="T8" s="7" t="s">
        <v>48</v>
      </c>
      <c r="U8" s="7" t="b">
        <v>1</v>
      </c>
      <c r="V8" s="7" t="b">
        <v>1</v>
      </c>
      <c r="W8" s="68">
        <f>tblNc[[#This Row],[An]]*tblNc[[#This Row],[kf]]</f>
        <v>4.84623E-2</v>
      </c>
      <c r="X8" s="70">
        <f>tblNc[[#This Row],[Ae]]*tblNc[[#This Row],[fy]]</f>
        <v>13569444</v>
      </c>
      <c r="Y8" s="70">
        <f>tblNc[[#This Row],[Ns]]*0.9</f>
        <v>12212499.6</v>
      </c>
      <c r="Z8" s="72">
        <f>tblNc[[#This Row],[l]]*tblNc[[#This Row],[kex]]</f>
        <v>80</v>
      </c>
      <c r="AA8" s="72">
        <f>tblNc[[#This Row],[l]]*tblNc[[#This Row],[key]]</f>
        <v>80</v>
      </c>
      <c r="AB8" s="72">
        <f>tblNc[[#This Row],[kez]]*tblNc[[#This Row],[l]]</f>
        <v>80</v>
      </c>
      <c r="AC8" s="73">
        <f>(tblNc[[#This Row],[lex]]/tblNc[[#This Row],[rx]])*(SQRT(tblNc[[#This Row],[kf]]))*SQRT((tblNc[[#This Row],[fy]]/tblNc[[#This Row],[fref]]))</f>
        <v>150.4023071362061</v>
      </c>
      <c r="AD8" s="73">
        <f>(2100*(tblNc[[#This Row],[λnx]]-13.5))/((tblNc[[#This Row],[λnx]]^2)-(15.3*tblNc[[#This Row],[λnx]])+2050)</f>
        <v>12.851976637473769</v>
      </c>
      <c r="AE8" s="73">
        <f>tblNc[[#This Row],[λnx]]+tblNc[[#This Row],[αax]]*tblNc[[#This Row],[αb]]</f>
        <v>156.82829545494297</v>
      </c>
      <c r="AF8" s="73">
        <f>MAX((0.00326*(tblNc[[#This Row],[λx]]-13.5)),0)</f>
        <v>0.46725024318311409</v>
      </c>
      <c r="AG8" s="73">
        <f>((tblNc[[#This Row],[λx]]/90)^2+1+tblNc[[#This Row],[ηx]])/(2*(tblNc[[#This Row],[λx]]/90)^2)</f>
        <v>0.74160747631454471</v>
      </c>
      <c r="AH8" s="73">
        <f>tblNc[[#This Row],[ξx]]*(1-SQRT(1-(90/(tblNc[[#This Row],[ξx]]*tblNc[[#This Row],[λx]]))^2))</f>
        <v>0.27187569316901922</v>
      </c>
      <c r="AI8" s="69">
        <f>tblNc[[#This Row],[αcx]]*tblNc[[#This Row],[Ns]]</f>
        <v>3689201.9934181888</v>
      </c>
      <c r="AJ8" s="69">
        <f>tblNc[[#This Row],[Ncx]]*0.9</f>
        <v>3320281.7940763701</v>
      </c>
      <c r="AK8" s="53">
        <f>(tblNc[[#This Row],[lex]]/tblNc[[#This Row],[ry]])*(SQRT(tblNc[[#This Row],[kf]]))*SQRT((tblNc[[#This Row],[fy]]/tblNc[[#This Row],[fref]]))</f>
        <v>645.47656812621801</v>
      </c>
      <c r="AL8" s="53">
        <f>(2100*(tblNc[[#This Row],[λny]]-13.5))/((tblNc[[#This Row],[λny]]^2)-(15.3*tblNc[[#This Row],[λny]])+2050)</f>
        <v>3.2463421413597016</v>
      </c>
      <c r="AM8" s="53">
        <f>tblNc[[#This Row],[λny]]+tblNc[[#This Row],[αay]]*tblNc[[#This Row],[αb]]</f>
        <v>647.09973919689787</v>
      </c>
      <c r="AN8" s="53">
        <f>MAX((0.00326*(tblNc[[#This Row],[λy]]-13.5)),0)</f>
        <v>2.065535149781887</v>
      </c>
      <c r="AO8" s="53">
        <f>((tblNc[[#This Row],[λy]]/90)^2+1+tblNc[[#This Row],[ηy]])/(2*(tblNc[[#This Row],[λy]]/90)^2)</f>
        <v>0.52964960239564762</v>
      </c>
      <c r="AP8" s="53">
        <f>tblNc[[#This Row],[ξy]]*(1-SQRT(1-(90/(tblNc[[#This Row],[ξy]]*tblNc[[#This Row],[λy]]))^2))</f>
        <v>1.8587114286187471E-2</v>
      </c>
      <c r="AQ8" s="69">
        <f>tblNc[[#This Row],[αcy]]*tblNc[[#This Row],[Ns]]</f>
        <v>252216.80642802088</v>
      </c>
      <c r="AR8" s="69">
        <f>tblNc[[#This Row],[Ncy]]*0.9</f>
        <v>226995.12578521878</v>
      </c>
      <c r="AS8" s="69">
        <f>MIN(tblNc[[#This Row],[Ncy]],tblNc[[#This Row],[Ncx]],tblNc[[#This Row],[Ns]])</f>
        <v>252216.80642802088</v>
      </c>
      <c r="AT8" s="69">
        <f>tblNc[[#This Row],[Ncflex]]*0.9</f>
        <v>226995.12578521878</v>
      </c>
      <c r="AU8" s="69">
        <f t="array" ref="AU8">INDEX(tblfocDblSym[Nc],MATCH(tblNc[[#This Row],[Section]]&amp;tblNc[[#This Row],[lex]],tblfocDblSym[Section]&amp;tblfocDblSym[lex],0))</f>
        <v>2955199.2369024213</v>
      </c>
      <c r="AV8" s="69" t="e">
        <f t="array" ref="AV8">INDEX(tblfocSglSym[Nc],MATCH(tblNc[[#This Row],[Section]]&amp;tblNc[[#This Row],[lex]],tblfocSglSym[Section]&amp;tblfocSglSym[lex],0))</f>
        <v>#N/A</v>
      </c>
      <c r="AW8" s="69">
        <f t="array" ref="AW8">INDEX(tblfocunsym[Nc],MATCH(tblNc[[#This Row],[Section]]&amp;tblNc[[#This Row],[lex]],tblfocunsym[Section]&amp;tblfocunsym[lex],0))</f>
        <v>160448.18177545426</v>
      </c>
      <c r="AX8" s="69">
        <f>IF(tblNc[[#This Row],[Axis]]="['x', 'y']",tblNc[[#This Row],[Ncz_dbl]],IF(tblNc[[#This Row],[Axis]]="[]",tblNc[[#This Row],[Ncz_un]],tblNc[[#This Row],[Ncz_sngl]]))</f>
        <v>2955199.2369024213</v>
      </c>
      <c r="AY8" s="69">
        <f>MIN(tblNc[[#This Row],[Ncz_base]],tblNc[[#This Row],[Ns]])</f>
        <v>2955199.2369024213</v>
      </c>
      <c r="AZ8" s="69">
        <f>tblNc[[#This Row],[Ncz]]*0.9</f>
        <v>2659679.3132121791</v>
      </c>
      <c r="BA8" s="69">
        <f>MIN(tblNc[[#This Row],[Ncflex]],tblNc[[#This Row],[Ncz]])</f>
        <v>252216.80642802088</v>
      </c>
      <c r="BB8" s="69">
        <f>tblNc[[#This Row],[Nc]]*0.9</f>
        <v>226995.12578521878</v>
      </c>
    </row>
    <row r="9" spans="2:54" x14ac:dyDescent="0.2">
      <c r="B9" s="4" t="s">
        <v>4</v>
      </c>
      <c r="C9" s="55">
        <v>5.79E-2</v>
      </c>
      <c r="D9" s="9">
        <v>0.83699999999999997</v>
      </c>
      <c r="E9" s="57">
        <v>80</v>
      </c>
      <c r="F9" s="9">
        <v>0.5</v>
      </c>
      <c r="G9" s="9">
        <v>0.5</v>
      </c>
      <c r="H9" s="9">
        <v>0.5</v>
      </c>
      <c r="I9" s="60">
        <v>0.51500000000000001</v>
      </c>
      <c r="J9" s="60">
        <v>0.12</v>
      </c>
      <c r="K9" s="59">
        <v>0</v>
      </c>
      <c r="L9" s="59">
        <v>0</v>
      </c>
      <c r="M9" s="61">
        <v>2.1999999999999999E-5</v>
      </c>
      <c r="N9" s="63">
        <v>2.7999999999999998E-4</v>
      </c>
      <c r="O9" s="65">
        <v>280000000</v>
      </c>
      <c r="P9" s="65">
        <v>200000000000</v>
      </c>
      <c r="Q9" s="65">
        <v>80000000000</v>
      </c>
      <c r="R9" s="65">
        <v>250000000</v>
      </c>
      <c r="S9" s="7">
        <v>0.5</v>
      </c>
      <c r="T9" s="7" t="s">
        <v>48</v>
      </c>
      <c r="U9" s="7" t="b">
        <v>1</v>
      </c>
      <c r="V9" s="7" t="b">
        <v>1</v>
      </c>
      <c r="W9" s="68">
        <f>tblNc[[#This Row],[An]]*tblNc[[#This Row],[kf]]</f>
        <v>4.84623E-2</v>
      </c>
      <c r="X9" s="70">
        <f>tblNc[[#This Row],[Ae]]*tblNc[[#This Row],[fy]]</f>
        <v>13569444</v>
      </c>
      <c r="Y9" s="70">
        <f>tblNc[[#This Row],[Ns]]*0.9</f>
        <v>12212499.6</v>
      </c>
      <c r="Z9" s="72">
        <f>tblNc[[#This Row],[l]]*tblNc[[#This Row],[kex]]</f>
        <v>40</v>
      </c>
      <c r="AA9" s="72">
        <f>tblNc[[#This Row],[l]]*tblNc[[#This Row],[key]]</f>
        <v>40</v>
      </c>
      <c r="AB9" s="72">
        <f>tblNc[[#This Row],[kez]]*tblNc[[#This Row],[l]]</f>
        <v>40</v>
      </c>
      <c r="AC9" s="73">
        <f>(tblNc[[#This Row],[lex]]/tblNc[[#This Row],[rx]])*(SQRT(tblNc[[#This Row],[kf]]))*SQRT((tblNc[[#This Row],[fy]]/tblNc[[#This Row],[fref]]))</f>
        <v>75.201153568103052</v>
      </c>
      <c r="AD9" s="73">
        <f>(2100*(tblNc[[#This Row],[λnx]]-13.5))/((tblNc[[#This Row],[λnx]]^2)-(15.3*tblNc[[#This Row],[λnx]])+2050)</f>
        <v>19.768058133238959</v>
      </c>
      <c r="AE9" s="73">
        <f>tblNc[[#This Row],[λnx]]+tblNc[[#This Row],[αax]]*tblNc[[#This Row],[αb]]</f>
        <v>85.085182634722528</v>
      </c>
      <c r="AF9" s="73">
        <f>MAX((0.00326*(tblNc[[#This Row],[λx]]-13.5)),0)</f>
        <v>0.23336769538919544</v>
      </c>
      <c r="AG9" s="73">
        <f>((tblNc[[#This Row],[λx]]/90)^2+1+tblNc[[#This Row],[ηx]])/(2*(tblNc[[#This Row],[λx]]/90)^2)</f>
        <v>1.1899851144972884</v>
      </c>
      <c r="AH9" s="73">
        <f>tblNc[[#This Row],[ξx]]*(1-SQRT(1-(90/(tblNc[[#This Row],[ξx]]*tblNc[[#This Row],[λx]]))^2))</f>
        <v>0.64482370238192688</v>
      </c>
      <c r="AI9" s="69">
        <f>tblNc[[#This Row],[αcx]]*tblNc[[#This Row],[Ns]]</f>
        <v>8749899.1193442233</v>
      </c>
      <c r="AJ9" s="69">
        <f>tblNc[[#This Row],[Ncx]]*0.9</f>
        <v>7874909.207409801</v>
      </c>
      <c r="AK9" s="53">
        <f>(tblNc[[#This Row],[lex]]/tblNc[[#This Row],[ry]])*(SQRT(tblNc[[#This Row],[kf]]))*SQRT((tblNc[[#This Row],[fy]]/tblNc[[#This Row],[fref]]))</f>
        <v>322.73828406310901</v>
      </c>
      <c r="AL9" s="53">
        <f>(2100*(tblNc[[#This Row],[λny]]-13.5))/((tblNc[[#This Row],[λny]]^2)-(15.3*tblNc[[#This Row],[λny]])+2050)</f>
        <v>6.4124311558179219</v>
      </c>
      <c r="AM9" s="53">
        <f>tblNc[[#This Row],[λny]]+tblNc[[#This Row],[αay]]*tblNc[[#This Row],[αb]]</f>
        <v>325.94449964101796</v>
      </c>
      <c r="AN9" s="53">
        <f>MAX((0.00326*(tblNc[[#This Row],[λy]]-13.5)),0)</f>
        <v>1.0185690688297184</v>
      </c>
      <c r="AO9" s="53">
        <f>((tblNc[[#This Row],[λy]]/90)^2+1+tblNc[[#This Row],[ηy]])/(2*(tblNc[[#This Row],[λy]]/90)^2)</f>
        <v>0.57695047837472047</v>
      </c>
      <c r="AP9" s="53">
        <f>tblNc[[#This Row],[ξy]]*(1-SQRT(1-(90/(tblNc[[#This Row],[ξy]]*tblNc[[#This Row],[λy]]))^2))</f>
        <v>7.0364599003885683E-2</v>
      </c>
      <c r="AQ9" s="69">
        <f>tblNc[[#This Row],[αcy]]*tblNc[[#This Row],[Ns]]</f>
        <v>954808.48576568253</v>
      </c>
      <c r="AR9" s="69">
        <f>tblNc[[#This Row],[Ncy]]*0.9</f>
        <v>859327.63718911435</v>
      </c>
      <c r="AS9" s="69">
        <f>MIN(tblNc[[#This Row],[Ncy]],tblNc[[#This Row],[Ncx]],tblNc[[#This Row],[Ns]])</f>
        <v>954808.48576568253</v>
      </c>
      <c r="AT9" s="69">
        <f>tblNc[[#This Row],[Ncflex]]*0.9</f>
        <v>859327.63718911435</v>
      </c>
      <c r="AU9" s="69">
        <f t="array" ref="AU9">INDEX(tblfocDblSym[Nc],MATCH(tblNc[[#This Row],[Section]]&amp;tblNc[[#This Row],[lex]],tblfocDblSym[Section]&amp;tblfocDblSym[lex],0))</f>
        <v>4683790.478014973</v>
      </c>
      <c r="AV9" s="69" t="e">
        <f t="array" ref="AV9">INDEX(tblfocSglSym[Nc],MATCH(tblNc[[#This Row],[Section]]&amp;tblNc[[#This Row],[lex]],tblfocSglSym[Section]&amp;tblfocSglSym[lex],0))</f>
        <v>#N/A</v>
      </c>
      <c r="AW9" s="69">
        <f t="array" ref="AW9">INDEX(tblfocunsym[Nc],MATCH(tblNc[[#This Row],[Section]]&amp;tblNc[[#This Row],[lex]],tblfocunsym[Section]&amp;tblfocunsym[lex],0))</f>
        <v>641792.7271018168</v>
      </c>
      <c r="AX9" s="69">
        <f>IF(tblNc[[#This Row],[Axis]]="['x', 'y']",tblNc[[#This Row],[Ncz_dbl]],IF(tblNc[[#This Row],[Axis]]="[]",tblNc[[#This Row],[Ncz_un]],tblNc[[#This Row],[Ncz_sngl]]))</f>
        <v>4683790.478014973</v>
      </c>
      <c r="AY9" s="69">
        <f>MIN(tblNc[[#This Row],[Ncz_base]],tblNc[[#This Row],[Ns]])</f>
        <v>4683790.478014973</v>
      </c>
      <c r="AZ9" s="69">
        <f>tblNc[[#This Row],[Ncz]]*0.9</f>
        <v>4215411.4302134756</v>
      </c>
      <c r="BA9" s="69">
        <f>MIN(tblNc[[#This Row],[Ncflex]],tblNc[[#This Row],[Ncz]])</f>
        <v>954808.48576568253</v>
      </c>
      <c r="BB9" s="69">
        <f>tblNc[[#This Row],[Nc]]*0.9</f>
        <v>859327.63718911435</v>
      </c>
    </row>
    <row r="10" spans="2:54" x14ac:dyDescent="0.2">
      <c r="B10" s="4" t="s">
        <v>4</v>
      </c>
      <c r="C10" s="55">
        <v>5.79E-2</v>
      </c>
      <c r="D10" s="9">
        <v>0.83699999999999997</v>
      </c>
      <c r="E10" s="57">
        <v>80</v>
      </c>
      <c r="F10" s="9">
        <v>0.25</v>
      </c>
      <c r="G10" s="9">
        <v>0.25</v>
      </c>
      <c r="H10" s="9">
        <v>0.25</v>
      </c>
      <c r="I10" s="60">
        <v>0.51500000000000001</v>
      </c>
      <c r="J10" s="60">
        <v>0.12</v>
      </c>
      <c r="K10" s="59">
        <v>0</v>
      </c>
      <c r="L10" s="59">
        <v>0</v>
      </c>
      <c r="M10" s="61">
        <v>2.1999999999999999E-5</v>
      </c>
      <c r="N10" s="63">
        <v>2.7999999999999998E-4</v>
      </c>
      <c r="O10" s="65">
        <v>280000000</v>
      </c>
      <c r="P10" s="65">
        <v>200000000000</v>
      </c>
      <c r="Q10" s="65">
        <v>80000000000</v>
      </c>
      <c r="R10" s="65">
        <v>250000000</v>
      </c>
      <c r="S10" s="7">
        <v>0.5</v>
      </c>
      <c r="T10" s="7" t="s">
        <v>48</v>
      </c>
      <c r="U10" s="7" t="b">
        <v>1</v>
      </c>
      <c r="V10" s="7" t="b">
        <v>1</v>
      </c>
      <c r="W10" s="68">
        <f>tblNc[[#This Row],[An]]*tblNc[[#This Row],[kf]]</f>
        <v>4.84623E-2</v>
      </c>
      <c r="X10" s="70">
        <f>tblNc[[#This Row],[Ae]]*tblNc[[#This Row],[fy]]</f>
        <v>13569444</v>
      </c>
      <c r="Y10" s="70">
        <f>tblNc[[#This Row],[Ns]]*0.9</f>
        <v>12212499.6</v>
      </c>
      <c r="Z10" s="72">
        <f>tblNc[[#This Row],[l]]*tblNc[[#This Row],[kex]]</f>
        <v>20</v>
      </c>
      <c r="AA10" s="72">
        <f>tblNc[[#This Row],[l]]*tblNc[[#This Row],[key]]</f>
        <v>20</v>
      </c>
      <c r="AB10" s="72">
        <f>tblNc[[#This Row],[kez]]*tblNc[[#This Row],[l]]</f>
        <v>20</v>
      </c>
      <c r="AC10" s="73">
        <f>(tblNc[[#This Row],[lex]]/tblNc[[#This Row],[rx]])*(SQRT(tblNc[[#This Row],[kf]]))*SQRT((tblNc[[#This Row],[fy]]/tblNc[[#This Row],[fref]]))</f>
        <v>37.600576784051526</v>
      </c>
      <c r="AD10" s="73">
        <f>(2100*(tblNc[[#This Row],[λnx]]-13.5))/((tblNc[[#This Row],[λnx]]^2)-(15.3*tblNc[[#This Row],[λnx]])+2050)</f>
        <v>17.521535853717893</v>
      </c>
      <c r="AE10" s="73">
        <f>tblNc[[#This Row],[λnx]]+tblNc[[#This Row],[αax]]*tblNc[[#This Row],[αb]]</f>
        <v>46.361344710910473</v>
      </c>
      <c r="AF10" s="73">
        <f>MAX((0.00326*(tblNc[[#This Row],[λx]]-13.5)),0)</f>
        <v>0.10712798375756814</v>
      </c>
      <c r="AG10" s="73">
        <f>((tblNc[[#This Row],[λx]]/90)^2+1+tblNc[[#This Row],[ηx]])/(2*(tblNc[[#This Row],[λx]]/90)^2)</f>
        <v>2.5861272831073672</v>
      </c>
      <c r="AH10" s="73">
        <f>tblNc[[#This Row],[ξx]]*(1-SQRT(1-(90/(tblNc[[#This Row],[ξx]]*tblNc[[#This Row],[λx]]))^2))</f>
        <v>0.87746824675812718</v>
      </c>
      <c r="AI10" s="69">
        <f>tblNc[[#This Row],[αcx]]*tblNc[[#This Row],[Ns]]</f>
        <v>11906756.236162588</v>
      </c>
      <c r="AJ10" s="69">
        <f>tblNc[[#This Row],[Ncx]]*0.9</f>
        <v>10716080.61254633</v>
      </c>
      <c r="AK10" s="53">
        <f>(tblNc[[#This Row],[lex]]/tblNc[[#This Row],[ry]])*(SQRT(tblNc[[#This Row],[kf]]))*SQRT((tblNc[[#This Row],[fy]]/tblNc[[#This Row],[fref]]))</f>
        <v>161.3691420315545</v>
      </c>
      <c r="AL10" s="53">
        <f>(2100*(tblNc[[#This Row],[λny]]-13.5))/((tblNc[[#This Row],[λny]]^2)-(15.3*tblNc[[#This Row],[λny]])+2050)</f>
        <v>12.119923753639677</v>
      </c>
      <c r="AM10" s="53">
        <f>tblNc[[#This Row],[λny]]+tblNc[[#This Row],[αay]]*tblNc[[#This Row],[αb]]</f>
        <v>167.42910390837434</v>
      </c>
      <c r="AN10" s="53">
        <f>MAX((0.00326*(tblNc[[#This Row],[λy]]-13.5)),0)</f>
        <v>0.50180887874130031</v>
      </c>
      <c r="AO10" s="53">
        <f>((tblNc[[#This Row],[λy]]/90)^2+1+tblNc[[#This Row],[ηy]])/(2*(tblNc[[#This Row],[λy]]/90)^2)</f>
        <v>0.71697404475915427</v>
      </c>
      <c r="AP10" s="53">
        <f>tblNc[[#This Row],[ξy]]*(1-SQRT(1-(90/(tblNc[[#This Row],[ξy]]*tblNc[[#This Row],[λy]]))^2))</f>
        <v>0.24252541193708269</v>
      </c>
      <c r="AQ10" s="69">
        <f>tblNc[[#This Row],[αcy]]*tblNc[[#This Row],[Ns]]</f>
        <v>3290934.995857175</v>
      </c>
      <c r="AR10" s="69">
        <f>tblNc[[#This Row],[Ncy]]*0.9</f>
        <v>2961841.4962714575</v>
      </c>
      <c r="AS10" s="69">
        <f>MIN(tblNc[[#This Row],[Ncy]],tblNc[[#This Row],[Ncx]],tblNc[[#This Row],[Ns]])</f>
        <v>3290934.995857175</v>
      </c>
      <c r="AT10" s="69">
        <f>tblNc[[#This Row],[Ncflex]]*0.9</f>
        <v>2961841.4962714575</v>
      </c>
      <c r="AU10" s="69">
        <f t="array" ref="AU10">INDEX(tblfocDblSym[Nc],MATCH(tblNc[[#This Row],[Section]]&amp;tblNc[[#This Row],[lex]],tblfocDblSym[Section]&amp;tblfocDblSym[lex],0))</f>
        <v>6305155.6427146066</v>
      </c>
      <c r="AV10" s="69" t="e">
        <f t="array" ref="AV10">INDEX(tblfocSglSym[Nc],MATCH(tblNc[[#This Row],[Section]]&amp;tblNc[[#This Row],[lex]],tblfocSglSym[Section]&amp;tblfocSglSym[lex],0))</f>
        <v>#N/A</v>
      </c>
      <c r="AW10" s="69">
        <f t="array" ref="AW10">INDEX(tblfocunsym[Nc],MATCH(tblNc[[#This Row],[Section]]&amp;tblNc[[#This Row],[lex]],tblfocunsym[Section]&amp;tblfocunsym[lex],0))</f>
        <v>2567170.9084072663</v>
      </c>
      <c r="AX10" s="69">
        <f>IF(tblNc[[#This Row],[Axis]]="['x', 'y']",tblNc[[#This Row],[Ncz_dbl]],IF(tblNc[[#This Row],[Axis]]="[]",tblNc[[#This Row],[Ncz_un]],tblNc[[#This Row],[Ncz_sngl]]))</f>
        <v>6305155.6427146066</v>
      </c>
      <c r="AY10" s="69">
        <f>MIN(tblNc[[#This Row],[Ncz_base]],tblNc[[#This Row],[Ns]])</f>
        <v>6305155.6427146066</v>
      </c>
      <c r="AZ10" s="69">
        <f>tblNc[[#This Row],[Ncz]]*0.9</f>
        <v>5674640.0784431463</v>
      </c>
      <c r="BA10" s="69">
        <f>MIN(tblNc[[#This Row],[Ncflex]],tblNc[[#This Row],[Ncz]])</f>
        <v>3290934.995857175</v>
      </c>
      <c r="BB10" s="69">
        <f>tblNc[[#This Row],[Nc]]*0.9</f>
        <v>2961841.4962714575</v>
      </c>
    </row>
    <row r="11" spans="2:54" x14ac:dyDescent="0.2">
      <c r="B11" s="4" t="s">
        <v>4</v>
      </c>
      <c r="C11" s="55">
        <v>5.79E-2</v>
      </c>
      <c r="D11" s="9">
        <v>0.83699999999999997</v>
      </c>
      <c r="E11" s="57">
        <v>80</v>
      </c>
      <c r="F11" s="9">
        <v>0.125</v>
      </c>
      <c r="G11" s="9">
        <v>0.125</v>
      </c>
      <c r="H11" s="9">
        <v>0.125</v>
      </c>
      <c r="I11" s="60">
        <v>0.51500000000000001</v>
      </c>
      <c r="J11" s="60">
        <v>0.12</v>
      </c>
      <c r="K11" s="59">
        <v>0</v>
      </c>
      <c r="L11" s="59">
        <v>0</v>
      </c>
      <c r="M11" s="61">
        <v>2.1999999999999999E-5</v>
      </c>
      <c r="N11" s="63">
        <v>2.7999999999999998E-4</v>
      </c>
      <c r="O11" s="65">
        <v>280000000</v>
      </c>
      <c r="P11" s="65">
        <v>200000000000</v>
      </c>
      <c r="Q11" s="65">
        <v>80000000000</v>
      </c>
      <c r="R11" s="65">
        <v>250000000</v>
      </c>
      <c r="S11" s="7">
        <v>0.5</v>
      </c>
      <c r="T11" s="7" t="s">
        <v>48</v>
      </c>
      <c r="U11" s="7" t="b">
        <v>1</v>
      </c>
      <c r="V11" s="7" t="b">
        <v>1</v>
      </c>
      <c r="W11" s="68">
        <f>tblNc[[#This Row],[An]]*tblNc[[#This Row],[kf]]</f>
        <v>4.84623E-2</v>
      </c>
      <c r="X11" s="70">
        <f>tblNc[[#This Row],[Ae]]*tblNc[[#This Row],[fy]]</f>
        <v>13569444</v>
      </c>
      <c r="Y11" s="70">
        <f>tblNc[[#This Row],[Ns]]*0.9</f>
        <v>12212499.6</v>
      </c>
      <c r="Z11" s="72">
        <f>tblNc[[#This Row],[l]]*tblNc[[#This Row],[kex]]</f>
        <v>10</v>
      </c>
      <c r="AA11" s="72">
        <f>tblNc[[#This Row],[l]]*tblNc[[#This Row],[key]]</f>
        <v>10</v>
      </c>
      <c r="AB11" s="72">
        <f>tblNc[[#This Row],[kez]]*tblNc[[#This Row],[l]]</f>
        <v>10</v>
      </c>
      <c r="AC11" s="52">
        <f>(tblNc[[#This Row],[lex]]/tblNc[[#This Row],[rx]])*(SQRT(tblNc[[#This Row],[kf]]))*SQRT((tblNc[[#This Row],[fy]]/tblNc[[#This Row],[fref]]))</f>
        <v>18.800288392025763</v>
      </c>
      <c r="AD11" s="52">
        <f>(2100*(tblNc[[#This Row],[λnx]]-13.5))/((tblNc[[#This Row],[λnx]]^2)-(15.3*tblNc[[#This Row],[λnx]])+2050)</f>
        <v>5.2606918378672018</v>
      </c>
      <c r="AE11" s="52">
        <f>tblNc[[#This Row],[λnx]]+tblNc[[#This Row],[αax]]*tblNc[[#This Row],[αb]]</f>
        <v>21.430634310959363</v>
      </c>
      <c r="AF11" s="52">
        <f>MAX((0.00326*(tblNc[[#This Row],[λx]]-13.5)),0)</f>
        <v>2.5853867853727522E-2</v>
      </c>
      <c r="AG11" s="52">
        <f>((tblNc[[#This Row],[λx]]/90)^2+1+tblNc[[#This Row],[ηx]])/(2*(tblNc[[#This Row],[λx]]/90)^2)</f>
        <v>9.5462892970858118</v>
      </c>
      <c r="AH11" s="53">
        <f>tblNc[[#This Row],[ξx]]*(1-SQRT(1-(90/(tblNc[[#This Row],[ξx]]*tblNc[[#This Row],[λx]]))^2))</f>
        <v>0.97336475625112895</v>
      </c>
      <c r="AI11" s="69">
        <f>tblNc[[#This Row],[αcx]]*tblNc[[#This Row],[Ns]]</f>
        <v>13208018.551523345</v>
      </c>
      <c r="AJ11" s="69">
        <f>tblNc[[#This Row],[Ncx]]*0.9</f>
        <v>11887216.69637101</v>
      </c>
      <c r="AK11" s="53">
        <f>(tblNc[[#This Row],[lex]]/tblNc[[#This Row],[ry]])*(SQRT(tblNc[[#This Row],[kf]]))*SQRT((tblNc[[#This Row],[fy]]/tblNc[[#This Row],[fref]]))</f>
        <v>80.684571015777252</v>
      </c>
      <c r="AL11" s="53">
        <f>(2100*(tblNc[[#This Row],[λny]]-13.5))/((tblNc[[#This Row],[λny]]^2)-(15.3*tblNc[[#This Row],[λny]])+2050)</f>
        <v>19.259722497870733</v>
      </c>
      <c r="AM11" s="53">
        <f>tblNc[[#This Row],[λny]]+tblNc[[#This Row],[αay]]*tblNc[[#This Row],[αb]]</f>
        <v>90.314432264712622</v>
      </c>
      <c r="AN11" s="53">
        <f>MAX((0.00326*(tblNc[[#This Row],[λy]]-13.5)),0)</f>
        <v>0.25041504918296315</v>
      </c>
      <c r="AO11" s="53">
        <f>((tblNc[[#This Row],[λy]]/90)^2+1+tblNc[[#This Row],[ηy]])/(2*(tblNc[[#This Row],[λy]]/90)^2)</f>
        <v>1.1208617471982159</v>
      </c>
      <c r="AP11" s="53">
        <f>tblNc[[#This Row],[ξy]]*(1-SQRT(1-(90/(tblNc[[#This Row],[ξy]]*tblNc[[#This Row],[λy]]))^2))</f>
        <v>0.60775163018894507</v>
      </c>
      <c r="AQ11" s="69">
        <f>tblNc[[#This Row],[αcy]]*tblNc[[#This Row],[Ns]]</f>
        <v>8246851.7117575994</v>
      </c>
      <c r="AR11" s="69">
        <f>tblNc[[#This Row],[Ncy]]*0.9</f>
        <v>7422166.5405818392</v>
      </c>
      <c r="AS11" s="69">
        <f>MIN(tblNc[[#This Row],[Ncy]],tblNc[[#This Row],[Ncx]],tblNc[[#This Row],[Ns]])</f>
        <v>8246851.7117575994</v>
      </c>
      <c r="AT11" s="69">
        <f>tblNc[[#This Row],[Ncflex]]*0.9</f>
        <v>7422166.5405818392</v>
      </c>
      <c r="AU11" s="69">
        <f t="array" ref="AU11">INDEX(tblfocDblSym[Nc],MATCH(tblNc[[#This Row],[Section]]&amp;tblNc[[#This Row],[lex]],tblfocDblSym[Section]&amp;tblfocDblSym[lex],0))</f>
        <v>8889923.6290362049</v>
      </c>
      <c r="AV11" s="69" t="e">
        <f t="array" ref="AV11">INDEX(tblfocSglSym[Nc],MATCH(tblNc[[#This Row],[Section]]&amp;tblNc[[#This Row],[lex]],tblfocSglSym[Section]&amp;tblfocSglSym[lex],0))</f>
        <v>#N/A</v>
      </c>
      <c r="AW11" s="69">
        <f t="array" ref="AW11">INDEX(tblfocunsym[Nc],MATCH(tblNc[[#This Row],[Section]]&amp;tblNc[[#This Row],[lex]],tblfocunsym[Section]&amp;tblfocunsym[lex],0))</f>
        <v>7636973.67611722</v>
      </c>
      <c r="AX11" s="69">
        <f>IF(tblNc[[#This Row],[Axis]]="['x', 'y']",tblNc[[#This Row],[Ncz_dbl]],IF(tblNc[[#This Row],[Axis]]="[]",tblNc[[#This Row],[Ncz_un]],tblNc[[#This Row],[Ncz_sngl]]))</f>
        <v>8889923.6290362049</v>
      </c>
      <c r="AY11" s="69">
        <f>MIN(tblNc[[#This Row],[Ncz_base]],tblNc[[#This Row],[Ns]])</f>
        <v>8889923.6290362049</v>
      </c>
      <c r="AZ11" s="69">
        <f>tblNc[[#This Row],[Ncz]]*0.9</f>
        <v>8000931.2661325848</v>
      </c>
      <c r="BA11" s="69">
        <f>MIN(tblNc[[#This Row],[Ncflex]],tblNc[[#This Row],[Ncz]])</f>
        <v>8246851.7117575994</v>
      </c>
      <c r="BB11" s="69">
        <f>tblNc[[#This Row],[Nc]]*0.9</f>
        <v>7422166.5405818392</v>
      </c>
    </row>
    <row r="12" spans="2:54" x14ac:dyDescent="0.2">
      <c r="B12" s="4" t="s">
        <v>4</v>
      </c>
      <c r="C12" s="55">
        <v>5.79E-2</v>
      </c>
      <c r="D12" s="9">
        <v>0.83699999999999997</v>
      </c>
      <c r="E12" s="57">
        <v>80</v>
      </c>
      <c r="F12" s="9">
        <v>6.25E-2</v>
      </c>
      <c r="G12" s="9">
        <v>6.25E-2</v>
      </c>
      <c r="H12" s="9">
        <v>6.25E-2</v>
      </c>
      <c r="I12" s="60">
        <v>0.51500000000000001</v>
      </c>
      <c r="J12" s="60">
        <v>0.12</v>
      </c>
      <c r="K12" s="59">
        <v>0</v>
      </c>
      <c r="L12" s="59">
        <v>0</v>
      </c>
      <c r="M12" s="61">
        <v>2.1999999999999999E-5</v>
      </c>
      <c r="N12" s="63">
        <v>2.7999999999999998E-4</v>
      </c>
      <c r="O12" s="65">
        <v>280000000</v>
      </c>
      <c r="P12" s="65">
        <v>200000000000</v>
      </c>
      <c r="Q12" s="65">
        <v>80000000000</v>
      </c>
      <c r="R12" s="65">
        <v>250000000</v>
      </c>
      <c r="S12" s="7">
        <v>0.5</v>
      </c>
      <c r="T12" s="7" t="s">
        <v>48</v>
      </c>
      <c r="U12" s="7" t="b">
        <v>1</v>
      </c>
      <c r="V12" s="7" t="b">
        <v>1</v>
      </c>
      <c r="W12" s="68">
        <f>tblNc[[#This Row],[An]]*tblNc[[#This Row],[kf]]</f>
        <v>4.84623E-2</v>
      </c>
      <c r="X12" s="70">
        <f>tblNc[[#This Row],[Ae]]*tblNc[[#This Row],[fy]]</f>
        <v>13569444</v>
      </c>
      <c r="Y12" s="70">
        <f>tblNc[[#This Row],[Ns]]*0.9</f>
        <v>12212499.6</v>
      </c>
      <c r="Z12" s="72">
        <f>tblNc[[#This Row],[l]]*tblNc[[#This Row],[kex]]</f>
        <v>5</v>
      </c>
      <c r="AA12" s="72">
        <f>tblNc[[#This Row],[l]]*tblNc[[#This Row],[key]]</f>
        <v>5</v>
      </c>
      <c r="AB12" s="72">
        <f>tblNc[[#This Row],[kez]]*tblNc[[#This Row],[l]]</f>
        <v>5</v>
      </c>
      <c r="AC12" s="52">
        <f>(tblNc[[#This Row],[lex]]/tblNc[[#This Row],[rx]])*(SQRT(tblNc[[#This Row],[kf]]))*SQRT((tblNc[[#This Row],[fy]]/tblNc[[#This Row],[fref]]))</f>
        <v>9.4001441960128815</v>
      </c>
      <c r="AD12" s="52">
        <f>(2100*(tblNc[[#This Row],[λnx]]-13.5))/((tblNc[[#This Row],[λnx]]^2)-(15.3*tblNc[[#This Row],[λnx]])+2050)</f>
        <v>-4.3166319099839106</v>
      </c>
      <c r="AE12" s="52">
        <f>tblNc[[#This Row],[λnx]]+tblNc[[#This Row],[αax]]*tblNc[[#This Row],[αb]]</f>
        <v>7.2418282410209258</v>
      </c>
      <c r="AF12" s="52">
        <f>MAX((0.00326*(tblNc[[#This Row],[λx]]-13.5)),0)</f>
        <v>0</v>
      </c>
      <c r="AG12" s="52">
        <f>((tblNc[[#This Row],[λx]]/90)^2+1+tblNc[[#This Row],[ηx]])/(2*(tblNc[[#This Row],[λx]]/90)^2)</f>
        <v>77.725118409182244</v>
      </c>
      <c r="AH12" s="53">
        <f>tblNc[[#This Row],[ξx]]*(1-SQRT(1-(90/(tblNc[[#This Row],[ξx]]*tblNc[[#This Row],[λx]]))^2))</f>
        <v>1.0000000000000024</v>
      </c>
      <c r="AI12" s="69">
        <f>tblNc[[#This Row],[αcx]]*tblNc[[#This Row],[Ns]]</f>
        <v>13569444.000000034</v>
      </c>
      <c r="AJ12" s="69">
        <f>tblNc[[#This Row],[Ncx]]*0.9</f>
        <v>12212499.600000031</v>
      </c>
      <c r="AK12" s="53">
        <f>(tblNc[[#This Row],[lex]]/tblNc[[#This Row],[ry]])*(SQRT(tblNc[[#This Row],[kf]]))*SQRT((tblNc[[#This Row],[fy]]/tblNc[[#This Row],[fref]]))</f>
        <v>40.342285507888626</v>
      </c>
      <c r="AL12" s="53">
        <f>(2100*(tblNc[[#This Row],[λny]]-13.5))/((tblNc[[#This Row],[λny]]^2)-(15.3*tblNc[[#This Row],[λny]])+2050)</f>
        <v>18.419593016066017</v>
      </c>
      <c r="AM12" s="53">
        <f>tblNc[[#This Row],[λny]]+tblNc[[#This Row],[αay]]*tblNc[[#This Row],[αb]]</f>
        <v>49.552082015921634</v>
      </c>
      <c r="AN12" s="53">
        <f>MAX((0.00326*(tblNc[[#This Row],[λy]]-13.5)),0)</f>
        <v>0.11752978737190452</v>
      </c>
      <c r="AO12" s="53">
        <f>((tblNc[[#This Row],[λy]]/90)^2+1+tblNc[[#This Row],[ηy]])/(2*(tblNc[[#This Row],[λy]]/90)^2)</f>
        <v>2.343275783512623</v>
      </c>
      <c r="AP12" s="53">
        <f>tblNc[[#This Row],[ξy]]*(1-SQRT(1-(90/(tblNc[[#This Row],[ξy]]*tblNc[[#This Row],[λy]]))^2))</f>
        <v>0.86270097870888862</v>
      </c>
      <c r="AQ12" s="69">
        <f>tblNc[[#This Row],[αcy]]*tblNc[[#This Row],[Ns]]</f>
        <v>11706372.619335456</v>
      </c>
      <c r="AR12" s="69">
        <f>tblNc[[#This Row],[Ncy]]*0.9</f>
        <v>10535735.357401911</v>
      </c>
      <c r="AS12" s="69">
        <f>MIN(tblNc[[#This Row],[Ncy]],tblNc[[#This Row],[Ncx]],tblNc[[#This Row],[Ns]])</f>
        <v>11706372.619335456</v>
      </c>
      <c r="AT12" s="69">
        <f>tblNc[[#This Row],[Ncflex]]*0.9</f>
        <v>10535735.357401911</v>
      </c>
      <c r="AU12" s="69">
        <f t="array" ref="AU12">INDEX(tblfocDblSym[Nc],MATCH(tblNc[[#This Row],[Section]]&amp;tblNc[[#This Row],[lex]],tblfocDblSym[Section]&amp;tblfocDblSym[lex],0))</f>
        <v>10652615.705617471</v>
      </c>
      <c r="AV12" s="69" t="e">
        <f t="array" ref="AV12">INDEX(tblfocSglSym[Nc],MATCH(tblNc[[#This Row],[Section]]&amp;tblNc[[#This Row],[lex]],tblfocSglSym[Section]&amp;tblfocSglSym[lex],0))</f>
        <v>#N/A</v>
      </c>
      <c r="AW12" s="69">
        <f t="array" ref="AW12">INDEX(tblfocunsym[Nc],MATCH(tblNc[[#This Row],[Section]]&amp;tblNc[[#This Row],[lex]],tblfocunsym[Section]&amp;tblfocunsym[lex],0))</f>
        <v>10404376.452125048</v>
      </c>
      <c r="AX12" s="69">
        <f>IF(tblNc[[#This Row],[Axis]]="['x', 'y']",tblNc[[#This Row],[Ncz_dbl]],IF(tblNc[[#This Row],[Axis]]="[]",tblNc[[#This Row],[Ncz_un]],tblNc[[#This Row],[Ncz_sngl]]))</f>
        <v>10652615.705617471</v>
      </c>
      <c r="AY12" s="69">
        <f>MIN(tblNc[[#This Row],[Ncz_base]],tblNc[[#This Row],[Ns]])</f>
        <v>10652615.705617471</v>
      </c>
      <c r="AZ12" s="69">
        <f>tblNc[[#This Row],[Ncz]]*0.9</f>
        <v>9587354.1350557245</v>
      </c>
      <c r="BA12" s="69">
        <f>MIN(tblNc[[#This Row],[Ncflex]],tblNc[[#This Row],[Ncz]])</f>
        <v>10652615.705617471</v>
      </c>
      <c r="BB12" s="69">
        <f>tblNc[[#This Row],[Nc]]*0.9</f>
        <v>9587354.1350557245</v>
      </c>
    </row>
    <row r="13" spans="2:54" x14ac:dyDescent="0.2">
      <c r="B13" s="4" t="s">
        <v>4</v>
      </c>
      <c r="C13" s="55">
        <v>5.79E-2</v>
      </c>
      <c r="D13" s="9">
        <v>0.83699999999999997</v>
      </c>
      <c r="E13" s="57">
        <v>80</v>
      </c>
      <c r="F13" s="9">
        <v>1.2500000000000001E-2</v>
      </c>
      <c r="G13" s="9">
        <v>1.2500000000000001E-2</v>
      </c>
      <c r="H13" s="9">
        <v>1.2500000000000001E-2</v>
      </c>
      <c r="I13" s="60">
        <v>0.51500000000000001</v>
      </c>
      <c r="J13" s="60">
        <v>0.12</v>
      </c>
      <c r="K13" s="59">
        <v>0</v>
      </c>
      <c r="L13" s="59">
        <v>0</v>
      </c>
      <c r="M13" s="61">
        <v>2.1999999999999999E-5</v>
      </c>
      <c r="N13" s="63">
        <v>2.7999999999999998E-4</v>
      </c>
      <c r="O13" s="65">
        <v>280000000</v>
      </c>
      <c r="P13" s="65">
        <v>200000000000</v>
      </c>
      <c r="Q13" s="65">
        <v>80000000000</v>
      </c>
      <c r="R13" s="65">
        <v>250000000</v>
      </c>
      <c r="S13" s="7">
        <v>0.5</v>
      </c>
      <c r="T13" s="7" t="s">
        <v>48</v>
      </c>
      <c r="U13" s="7" t="b">
        <v>1</v>
      </c>
      <c r="V13" s="7" t="b">
        <v>1</v>
      </c>
      <c r="W13" s="68">
        <f>tblNc[[#This Row],[An]]*tblNc[[#This Row],[kf]]</f>
        <v>4.84623E-2</v>
      </c>
      <c r="X13" s="70">
        <f>tblNc[[#This Row],[Ae]]*tblNc[[#This Row],[fy]]</f>
        <v>13569444</v>
      </c>
      <c r="Y13" s="70">
        <f>tblNc[[#This Row],[Ns]]*0.9</f>
        <v>12212499.6</v>
      </c>
      <c r="Z13" s="72">
        <f>tblNc[[#This Row],[l]]*tblNc[[#This Row],[kex]]</f>
        <v>1</v>
      </c>
      <c r="AA13" s="72">
        <f>tblNc[[#This Row],[l]]*tblNc[[#This Row],[key]]</f>
        <v>1</v>
      </c>
      <c r="AB13" s="72">
        <f>tblNc[[#This Row],[kez]]*tblNc[[#This Row],[l]]</f>
        <v>1</v>
      </c>
      <c r="AC13" s="52">
        <f>(tblNc[[#This Row],[lex]]/tblNc[[#This Row],[rx]])*(SQRT(tblNc[[#This Row],[kf]]))*SQRT((tblNc[[#This Row],[fy]]/tblNc[[#This Row],[fref]]))</f>
        <v>1.8800288392025766</v>
      </c>
      <c r="AD13" s="52">
        <f>(2100*(tblNc[[#This Row],[λnx]]-13.5))/((tblNc[[#This Row],[λnx]]^2)-(15.3*tblNc[[#This Row],[λnx]])+2050)</f>
        <v>-12.051708899204712</v>
      </c>
      <c r="AE13" s="52">
        <f>tblNc[[#This Row],[λnx]]+tblNc[[#This Row],[αax]]*tblNc[[#This Row],[αb]]</f>
        <v>-4.145825610399779</v>
      </c>
      <c r="AF13" s="52">
        <f>MAX((0.00326*(tblNc[[#This Row],[λx]]-13.5)),0)</f>
        <v>0</v>
      </c>
      <c r="AG13" s="52">
        <f>((tblNc[[#This Row],[λx]]/90)^2+1+tblNc[[#This Row],[ηx]])/(2*(tblNc[[#This Row],[λx]]/90)^2)</f>
        <v>236.13129124907115</v>
      </c>
      <c r="AH13" s="53">
        <f>tblNc[[#This Row],[ξx]]*(1-SQRT(1-(90/(tblNc[[#This Row],[ξx]]*tblNc[[#This Row],[λx]]))^2))</f>
        <v>0.99999999999998945</v>
      </c>
      <c r="AI13" s="69">
        <f>tblNc[[#This Row],[αcx]]*tblNc[[#This Row],[Ns]]</f>
        <v>13569443.999999857</v>
      </c>
      <c r="AJ13" s="69">
        <f>tblNc[[#This Row],[Ncx]]*0.9</f>
        <v>12212499.599999871</v>
      </c>
      <c r="AK13" s="53">
        <f>(tblNc[[#This Row],[lex]]/tblNc[[#This Row],[ry]])*(SQRT(tblNc[[#This Row],[kf]]))*SQRT((tblNc[[#This Row],[fy]]/tblNc[[#This Row],[fref]]))</f>
        <v>8.0684571015777244</v>
      </c>
      <c r="AL13" s="53">
        <f>(2100*(tblNc[[#This Row],[λny]]-13.5))/((tblNc[[#This Row],[λny]]^2)-(15.3*tblNc[[#This Row],[λny]])+2050)</f>
        <v>-5.7270229006523969</v>
      </c>
      <c r="AM13" s="53">
        <f>tblNc[[#This Row],[λny]]+tblNc[[#This Row],[αay]]*tblNc[[#This Row],[αb]]</f>
        <v>5.204945651251526</v>
      </c>
      <c r="AN13" s="53">
        <f>MAX((0.00326*(tblNc[[#This Row],[λy]]-13.5)),0)</f>
        <v>0</v>
      </c>
      <c r="AO13" s="53">
        <f>((tblNc[[#This Row],[λy]]/90)^2+1+tblNc[[#This Row],[ηy]])/(2*(tblNc[[#This Row],[λy]]/90)^2)</f>
        <v>149.99360849282428</v>
      </c>
      <c r="AP13" s="53">
        <f>tblNc[[#This Row],[ξy]]*(1-SQRT(1-(90/(tblNc[[#This Row],[ξy]]*tblNc[[#This Row],[λy]]))^2))</f>
        <v>0.99999999999999578</v>
      </c>
      <c r="AQ13" s="69">
        <f>tblNc[[#This Row],[αcy]]*tblNc[[#This Row],[Ns]]</f>
        <v>13569443.999999942</v>
      </c>
      <c r="AR13" s="69">
        <f>tblNc[[#This Row],[Ncy]]*0.9</f>
        <v>12212499.599999947</v>
      </c>
      <c r="AS13" s="69">
        <f>MIN(tblNc[[#This Row],[Ncy]],tblNc[[#This Row],[Ncx]],tblNc[[#This Row],[Ns]])</f>
        <v>13569443.999999857</v>
      </c>
      <c r="AT13" s="69">
        <f>tblNc[[#This Row],[Ncflex]]*0.9</f>
        <v>12212499.599999871</v>
      </c>
      <c r="AU13" s="69">
        <f t="array" ref="AU13">INDEX(tblfocDblSym[Nc],MATCH(tblNc[[#This Row],[Section]]&amp;tblNc[[#This Row],[lex]],tblfocDblSym[Section]&amp;tblfocDblSym[lex],0))</f>
        <v>11494624.348339342</v>
      </c>
      <c r="AV13" s="69" t="e">
        <f t="array" ref="AV13">INDEX(tblfocSglSym[Nc],MATCH(tblNc[[#This Row],[Section]]&amp;tblNc[[#This Row],[lex]],tblfocSglSym[Section]&amp;tblfocSglSym[lex],0))</f>
        <v>#N/A</v>
      </c>
      <c r="AW13" s="69">
        <f t="array" ref="AW13">INDEX(tblfocunsym[Nc],MATCH(tblNc[[#This Row],[Section]]&amp;tblNc[[#This Row],[lex]],tblfocunsym[Section]&amp;tblfocunsym[lex],0))</f>
        <v>11486570.486065663</v>
      </c>
      <c r="AX13" s="69">
        <f>IF(tblNc[[#This Row],[Axis]]="['x', 'y']",tblNc[[#This Row],[Ncz_dbl]],IF(tblNc[[#This Row],[Axis]]="[]",tblNc[[#This Row],[Ncz_un]],tblNc[[#This Row],[Ncz_sngl]]))</f>
        <v>11494624.348339342</v>
      </c>
      <c r="AY13" s="69">
        <f>MIN(tblNc[[#This Row],[Ncz_base]],tblNc[[#This Row],[Ns]])</f>
        <v>11494624.348339342</v>
      </c>
      <c r="AZ13" s="69">
        <f>tblNc[[#This Row],[Ncz]]*0.9</f>
        <v>10345161.913505407</v>
      </c>
      <c r="BA13" s="69">
        <f>MIN(tblNc[[#This Row],[Ncflex]],tblNc[[#This Row],[Ncz]])</f>
        <v>11494624.348339342</v>
      </c>
      <c r="BB13" s="69">
        <f>tblNc[[#This Row],[Nc]]*0.9</f>
        <v>10345161.913505407</v>
      </c>
    </row>
    <row r="14" spans="2:54" x14ac:dyDescent="0.2">
      <c r="B14" s="4" t="s">
        <v>9</v>
      </c>
      <c r="C14" s="55">
        <v>1.17E-3</v>
      </c>
      <c r="D14" s="9">
        <v>0.82399999999999995</v>
      </c>
      <c r="E14" s="57">
        <v>20</v>
      </c>
      <c r="F14" s="9">
        <v>1</v>
      </c>
      <c r="G14" s="9">
        <v>1</v>
      </c>
      <c r="H14" s="9">
        <v>1</v>
      </c>
      <c r="I14" s="60">
        <v>4.2500000000000003E-2</v>
      </c>
      <c r="J14" s="60">
        <v>1.6400000000000001E-2</v>
      </c>
      <c r="K14" s="59">
        <v>0</v>
      </c>
      <c r="L14" s="59">
        <v>0</v>
      </c>
      <c r="M14" s="62">
        <v>1.48E-8</v>
      </c>
      <c r="N14" s="64">
        <v>0</v>
      </c>
      <c r="O14" s="65">
        <v>320000000</v>
      </c>
      <c r="P14" s="65">
        <v>200000000000</v>
      </c>
      <c r="Q14" s="65">
        <v>80000000000</v>
      </c>
      <c r="R14" s="65">
        <v>250000000</v>
      </c>
      <c r="S14" s="8">
        <v>0.5</v>
      </c>
      <c r="T14" s="8" t="s">
        <v>51</v>
      </c>
      <c r="U14" s="7" t="b">
        <v>1</v>
      </c>
      <c r="V14" s="7" t="b">
        <v>1</v>
      </c>
      <c r="W14" s="68">
        <f>tblNc[[#This Row],[An]]*tblNc[[#This Row],[kf]]</f>
        <v>9.6407999999999997E-4</v>
      </c>
      <c r="X14" s="69">
        <f>tblNc[[#This Row],[Ae]]*tblNc[[#This Row],[fy]]</f>
        <v>308505.59999999998</v>
      </c>
      <c r="Y14" s="69">
        <f>tblNc[[#This Row],[Ns]]*0.9</f>
        <v>277655.03999999998</v>
      </c>
      <c r="Z14" s="72">
        <f>tblNc[[#This Row],[l]]*tblNc[[#This Row],[kex]]</f>
        <v>20</v>
      </c>
      <c r="AA14" s="72">
        <f>tblNc[[#This Row],[l]]*tblNc[[#This Row],[key]]</f>
        <v>20</v>
      </c>
      <c r="AB14" s="72">
        <f>tblNc[[#This Row],[kez]]*tblNc[[#This Row],[l]]</f>
        <v>20</v>
      </c>
      <c r="AC14" s="53">
        <f>(tblNc[[#This Row],[lex]]/tblNc[[#This Row],[rx]])*(SQRT(tblNc[[#This Row],[kf]]))*SQRT((tblNc[[#This Row],[fy]]/tblNc[[#This Row],[fref]]))</f>
        <v>483.292055668893</v>
      </c>
      <c r="AD14" s="53">
        <f>(2100*(tblNc[[#This Row],[λnx]]-13.5))/((tblNc[[#This Row],[λnx]]^2)-(15.3*tblNc[[#This Row],[λnx]])+2050)</f>
        <v>4.3227313035359813</v>
      </c>
      <c r="AE14" s="53">
        <f>tblNc[[#This Row],[λnx]]+tblNc[[#This Row],[αax]]*tblNc[[#This Row],[αb]]</f>
        <v>485.45342132066099</v>
      </c>
      <c r="AF14" s="53">
        <f>MAX((0.00326*(tblNc[[#This Row],[λx]]-13.5)),0)</f>
        <v>1.5385681535053548</v>
      </c>
      <c r="AG14" s="53">
        <f>((tblNc[[#This Row],[λx]]/90)^2+1+tblNc[[#This Row],[ηx]])/(2*(tblNc[[#This Row],[λx]]/90)^2)</f>
        <v>0.54362633383320025</v>
      </c>
      <c r="AH14" s="53">
        <f>tblNc[[#This Row],[ξx]]*(1-SQRT(1-(90/(tblNc[[#This Row],[ξx]]*tblNc[[#This Row],[λx]]))^2))</f>
        <v>3.2589376865671912E-2</v>
      </c>
      <c r="AI14" s="69">
        <f>tblNc[[#This Row],[αcx]]*tblNc[[#This Row],[Ns]]</f>
        <v>10054.005263570232</v>
      </c>
      <c r="AJ14" s="69">
        <f>tblNc[[#This Row],[Ncx]]*0.9</f>
        <v>9048.6047372132089</v>
      </c>
      <c r="AK14" s="53">
        <f>(tblNc[[#This Row],[lex]]/tblNc[[#This Row],[ry]])*(SQRT(tblNc[[#This Row],[kf]]))*SQRT((tblNc[[#This Row],[fy]]/tblNc[[#This Row],[fref]]))</f>
        <v>1252.4336808492653</v>
      </c>
      <c r="AL14" s="53">
        <f>(2100*(tblNc[[#This Row],[λny]]-13.5))/((tblNc[[#This Row],[λny]]^2)-(15.3*tblNc[[#This Row],[λny]])+2050)</f>
        <v>1.6769563699291525</v>
      </c>
      <c r="AM14" s="53">
        <f>tblNc[[#This Row],[λny]]+tblNc[[#This Row],[αay]]*tblNc[[#This Row],[αb]]</f>
        <v>1253.2721590342298</v>
      </c>
      <c r="AN14" s="53">
        <f>MAX((0.00326*(tblNc[[#This Row],[λy]]-13.5)),0)</f>
        <v>4.041657238451589</v>
      </c>
      <c r="AO14" s="53">
        <f>((tblNc[[#This Row],[λy]]/90)^2+1+tblNc[[#This Row],[ηy]])/(2*(tblNc[[#This Row],[λy]]/90)^2)</f>
        <v>0.51299982648134668</v>
      </c>
      <c r="AP14" s="53">
        <f>tblNc[[#This Row],[ξy]]*(1-SQRT(1-(90/(tblNc[[#This Row],[ξy]]*tblNc[[#This Row],[λy]]))^2))</f>
        <v>5.051151548023919E-3</v>
      </c>
      <c r="AQ14" s="69">
        <f>tblNc[[#This Row],[αcy]]*tblNc[[#This Row],[Ns]]</f>
        <v>1558.3085390140479</v>
      </c>
      <c r="AR14" s="69">
        <f>tblNc[[#This Row],[Ncy]]*0.9</f>
        <v>1402.4776851126433</v>
      </c>
      <c r="AS14" s="69">
        <f>MIN(tblNc[[#This Row],[Ncy]],tblNc[[#This Row],[Ncx]],tblNc[[#This Row],[Ns]])</f>
        <v>1558.3085390140479</v>
      </c>
      <c r="AT14" s="69">
        <f>tblNc[[#This Row],[Ncflex]]*0.9</f>
        <v>1402.4776851126433</v>
      </c>
      <c r="AU14" s="69" t="e">
        <f t="array" ref="AU14">INDEX(tblfocDblSym[Nc],MATCH(tblNc[[#This Row],[Section]]&amp;tblNc[[#This Row],[lex]],tblfocDblSym[Section]&amp;tblfocDblSym[lex],0))</f>
        <v>#N/A</v>
      </c>
      <c r="AV14" s="69" t="e">
        <f t="array" ref="AV14">INDEX(tblfocSglSym[Nc],MATCH(tblNc[[#This Row],[Section]]&amp;tblNc[[#This Row],[lex]],tblfocSglSym[Section]&amp;tblfocSglSym[lex],0))</f>
        <v>#N/A</v>
      </c>
      <c r="AW14" s="69">
        <f t="array" ref="AW14">INDEX(tblfocunsym[Nc],MATCH(tblNc[[#This Row],[Section]]&amp;tblNc[[#This Row],[lex]],tblfocunsym[Section]&amp;tblfocunsym[lex],0))</f>
        <v>953.86966672678363</v>
      </c>
      <c r="AX14" s="69">
        <f>IF(tblNc[[#This Row],[Axis]]="['x', 'y']",tblNc[[#This Row],[Ncz_dbl]],IF(tblNc[[#This Row],[Axis]]="[]",tblNc[[#This Row],[Ncz_un]],tblNc[[#This Row],[Ncz_sngl]]))</f>
        <v>953.86966672678363</v>
      </c>
      <c r="AY14" s="69">
        <f>MIN(tblNc[[#This Row],[Ncz_base]],tblNc[[#This Row],[Ns]])</f>
        <v>953.86966672678363</v>
      </c>
      <c r="AZ14" s="69">
        <f>tblNc[[#This Row],[Ncz]]*0.9</f>
        <v>858.48270005410529</v>
      </c>
      <c r="BA14" s="69">
        <f>MIN(tblNc[[#This Row],[Ncflex]],tblNc[[#This Row],[Ncz]])</f>
        <v>953.86966672678363</v>
      </c>
      <c r="BB14" s="69">
        <f>tblNc[[#This Row],[Nc]]*0.9</f>
        <v>858.48270005410529</v>
      </c>
    </row>
    <row r="15" spans="2:54" x14ac:dyDescent="0.2">
      <c r="B15" s="4" t="s">
        <v>9</v>
      </c>
      <c r="C15" s="55">
        <v>1.17E-3</v>
      </c>
      <c r="D15" s="9">
        <v>0.82399999999999995</v>
      </c>
      <c r="E15" s="57">
        <v>20</v>
      </c>
      <c r="F15" s="9">
        <v>0.5</v>
      </c>
      <c r="G15" s="9">
        <v>0.5</v>
      </c>
      <c r="H15" s="9">
        <v>0.5</v>
      </c>
      <c r="I15" s="60">
        <v>4.2500000000000003E-2</v>
      </c>
      <c r="J15" s="60">
        <v>1.6400000000000001E-2</v>
      </c>
      <c r="K15" s="59">
        <v>0</v>
      </c>
      <c r="L15" s="59">
        <v>0</v>
      </c>
      <c r="M15" s="62">
        <v>1.48E-8</v>
      </c>
      <c r="N15" s="64">
        <v>0</v>
      </c>
      <c r="O15" s="65">
        <v>320000000</v>
      </c>
      <c r="P15" s="65">
        <v>200000000000</v>
      </c>
      <c r="Q15" s="65">
        <v>80000000000</v>
      </c>
      <c r="R15" s="65">
        <v>250000000</v>
      </c>
      <c r="S15" s="8">
        <v>0.5</v>
      </c>
      <c r="T15" s="8" t="s">
        <v>51</v>
      </c>
      <c r="U15" s="7" t="b">
        <v>1</v>
      </c>
      <c r="V15" s="7" t="b">
        <v>1</v>
      </c>
      <c r="W15" s="68">
        <f>tblNc[[#This Row],[An]]*tblNc[[#This Row],[kf]]</f>
        <v>9.6407999999999997E-4</v>
      </c>
      <c r="X15" s="69">
        <f>tblNc[[#This Row],[Ae]]*tblNc[[#This Row],[fy]]</f>
        <v>308505.59999999998</v>
      </c>
      <c r="Y15" s="69">
        <f>tblNc[[#This Row],[Ns]]*0.9</f>
        <v>277655.03999999998</v>
      </c>
      <c r="Z15" s="72">
        <f>tblNc[[#This Row],[l]]*tblNc[[#This Row],[kex]]</f>
        <v>10</v>
      </c>
      <c r="AA15" s="72">
        <f>tblNc[[#This Row],[l]]*tblNc[[#This Row],[key]]</f>
        <v>10</v>
      </c>
      <c r="AB15" s="72">
        <f>tblNc[[#This Row],[kez]]*tblNc[[#This Row],[l]]</f>
        <v>10</v>
      </c>
      <c r="AC15" s="53">
        <f>(tblNc[[#This Row],[lex]]/tblNc[[#This Row],[rx]])*(SQRT(tblNc[[#This Row],[kf]]))*SQRT((tblNc[[#This Row],[fy]]/tblNc[[#This Row],[fref]]))</f>
        <v>241.6460278344465</v>
      </c>
      <c r="AD15" s="53">
        <f>(2100*(tblNc[[#This Row],[λnx]]-13.5))/((tblNc[[#This Row],[λnx]]^2)-(15.3*tblNc[[#This Row],[λnx]])+2050)</f>
        <v>8.4430599358997949</v>
      </c>
      <c r="AE15" s="53">
        <f>tblNc[[#This Row],[λnx]]+tblNc[[#This Row],[αax]]*tblNc[[#This Row],[αb]]</f>
        <v>245.86755780239639</v>
      </c>
      <c r="AF15" s="53">
        <f>MAX((0.00326*(tblNc[[#This Row],[λx]]-13.5)),0)</f>
        <v>0.75751823843581223</v>
      </c>
      <c r="AG15" s="53">
        <f>((tblNc[[#This Row],[λx]]/90)^2+1+tblNc[[#This Row],[ηx]])/(2*(tblNc[[#This Row],[λx]]/90)^2)</f>
        <v>0.61774769356539105</v>
      </c>
      <c r="AH15" s="53">
        <f>tblNc[[#This Row],[ξx]]*(1-SQRT(1-(90/(tblNc[[#This Row],[ξx]]*tblNc[[#This Row],[λx]]))^2))</f>
        <v>0.12013431648989735</v>
      </c>
      <c r="AI15" s="69">
        <f>tblNc[[#This Row],[αcx]]*tblNc[[#This Row],[Ns]]</f>
        <v>37062.109389305675</v>
      </c>
      <c r="AJ15" s="69">
        <f>tblNc[[#This Row],[Ncx]]*0.9</f>
        <v>33355.898450375105</v>
      </c>
      <c r="AK15" s="53">
        <f>(tblNc[[#This Row],[lex]]/tblNc[[#This Row],[ry]])*(SQRT(tblNc[[#This Row],[kf]]))*SQRT((tblNc[[#This Row],[fy]]/tblNc[[#This Row],[fref]]))</f>
        <v>626.21684042463266</v>
      </c>
      <c r="AL15" s="53">
        <f>(2100*(tblNc[[#This Row],[λny]]-13.5))/((tblNc[[#This Row],[λny]]^2)-(15.3*tblNc[[#This Row],[λny]])+2050)</f>
        <v>3.3454249987378755</v>
      </c>
      <c r="AM15" s="53">
        <f>tblNc[[#This Row],[λny]]+tblNc[[#This Row],[αay]]*tblNc[[#This Row],[αb]]</f>
        <v>627.88955292400158</v>
      </c>
      <c r="AN15" s="53">
        <f>MAX((0.00326*(tblNc[[#This Row],[λy]]-13.5)),0)</f>
        <v>2.002909942532245</v>
      </c>
      <c r="AO15" s="53">
        <f>((tblNc[[#This Row],[λy]]/90)^2+1+tblNc[[#This Row],[ηy]])/(2*(tblNc[[#This Row],[λy]]/90)^2)</f>
        <v>0.53084827023945735</v>
      </c>
      <c r="AP15" s="53">
        <f>tblNc[[#This Row],[ξy]]*(1-SQRT(1-(90/(tblNc[[#This Row],[ξy]]*tblNc[[#This Row],[λy]]))^2))</f>
        <v>1.9717855035262952E-2</v>
      </c>
      <c r="AQ15" s="69">
        <f>tblNc[[#This Row],[αcy]]*tblNc[[#This Row],[Ns]]</f>
        <v>6083.0686983668174</v>
      </c>
      <c r="AR15" s="69">
        <f>tblNc[[#This Row],[Ncy]]*0.9</f>
        <v>5474.761828530136</v>
      </c>
      <c r="AS15" s="69">
        <f>MIN(tblNc[[#This Row],[Ncy]],tblNc[[#This Row],[Ncx]],tblNc[[#This Row],[Ns]])</f>
        <v>6083.0686983668174</v>
      </c>
      <c r="AT15" s="69">
        <f>tblNc[[#This Row],[Ncflex]]*0.9</f>
        <v>5474.761828530136</v>
      </c>
      <c r="AU15" s="69" t="e">
        <f t="array" ref="AU15">INDEX(tblfocDblSym[Nc],MATCH(tblNc[[#This Row],[Section]]&amp;tblNc[[#This Row],[lex]],tblfocDblSym[Section]&amp;tblfocDblSym[lex],0))</f>
        <v>#N/A</v>
      </c>
      <c r="AV15" s="69" t="e">
        <f t="array" ref="AV15">INDEX(tblfocSglSym[Nc],MATCH(tblNc[[#This Row],[Section]]&amp;tblNc[[#This Row],[lex]],tblfocSglSym[Section]&amp;tblfocSglSym[lex],0))</f>
        <v>#N/A</v>
      </c>
      <c r="AW15" s="69">
        <f t="array" ref="AW15">INDEX(tblfocunsym[Nc],MATCH(tblNc[[#This Row],[Section]]&amp;tblNc[[#This Row],[lex]],tblfocunsym[Section]&amp;tblfocunsym[lex],0))</f>
        <v>3815.4786669071345</v>
      </c>
      <c r="AX15" s="69">
        <f>IF(tblNc[[#This Row],[Axis]]="['x', 'y']",tblNc[[#This Row],[Ncz_dbl]],IF(tblNc[[#This Row],[Axis]]="[]",tblNc[[#This Row],[Ncz_un]],tblNc[[#This Row],[Ncz_sngl]]))</f>
        <v>3815.4786669071345</v>
      </c>
      <c r="AY15" s="69">
        <f>MIN(tblNc[[#This Row],[Ncz_base]],tblNc[[#This Row],[Ns]])</f>
        <v>3815.4786669071345</v>
      </c>
      <c r="AZ15" s="69">
        <f>tblNc[[#This Row],[Ncz]]*0.9</f>
        <v>3433.9308002164212</v>
      </c>
      <c r="BA15" s="69">
        <f>MIN(tblNc[[#This Row],[Ncflex]],tblNc[[#This Row],[Ncz]])</f>
        <v>3815.4786669071345</v>
      </c>
      <c r="BB15" s="69">
        <f>tblNc[[#This Row],[Nc]]*0.9</f>
        <v>3433.9308002164212</v>
      </c>
    </row>
    <row r="16" spans="2:54" x14ac:dyDescent="0.2">
      <c r="B16" s="4" t="s">
        <v>9</v>
      </c>
      <c r="C16" s="55">
        <v>1.17E-3</v>
      </c>
      <c r="D16" s="9">
        <v>0.82399999999999995</v>
      </c>
      <c r="E16" s="57">
        <v>20</v>
      </c>
      <c r="F16" s="9">
        <v>0.25</v>
      </c>
      <c r="G16" s="9">
        <v>0.25</v>
      </c>
      <c r="H16" s="9">
        <v>0.25</v>
      </c>
      <c r="I16" s="60">
        <v>4.2500000000000003E-2</v>
      </c>
      <c r="J16" s="60">
        <v>1.6400000000000001E-2</v>
      </c>
      <c r="K16" s="59">
        <v>0</v>
      </c>
      <c r="L16" s="59">
        <v>0</v>
      </c>
      <c r="M16" s="62">
        <v>1.48E-8</v>
      </c>
      <c r="N16" s="64">
        <v>0</v>
      </c>
      <c r="O16" s="65">
        <v>320000000</v>
      </c>
      <c r="P16" s="65">
        <v>200000000000</v>
      </c>
      <c r="Q16" s="65">
        <v>80000000000</v>
      </c>
      <c r="R16" s="65">
        <v>250000000</v>
      </c>
      <c r="S16" s="8">
        <v>0.5</v>
      </c>
      <c r="T16" s="8" t="s">
        <v>51</v>
      </c>
      <c r="U16" s="7" t="b">
        <v>1</v>
      </c>
      <c r="V16" s="7" t="b">
        <v>1</v>
      </c>
      <c r="W16" s="68">
        <f>tblNc[[#This Row],[An]]*tblNc[[#This Row],[kf]]</f>
        <v>9.6407999999999997E-4</v>
      </c>
      <c r="X16" s="69">
        <f>tblNc[[#This Row],[Ae]]*tblNc[[#This Row],[fy]]</f>
        <v>308505.59999999998</v>
      </c>
      <c r="Y16" s="69">
        <f>tblNc[[#This Row],[Ns]]*0.9</f>
        <v>277655.03999999998</v>
      </c>
      <c r="Z16" s="72">
        <f>tblNc[[#This Row],[l]]*tblNc[[#This Row],[kex]]</f>
        <v>5</v>
      </c>
      <c r="AA16" s="72">
        <f>tblNc[[#This Row],[l]]*tblNc[[#This Row],[key]]</f>
        <v>5</v>
      </c>
      <c r="AB16" s="72">
        <f>tblNc[[#This Row],[kez]]*tblNc[[#This Row],[l]]</f>
        <v>5</v>
      </c>
      <c r="AC16" s="53">
        <f>(tblNc[[#This Row],[lex]]/tblNc[[#This Row],[rx]])*(SQRT(tblNc[[#This Row],[kf]]))*SQRT((tblNc[[#This Row],[fy]]/tblNc[[#This Row],[fref]]))</f>
        <v>120.82301391722325</v>
      </c>
      <c r="AD16" s="53">
        <f>(2100*(tblNc[[#This Row],[λnx]]-13.5))/((tblNc[[#This Row],[λnx]]^2)-(15.3*tblNc[[#This Row],[λnx]])+2050)</f>
        <v>15.228668246289033</v>
      </c>
      <c r="AE16" s="53">
        <f>tblNc[[#This Row],[λnx]]+tblNc[[#This Row],[αax]]*tblNc[[#This Row],[αb]]</f>
        <v>128.43734804036777</v>
      </c>
      <c r="AF16" s="53">
        <f>MAX((0.00326*(tblNc[[#This Row],[λx]]-13.5)),0)</f>
        <v>0.37469575461159893</v>
      </c>
      <c r="AG16" s="53">
        <f>((tblNc[[#This Row],[λx]]/90)^2+1+tblNc[[#This Row],[ηx]])/(2*(tblNc[[#This Row],[λx]]/90)^2)</f>
        <v>0.83750402401397095</v>
      </c>
      <c r="AH16" s="53">
        <f>tblNc[[#This Row],[ξx]]*(1-SQRT(1-(90/(tblNc[[#This Row],[ξx]]*tblNc[[#This Row],[λx]]))^2))</f>
        <v>0.37882178352863954</v>
      </c>
      <c r="AI16" s="69">
        <f>tblNc[[#This Row],[αcx]]*tblNc[[#This Row],[Ns]]</f>
        <v>116868.64162057305</v>
      </c>
      <c r="AJ16" s="69">
        <f>tblNc[[#This Row],[Ncx]]*0.9</f>
        <v>105181.77745851575</v>
      </c>
      <c r="AK16" s="53">
        <f>(tblNc[[#This Row],[lex]]/tblNc[[#This Row],[ry]])*(SQRT(tblNc[[#This Row],[kf]]))*SQRT((tblNc[[#This Row],[fy]]/tblNc[[#This Row],[fref]]))</f>
        <v>313.10842021231633</v>
      </c>
      <c r="AL16" s="53">
        <f>(2100*(tblNc[[#This Row],[λny]]-13.5))/((tblNc[[#This Row],[λny]]^2)-(15.3*tblNc[[#This Row],[λny]])+2050)</f>
        <v>6.6023289900156863</v>
      </c>
      <c r="AM16" s="53">
        <f>tblNc[[#This Row],[λny]]+tblNc[[#This Row],[αay]]*tblNc[[#This Row],[αb]]</f>
        <v>316.4095847073242</v>
      </c>
      <c r="AN16" s="53">
        <f>MAX((0.00326*(tblNc[[#This Row],[λy]]-13.5)),0)</f>
        <v>0.98748524614587685</v>
      </c>
      <c r="AO16" s="53">
        <f>((tblNc[[#This Row],[λy]]/90)^2+1+tblNc[[#This Row],[ηy]])/(2*(tblNc[[#This Row],[λy]]/90)^2)</f>
        <v>0.5804006713597667</v>
      </c>
      <c r="AP16" s="53">
        <f>tblNc[[#This Row],[ξy]]*(1-SQRT(1-(90/(tblNc[[#This Row],[ξy]]*tblNc[[#This Row],[λy]]))^2))</f>
        <v>7.4477749604836732E-2</v>
      </c>
      <c r="AQ16" s="69">
        <f>tblNc[[#This Row],[αcy]]*tblNc[[#This Row],[Ns]]</f>
        <v>22976.802828489916</v>
      </c>
      <c r="AR16" s="69">
        <f>tblNc[[#This Row],[Ncy]]*0.9</f>
        <v>20679.122545640923</v>
      </c>
      <c r="AS16" s="69">
        <f>MIN(tblNc[[#This Row],[Ncy]],tblNc[[#This Row],[Ncx]],tblNc[[#This Row],[Ns]])</f>
        <v>22976.802828489916</v>
      </c>
      <c r="AT16" s="69">
        <f>tblNc[[#This Row],[Ncflex]]*0.9</f>
        <v>20679.122545640923</v>
      </c>
      <c r="AU16" s="69" t="e">
        <f t="array" ref="AU16">INDEX(tblfocDblSym[Nc],MATCH(tblNc[[#This Row],[Section]]&amp;tblNc[[#This Row],[lex]],tblfocDblSym[Section]&amp;tblfocDblSym[lex],0))</f>
        <v>#N/A</v>
      </c>
      <c r="AV16" s="69" t="e">
        <f t="array" ref="AV16">INDEX(tblfocSglSym[Nc],MATCH(tblNc[[#This Row],[Section]]&amp;tblNc[[#This Row],[lex]],tblfocSglSym[Section]&amp;tblfocSglSym[lex],0))</f>
        <v>#N/A</v>
      </c>
      <c r="AW16" s="69">
        <f t="array" ref="AW16">INDEX(tblfocunsym[Nc],MATCH(tblNc[[#This Row],[Section]]&amp;tblNc[[#This Row],[lex]],tblfocunsym[Section]&amp;tblfocunsym[lex],0))</f>
        <v>15261.914667628538</v>
      </c>
      <c r="AX16" s="69">
        <f>IF(tblNc[[#This Row],[Axis]]="['x', 'y']",tblNc[[#This Row],[Ncz_dbl]],IF(tblNc[[#This Row],[Axis]]="[]",tblNc[[#This Row],[Ncz_un]],tblNc[[#This Row],[Ncz_sngl]]))</f>
        <v>15261.914667628538</v>
      </c>
      <c r="AY16" s="69">
        <f>MIN(tblNc[[#This Row],[Ncz_base]],tblNc[[#This Row],[Ns]])</f>
        <v>15261.914667628538</v>
      </c>
      <c r="AZ16" s="69">
        <f>tblNc[[#This Row],[Ncz]]*0.9</f>
        <v>13735.723200865685</v>
      </c>
      <c r="BA16" s="69">
        <f>MIN(tblNc[[#This Row],[Ncflex]],tblNc[[#This Row],[Ncz]])</f>
        <v>15261.914667628538</v>
      </c>
      <c r="BB16" s="69">
        <f>tblNc[[#This Row],[Nc]]*0.9</f>
        <v>13735.723200865685</v>
      </c>
    </row>
    <row r="17" spans="2:54" x14ac:dyDescent="0.2">
      <c r="B17" s="4" t="s">
        <v>9</v>
      </c>
      <c r="C17" s="55">
        <v>1.17E-3</v>
      </c>
      <c r="D17" s="9">
        <v>0.82399999999999995</v>
      </c>
      <c r="E17" s="57">
        <v>20</v>
      </c>
      <c r="F17" s="9">
        <v>0.05</v>
      </c>
      <c r="G17" s="9">
        <v>0.05</v>
      </c>
      <c r="H17" s="9">
        <v>0.05</v>
      </c>
      <c r="I17" s="60">
        <v>4.2500000000000003E-2</v>
      </c>
      <c r="J17" s="60">
        <v>1.6400000000000001E-2</v>
      </c>
      <c r="K17" s="59">
        <v>0</v>
      </c>
      <c r="L17" s="59">
        <v>0</v>
      </c>
      <c r="M17" s="62">
        <v>1.48E-8</v>
      </c>
      <c r="N17" s="64">
        <v>0</v>
      </c>
      <c r="O17" s="65">
        <v>320000000</v>
      </c>
      <c r="P17" s="65">
        <v>200000000000</v>
      </c>
      <c r="Q17" s="65">
        <v>80000000000</v>
      </c>
      <c r="R17" s="65">
        <v>250000000</v>
      </c>
      <c r="S17" s="8">
        <v>0.5</v>
      </c>
      <c r="T17" s="8" t="s">
        <v>51</v>
      </c>
      <c r="U17" s="7" t="b">
        <v>1</v>
      </c>
      <c r="V17" s="7" t="b">
        <v>1</v>
      </c>
      <c r="W17" s="68">
        <f>tblNc[[#This Row],[An]]*tblNc[[#This Row],[kf]]</f>
        <v>9.6407999999999997E-4</v>
      </c>
      <c r="X17" s="69">
        <f>tblNc[[#This Row],[Ae]]*tblNc[[#This Row],[fy]]</f>
        <v>308505.59999999998</v>
      </c>
      <c r="Y17" s="69">
        <f>tblNc[[#This Row],[Ns]]*0.9</f>
        <v>277655.03999999998</v>
      </c>
      <c r="Z17" s="72">
        <f>tblNc[[#This Row],[l]]*tblNc[[#This Row],[kex]]</f>
        <v>1</v>
      </c>
      <c r="AA17" s="72">
        <f>tblNc[[#This Row],[l]]*tblNc[[#This Row],[key]]</f>
        <v>1</v>
      </c>
      <c r="AB17" s="72">
        <f>tblNc[[#This Row],[kez]]*tblNc[[#This Row],[l]]</f>
        <v>1</v>
      </c>
      <c r="AC17" s="53">
        <f>(tblNc[[#This Row],[lex]]/tblNc[[#This Row],[rx]])*(SQRT(tblNc[[#This Row],[kf]]))*SQRT((tblNc[[#This Row],[fy]]/tblNc[[#This Row],[fref]]))</f>
        <v>24.16460278344465</v>
      </c>
      <c r="AD17" s="53">
        <f>(2100*(tblNc[[#This Row],[λnx]]-13.5))/((tblNc[[#This Row],[λnx]]^2)-(15.3*tblNc[[#This Row],[λnx]])+2050)</f>
        <v>9.8911628123291724</v>
      </c>
      <c r="AE17" s="53">
        <f>tblNc[[#This Row],[λnx]]+tblNc[[#This Row],[αax]]*tblNc[[#This Row],[αb]]</f>
        <v>29.110184189609235</v>
      </c>
      <c r="AF17" s="53">
        <f>MAX((0.00326*(tblNc[[#This Row],[λx]]-13.5)),0)</f>
        <v>5.0889200458126102E-2</v>
      </c>
      <c r="AG17" s="53">
        <f>((tblNc[[#This Row],[λx]]/90)^2+1+tblNc[[#This Row],[ηx]])/(2*(tblNc[[#This Row],[λx]]/90)^2)</f>
        <v>5.5225242866320716</v>
      </c>
      <c r="AH17" s="53">
        <f>tblNc[[#This Row],[ξx]]*(1-SQRT(1-(90/(tblNc[[#This Row],[ξx]]*tblNc[[#This Row],[λx]]))^2))</f>
        <v>0.94653735945013662</v>
      </c>
      <c r="AI17" s="69">
        <f>tblNc[[#This Row],[αcx]]*tblNc[[#This Row],[Ns]]</f>
        <v>292012.07599958003</v>
      </c>
      <c r="AJ17" s="69">
        <f>tblNc[[#This Row],[Ncx]]*0.9</f>
        <v>262810.86839962204</v>
      </c>
      <c r="AK17" s="53">
        <f>(tblNc[[#This Row],[lex]]/tblNc[[#This Row],[ry]])*(SQRT(tblNc[[#This Row],[kf]]))*SQRT((tblNc[[#This Row],[fy]]/tblNc[[#This Row],[fref]]))</f>
        <v>62.621684042463265</v>
      </c>
      <c r="AL17" s="53">
        <f>(2100*(tblNc[[#This Row],[λny]]-13.5))/((tblNc[[#This Row],[λny]]^2)-(15.3*tblNc[[#This Row],[λny]])+2050)</f>
        <v>20.576113328530013</v>
      </c>
      <c r="AM17" s="53">
        <f>tblNc[[#This Row],[λny]]+tblNc[[#This Row],[αay]]*tblNc[[#This Row],[αb]]</f>
        <v>72.909740706728272</v>
      </c>
      <c r="AN17" s="53">
        <f>MAX((0.00326*(tblNc[[#This Row],[λy]]-13.5)),0)</f>
        <v>0.19367575470393417</v>
      </c>
      <c r="AO17" s="53">
        <f>((tblNc[[#This Row],[λy]]/90)^2+1+tblNc[[#This Row],[ηy]])/(2*(tblNc[[#This Row],[λy]]/90)^2)</f>
        <v>1.4094321193277881</v>
      </c>
      <c r="AP17" s="53">
        <f>tblNc[[#This Row],[ξy]]*(1-SQRT(1-(90/(tblNc[[#This Row],[ξy]]*tblNc[[#This Row],[λy]]))^2))</f>
        <v>0.72917612150534739</v>
      </c>
      <c r="AQ17" s="69">
        <f>tblNc[[#This Row],[αcy]]*tblNc[[#This Row],[Ns]]</f>
        <v>224954.91687068008</v>
      </c>
      <c r="AR17" s="69">
        <f>tblNc[[#This Row],[Ncy]]*0.9</f>
        <v>202459.42518361207</v>
      </c>
      <c r="AS17" s="69">
        <f>MIN(tblNc[[#This Row],[Ncy]],tblNc[[#This Row],[Ncx]],tblNc[[#This Row],[Ns]])</f>
        <v>224954.91687068008</v>
      </c>
      <c r="AT17" s="69">
        <f>tblNc[[#This Row],[Ncflex]]*0.9</f>
        <v>202459.42518361207</v>
      </c>
      <c r="AU17" s="69" t="e">
        <f t="array" ref="AU17">INDEX(tblfocDblSym[Nc],MATCH(tblNc[[#This Row],[Section]]&amp;tblNc[[#This Row],[lex]],tblfocDblSym[Section]&amp;tblfocDblSym[lex],0))</f>
        <v>#N/A</v>
      </c>
      <c r="AV17" s="69" t="e">
        <f t="array" ref="AV17">INDEX(tblfocSglSym[Nc],MATCH(tblNc[[#This Row],[Section]]&amp;tblNc[[#This Row],[lex]],tblfocSglSym[Section]&amp;tblfocSglSym[lex],0))</f>
        <v>#N/A</v>
      </c>
      <c r="AW17" s="69">
        <f t="array" ref="AW17">INDEX(tblfocunsym[Nc],MATCH(tblNc[[#This Row],[Section]]&amp;tblNc[[#This Row],[lex]],tblfocunsym[Section]&amp;tblfocunsym[lex],0))</f>
        <v>199250.34058841979</v>
      </c>
      <c r="AX17" s="69">
        <f>IF(tblNc[[#This Row],[Axis]]="['x', 'y']",tblNc[[#This Row],[Ncz_dbl]],IF(tblNc[[#This Row],[Axis]]="[]",tblNc[[#This Row],[Ncz_un]],tblNc[[#This Row],[Ncz_sngl]]))</f>
        <v>199250.34058841979</v>
      </c>
      <c r="AY17" s="69">
        <f>MIN(tblNc[[#This Row],[Ncz_base]],tblNc[[#This Row],[Ns]])</f>
        <v>199250.34058841979</v>
      </c>
      <c r="AZ17" s="69">
        <f>tblNc[[#This Row],[Ncz]]*0.9</f>
        <v>179325.30652957782</v>
      </c>
      <c r="BA17" s="69">
        <f>MIN(tblNc[[#This Row],[Ncflex]],tblNc[[#This Row],[Ncz]])</f>
        <v>199250.34058841979</v>
      </c>
      <c r="BB17" s="69">
        <f>tblNc[[#This Row],[Nc]]*0.9</f>
        <v>179325.30652957782</v>
      </c>
    </row>
    <row r="18" spans="2:54" x14ac:dyDescent="0.2">
      <c r="B18" s="4" t="s">
        <v>9</v>
      </c>
      <c r="C18" s="55">
        <v>1.17E-3</v>
      </c>
      <c r="D18" s="9">
        <v>0.82399999999999995</v>
      </c>
      <c r="E18" s="57">
        <v>20</v>
      </c>
      <c r="F18" s="9">
        <v>2.5000000000000001E-2</v>
      </c>
      <c r="G18" s="9">
        <v>2.5000000000000001E-2</v>
      </c>
      <c r="H18" s="9">
        <v>2.5000000000000001E-2</v>
      </c>
      <c r="I18" s="60">
        <v>4.2500000000000003E-2</v>
      </c>
      <c r="J18" s="60">
        <v>1.6400000000000001E-2</v>
      </c>
      <c r="K18" s="59">
        <v>0</v>
      </c>
      <c r="L18" s="59">
        <v>0</v>
      </c>
      <c r="M18" s="62">
        <v>1.48E-8</v>
      </c>
      <c r="N18" s="64">
        <v>0</v>
      </c>
      <c r="O18" s="65">
        <v>320000000</v>
      </c>
      <c r="P18" s="65">
        <v>200000000000</v>
      </c>
      <c r="Q18" s="65">
        <v>80000000000</v>
      </c>
      <c r="R18" s="65">
        <v>250000000</v>
      </c>
      <c r="S18" s="8">
        <v>0.5</v>
      </c>
      <c r="T18" s="8" t="s">
        <v>51</v>
      </c>
      <c r="U18" s="7" t="b">
        <v>1</v>
      </c>
      <c r="V18" s="7" t="b">
        <v>1</v>
      </c>
      <c r="W18" s="68">
        <f>tblNc[[#This Row],[An]]*tblNc[[#This Row],[kf]]</f>
        <v>9.6407999999999997E-4</v>
      </c>
      <c r="X18" s="69">
        <f>tblNc[[#This Row],[Ae]]*tblNc[[#This Row],[fy]]</f>
        <v>308505.59999999998</v>
      </c>
      <c r="Y18" s="69">
        <f>tblNc[[#This Row],[Ns]]*0.9</f>
        <v>277655.03999999998</v>
      </c>
      <c r="Z18" s="72">
        <f>tblNc[[#This Row],[l]]*tblNc[[#This Row],[kex]]</f>
        <v>0.5</v>
      </c>
      <c r="AA18" s="72">
        <f>tblNc[[#This Row],[l]]*tblNc[[#This Row],[key]]</f>
        <v>0.5</v>
      </c>
      <c r="AB18" s="72">
        <f>tblNc[[#This Row],[kez]]*tblNc[[#This Row],[l]]</f>
        <v>0.5</v>
      </c>
      <c r="AC18" s="53">
        <f>(tblNc[[#This Row],[lex]]/tblNc[[#This Row],[rx]])*(SQRT(tblNc[[#This Row],[kf]]))*SQRT((tblNc[[#This Row],[fy]]/tblNc[[#This Row],[fref]]))</f>
        <v>12.082301391722325</v>
      </c>
      <c r="AD18" s="53">
        <f>(2100*(tblNc[[#This Row],[λnx]]-13.5))/((tblNc[[#This Row],[λnx]]^2)-(15.3*tblNc[[#This Row],[λnx]])+2050)</f>
        <v>-1.4803507194372203</v>
      </c>
      <c r="AE18" s="53">
        <f>tblNc[[#This Row],[λnx]]+tblNc[[#This Row],[αax]]*tblNc[[#This Row],[αb]]</f>
        <v>11.342126032003716</v>
      </c>
      <c r="AF18" s="53">
        <f>MAX((0.00326*(tblNc[[#This Row],[λx]]-13.5)),0)</f>
        <v>0</v>
      </c>
      <c r="AG18" s="53">
        <f>((tblNc[[#This Row],[λx]]/90)^2+1+tblNc[[#This Row],[ηx]])/(2*(tblNc[[#This Row],[λx]]/90)^2)</f>
        <v>31.982273364452254</v>
      </c>
      <c r="AH18" s="53">
        <f>tblNc[[#This Row],[ξx]]*(1-SQRT(1-(90/(tblNc[[#This Row],[ξx]]*tblNc[[#This Row],[λx]]))^2))</f>
        <v>0.99999999999999911</v>
      </c>
      <c r="AI18" s="69">
        <f>tblNc[[#This Row],[αcx]]*tblNc[[#This Row],[Ns]]</f>
        <v>308505.59999999969</v>
      </c>
      <c r="AJ18" s="69">
        <f>tblNc[[#This Row],[Ncx]]*0.9</f>
        <v>277655.03999999975</v>
      </c>
      <c r="AK18" s="53">
        <f>(tblNc[[#This Row],[lex]]/tblNc[[#This Row],[ry]])*(SQRT(tblNc[[#This Row],[kf]]))*SQRT((tblNc[[#This Row],[fy]]/tblNc[[#This Row],[fref]]))</f>
        <v>31.310842021231633</v>
      </c>
      <c r="AL18" s="53">
        <f>(2100*(tblNc[[#This Row],[λny]]-13.5))/((tblNc[[#This Row],[λny]]^2)-(15.3*tblNc[[#This Row],[λny]])+2050)</f>
        <v>14.660204000310687</v>
      </c>
      <c r="AM18" s="53">
        <f>tblNc[[#This Row],[λny]]+tblNc[[#This Row],[αay]]*tblNc[[#This Row],[αb]]</f>
        <v>38.640944021386979</v>
      </c>
      <c r="AN18" s="53">
        <f>MAX((0.00326*(tblNc[[#This Row],[λy]]-13.5)),0)</f>
        <v>8.1959477509721546E-2</v>
      </c>
      <c r="AO18" s="53">
        <f>((tblNc[[#This Row],[λy]]/90)^2+1+tblNc[[#This Row],[ηy]])/(2*(tblNc[[#This Row],[λy]]/90)^2)</f>
        <v>3.4347462936916182</v>
      </c>
      <c r="AP18" s="53">
        <f>tblNc[[#This Row],[ξy]]*(1-SQRT(1-(90/(tblNc[[#This Row],[ξy]]*tblNc[[#This Row],[λy]]))^2))</f>
        <v>0.91034354086857472</v>
      </c>
      <c r="AQ18" s="69">
        <f>tblNc[[#This Row],[αcy]]*tblNc[[#This Row],[Ns]]</f>
        <v>280846.08028178412</v>
      </c>
      <c r="AR18" s="69">
        <f>tblNc[[#This Row],[Ncy]]*0.9</f>
        <v>252761.47225360572</v>
      </c>
      <c r="AS18" s="69">
        <f>MIN(tblNc[[#This Row],[Ncy]],tblNc[[#This Row],[Ncx]],tblNc[[#This Row],[Ns]])</f>
        <v>280846.08028178412</v>
      </c>
      <c r="AT18" s="69">
        <f>tblNc[[#This Row],[Ncflex]]*0.9</f>
        <v>252761.47225360572</v>
      </c>
      <c r="AU18" s="69" t="e">
        <f t="array" ref="AU18">INDEX(tblfocDblSym[Nc],MATCH(tblNc[[#This Row],[Section]]&amp;tblNc[[#This Row],[lex]],tblfocDblSym[Section]&amp;tblfocDblSym[lex],0))</f>
        <v>#N/A</v>
      </c>
      <c r="AV18" s="69" t="e">
        <f t="array" ref="AV18">INDEX(tblfocSglSym[Nc],MATCH(tblNc[[#This Row],[Section]]&amp;tblNc[[#This Row],[lex]],tblfocSglSym[Section]&amp;tblfocSglSym[lex],0))</f>
        <v>#N/A</v>
      </c>
      <c r="AW18" s="69">
        <f t="array" ref="AW18">INDEX(tblfocunsym[Nc],MATCH(tblNc[[#This Row],[Section]]&amp;tblNc[[#This Row],[lex]],tblfocunsym[Section]&amp;tblfocunsym[lex],0))</f>
        <v>199250.34058841979</v>
      </c>
      <c r="AX18" s="69">
        <f>IF(tblNc[[#This Row],[Axis]]="['x', 'y']",tblNc[[#This Row],[Ncz_dbl]],IF(tblNc[[#This Row],[Axis]]="[]",tblNc[[#This Row],[Ncz_un]],tblNc[[#This Row],[Ncz_sngl]]))</f>
        <v>199250.34058841979</v>
      </c>
      <c r="AY18" s="69">
        <f>MIN(tblNc[[#This Row],[Ncz_base]],tblNc[[#This Row],[Ns]])</f>
        <v>199250.34058841979</v>
      </c>
      <c r="AZ18" s="69">
        <f>tblNc[[#This Row],[Ncz]]*0.9</f>
        <v>179325.30652957782</v>
      </c>
      <c r="BA18" s="69">
        <f>MIN(tblNc[[#This Row],[Ncflex]],tblNc[[#This Row],[Ncz]])</f>
        <v>199250.34058841979</v>
      </c>
      <c r="BB18" s="69">
        <f>tblNc[[#This Row],[Nc]]*0.9</f>
        <v>179325.30652957782</v>
      </c>
    </row>
    <row r="19" spans="2:54" x14ac:dyDescent="0.2">
      <c r="B19" s="4" t="s">
        <v>9</v>
      </c>
      <c r="C19" s="55">
        <v>1.17E-3</v>
      </c>
      <c r="D19" s="9">
        <v>0.82399999999999995</v>
      </c>
      <c r="E19" s="57">
        <v>20</v>
      </c>
      <c r="F19" s="9">
        <v>5.0000000000000001E-3</v>
      </c>
      <c r="G19" s="9">
        <v>5.0000000000000001E-3</v>
      </c>
      <c r="H19" s="9">
        <v>5.0000000000000001E-3</v>
      </c>
      <c r="I19" s="60">
        <v>4.2500000000000003E-2</v>
      </c>
      <c r="J19" s="60">
        <v>1.6400000000000001E-2</v>
      </c>
      <c r="K19" s="59">
        <v>0</v>
      </c>
      <c r="L19" s="59">
        <v>0</v>
      </c>
      <c r="M19" s="62">
        <v>1.48E-8</v>
      </c>
      <c r="N19" s="64">
        <v>0</v>
      </c>
      <c r="O19" s="65">
        <v>320000000</v>
      </c>
      <c r="P19" s="65">
        <v>200000000000</v>
      </c>
      <c r="Q19" s="65">
        <v>80000000000</v>
      </c>
      <c r="R19" s="65">
        <v>250000000</v>
      </c>
      <c r="S19" s="8">
        <v>0.5</v>
      </c>
      <c r="T19" s="8" t="s">
        <v>51</v>
      </c>
      <c r="U19" s="7" t="b">
        <v>1</v>
      </c>
      <c r="V19" s="7" t="b">
        <v>1</v>
      </c>
      <c r="W19" s="68">
        <f>tblNc[[#This Row],[An]]*tblNc[[#This Row],[kf]]</f>
        <v>9.6407999999999997E-4</v>
      </c>
      <c r="X19" s="69">
        <f>tblNc[[#This Row],[Ae]]*tblNc[[#This Row],[fy]]</f>
        <v>308505.59999999998</v>
      </c>
      <c r="Y19" s="69">
        <f>tblNc[[#This Row],[Ns]]*0.9</f>
        <v>277655.03999999998</v>
      </c>
      <c r="Z19" s="72">
        <f>tblNc[[#This Row],[l]]*tblNc[[#This Row],[kex]]</f>
        <v>0.1</v>
      </c>
      <c r="AA19" s="72">
        <f>tblNc[[#This Row],[l]]*tblNc[[#This Row],[key]]</f>
        <v>0.1</v>
      </c>
      <c r="AB19" s="72">
        <f>tblNc[[#This Row],[kez]]*tblNc[[#This Row],[l]]</f>
        <v>0.1</v>
      </c>
      <c r="AC19" s="53">
        <f>(tblNc[[#This Row],[lex]]/tblNc[[#This Row],[rx]])*(SQRT(tblNc[[#This Row],[kf]]))*SQRT((tblNc[[#This Row],[fy]]/tblNc[[#This Row],[fref]]))</f>
        <v>2.4164602783444651</v>
      </c>
      <c r="AD19" s="53">
        <f>(2100*(tblNc[[#This Row],[λnx]]-13.5))/((tblNc[[#This Row],[λnx]]^2)-(15.3*tblNc[[#This Row],[λnx]])+2050)</f>
        <v>-11.528955778456327</v>
      </c>
      <c r="AE19" s="53">
        <f>tblNc[[#This Row],[λnx]]+tblNc[[#This Row],[αax]]*tblNc[[#This Row],[αb]]</f>
        <v>-3.3480176108836983</v>
      </c>
      <c r="AF19" s="53">
        <f>MAX((0.00326*(tblNc[[#This Row],[λx]]-13.5)),0)</f>
        <v>0</v>
      </c>
      <c r="AG19" s="53">
        <f>((tblNc[[#This Row],[λx]]/90)^2+1+tblNc[[#This Row],[ηx]])/(2*(tblNc[[#This Row],[λx]]/90)^2)</f>
        <v>361.80964556662911</v>
      </c>
      <c r="AH19" s="53">
        <f>tblNc[[#This Row],[ξx]]*(1-SQRT(1-(90/(tblNc[[#This Row],[ξx]]*tblNc[[#This Row],[λx]]))^2))</f>
        <v>1.0000000000000089</v>
      </c>
      <c r="AI19" s="69">
        <f>tblNc[[#This Row],[αcx]]*tblNc[[#This Row],[Ns]]</f>
        <v>308505.60000000271</v>
      </c>
      <c r="AJ19" s="69">
        <f>tblNc[[#This Row],[Ncx]]*0.9</f>
        <v>277655.04000000242</v>
      </c>
      <c r="AK19" s="53">
        <f>(tblNc[[#This Row],[lex]]/tblNc[[#This Row],[ry]])*(SQRT(tblNc[[#This Row],[kf]]))*SQRT((tblNc[[#This Row],[fy]]/tblNc[[#This Row],[fref]]))</f>
        <v>6.262168404246327</v>
      </c>
      <c r="AL19" s="53">
        <f>(2100*(tblNc[[#This Row],[λny]]-13.5))/((tblNc[[#This Row],[λny]]^2)-(15.3*tblNc[[#This Row],[λny]])+2050)</f>
        <v>-7.6248716165537864</v>
      </c>
      <c r="AM19" s="53">
        <f>tblNc[[#This Row],[λny]]+tblNc[[#This Row],[αay]]*tblNc[[#This Row],[αb]]</f>
        <v>2.4497325959694338</v>
      </c>
      <c r="AN19" s="53">
        <f>MAX((0.00326*(tblNc[[#This Row],[λy]]-13.5)),0)</f>
        <v>0</v>
      </c>
      <c r="AO19" s="53">
        <f>((tblNc[[#This Row],[λy]]/90)^2+1+tblNc[[#This Row],[ηy]])/(2*(tblNc[[#This Row],[λy]]/90)^2)</f>
        <v>675.36617496486724</v>
      </c>
      <c r="AP19" s="53">
        <f>tblNc[[#This Row],[ξy]]*(1-SQRT(1-(90/(tblNc[[#This Row],[ξy]]*tblNc[[#This Row],[λy]]))^2))</f>
        <v>1.000000000000042</v>
      </c>
      <c r="AQ19" s="69">
        <f>tblNc[[#This Row],[αcy]]*tblNc[[#This Row],[Ns]]</f>
        <v>308505.6000000129</v>
      </c>
      <c r="AR19" s="69">
        <f>tblNc[[#This Row],[Ncy]]*0.9</f>
        <v>277655.04000001162</v>
      </c>
      <c r="AS19" s="69">
        <f>MIN(tblNc[[#This Row],[Ncy]],tblNc[[#This Row],[Ncx]],tblNc[[#This Row],[Ns]])</f>
        <v>308505.59999999998</v>
      </c>
      <c r="AT19" s="69">
        <f>tblNc[[#This Row],[Ncflex]]*0.9</f>
        <v>277655.03999999998</v>
      </c>
      <c r="AU19" s="69" t="e">
        <f t="array" ref="AU19">INDEX(tblfocDblSym[Nc],MATCH(tblNc[[#This Row],[Section]]&amp;tblNc[[#This Row],[lex]],tblfocDblSym[Section]&amp;tblfocDblSym[lex],0))</f>
        <v>#N/A</v>
      </c>
      <c r="AV19" s="69" t="e">
        <f t="array" ref="AV19">INDEX(tblfocSglSym[Nc],MATCH(tblNc[[#This Row],[Section]]&amp;tblNc[[#This Row],[lex]],tblfocSglSym[Section]&amp;tblfocSglSym[lex],0))</f>
        <v>#N/A</v>
      </c>
      <c r="AW19" s="69">
        <f t="array" ref="AW19">INDEX(tblfocunsym[Nc],MATCH(tblNc[[#This Row],[Section]]&amp;tblNc[[#This Row],[lex]],tblfocunsym[Section]&amp;tblfocunsym[lex],0))</f>
        <v>199250.34058841987</v>
      </c>
      <c r="AX19" s="69">
        <f>IF(tblNc[[#This Row],[Axis]]="['x', 'y']",tblNc[[#This Row],[Ncz_dbl]],IF(tblNc[[#This Row],[Axis]]="[]",tblNc[[#This Row],[Ncz_un]],tblNc[[#This Row],[Ncz_sngl]]))</f>
        <v>199250.34058841987</v>
      </c>
      <c r="AY19" s="69">
        <f>MIN(tblNc[[#This Row],[Ncz_base]],tblNc[[#This Row],[Ns]])</f>
        <v>199250.34058841987</v>
      </c>
      <c r="AZ19" s="69">
        <f>tblNc[[#This Row],[Ncz]]*0.9</f>
        <v>179325.30652957788</v>
      </c>
      <c r="BA19" s="69">
        <f>MIN(tblNc[[#This Row],[Ncflex]],tblNc[[#This Row],[Ncz]])</f>
        <v>199250.34058841987</v>
      </c>
      <c r="BB19" s="69">
        <f>tblNc[[#This Row],[Nc]]*0.9</f>
        <v>179325.30652957788</v>
      </c>
    </row>
    <row r="20" spans="2:54" x14ac:dyDescent="0.2">
      <c r="B20" s="4" t="s">
        <v>8</v>
      </c>
      <c r="C20" s="55">
        <v>2.7899999999999999E-3</v>
      </c>
      <c r="D20" s="9">
        <v>0.95799999999999996</v>
      </c>
      <c r="E20" s="57">
        <v>20</v>
      </c>
      <c r="F20" s="9">
        <v>1</v>
      </c>
      <c r="G20" s="9">
        <v>1</v>
      </c>
      <c r="H20" s="9">
        <v>1</v>
      </c>
      <c r="I20" s="60">
        <v>5.8700000000000002E-2</v>
      </c>
      <c r="J20" s="60">
        <v>2.98E-2</v>
      </c>
      <c r="K20" s="59">
        <v>0</v>
      </c>
      <c r="L20" s="59">
        <v>0</v>
      </c>
      <c r="M20" s="62">
        <v>8.8899999999999995E-8</v>
      </c>
      <c r="N20" s="64">
        <v>0</v>
      </c>
      <c r="O20" s="65">
        <v>320000000</v>
      </c>
      <c r="P20" s="65">
        <v>200000000000</v>
      </c>
      <c r="Q20" s="65">
        <v>80000000000</v>
      </c>
      <c r="R20" s="65">
        <v>250000000</v>
      </c>
      <c r="S20" s="8">
        <v>0.5</v>
      </c>
      <c r="T20" s="8" t="s">
        <v>49</v>
      </c>
      <c r="U20" s="7" t="b">
        <v>1</v>
      </c>
      <c r="V20" s="7" t="b">
        <v>1</v>
      </c>
      <c r="W20" s="68">
        <f>tblNc[[#This Row],[An]]*tblNc[[#This Row],[kf]]</f>
        <v>2.6728199999999998E-3</v>
      </c>
      <c r="X20" s="69">
        <f>tblNc[[#This Row],[Ae]]*tblNc[[#This Row],[fy]]</f>
        <v>855302.39999999991</v>
      </c>
      <c r="Y20" s="69">
        <f>tblNc[[#This Row],[Ns]]*0.9</f>
        <v>769772.15999999992</v>
      </c>
      <c r="Z20" s="72">
        <f>tblNc[[#This Row],[l]]*tblNc[[#This Row],[kex]]</f>
        <v>20</v>
      </c>
      <c r="AA20" s="72">
        <f>tblNc[[#This Row],[l]]*tblNc[[#This Row],[key]]</f>
        <v>20</v>
      </c>
      <c r="AB20" s="72">
        <f>tblNc[[#This Row],[kez]]*tblNc[[#This Row],[l]]</f>
        <v>20</v>
      </c>
      <c r="AC20" s="53">
        <f>(tblNc[[#This Row],[lex]]/tblNc[[#This Row],[rx]])*(SQRT(tblNc[[#This Row],[kf]]))*SQRT((tblNc[[#This Row],[fy]]/tblNc[[#This Row],[fref]]))</f>
        <v>377.2937697689573</v>
      </c>
      <c r="AD20" s="53">
        <f>(2100*(tblNc[[#This Row],[λnx]]-13.5))/((tblNc[[#This Row],[λnx]]^2)-(15.3*tblNc[[#This Row],[λnx]])+2050)</f>
        <v>5.5109137361892513</v>
      </c>
      <c r="AE20" s="53">
        <f>tblNc[[#This Row],[λnx]]+tblNc[[#This Row],[αax]]*tblNc[[#This Row],[αb]]</f>
        <v>380.0492266370519</v>
      </c>
      <c r="AF20" s="53">
        <f>MAX((0.00326*(tblNc[[#This Row],[λx]]-13.5)),0)</f>
        <v>1.1949504788367891</v>
      </c>
      <c r="AG20" s="53">
        <f>((tblNc[[#This Row],[λx]]/90)^2+1+tblNc[[#This Row],[ηx]])/(2*(tblNc[[#This Row],[λx]]/90)^2)</f>
        <v>0.56154602988261659</v>
      </c>
      <c r="AH20" s="53">
        <f>tblNc[[#This Row],[ξx]]*(1-SQRT(1-(90/(tblNc[[#This Row],[ξx]]*tblNc[[#This Row],[λx]]))^2))</f>
        <v>5.2375831095380611E-2</v>
      </c>
      <c r="AI20" s="69">
        <f>tblNc[[#This Row],[αcx]]*tblNc[[#This Row],[Ns]]</f>
        <v>44797.174037873658</v>
      </c>
      <c r="AJ20" s="69">
        <f>tblNc[[#This Row],[Ncx]]*0.9</f>
        <v>40317.456634086295</v>
      </c>
      <c r="AK20" s="53">
        <f>(tblNc[[#This Row],[lex]]/tblNc[[#This Row],[ry]])*(SQRT(tblNc[[#This Row],[kf]]))*SQRT((tblNc[[#This Row],[fy]]/tblNc[[#This Row],[fref]]))</f>
        <v>743.19276125630176</v>
      </c>
      <c r="AL20" s="53">
        <f>(2100*(tblNc[[#This Row],[λny]]-13.5))/((tblNc[[#This Row],[λny]]^2)-(15.3*tblNc[[#This Row],[λny]])+2050)</f>
        <v>2.8219401665678356</v>
      </c>
      <c r="AM20" s="53">
        <f>tblNc[[#This Row],[λny]]+tblNc[[#This Row],[αay]]*tblNc[[#This Row],[αb]]</f>
        <v>744.60373133958569</v>
      </c>
      <c r="AN20" s="53">
        <f>MAX((0.00326*(tblNc[[#This Row],[λy]]-13.5)),0)</f>
        <v>2.3833981641670494</v>
      </c>
      <c r="AO20" s="53">
        <f>((tblNc[[#This Row],[λy]]/90)^2+1+tblNc[[#This Row],[ηy]])/(2*(tblNc[[#This Row],[λy]]/90)^2)</f>
        <v>0.52471483504103378</v>
      </c>
      <c r="AP20" s="53">
        <f>tblNc[[#This Row],[ξy]]*(1-SQRT(1-(90/(tblNc[[#This Row],[ξy]]*tblNc[[#This Row],[λy]]))^2))</f>
        <v>1.4111091074887276E-2</v>
      </c>
      <c r="AQ20" s="69">
        <f>tblNc[[#This Row],[αcy]]*tblNc[[#This Row],[Ns]]</f>
        <v>12069.250062969666</v>
      </c>
      <c r="AR20" s="69">
        <f>tblNc[[#This Row],[Ncy]]*0.9</f>
        <v>10862.3250566727</v>
      </c>
      <c r="AS20" s="69">
        <f>MIN(tblNc[[#This Row],[Ncy]],tblNc[[#This Row],[Ncx]],tblNc[[#This Row],[Ns]])</f>
        <v>12069.250062969666</v>
      </c>
      <c r="AT20" s="69">
        <f>tblNc[[#This Row],[Ncflex]]*0.9</f>
        <v>10862.3250566727</v>
      </c>
      <c r="AU20" s="69" t="e">
        <f t="array" ref="AU20">INDEX(tblfocDblSym[Nc],MATCH(tblNc[[#This Row],[Section]]&amp;tblNc[[#This Row],[lex]],tblfocDblSym[Section]&amp;tblfocDblSym[lex],0))</f>
        <v>#N/A</v>
      </c>
      <c r="AV20" s="69">
        <f t="array" ref="AV20">INDEX(tblfocSglSym[Nc],MATCH(tblNc[[#This Row],[Section]]&amp;tblNc[[#This Row],[lex]],tblfocSglSym[Section]&amp;tblfocSglSym[lex],0))</f>
        <v>33879.280896338969</v>
      </c>
      <c r="AW20" s="69">
        <f t="array" ref="AW20">INDEX(tblfocunsym[Nc],MATCH(tblNc[[#This Row],[Section]]&amp;tblNc[[#This Row],[lex]],tblfocunsym[Section]&amp;tblfocunsym[lex],0))</f>
        <v>8731.5331928249034</v>
      </c>
      <c r="AX20" s="69">
        <f>IF(tblNc[[#This Row],[Axis]]="['x', 'y']",tblNc[[#This Row],[Ncz_dbl]],IF(tblNc[[#This Row],[Axis]]="[]",tblNc[[#This Row],[Ncz_un]],tblNc[[#This Row],[Ncz_sngl]]))</f>
        <v>33879.280896338969</v>
      </c>
      <c r="AY20" s="69">
        <f>MIN(tblNc[[#This Row],[Ncz_base]],tblNc[[#This Row],[Ns]])</f>
        <v>33879.280896338969</v>
      </c>
      <c r="AZ20" s="69">
        <f>tblNc[[#This Row],[Ncz]]*0.9</f>
        <v>30491.352806705072</v>
      </c>
      <c r="BA20" s="69">
        <f>MIN(tblNc[[#This Row],[Ncflex]],tblNc[[#This Row],[Ncz]])</f>
        <v>12069.250062969666</v>
      </c>
      <c r="BB20" s="69">
        <f>tblNc[[#This Row],[Nc]]*0.9</f>
        <v>10862.3250566727</v>
      </c>
    </row>
    <row r="21" spans="2:54" x14ac:dyDescent="0.2">
      <c r="B21" s="4" t="s">
        <v>8</v>
      </c>
      <c r="C21" s="55">
        <v>2.7899999999999999E-3</v>
      </c>
      <c r="D21" s="9">
        <v>0.95799999999999996</v>
      </c>
      <c r="E21" s="57">
        <v>20</v>
      </c>
      <c r="F21" s="9">
        <v>0.5</v>
      </c>
      <c r="G21" s="9">
        <v>0.5</v>
      </c>
      <c r="H21" s="9">
        <v>0.5</v>
      </c>
      <c r="I21" s="60">
        <v>5.8700000000000002E-2</v>
      </c>
      <c r="J21" s="60">
        <v>2.98E-2</v>
      </c>
      <c r="K21" s="59">
        <v>0</v>
      </c>
      <c r="L21" s="59">
        <v>0</v>
      </c>
      <c r="M21" s="62">
        <v>8.8899999999999995E-8</v>
      </c>
      <c r="N21" s="64">
        <v>0</v>
      </c>
      <c r="O21" s="65">
        <v>320000000</v>
      </c>
      <c r="P21" s="65">
        <v>200000000000</v>
      </c>
      <c r="Q21" s="65">
        <v>80000000000</v>
      </c>
      <c r="R21" s="65">
        <v>250000000</v>
      </c>
      <c r="S21" s="8">
        <v>0.5</v>
      </c>
      <c r="T21" s="8" t="s">
        <v>49</v>
      </c>
      <c r="U21" s="7" t="b">
        <v>1</v>
      </c>
      <c r="V21" s="7" t="b">
        <v>1</v>
      </c>
      <c r="W21" s="68">
        <f>tblNc[[#This Row],[An]]*tblNc[[#This Row],[kf]]</f>
        <v>2.6728199999999998E-3</v>
      </c>
      <c r="X21" s="69">
        <f>tblNc[[#This Row],[Ae]]*tblNc[[#This Row],[fy]]</f>
        <v>855302.39999999991</v>
      </c>
      <c r="Y21" s="69">
        <f>tblNc[[#This Row],[Ns]]*0.9</f>
        <v>769772.15999999992</v>
      </c>
      <c r="Z21" s="72">
        <f>tblNc[[#This Row],[l]]*tblNc[[#This Row],[kex]]</f>
        <v>10</v>
      </c>
      <c r="AA21" s="72">
        <f>tblNc[[#This Row],[l]]*tblNc[[#This Row],[key]]</f>
        <v>10</v>
      </c>
      <c r="AB21" s="72">
        <f>tblNc[[#This Row],[kez]]*tblNc[[#This Row],[l]]</f>
        <v>10</v>
      </c>
      <c r="AC21" s="53">
        <f>(tblNc[[#This Row],[lex]]/tblNc[[#This Row],[rx]])*(SQRT(tblNc[[#This Row],[kf]]))*SQRT((tblNc[[#This Row],[fy]]/tblNc[[#This Row],[fref]]))</f>
        <v>188.64688488447865</v>
      </c>
      <c r="AD21" s="53">
        <f>(2100*(tblNc[[#This Row],[λnx]]-13.5))/((tblNc[[#This Row],[λnx]]^2)-(15.3*tblNc[[#This Row],[λnx]])+2050)</f>
        <v>10.584004937167299</v>
      </c>
      <c r="AE21" s="53">
        <f>tblNc[[#This Row],[λnx]]+tblNc[[#This Row],[αax]]*tblNc[[#This Row],[αb]]</f>
        <v>193.93888735306231</v>
      </c>
      <c r="AF21" s="53">
        <f>MAX((0.00326*(tblNc[[#This Row],[λx]]-13.5)),0)</f>
        <v>0.58823077277098312</v>
      </c>
      <c r="AG21" s="53">
        <f>((tblNc[[#This Row],[λx]]/90)^2+1+tblNc[[#This Row],[ηx]])/(2*(tblNc[[#This Row],[λx]]/90)^2)</f>
        <v>0.67101682144171981</v>
      </c>
      <c r="AH21" s="53">
        <f>tblNc[[#This Row],[ξx]]*(1-SQRT(1-(90/(tblNc[[#This Row],[ξx]]*tblNc[[#This Row],[λx]]))^2))</f>
        <v>0.18634327594864103</v>
      </c>
      <c r="AI21" s="69">
        <f>tblNc[[#This Row],[αcx]]*tblNc[[#This Row],[Ns]]</f>
        <v>159379.85114273493</v>
      </c>
      <c r="AJ21" s="69">
        <f>tblNc[[#This Row],[Ncx]]*0.9</f>
        <v>143441.86602846143</v>
      </c>
      <c r="AK21" s="53">
        <f>(tblNc[[#This Row],[lex]]/tblNc[[#This Row],[ry]])*(SQRT(tblNc[[#This Row],[kf]]))*SQRT((tblNc[[#This Row],[fy]]/tblNc[[#This Row],[fref]]))</f>
        <v>371.59638062815088</v>
      </c>
      <c r="AL21" s="53">
        <f>(2100*(tblNc[[#This Row],[λny]]-13.5))/((tblNc[[#This Row],[λny]]^2)-(15.3*tblNc[[#This Row],[λny]])+2050)</f>
        <v>5.5932398227235502</v>
      </c>
      <c r="AM21" s="53">
        <f>tblNc[[#This Row],[λny]]+tblNc[[#This Row],[αay]]*tblNc[[#This Row],[αb]]</f>
        <v>374.39300053951268</v>
      </c>
      <c r="AN21" s="53">
        <f>MAX((0.00326*(tblNc[[#This Row],[λy]]-13.5)),0)</f>
        <v>1.1765111817588112</v>
      </c>
      <c r="AO21" s="53">
        <f>((tblNc[[#This Row],[λy]]/90)^2+1+tblNc[[#This Row],[ηy]])/(2*(tblNc[[#This Row],[λy]]/90)^2)</f>
        <v>0.56288694308213327</v>
      </c>
      <c r="AP21" s="53">
        <f>tblNc[[#This Row],[ξy]]*(1-SQRT(1-(90/(tblNc[[#This Row],[ξy]]*tblNc[[#This Row],[λy]]))^2))</f>
        <v>5.3912693507906846E-2</v>
      </c>
      <c r="AQ21" s="69">
        <f>tblNc[[#This Row],[αcy]]*tblNc[[#This Row],[Ns]]</f>
        <v>46111.656147777139</v>
      </c>
      <c r="AR21" s="69">
        <f>tblNc[[#This Row],[Ncy]]*0.9</f>
        <v>41500.490532999429</v>
      </c>
      <c r="AS21" s="69">
        <f>MIN(tblNc[[#This Row],[Ncy]],tblNc[[#This Row],[Ncx]],tblNc[[#This Row],[Ns]])</f>
        <v>46111.656147777139</v>
      </c>
      <c r="AT21" s="69">
        <f>tblNc[[#This Row],[Ncflex]]*0.9</f>
        <v>41500.490532999429</v>
      </c>
      <c r="AU21" s="69" t="e">
        <f t="array" ref="AU21">INDEX(tblfocDblSym[Nc],MATCH(tblNc[[#This Row],[Section]]&amp;tblNc[[#This Row],[lex]],tblfocDblSym[Section]&amp;tblfocDblSym[lex],0))</f>
        <v>#N/A</v>
      </c>
      <c r="AV21" s="69">
        <f t="array" ref="AV21">INDEX(tblfocSglSym[Nc],MATCH(tblNc[[#This Row],[Section]]&amp;tblNc[[#This Row],[lex]],tblfocSglSym[Section]&amp;tblfocSglSym[lex],0))</f>
        <v>135517.12358535576</v>
      </c>
      <c r="AW21" s="69">
        <f t="array" ref="AW21">INDEX(tblfocunsym[Nc],MATCH(tblNc[[#This Row],[Section]]&amp;tblNc[[#This Row],[lex]],tblfocunsym[Section]&amp;tblfocunsym[lex],0))</f>
        <v>34926.132771299599</v>
      </c>
      <c r="AX21" s="69">
        <f>IF(tblNc[[#This Row],[Axis]]="['x', 'y']",tblNc[[#This Row],[Ncz_dbl]],IF(tblNc[[#This Row],[Axis]]="[]",tblNc[[#This Row],[Ncz_un]],tblNc[[#This Row],[Ncz_sngl]]))</f>
        <v>135517.12358535576</v>
      </c>
      <c r="AY21" s="69">
        <f>MIN(tblNc[[#This Row],[Ncz_base]],tblNc[[#This Row],[Ns]])</f>
        <v>135517.12358535576</v>
      </c>
      <c r="AZ21" s="69">
        <f>tblNc[[#This Row],[Ncz]]*0.9</f>
        <v>121965.41122682019</v>
      </c>
      <c r="BA21" s="69">
        <f>MIN(tblNc[[#This Row],[Ncflex]],tblNc[[#This Row],[Ncz]])</f>
        <v>46111.656147777139</v>
      </c>
      <c r="BB21" s="69">
        <f>tblNc[[#This Row],[Nc]]*0.9</f>
        <v>41500.490532999429</v>
      </c>
    </row>
    <row r="22" spans="2:54" x14ac:dyDescent="0.2">
      <c r="B22" s="4" t="s">
        <v>8</v>
      </c>
      <c r="C22" s="55">
        <v>2.7899999999999999E-3</v>
      </c>
      <c r="D22" s="9">
        <v>0.95799999999999996</v>
      </c>
      <c r="E22" s="57">
        <v>20</v>
      </c>
      <c r="F22" s="9">
        <v>0.25</v>
      </c>
      <c r="G22" s="9">
        <v>0.25</v>
      </c>
      <c r="H22" s="9">
        <v>0.25</v>
      </c>
      <c r="I22" s="60">
        <v>5.8700000000000002E-2</v>
      </c>
      <c r="J22" s="60">
        <v>2.98E-2</v>
      </c>
      <c r="K22" s="59">
        <v>0</v>
      </c>
      <c r="L22" s="59">
        <v>0</v>
      </c>
      <c r="M22" s="61">
        <v>8.8899999999999995E-8</v>
      </c>
      <c r="N22" s="63">
        <v>0</v>
      </c>
      <c r="O22" s="65">
        <v>320000000</v>
      </c>
      <c r="P22" s="65">
        <v>200000000000</v>
      </c>
      <c r="Q22" s="65">
        <v>80000000000</v>
      </c>
      <c r="R22" s="65">
        <v>250000000</v>
      </c>
      <c r="S22" s="8">
        <v>0.5</v>
      </c>
      <c r="T22" s="8" t="s">
        <v>49</v>
      </c>
      <c r="U22" s="7" t="b">
        <v>1</v>
      </c>
      <c r="V22" s="7" t="b">
        <v>1</v>
      </c>
      <c r="W22" s="68">
        <f>tblNc[[#This Row],[An]]*tblNc[[#This Row],[kf]]</f>
        <v>2.6728199999999998E-3</v>
      </c>
      <c r="X22" s="69">
        <f>tblNc[[#This Row],[Ae]]*tblNc[[#This Row],[fy]]</f>
        <v>855302.39999999991</v>
      </c>
      <c r="Y22" s="69">
        <f>tblNc[[#This Row],[Ns]]*0.9</f>
        <v>769772.15999999992</v>
      </c>
      <c r="Z22" s="72">
        <f>tblNc[[#This Row],[l]]*tblNc[[#This Row],[kex]]</f>
        <v>5</v>
      </c>
      <c r="AA22" s="72">
        <f>tblNc[[#This Row],[l]]*tblNc[[#This Row],[key]]</f>
        <v>5</v>
      </c>
      <c r="AB22" s="72">
        <f>tblNc[[#This Row],[kez]]*tblNc[[#This Row],[l]]</f>
        <v>5</v>
      </c>
      <c r="AC22" s="53">
        <f>(tblNc[[#This Row],[lex]]/tblNc[[#This Row],[rx]])*(SQRT(tblNc[[#This Row],[kf]]))*SQRT((tblNc[[#This Row],[fy]]/tblNc[[#This Row],[fref]]))</f>
        <v>94.323442442239326</v>
      </c>
      <c r="AD22" s="53">
        <f>(2100*(tblNc[[#This Row],[λnx]]-13.5))/((tblNc[[#This Row],[λnx]]^2)-(15.3*tblNc[[#This Row],[λnx]])+2050)</f>
        <v>17.859160303144197</v>
      </c>
      <c r="AE22" s="53">
        <f>tblNc[[#This Row],[λnx]]+tblNc[[#This Row],[αax]]*tblNc[[#This Row],[αb]]</f>
        <v>103.25302259381142</v>
      </c>
      <c r="AF22" s="53">
        <f>MAX((0.00326*(tblNc[[#This Row],[λx]]-13.5)),0)</f>
        <v>0.29259485365582522</v>
      </c>
      <c r="AG22" s="53">
        <f>((tblNc[[#This Row],[λx]]/90)^2+1+tblNc[[#This Row],[ηx]])/(2*(tblNc[[#This Row],[λx]]/90)^2)</f>
        <v>0.99103437703616226</v>
      </c>
      <c r="AH22" s="53">
        <f>tblNc[[#This Row],[ξx]]*(1-SQRT(1-(90/(tblNc[[#This Row],[ξx]]*tblNc[[#This Row],[λx]]))^2))</f>
        <v>0.51945850020816897</v>
      </c>
      <c r="AI22" s="69">
        <f>tblNc[[#This Row],[αcx]]*tblNc[[#This Row],[Ns]]</f>
        <v>444294.10192844737</v>
      </c>
      <c r="AJ22" s="69">
        <f>tblNc[[#This Row],[Ncx]]*0.9</f>
        <v>399864.69173560262</v>
      </c>
      <c r="AK22" s="53">
        <f>(tblNc[[#This Row],[lex]]/tblNc[[#This Row],[ry]])*(SQRT(tblNc[[#This Row],[kf]]))*SQRT((tblNc[[#This Row],[fy]]/tblNc[[#This Row],[fref]]))</f>
        <v>185.79819031407544</v>
      </c>
      <c r="AL22" s="53">
        <f>(2100*(tblNc[[#This Row],[λny]]-13.5))/((tblNc[[#This Row],[λny]]^2)-(15.3*tblNc[[#This Row],[λny]])+2050)</f>
        <v>10.727688028430677</v>
      </c>
      <c r="AM22" s="53">
        <f>tblNc[[#This Row],[λny]]+tblNc[[#This Row],[αay]]*tblNc[[#This Row],[αb]]</f>
        <v>191.16203432829079</v>
      </c>
      <c r="AN22" s="53">
        <f>MAX((0.00326*(tblNc[[#This Row],[λy]]-13.5)),0)</f>
        <v>0.57917823191022799</v>
      </c>
      <c r="AO22" s="53">
        <f>((tblNc[[#This Row],[λy]]/90)^2+1+tblNc[[#This Row],[ηy]])/(2*(tblNc[[#This Row],[λy]]/90)^2)</f>
        <v>0.67501806778666562</v>
      </c>
      <c r="AP22" s="53">
        <f>tblNc[[#This Row],[ξy]]*(1-SQRT(1-(90/(tblNc[[#This Row],[ξy]]*tblNc[[#This Row],[λy]]))^2))</f>
        <v>0.19129061499434655</v>
      </c>
      <c r="AQ22" s="69">
        <f>tblNc[[#This Row],[αcy]]*tblNc[[#This Row],[Ns]]</f>
        <v>163611.32210214058</v>
      </c>
      <c r="AR22" s="69">
        <f>tblNc[[#This Row],[Ncy]]*0.9</f>
        <v>147250.18989192654</v>
      </c>
      <c r="AS22" s="69">
        <f>MIN(tblNc[[#This Row],[Ncy]],tblNc[[#This Row],[Ncx]],tblNc[[#This Row],[Ns]])</f>
        <v>163611.32210214058</v>
      </c>
      <c r="AT22" s="69">
        <f>tblNc[[#This Row],[Ncflex]]*0.9</f>
        <v>147250.18989192654</v>
      </c>
      <c r="AU22" s="69" t="e">
        <f t="array" ref="AU22">INDEX(tblfocDblSym[Nc],MATCH(tblNc[[#This Row],[Section]]&amp;tblNc[[#This Row],[lex]],tblfocDblSym[Section]&amp;tblfocDblSym[lex],0))</f>
        <v>#N/A</v>
      </c>
      <c r="AV22" s="69">
        <f t="array" ref="AV22">INDEX(tblfocSglSym[Nc],MATCH(tblNc[[#This Row],[Section]]&amp;tblNc[[#This Row],[lex]],tblfocSglSym[Section]&amp;tblfocSglSym[lex],0))</f>
        <v>444359.53164492949</v>
      </c>
      <c r="AW22" s="69">
        <f t="array" ref="AW22">INDEX(tblfocunsym[Nc],MATCH(tblNc[[#This Row],[Section]]&amp;tblNc[[#This Row],[lex]],tblfocunsym[Section]&amp;tblfocunsym[lex],0))</f>
        <v>139704.53108519845</v>
      </c>
      <c r="AX22" s="69">
        <f>IF(tblNc[[#This Row],[Axis]]="['x', 'y']",tblNc[[#This Row],[Ncz_dbl]],IF(tblNc[[#This Row],[Axis]]="[]",tblNc[[#This Row],[Ncz_un]],tblNc[[#This Row],[Ncz_sngl]]))</f>
        <v>444359.53164492949</v>
      </c>
      <c r="AY22" s="69">
        <f>MIN(tblNc[[#This Row],[Ncz_base]],tblNc[[#This Row],[Ns]])</f>
        <v>444359.53164492949</v>
      </c>
      <c r="AZ22" s="69">
        <f>tblNc[[#This Row],[Ncz]]*0.9</f>
        <v>399923.57848043652</v>
      </c>
      <c r="BA22" s="69">
        <f>MIN(tblNc[[#This Row],[Ncflex]],tblNc[[#This Row],[Ncz]])</f>
        <v>163611.32210214058</v>
      </c>
      <c r="BB22" s="69">
        <f>tblNc[[#This Row],[Nc]]*0.9</f>
        <v>147250.18989192654</v>
      </c>
    </row>
    <row r="23" spans="2:54" x14ac:dyDescent="0.2">
      <c r="B23" s="4" t="s">
        <v>8</v>
      </c>
      <c r="C23" s="55">
        <v>2.7899999999999999E-3</v>
      </c>
      <c r="D23" s="9">
        <v>0.95799999999999996</v>
      </c>
      <c r="E23" s="57">
        <v>20</v>
      </c>
      <c r="F23" s="9">
        <v>0.05</v>
      </c>
      <c r="G23" s="9">
        <v>0.05</v>
      </c>
      <c r="H23" s="9">
        <v>0.05</v>
      </c>
      <c r="I23" s="60">
        <v>5.8700000000000002E-2</v>
      </c>
      <c r="J23" s="60">
        <v>2.98E-2</v>
      </c>
      <c r="K23" s="59">
        <v>0</v>
      </c>
      <c r="L23" s="59">
        <v>0</v>
      </c>
      <c r="M23" s="61">
        <v>8.8899999999999995E-8</v>
      </c>
      <c r="N23" s="63">
        <v>0</v>
      </c>
      <c r="O23" s="65">
        <v>320000000</v>
      </c>
      <c r="P23" s="65">
        <v>200000000000</v>
      </c>
      <c r="Q23" s="65">
        <v>80000000000</v>
      </c>
      <c r="R23" s="65">
        <v>250000000</v>
      </c>
      <c r="S23" s="8">
        <v>0.5</v>
      </c>
      <c r="T23" s="8" t="s">
        <v>49</v>
      </c>
      <c r="U23" s="7" t="b">
        <v>1</v>
      </c>
      <c r="V23" s="7" t="b">
        <v>1</v>
      </c>
      <c r="W23" s="68">
        <f>tblNc[[#This Row],[An]]*tblNc[[#This Row],[kf]]</f>
        <v>2.6728199999999998E-3</v>
      </c>
      <c r="X23" s="69">
        <f>tblNc[[#This Row],[Ae]]*tblNc[[#This Row],[fy]]</f>
        <v>855302.39999999991</v>
      </c>
      <c r="Y23" s="69">
        <f>tblNc[[#This Row],[Ns]]*0.9</f>
        <v>769772.15999999992</v>
      </c>
      <c r="Z23" s="72">
        <f>tblNc[[#This Row],[l]]*tblNc[[#This Row],[kex]]</f>
        <v>1</v>
      </c>
      <c r="AA23" s="72">
        <f>tblNc[[#This Row],[l]]*tblNc[[#This Row],[key]]</f>
        <v>1</v>
      </c>
      <c r="AB23" s="72">
        <f>tblNc[[#This Row],[kez]]*tblNc[[#This Row],[l]]</f>
        <v>1</v>
      </c>
      <c r="AC23" s="53">
        <f>(tblNc[[#This Row],[lex]]/tblNc[[#This Row],[rx]])*(SQRT(tblNc[[#This Row],[kf]]))*SQRT((tblNc[[#This Row],[fy]]/tblNc[[#This Row],[fref]]))</f>
        <v>18.864688488447868</v>
      </c>
      <c r="AD23" s="53">
        <f>(2100*(tblNc[[#This Row],[λnx]]-13.5))/((tblNc[[#This Row],[λnx]]^2)-(15.3*tblNc[[#This Row],[λnx]])+2050)</f>
        <v>5.320988633073652</v>
      </c>
      <c r="AE23" s="53">
        <f>tblNc[[#This Row],[λnx]]+tblNc[[#This Row],[αax]]*tblNc[[#This Row],[αb]]</f>
        <v>21.525182804984695</v>
      </c>
      <c r="AF23" s="53">
        <f>MAX((0.00326*(tblNc[[#This Row],[λx]]-13.5)),0)</f>
        <v>2.6162095944250105E-2</v>
      </c>
      <c r="AG23" s="53">
        <f>((tblNc[[#This Row],[λx]]/90)^2+1+tblNc[[#This Row],[ηx]])/(2*(tblNc[[#This Row],[λx]]/90)^2)</f>
        <v>9.4696871375027776</v>
      </c>
      <c r="AH23" s="53">
        <f>tblNc[[#This Row],[ξx]]*(1-SQRT(1-(90/(tblNc[[#This Row],[ξx]]*tblNc[[#This Row],[λx]]))^2))</f>
        <v>0.97304273011846376</v>
      </c>
      <c r="AI23" s="69">
        <f>tblNc[[#This Row],[αcx]]*tblNc[[#This Row],[Ns]]</f>
        <v>832245.78237287421</v>
      </c>
      <c r="AJ23" s="69">
        <f>tblNc[[#This Row],[Ncx]]*0.9</f>
        <v>749021.20413558686</v>
      </c>
      <c r="AK23" s="53">
        <f>(tblNc[[#This Row],[lex]]/tblNc[[#This Row],[ry]])*(SQRT(tblNc[[#This Row],[kf]]))*SQRT((tblNc[[#This Row],[fy]]/tblNc[[#This Row],[fref]]))</f>
        <v>37.159638062815091</v>
      </c>
      <c r="AL23" s="53">
        <f>(2100*(tblNc[[#This Row],[λny]]-13.5))/((tblNc[[#This Row],[λny]]^2)-(15.3*tblNc[[#This Row],[λny]])+2050)</f>
        <v>17.358524691435274</v>
      </c>
      <c r="AM23" s="53">
        <f>tblNc[[#This Row],[λny]]+tblNc[[#This Row],[αay]]*tblNc[[#This Row],[αb]]</f>
        <v>45.83890040853273</v>
      </c>
      <c r="AN23" s="53">
        <f>MAX((0.00326*(tblNc[[#This Row],[λy]]-13.5)),0)</f>
        <v>0.10542481533181669</v>
      </c>
      <c r="AO23" s="53">
        <f>((tblNc[[#This Row],[λy]]/90)^2+1+tblNc[[#This Row],[ηy]])/(2*(tblNc[[#This Row],[λy]]/90)^2)</f>
        <v>2.6306683298967779</v>
      </c>
      <c r="AP23" s="53">
        <f>tblNc[[#This Row],[ξy]]*(1-SQRT(1-(90/(tblNc[[#This Row],[ξy]]*tblNc[[#This Row],[λy]]))^2))</f>
        <v>0.87981578991353282</v>
      </c>
      <c r="AQ23" s="69">
        <f>tblNc[[#This Row],[αcy]]*tblNc[[#This Row],[Ns]]</f>
        <v>752508.55667094036</v>
      </c>
      <c r="AR23" s="69">
        <f>tblNc[[#This Row],[Ncy]]*0.9</f>
        <v>677257.70100384636</v>
      </c>
      <c r="AS23" s="69">
        <f>MIN(tblNc[[#This Row],[Ncy]],tblNc[[#This Row],[Ncx]],tblNc[[#This Row],[Ns]])</f>
        <v>752508.55667094036</v>
      </c>
      <c r="AT23" s="69">
        <f>tblNc[[#This Row],[Ncflex]]*0.9</f>
        <v>677257.70100384636</v>
      </c>
      <c r="AU23" s="69" t="e">
        <f t="array" ref="AU23">INDEX(tblfocDblSym[Nc],MATCH(tblNc[[#This Row],[Section]]&amp;tblNc[[#This Row],[lex]],tblfocDblSym[Section]&amp;tblfocDblSym[lex],0))</f>
        <v>#N/A</v>
      </c>
      <c r="AV23" s="69">
        <f t="array" ref="AV23">INDEX(tblfocSglSym[Nc],MATCH(tblNc[[#This Row],[Section]]&amp;tblNc[[#This Row],[lex]],tblfocSglSym[Section]&amp;tblfocSglSym[lex],0))</f>
        <v>578958.88409593632</v>
      </c>
      <c r="AW23" s="69">
        <f t="array" ref="AW23">INDEX(tblfocunsym[Nc],MATCH(tblNc[[#This Row],[Section]]&amp;tblNc[[#This Row],[lex]],tblfocunsym[Section]&amp;tblfocunsym[lex],0))</f>
        <v>578958.88409593608</v>
      </c>
      <c r="AX23" s="69">
        <f>IF(tblNc[[#This Row],[Axis]]="['x', 'y']",tblNc[[#This Row],[Ncz_dbl]],IF(tblNc[[#This Row],[Axis]]="[]",tblNc[[#This Row],[Ncz_un]],tblNc[[#This Row],[Ncz_sngl]]))</f>
        <v>578958.88409593632</v>
      </c>
      <c r="AY23" s="69">
        <f>MIN(tblNc[[#This Row],[Ncz_base]],tblNc[[#This Row],[Ns]])</f>
        <v>578958.88409593632</v>
      </c>
      <c r="AZ23" s="69">
        <f>tblNc[[#This Row],[Ncz]]*0.9</f>
        <v>521062.99568634271</v>
      </c>
      <c r="BA23" s="69">
        <f>MIN(tblNc[[#This Row],[Ncflex]],tblNc[[#This Row],[Ncz]])</f>
        <v>578958.88409593632</v>
      </c>
      <c r="BB23" s="69">
        <f>tblNc[[#This Row],[Nc]]*0.9</f>
        <v>521062.99568634271</v>
      </c>
    </row>
    <row r="24" spans="2:54" x14ac:dyDescent="0.2">
      <c r="B24" s="4" t="s">
        <v>8</v>
      </c>
      <c r="C24" s="55">
        <v>2.7899999999999999E-3</v>
      </c>
      <c r="D24" s="9">
        <v>0.95799999999999996</v>
      </c>
      <c r="E24" s="57">
        <v>20</v>
      </c>
      <c r="F24" s="9">
        <v>2.5000000000000001E-2</v>
      </c>
      <c r="G24" s="9">
        <v>2.5000000000000001E-2</v>
      </c>
      <c r="H24" s="9">
        <v>2.5000000000000001E-2</v>
      </c>
      <c r="I24" s="60">
        <v>5.8700000000000002E-2</v>
      </c>
      <c r="J24" s="60">
        <v>2.98E-2</v>
      </c>
      <c r="K24" s="59">
        <v>0</v>
      </c>
      <c r="L24" s="59">
        <v>0</v>
      </c>
      <c r="M24" s="61">
        <v>8.8899999999999995E-8</v>
      </c>
      <c r="N24" s="63">
        <v>0</v>
      </c>
      <c r="O24" s="65">
        <v>320000000</v>
      </c>
      <c r="P24" s="65">
        <v>200000000000</v>
      </c>
      <c r="Q24" s="65">
        <v>80000000000</v>
      </c>
      <c r="R24" s="65">
        <v>250000000</v>
      </c>
      <c r="S24" s="8">
        <v>0.5</v>
      </c>
      <c r="T24" s="8" t="s">
        <v>49</v>
      </c>
      <c r="U24" s="7" t="b">
        <v>1</v>
      </c>
      <c r="V24" s="7" t="b">
        <v>1</v>
      </c>
      <c r="W24" s="68">
        <f>tblNc[[#This Row],[An]]*tblNc[[#This Row],[kf]]</f>
        <v>2.6728199999999998E-3</v>
      </c>
      <c r="X24" s="69">
        <f>tblNc[[#This Row],[Ae]]*tblNc[[#This Row],[fy]]</f>
        <v>855302.39999999991</v>
      </c>
      <c r="Y24" s="69">
        <f>tblNc[[#This Row],[Ns]]*0.9</f>
        <v>769772.15999999992</v>
      </c>
      <c r="Z24" s="72">
        <f>tblNc[[#This Row],[l]]*tblNc[[#This Row],[kex]]</f>
        <v>0.5</v>
      </c>
      <c r="AA24" s="72">
        <f>tblNc[[#This Row],[l]]*tblNc[[#This Row],[key]]</f>
        <v>0.5</v>
      </c>
      <c r="AB24" s="72">
        <f>tblNc[[#This Row],[kez]]*tblNc[[#This Row],[l]]</f>
        <v>0.5</v>
      </c>
      <c r="AC24" s="53">
        <f>(tblNc[[#This Row],[lex]]/tblNc[[#This Row],[rx]])*(SQRT(tblNc[[#This Row],[kf]]))*SQRT((tblNc[[#This Row],[fy]]/tblNc[[#This Row],[fref]]))</f>
        <v>9.432344244223934</v>
      </c>
      <c r="AD24" s="53">
        <f>(2100*(tblNc[[#This Row],[λnx]]-13.5))/((tblNc[[#This Row],[λnx]]^2)-(15.3*tblNc[[#This Row],[λnx]])+2050)</f>
        <v>-4.2824850887446742</v>
      </c>
      <c r="AE24" s="53">
        <f>tblNc[[#This Row],[λnx]]+tblNc[[#This Row],[αax]]*tblNc[[#This Row],[αb]]</f>
        <v>7.2911016998515965</v>
      </c>
      <c r="AF24" s="53">
        <f>MAX((0.00326*(tblNc[[#This Row],[λx]]-13.5)),0)</f>
        <v>0</v>
      </c>
      <c r="AG24" s="53">
        <f>((tblNc[[#This Row],[λx]]/90)^2+1+tblNc[[#This Row],[ηx]])/(2*(tblNc[[#This Row],[λx]]/90)^2)</f>
        <v>76.68486655128558</v>
      </c>
      <c r="AH24" s="53">
        <f>tblNc[[#This Row],[ξx]]*(1-SQRT(1-(90/(tblNc[[#This Row],[ξx]]*tblNc[[#This Row],[λx]]))^2))</f>
        <v>0.99999999999999756</v>
      </c>
      <c r="AI24" s="69">
        <f>tblNc[[#This Row],[αcx]]*tblNc[[#This Row],[Ns]]</f>
        <v>855302.39999999781</v>
      </c>
      <c r="AJ24" s="69">
        <f>tblNc[[#This Row],[Ncx]]*0.9</f>
        <v>769772.15999999805</v>
      </c>
      <c r="AK24" s="53">
        <f>(tblNc[[#This Row],[lex]]/tblNc[[#This Row],[ry]])*(SQRT(tblNc[[#This Row],[kf]]))*SQRT((tblNc[[#This Row],[fy]]/tblNc[[#This Row],[fref]]))</f>
        <v>18.579819031407546</v>
      </c>
      <c r="AL24" s="53">
        <f>(2100*(tblNc[[#This Row],[λny]]-13.5))/((tblNc[[#This Row],[λny]]^2)-(15.3*tblNc[[#This Row],[λny]])+2050)</f>
        <v>5.0534964655066368</v>
      </c>
      <c r="AM24" s="53">
        <f>tblNc[[#This Row],[λny]]+tblNc[[#This Row],[αay]]*tblNc[[#This Row],[αb]]</f>
        <v>21.106567264160866</v>
      </c>
      <c r="AN24" s="53">
        <f>MAX((0.00326*(tblNc[[#This Row],[λy]]-13.5)),0)</f>
        <v>2.4797409281164421E-2</v>
      </c>
      <c r="AO24" s="53">
        <f>((tblNc[[#This Row],[λy]]/90)^2+1+tblNc[[#This Row],[ηy]])/(2*(tblNc[[#This Row],[λy]]/90)^2)</f>
        <v>9.8166081501357318</v>
      </c>
      <c r="AP24" s="53">
        <f>tblNc[[#This Row],[ξy]]*(1-SQRT(1-(90/(tblNc[[#This Row],[ξy]]*tblNc[[#This Row],[λy]]))^2))</f>
        <v>0.97446733283663867</v>
      </c>
      <c r="AQ24" s="69">
        <f>tblNc[[#This Row],[αcy]]*tblNc[[#This Row],[Ns]]</f>
        <v>833464.24849677575</v>
      </c>
      <c r="AR24" s="69">
        <f>tblNc[[#This Row],[Ncy]]*0.9</f>
        <v>750117.82364709815</v>
      </c>
      <c r="AS24" s="69">
        <f>MIN(tblNc[[#This Row],[Ncy]],tblNc[[#This Row],[Ncx]],tblNc[[#This Row],[Ns]])</f>
        <v>833464.24849677575</v>
      </c>
      <c r="AT24" s="69">
        <f>tblNc[[#This Row],[Ncflex]]*0.9</f>
        <v>750117.82364709815</v>
      </c>
      <c r="AU24" s="69" t="e">
        <f t="array" ref="AU24">INDEX(tblfocDblSym[Nc],MATCH(tblNc[[#This Row],[Section]]&amp;tblNc[[#This Row],[lex]],tblfocDblSym[Section]&amp;tblfocDblSym[lex],0))</f>
        <v>#N/A</v>
      </c>
      <c r="AV24" s="69">
        <f t="array" ref="AV24">INDEX(tblfocSglSym[Nc],MATCH(tblNc[[#This Row],[Section]]&amp;tblNc[[#This Row],[lex]],tblfocSglSym[Section]&amp;tblfocSglSym[lex],0))</f>
        <v>578958.88409593597</v>
      </c>
      <c r="AW24" s="69">
        <f t="array" ref="AW24">INDEX(tblfocunsym[Nc],MATCH(tblNc[[#This Row],[Section]]&amp;tblNc[[#This Row],[lex]],tblfocunsym[Section]&amp;tblfocunsym[lex],0))</f>
        <v>578958.88409593632</v>
      </c>
      <c r="AX24" s="69">
        <f>IF(tblNc[[#This Row],[Axis]]="['x', 'y']",tblNc[[#This Row],[Ncz_dbl]],IF(tblNc[[#This Row],[Axis]]="[]",tblNc[[#This Row],[Ncz_un]],tblNc[[#This Row],[Ncz_sngl]]))</f>
        <v>578958.88409593597</v>
      </c>
      <c r="AY24" s="69">
        <f>MIN(tblNc[[#This Row],[Ncz_base]],tblNc[[#This Row],[Ns]])</f>
        <v>578958.88409593597</v>
      </c>
      <c r="AZ24" s="69">
        <f>tblNc[[#This Row],[Ncz]]*0.9</f>
        <v>521062.99568634236</v>
      </c>
      <c r="BA24" s="69">
        <f>MIN(tblNc[[#This Row],[Ncflex]],tblNc[[#This Row],[Ncz]])</f>
        <v>578958.88409593597</v>
      </c>
      <c r="BB24" s="69">
        <f>tblNc[[#This Row],[Nc]]*0.9</f>
        <v>521062.99568634236</v>
      </c>
    </row>
    <row r="25" spans="2:54" x14ac:dyDescent="0.2">
      <c r="B25" s="4" t="s">
        <v>8</v>
      </c>
      <c r="C25" s="55">
        <v>2.7899999999999999E-3</v>
      </c>
      <c r="D25" s="9">
        <v>0.95799999999999996</v>
      </c>
      <c r="E25" s="57">
        <v>20</v>
      </c>
      <c r="F25" s="9">
        <v>5.0000000000000001E-3</v>
      </c>
      <c r="G25" s="9">
        <v>5.0000000000000001E-3</v>
      </c>
      <c r="H25" s="9">
        <v>5.0000000000000001E-3</v>
      </c>
      <c r="I25" s="60">
        <v>5.8700000000000002E-2</v>
      </c>
      <c r="J25" s="60">
        <v>2.98E-2</v>
      </c>
      <c r="K25" s="59">
        <v>0</v>
      </c>
      <c r="L25" s="59">
        <v>0</v>
      </c>
      <c r="M25" s="61">
        <v>8.8899999999999995E-8</v>
      </c>
      <c r="N25" s="63">
        <v>0</v>
      </c>
      <c r="O25" s="65">
        <v>320000000</v>
      </c>
      <c r="P25" s="65">
        <v>200000000000</v>
      </c>
      <c r="Q25" s="65">
        <v>80000000000</v>
      </c>
      <c r="R25" s="65">
        <v>250000000</v>
      </c>
      <c r="S25" s="8">
        <v>0.5</v>
      </c>
      <c r="T25" s="8" t="s">
        <v>49</v>
      </c>
      <c r="U25" s="7" t="b">
        <v>1</v>
      </c>
      <c r="V25" s="7" t="b">
        <v>1</v>
      </c>
      <c r="W25" s="68">
        <f>tblNc[[#This Row],[An]]*tblNc[[#This Row],[kf]]</f>
        <v>2.6728199999999998E-3</v>
      </c>
      <c r="X25" s="69">
        <f>tblNc[[#This Row],[Ae]]*tblNc[[#This Row],[fy]]</f>
        <v>855302.39999999991</v>
      </c>
      <c r="Y25" s="69">
        <f>tblNc[[#This Row],[Ns]]*0.9</f>
        <v>769772.15999999992</v>
      </c>
      <c r="Z25" s="72">
        <f>tblNc[[#This Row],[l]]*tblNc[[#This Row],[kex]]</f>
        <v>0.1</v>
      </c>
      <c r="AA25" s="72">
        <f>tblNc[[#This Row],[l]]*tblNc[[#This Row],[key]]</f>
        <v>0.1</v>
      </c>
      <c r="AB25" s="72">
        <f>tblNc[[#This Row],[kez]]*tblNc[[#This Row],[l]]</f>
        <v>0.1</v>
      </c>
      <c r="AC25" s="53">
        <f>(tblNc[[#This Row],[lex]]/tblNc[[#This Row],[rx]])*(SQRT(tblNc[[#This Row],[kf]]))*SQRT((tblNc[[#This Row],[fy]]/tblNc[[#This Row],[fref]]))</f>
        <v>1.8864688488447867</v>
      </c>
      <c r="AD25" s="53">
        <f>(2100*(tblNc[[#This Row],[λnx]]-13.5))/((tblNc[[#This Row],[λnx]]^2)-(15.3*tblNc[[#This Row],[λnx]])+2050)</f>
        <v>-12.045471483595772</v>
      </c>
      <c r="AE25" s="53">
        <f>tblNc[[#This Row],[λnx]]+tblNc[[#This Row],[αax]]*tblNc[[#This Row],[αb]]</f>
        <v>-4.136266892953099</v>
      </c>
      <c r="AF25" s="53">
        <f>MAX((0.00326*(tblNc[[#This Row],[λx]]-13.5)),0)</f>
        <v>0</v>
      </c>
      <c r="AG25" s="53">
        <f>((tblNc[[#This Row],[λx]]/90)^2+1+tblNc[[#This Row],[ηx]])/(2*(tblNc[[#This Row],[λx]]/90)^2)</f>
        <v>237.22161521051984</v>
      </c>
      <c r="AH25" s="53">
        <f>tblNc[[#This Row],[ξx]]*(1-SQRT(1-(90/(tblNc[[#This Row],[ξx]]*tblNc[[#This Row],[λx]]))^2))</f>
        <v>0.99999999999999167</v>
      </c>
      <c r="AI25" s="69">
        <f>tblNc[[#This Row],[αcx]]*tblNc[[#This Row],[Ns]]</f>
        <v>855302.39999999281</v>
      </c>
      <c r="AJ25" s="69">
        <f>tblNc[[#This Row],[Ncx]]*0.9</f>
        <v>769772.15999999351</v>
      </c>
      <c r="AK25" s="53">
        <f>(tblNc[[#This Row],[lex]]/tblNc[[#This Row],[ry]])*(SQRT(tblNc[[#This Row],[kf]]))*SQRT((tblNc[[#This Row],[fy]]/tblNc[[#This Row],[fref]]))</f>
        <v>3.7159638062815095</v>
      </c>
      <c r="AL25" s="53">
        <f>(2100*(tblNc[[#This Row],[λny]]-13.5))/((tblNc[[#This Row],[λny]]^2)-(15.3*tblNc[[#This Row],[λny]])+2050)</f>
        <v>-10.237641005035693</v>
      </c>
      <c r="AM25" s="53">
        <f>tblNc[[#This Row],[λny]]+tblNc[[#This Row],[αay]]*tblNc[[#This Row],[αb]]</f>
        <v>-1.4028566962363369</v>
      </c>
      <c r="AN25" s="53">
        <f>MAX((0.00326*(tblNc[[#This Row],[λy]]-13.5)),0)</f>
        <v>0</v>
      </c>
      <c r="AO25" s="53">
        <f>((tblNc[[#This Row],[λy]]/90)^2+1+tblNc[[#This Row],[ηy]])/(2*(tblNc[[#This Row],[λy]]/90)^2)</f>
        <v>2058.4196033613503</v>
      </c>
      <c r="AP25" s="53">
        <f>tblNc[[#This Row],[ξy]]*(1-SQRT(1-(90/(tblNc[[#This Row],[ξy]]*tblNc[[#This Row],[λy]]))^2))</f>
        <v>0.99999999999993083</v>
      </c>
      <c r="AQ25" s="69">
        <f>tblNc[[#This Row],[αcy]]*tblNc[[#This Row],[Ns]]</f>
        <v>855302.39999994077</v>
      </c>
      <c r="AR25" s="69">
        <f>tblNc[[#This Row],[Ncy]]*0.9</f>
        <v>769772.15999994671</v>
      </c>
      <c r="AS25" s="69">
        <f>MIN(tblNc[[#This Row],[Ncy]],tblNc[[#This Row],[Ncx]],tblNc[[#This Row],[Ns]])</f>
        <v>855302.39999994077</v>
      </c>
      <c r="AT25" s="69">
        <f>tblNc[[#This Row],[Ncflex]]*0.9</f>
        <v>769772.15999994671</v>
      </c>
      <c r="AU25" s="69" t="e">
        <f t="array" ref="AU25">INDEX(tblfocDblSym[Nc],MATCH(tblNc[[#This Row],[Section]]&amp;tblNc[[#This Row],[lex]],tblfocDblSym[Section]&amp;tblfocDblSym[lex],0))</f>
        <v>#N/A</v>
      </c>
      <c r="AV25" s="69">
        <f t="array" ref="AV25">INDEX(tblfocSglSym[Nc],MATCH(tblNc[[#This Row],[Section]]&amp;tblNc[[#This Row],[lex]],tblfocSglSym[Section]&amp;tblfocSglSym[lex],0))</f>
        <v>578958.88409593853</v>
      </c>
      <c r="AW25" s="69">
        <f t="array" ref="AW25">INDEX(tblfocunsym[Nc],MATCH(tblNc[[#This Row],[Section]]&amp;tblNc[[#This Row],[lex]],tblfocunsym[Section]&amp;tblfocunsym[lex],0))</f>
        <v>578958.88409593632</v>
      </c>
      <c r="AX25" s="69">
        <f>IF(tblNc[[#This Row],[Axis]]="['x', 'y']",tblNc[[#This Row],[Ncz_dbl]],IF(tblNc[[#This Row],[Axis]]="[]",tblNc[[#This Row],[Ncz_un]],tblNc[[#This Row],[Ncz_sngl]]))</f>
        <v>578958.88409593853</v>
      </c>
      <c r="AY25" s="69">
        <f>MIN(tblNc[[#This Row],[Ncz_base]],tblNc[[#This Row],[Ns]])</f>
        <v>578958.88409593853</v>
      </c>
      <c r="AZ25" s="69">
        <f>tblNc[[#This Row],[Ncz]]*0.9</f>
        <v>521062.99568634469</v>
      </c>
      <c r="BA25" s="69">
        <f>MIN(tblNc[[#This Row],[Ncflex]],tblNc[[#This Row],[Ncz]])</f>
        <v>578958.88409593853</v>
      </c>
      <c r="BB25" s="69">
        <f>tblNc[[#This Row],[Nc]]*0.9</f>
        <v>521062.99568634469</v>
      </c>
    </row>
    <row r="26" spans="2:54" x14ac:dyDescent="0.2">
      <c r="B26" s="13" t="s">
        <v>38</v>
      </c>
      <c r="C26" s="54">
        <v>1.4300000000000001E-4</v>
      </c>
      <c r="D26" s="11">
        <v>1</v>
      </c>
      <c r="E26" s="56">
        <v>10</v>
      </c>
      <c r="F26" s="11">
        <v>1</v>
      </c>
      <c r="G26" s="11">
        <v>1</v>
      </c>
      <c r="H26" s="11">
        <v>1</v>
      </c>
      <c r="I26" s="59">
        <v>9.2200000000000008E-3</v>
      </c>
      <c r="J26" s="59">
        <v>4.7299999999999998E-3</v>
      </c>
      <c r="K26" s="59">
        <v>0</v>
      </c>
      <c r="L26" s="59">
        <v>0</v>
      </c>
      <c r="M26" s="61">
        <v>5.1499999999999998E-10</v>
      </c>
      <c r="N26" s="63">
        <v>0</v>
      </c>
      <c r="O26" s="65">
        <v>320000000</v>
      </c>
      <c r="P26" s="66">
        <v>200000000000</v>
      </c>
      <c r="Q26" s="66">
        <v>80000000000</v>
      </c>
      <c r="R26" s="65">
        <v>250000000</v>
      </c>
      <c r="S26" s="8">
        <v>0.5</v>
      </c>
      <c r="T26" s="8" t="s">
        <v>49</v>
      </c>
      <c r="U26" s="7" t="b">
        <v>1</v>
      </c>
      <c r="V26" s="7" t="b">
        <v>1</v>
      </c>
      <c r="W26" s="68">
        <f>tblNc[[#This Row],[An]]*tblNc[[#This Row],[kf]]</f>
        <v>1.4300000000000001E-4</v>
      </c>
      <c r="X26" s="69">
        <f>tblNc[[#This Row],[Ae]]*tblNc[[#This Row],[fy]]</f>
        <v>45760</v>
      </c>
      <c r="Y26" s="69">
        <f>tblNc[[#This Row],[Ns]]*0.9</f>
        <v>41184</v>
      </c>
      <c r="Z26" s="71">
        <f>tblNc[[#This Row],[l]]*tblNc[[#This Row],[kex]]</f>
        <v>10</v>
      </c>
      <c r="AA26" s="71">
        <f>tblNc[[#This Row],[l]]*tblNc[[#This Row],[key]]</f>
        <v>10</v>
      </c>
      <c r="AB26" s="71">
        <f>tblNc[[#This Row],[kez]]*tblNc[[#This Row],[l]]</f>
        <v>10</v>
      </c>
      <c r="AC26" s="53">
        <f>(tblNc[[#This Row],[lex]]/tblNc[[#This Row],[rx]])*(SQRT(tblNc[[#This Row],[kf]]))*SQRT((tblNc[[#This Row],[fy]]/tblNc[[#This Row],[fref]]))</f>
        <v>1227.0833512998654</v>
      </c>
      <c r="AD26" s="53">
        <f>(2100*(tblNc[[#This Row],[λnx]]-13.5))/((tblNc[[#This Row],[λnx]]^2)-(15.3*tblNc[[#This Row],[λnx]])+2050)</f>
        <v>1.7115576446496978</v>
      </c>
      <c r="AE26" s="53">
        <f>tblNc[[#This Row],[λnx]]+tblNc[[#This Row],[αax]]*tblNc[[#This Row],[αb]]</f>
        <v>1227.9391301221901</v>
      </c>
      <c r="AF26" s="53">
        <f>MAX((0.00326*(tblNc[[#This Row],[λx]]-13.5)),0)</f>
        <v>3.9590715641983398</v>
      </c>
      <c r="AG26" s="53">
        <f>((tblNc[[#This Row],[λx]]/90)^2+1+tblNc[[#This Row],[ηx]])/(2*(tblNc[[#This Row],[λx]]/90)^2)</f>
        <v>0.5133199231997706</v>
      </c>
      <c r="AH26" s="53">
        <f>tblNc[[#This Row],[ξx]]*(1-SQRT(1-(90/(tblNc[[#This Row],[ξx]]*tblNc[[#This Row],[λx]]))^2))</f>
        <v>5.2594925080643963E-3</v>
      </c>
      <c r="AI26" s="69">
        <f>tblNc[[#This Row],[αcx]]*tblNc[[#This Row],[Ns]]</f>
        <v>240.67437716902677</v>
      </c>
      <c r="AJ26" s="69">
        <f>tblNc[[#This Row],[Ncx]]*0.9</f>
        <v>216.6069394521241</v>
      </c>
      <c r="AK26" s="53">
        <f>(tblNc[[#This Row],[lex]]/tblNc[[#This Row],[ry]])*(SQRT(tblNc[[#This Row],[kf]]))*SQRT((tblNc[[#This Row],[fy]]/tblNc[[#This Row],[fref]]))</f>
        <v>2391.9045452399073</v>
      </c>
      <c r="AL26" s="53">
        <f>(2100*(tblNc[[#This Row],[λny]]-13.5))/((tblNc[[#This Row],[λny]]^2)-(15.3*tblNc[[#This Row],[λny]])+2050)</f>
        <v>0.87830967188795539</v>
      </c>
      <c r="AM26" s="53">
        <f>tblNc[[#This Row],[λny]]+tblNc[[#This Row],[αay]]*tblNc[[#This Row],[αb]]</f>
        <v>2392.3437000758513</v>
      </c>
      <c r="AN26" s="53">
        <f>MAX((0.00326*(tblNc[[#This Row],[λy]]-13.5)),0)</f>
        <v>7.7550304622472748</v>
      </c>
      <c r="AO26" s="53">
        <f>((tblNc[[#This Row],[λy]]/90)^2+1+tblNc[[#This Row],[ηy]])/(2*(tblNc[[#This Row],[λy]]/90)^2)</f>
        <v>0.50619534559772994</v>
      </c>
      <c r="AP26" s="53">
        <f>tblNc[[#This Row],[ξy]]*(1-SQRT(1-(90/(tblNc[[#This Row],[ξy]]*tblNc[[#This Row],[λy]]))^2))</f>
        <v>1.3998795313277593E-3</v>
      </c>
      <c r="AQ26" s="69">
        <f>tblNc[[#This Row],[αcy]]*tblNc[[#This Row],[Ns]]</f>
        <v>64.058487353558263</v>
      </c>
      <c r="AR26" s="69">
        <f>tblNc[[#This Row],[Ncy]]*0.9</f>
        <v>57.652638618202438</v>
      </c>
      <c r="AS26" s="69">
        <f>MIN(tblNc[[#This Row],[Ncy]],tblNc[[#This Row],[Ncx]],tblNc[[#This Row],[Ns]])</f>
        <v>64.058487353558263</v>
      </c>
      <c r="AT26" s="69">
        <f>tblNc[[#This Row],[Ncflex]]*0.9</f>
        <v>57.652638618202438</v>
      </c>
      <c r="AU26" s="69" t="e">
        <f t="array" ref="AU26">INDEX(tblfocDblSym[Nc],MATCH(tblNc[[#This Row],[Section]]&amp;tblNc[[#This Row],[lex]],tblfocDblSym[Section]&amp;tblfocDblSym[lex],0))</f>
        <v>#N/A</v>
      </c>
      <c r="AV26" s="69">
        <f t="array" ref="AV26">INDEX(tblfocSglSym[Nc],MATCH(tblNc[[#This Row],[Section]]&amp;tblNc[[#This Row],[lex]],tblfocSglSym[Section]&amp;tblfocSglSym[lex],0))</f>
        <v>178.87355553461893</v>
      </c>
      <c r="AW26" s="69">
        <f t="array" ref="AW26">INDEX(tblfocunsym[Nc],MATCH(tblNc[[#This Row],[Section]]&amp;tblNc[[#This Row],[lex]],tblfocunsym[Section]&amp;tblfocunsym[lex],0))</f>
        <v>47.076761480280105</v>
      </c>
      <c r="AX26" s="69">
        <f>IF(tblNc[[#This Row],[Axis]]="['x', 'y']",tblNc[[#This Row],[Ncz_dbl]],IF(tblNc[[#This Row],[Axis]]="[]",tblNc[[#This Row],[Ncz_un]],tblNc[[#This Row],[Ncz_sngl]]))</f>
        <v>178.87355553461893</v>
      </c>
      <c r="AY26" s="69">
        <f>MIN(tblNc[[#This Row],[Ncz_base]],tblNc[[#This Row],[Ns]])</f>
        <v>178.87355553461893</v>
      </c>
      <c r="AZ26" s="69">
        <f>tblNc[[#This Row],[Ncz]]*0.9</f>
        <v>160.98619998115703</v>
      </c>
      <c r="BA26" s="69">
        <f>MIN(tblNc[[#This Row],[Ncflex]],tblNc[[#This Row],[Ncz]])</f>
        <v>64.058487353558263</v>
      </c>
      <c r="BB26" s="69">
        <f>tblNc[[#This Row],[Nc]]*0.9</f>
        <v>57.652638618202438</v>
      </c>
    </row>
    <row r="27" spans="2:54" x14ac:dyDescent="0.2">
      <c r="B27" s="13" t="s">
        <v>38</v>
      </c>
      <c r="C27" s="54">
        <v>1.4300000000000001E-4</v>
      </c>
      <c r="D27" s="11">
        <v>1</v>
      </c>
      <c r="E27" s="56">
        <v>10</v>
      </c>
      <c r="F27" s="11">
        <v>0.5</v>
      </c>
      <c r="G27" s="11">
        <v>0.5</v>
      </c>
      <c r="H27" s="11">
        <v>0.5</v>
      </c>
      <c r="I27" s="59">
        <v>9.2200000000000008E-3</v>
      </c>
      <c r="J27" s="59">
        <v>4.7299999999999998E-3</v>
      </c>
      <c r="K27" s="59">
        <v>0</v>
      </c>
      <c r="L27" s="59">
        <v>0</v>
      </c>
      <c r="M27" s="61">
        <v>5.1499999999999998E-10</v>
      </c>
      <c r="N27" s="63">
        <v>0</v>
      </c>
      <c r="O27" s="65">
        <v>320000000</v>
      </c>
      <c r="P27" s="66">
        <v>200000000000</v>
      </c>
      <c r="Q27" s="66">
        <v>80000000000</v>
      </c>
      <c r="R27" s="65">
        <v>250000000</v>
      </c>
      <c r="S27" s="8">
        <v>0.5</v>
      </c>
      <c r="T27" s="8" t="s">
        <v>49</v>
      </c>
      <c r="U27" s="7" t="b">
        <v>1</v>
      </c>
      <c r="V27" s="7" t="b">
        <v>1</v>
      </c>
      <c r="W27" s="68">
        <f>tblNc[[#This Row],[An]]*tblNc[[#This Row],[kf]]</f>
        <v>1.4300000000000001E-4</v>
      </c>
      <c r="X27" s="69">
        <f>tblNc[[#This Row],[Ae]]*tblNc[[#This Row],[fy]]</f>
        <v>45760</v>
      </c>
      <c r="Y27" s="69">
        <f>tblNc[[#This Row],[Ns]]*0.9</f>
        <v>41184</v>
      </c>
      <c r="Z27" s="71">
        <f>tblNc[[#This Row],[l]]*tblNc[[#This Row],[kex]]</f>
        <v>5</v>
      </c>
      <c r="AA27" s="71">
        <f>tblNc[[#This Row],[l]]*tblNc[[#This Row],[key]]</f>
        <v>5</v>
      </c>
      <c r="AB27" s="71">
        <f>tblNc[[#This Row],[kez]]*tblNc[[#This Row],[l]]</f>
        <v>5</v>
      </c>
      <c r="AC27" s="53">
        <f>(tblNc[[#This Row],[lex]]/tblNc[[#This Row],[rx]])*(SQRT(tblNc[[#This Row],[kf]]))*SQRT((tblNc[[#This Row],[fy]]/tblNc[[#This Row],[fref]]))</f>
        <v>613.5416756499327</v>
      </c>
      <c r="AD27" s="53">
        <f>(2100*(tblNc[[#This Row],[λnx]]-13.5))/((tblNc[[#This Row],[λnx]]^2)-(15.3*tblNc[[#This Row],[λnx]])+2050)</f>
        <v>3.4139812830604903</v>
      </c>
      <c r="AE27" s="53">
        <f>tblNc[[#This Row],[λnx]]+tblNc[[#This Row],[αax]]*tblNc[[#This Row],[αb]]</f>
        <v>615.248666291463</v>
      </c>
      <c r="AF27" s="53">
        <f>MAX((0.00326*(tblNc[[#This Row],[λx]]-13.5)),0)</f>
        <v>1.9617006521101692</v>
      </c>
      <c r="AG27" s="53">
        <f>((tblNc[[#This Row],[λx]]/90)^2+1+tblNc[[#This Row],[ηx]])/(2*(tblNc[[#This Row],[λx]]/90)^2)</f>
        <v>0.53168799948370171</v>
      </c>
      <c r="AH27" s="53">
        <f>tblNc[[#This Row],[ξx]]*(1-SQRT(1-(90/(tblNc[[#This Row],[ξx]]*tblNc[[#This Row],[λx]]))^2))</f>
        <v>2.051913038509267E-2</v>
      </c>
      <c r="AI27" s="69">
        <f>tblNc[[#This Row],[αcx]]*tblNc[[#This Row],[Ns]]</f>
        <v>938.95540642184051</v>
      </c>
      <c r="AJ27" s="69">
        <f>tblNc[[#This Row],[Ncx]]*0.9</f>
        <v>845.05986577965643</v>
      </c>
      <c r="AK27" s="53">
        <f>(tblNc[[#This Row],[lex]]/tblNc[[#This Row],[ry]])*(SQRT(tblNc[[#This Row],[kf]]))*SQRT((tblNc[[#This Row],[fy]]/tblNc[[#This Row],[fref]]))</f>
        <v>1195.9522726199536</v>
      </c>
      <c r="AL27" s="53">
        <f>(2100*(tblNc[[#This Row],[λny]]-13.5))/((tblNc[[#This Row],[λny]]^2)-(15.3*tblNc[[#This Row],[λny]])+2050)</f>
        <v>1.756050461176051</v>
      </c>
      <c r="AM27" s="53">
        <f>tblNc[[#This Row],[λny]]+tblNc[[#This Row],[αay]]*tblNc[[#This Row],[αb]]</f>
        <v>1196.8302978505417</v>
      </c>
      <c r="AN27" s="53">
        <f>MAX((0.00326*(tblNc[[#This Row],[λy]]-13.5)),0)</f>
        <v>3.8576567709927656</v>
      </c>
      <c r="AO27" s="53">
        <f>((tblNc[[#This Row],[λy]]/90)^2+1+tblNc[[#This Row],[ηy]])/(2*(tblNc[[#This Row],[λy]]/90)^2)</f>
        <v>0.51373462160675409</v>
      </c>
      <c r="AP27" s="53">
        <f>tblNc[[#This Row],[ξy]]*(1-SQRT(1-(90/(tblNc[[#This Row],[ξy]]*tblNc[[#This Row],[λy]]))^2))</f>
        <v>5.5334534407120864E-3</v>
      </c>
      <c r="AQ27" s="69">
        <f>tblNc[[#This Row],[αcy]]*tblNc[[#This Row],[Ns]]</f>
        <v>253.21082944698509</v>
      </c>
      <c r="AR27" s="69">
        <f>tblNc[[#This Row],[Ncy]]*0.9</f>
        <v>227.88974650228658</v>
      </c>
      <c r="AS27" s="69">
        <f>MIN(tblNc[[#This Row],[Ncy]],tblNc[[#This Row],[Ncx]],tblNc[[#This Row],[Ns]])</f>
        <v>253.21082944698509</v>
      </c>
      <c r="AT27" s="69">
        <f>tblNc[[#This Row],[Ncflex]]*0.9</f>
        <v>227.88974650228658</v>
      </c>
      <c r="AU27" s="69" t="e">
        <f t="array" ref="AU27">INDEX(tblfocDblSym[Nc],MATCH(tblNc[[#This Row],[Section]]&amp;tblNc[[#This Row],[lex]],tblfocDblSym[Section]&amp;tblfocDblSym[lex],0))</f>
        <v>#N/A</v>
      </c>
      <c r="AV27" s="69">
        <f t="array" ref="AV27">INDEX(tblfocSglSym[Nc],MATCH(tblNc[[#This Row],[Section]]&amp;tblNc[[#This Row],[lex]],tblfocSglSym[Section]&amp;tblfocSglSym[lex],0))</f>
        <v>715.49422213845037</v>
      </c>
      <c r="AW27" s="69">
        <f t="array" ref="AW27">INDEX(tblfocunsym[Nc],MATCH(tblNc[[#This Row],[Section]]&amp;tblNc[[#This Row],[lex]],tblfocunsym[Section]&amp;tblfocunsym[lex],0))</f>
        <v>188.30704592112059</v>
      </c>
      <c r="AX27" s="69">
        <f>IF(tblNc[[#This Row],[Axis]]="['x', 'y']",tblNc[[#This Row],[Ncz_dbl]],IF(tblNc[[#This Row],[Axis]]="[]",tblNc[[#This Row],[Ncz_un]],tblNc[[#This Row],[Ncz_sngl]]))</f>
        <v>715.49422213845037</v>
      </c>
      <c r="AY27" s="69">
        <f>MIN(tblNc[[#This Row],[Ncz_base]],tblNc[[#This Row],[Ns]])</f>
        <v>715.49422213845037</v>
      </c>
      <c r="AZ27" s="69">
        <f>tblNc[[#This Row],[Ncz]]*0.9</f>
        <v>643.94479992460538</v>
      </c>
      <c r="BA27" s="69">
        <f>MIN(tblNc[[#This Row],[Ncflex]],tblNc[[#This Row],[Ncz]])</f>
        <v>253.21082944698509</v>
      </c>
      <c r="BB27" s="69">
        <f>tblNc[[#This Row],[Nc]]*0.9</f>
        <v>227.88974650228658</v>
      </c>
    </row>
    <row r="28" spans="2:54" x14ac:dyDescent="0.2">
      <c r="B28" s="13" t="s">
        <v>38</v>
      </c>
      <c r="C28" s="54">
        <v>1.4300000000000001E-4</v>
      </c>
      <c r="D28" s="11">
        <v>1</v>
      </c>
      <c r="E28" s="56">
        <v>10</v>
      </c>
      <c r="F28" s="11">
        <v>0.1</v>
      </c>
      <c r="G28" s="11">
        <v>0.1</v>
      </c>
      <c r="H28" s="11">
        <v>0.1</v>
      </c>
      <c r="I28" s="59">
        <v>9.2200000000000008E-3</v>
      </c>
      <c r="J28" s="59">
        <v>4.7299999999999998E-3</v>
      </c>
      <c r="K28" s="59">
        <v>0</v>
      </c>
      <c r="L28" s="59">
        <v>0</v>
      </c>
      <c r="M28" s="61">
        <v>5.1499999999999998E-10</v>
      </c>
      <c r="N28" s="63">
        <v>0</v>
      </c>
      <c r="O28" s="65">
        <v>320000000</v>
      </c>
      <c r="P28" s="66">
        <v>200000000000</v>
      </c>
      <c r="Q28" s="66">
        <v>80000000000</v>
      </c>
      <c r="R28" s="65">
        <v>250000000</v>
      </c>
      <c r="S28" s="8">
        <v>0.5</v>
      </c>
      <c r="T28" s="8" t="s">
        <v>49</v>
      </c>
      <c r="U28" s="7" t="b">
        <v>1</v>
      </c>
      <c r="V28" s="7" t="b">
        <v>1</v>
      </c>
      <c r="W28" s="68">
        <f>tblNc[[#This Row],[An]]*tblNc[[#This Row],[kf]]</f>
        <v>1.4300000000000001E-4</v>
      </c>
      <c r="X28" s="69">
        <f>tblNc[[#This Row],[Ae]]*tblNc[[#This Row],[fy]]</f>
        <v>45760</v>
      </c>
      <c r="Y28" s="69">
        <f>tblNc[[#This Row],[Ns]]*0.9</f>
        <v>41184</v>
      </c>
      <c r="Z28" s="71">
        <f>tblNc[[#This Row],[l]]*tblNc[[#This Row],[kex]]</f>
        <v>1</v>
      </c>
      <c r="AA28" s="71">
        <f>tblNc[[#This Row],[l]]*tblNc[[#This Row],[key]]</f>
        <v>1</v>
      </c>
      <c r="AB28" s="71">
        <f>tblNc[[#This Row],[kez]]*tblNc[[#This Row],[l]]</f>
        <v>1</v>
      </c>
      <c r="AC28" s="53">
        <f>(tblNc[[#This Row],[lex]]/tblNc[[#This Row],[rx]])*(SQRT(tblNc[[#This Row],[kf]]))*SQRT((tblNc[[#This Row],[fy]]/tblNc[[#This Row],[fref]]))</f>
        <v>122.70833512998655</v>
      </c>
      <c r="AD28" s="53">
        <f>(2100*(tblNc[[#This Row],[λnx]]-13.5))/((tblNc[[#This Row],[λnx]]^2)-(15.3*tblNc[[#This Row],[λnx]])+2050)</f>
        <v>15.058374260333615</v>
      </c>
      <c r="AE28" s="53">
        <f>tblNc[[#This Row],[λnx]]+tblNc[[#This Row],[αax]]*tblNc[[#This Row],[αb]]</f>
        <v>130.23752226015336</v>
      </c>
      <c r="AF28" s="53">
        <f>MAX((0.00326*(tblNc[[#This Row],[λx]]-13.5)),0)</f>
        <v>0.38056432256809991</v>
      </c>
      <c r="AG28" s="53">
        <f>((tblNc[[#This Row],[λx]]/90)^2+1+tblNc[[#This Row],[ηx]])/(2*(tblNc[[#This Row],[λx]]/90)^2)</f>
        <v>0.82963963042400113</v>
      </c>
      <c r="AH28" s="53">
        <f>tblNc[[#This Row],[ξx]]*(1-SQRT(1-(90/(tblNc[[#This Row],[ξx]]*tblNc[[#This Row],[λx]]))^2))</f>
        <v>0.37055510329210156</v>
      </c>
      <c r="AI28" s="69">
        <f>tblNc[[#This Row],[αcx]]*tblNc[[#This Row],[Ns]]</f>
        <v>16956.601526646569</v>
      </c>
      <c r="AJ28" s="69">
        <f>tblNc[[#This Row],[Ncx]]*0.9</f>
        <v>15260.941373981912</v>
      </c>
      <c r="AK28" s="53">
        <f>(tblNc[[#This Row],[lex]]/tblNc[[#This Row],[ry]])*(SQRT(tblNc[[#This Row],[kf]]))*SQRT((tblNc[[#This Row],[fy]]/tblNc[[#This Row],[fref]]))</f>
        <v>239.19045452399072</v>
      </c>
      <c r="AL28" s="53">
        <f>(2100*(tblNc[[#This Row],[λny]]-13.5))/((tblNc[[#This Row],[λny]]^2)-(15.3*tblNc[[#This Row],[λny]])+2050)</f>
        <v>8.5239026847084407</v>
      </c>
      <c r="AM28" s="53">
        <f>tblNc[[#This Row],[λny]]+tblNc[[#This Row],[αay]]*tblNc[[#This Row],[αb]]</f>
        <v>243.45240586634495</v>
      </c>
      <c r="AN28" s="53">
        <f>MAX((0.00326*(tblNc[[#This Row],[λy]]-13.5)),0)</f>
        <v>0.74964484312428448</v>
      </c>
      <c r="AO28" s="53">
        <f>((tblNc[[#This Row],[λy]]/90)^2+1+tblNc[[#This Row],[ηy]])/(2*(tblNc[[#This Row],[λy]]/90)^2)</f>
        <v>0.61955748834485758</v>
      </c>
      <c r="AP28" s="53">
        <f>tblNc[[#This Row],[ξy]]*(1-SQRT(1-(90/(tblNc[[#This Row],[ξy]]*tblNc[[#This Row],[λy]]))^2))</f>
        <v>0.12237883219393887</v>
      </c>
      <c r="AQ28" s="69">
        <f>tblNc[[#This Row],[αcy]]*tblNc[[#This Row],[Ns]]</f>
        <v>5600.0553611946425</v>
      </c>
      <c r="AR28" s="69">
        <f>tblNc[[#This Row],[Ncy]]*0.9</f>
        <v>5040.049825075178</v>
      </c>
      <c r="AS28" s="69">
        <f>MIN(tblNc[[#This Row],[Ncy]],tblNc[[#This Row],[Ncx]],tblNc[[#This Row],[Ns]])</f>
        <v>5600.0553611946425</v>
      </c>
      <c r="AT28" s="69">
        <f>tblNc[[#This Row],[Ncflex]]*0.9</f>
        <v>5040.049825075178</v>
      </c>
      <c r="AU28" s="69" t="e">
        <f t="array" ref="AU28">INDEX(tblfocDblSym[Nc],MATCH(tblNc[[#This Row],[Section]]&amp;tblNc[[#This Row],[lex]],tblfocDblSym[Section]&amp;tblfocDblSym[lex],0))</f>
        <v>#N/A</v>
      </c>
      <c r="AV28" s="69">
        <f t="array" ref="AV28">INDEX(tblfocSglSym[Nc],MATCH(tblNc[[#This Row],[Section]]&amp;tblNc[[#This Row],[lex]],tblfocSglSym[Section]&amp;tblfocSglSym[lex],0))</f>
        <v>17508.767386782289</v>
      </c>
      <c r="AW28" s="69">
        <f t="array" ref="AW28">INDEX(tblfocunsym[Nc],MATCH(tblNc[[#This Row],[Section]]&amp;tblNc[[#This Row],[lex]],tblfocunsym[Section]&amp;tblfocunsym[lex],0))</f>
        <v>4707.6761480280165</v>
      </c>
      <c r="AX28" s="69">
        <f>IF(tblNc[[#This Row],[Axis]]="['x', 'y']",tblNc[[#This Row],[Ncz_dbl]],IF(tblNc[[#This Row],[Axis]]="[]",tblNc[[#This Row],[Ncz_un]],tblNc[[#This Row],[Ncz_sngl]]))</f>
        <v>17508.767386782289</v>
      </c>
      <c r="AY28" s="69">
        <f>MIN(tblNc[[#This Row],[Ncz_base]],tblNc[[#This Row],[Ns]])</f>
        <v>17508.767386782289</v>
      </c>
      <c r="AZ28" s="69">
        <f>tblNc[[#This Row],[Ncz]]*0.9</f>
        <v>15757.890648104059</v>
      </c>
      <c r="BA28" s="69">
        <f>MIN(tblNc[[#This Row],[Ncflex]],tblNc[[#This Row],[Ncz]])</f>
        <v>5600.0553611946425</v>
      </c>
      <c r="BB28" s="69">
        <f>tblNc[[#This Row],[Nc]]*0.9</f>
        <v>5040.049825075178</v>
      </c>
    </row>
    <row r="29" spans="2:54" x14ac:dyDescent="0.2">
      <c r="B29" s="13" t="s">
        <v>38</v>
      </c>
      <c r="C29" s="54">
        <v>1.4300000000000001E-4</v>
      </c>
      <c r="D29" s="11">
        <v>1</v>
      </c>
      <c r="E29" s="56">
        <v>10</v>
      </c>
      <c r="F29" s="11">
        <v>0.05</v>
      </c>
      <c r="G29" s="11">
        <v>0.05</v>
      </c>
      <c r="H29" s="11">
        <v>0.05</v>
      </c>
      <c r="I29" s="59">
        <v>9.2200000000000008E-3</v>
      </c>
      <c r="J29" s="59">
        <v>4.7299999999999998E-3</v>
      </c>
      <c r="K29" s="59">
        <v>0</v>
      </c>
      <c r="L29" s="59">
        <v>0</v>
      </c>
      <c r="M29" s="61">
        <v>5.1499999999999998E-10</v>
      </c>
      <c r="N29" s="63">
        <v>0</v>
      </c>
      <c r="O29" s="65">
        <v>320000000</v>
      </c>
      <c r="P29" s="66">
        <v>200000000000</v>
      </c>
      <c r="Q29" s="66">
        <v>80000000000</v>
      </c>
      <c r="R29" s="65">
        <v>250000000</v>
      </c>
      <c r="S29" s="8">
        <v>0.5</v>
      </c>
      <c r="T29" s="8" t="s">
        <v>49</v>
      </c>
      <c r="U29" s="7" t="b">
        <v>1</v>
      </c>
      <c r="V29" s="7" t="b">
        <v>1</v>
      </c>
      <c r="W29" s="68">
        <f>tblNc[[#This Row],[An]]*tblNc[[#This Row],[kf]]</f>
        <v>1.4300000000000001E-4</v>
      </c>
      <c r="X29" s="69">
        <f>tblNc[[#This Row],[Ae]]*tblNc[[#This Row],[fy]]</f>
        <v>45760</v>
      </c>
      <c r="Y29" s="69">
        <f>tblNc[[#This Row],[Ns]]*0.9</f>
        <v>41184</v>
      </c>
      <c r="Z29" s="71">
        <f>tblNc[[#This Row],[l]]*tblNc[[#This Row],[kex]]</f>
        <v>0.5</v>
      </c>
      <c r="AA29" s="71">
        <f>tblNc[[#This Row],[l]]*tblNc[[#This Row],[key]]</f>
        <v>0.5</v>
      </c>
      <c r="AB29" s="71">
        <f>tblNc[[#This Row],[kez]]*tblNc[[#This Row],[l]]</f>
        <v>0.5</v>
      </c>
      <c r="AC29" s="53">
        <f>(tblNc[[#This Row],[lex]]/tblNc[[#This Row],[rx]])*(SQRT(tblNc[[#This Row],[kf]]))*SQRT((tblNc[[#This Row],[fy]]/tblNc[[#This Row],[fref]]))</f>
        <v>61.354167564993276</v>
      </c>
      <c r="AD29" s="53">
        <f>(2100*(tblNc[[#This Row],[λnx]]-13.5))/((tblNc[[#This Row],[λnx]]^2)-(15.3*tblNc[[#This Row],[λnx]])+2050)</f>
        <v>20.611502249437152</v>
      </c>
      <c r="AE29" s="53">
        <f>tblNc[[#This Row],[λnx]]+tblNc[[#This Row],[αax]]*tblNc[[#This Row],[αb]]</f>
        <v>71.659918689711844</v>
      </c>
      <c r="AF29" s="53">
        <f>MAX((0.00326*(tblNc[[#This Row],[λx]]-13.5)),0)</f>
        <v>0.1896013349284606</v>
      </c>
      <c r="AG29" s="53">
        <f>((tblNc[[#This Row],[λx]]/90)^2+1+tblNc[[#This Row],[ηx]])/(2*(tblNc[[#This Row],[λx]]/90)^2)</f>
        <v>1.4382181797717841</v>
      </c>
      <c r="AH29" s="53">
        <f>tblNc[[#This Row],[ξx]]*(1-SQRT(1-(90/(tblNc[[#This Row],[ξx]]*tblNc[[#This Row],[λx]]))^2))</f>
        <v>0.7374287547611198</v>
      </c>
      <c r="AI29" s="69">
        <f>tblNc[[#This Row],[αcx]]*tblNc[[#This Row],[Ns]]</f>
        <v>33744.739817868845</v>
      </c>
      <c r="AJ29" s="69">
        <f>tblNc[[#This Row],[Ncx]]*0.9</f>
        <v>30370.265836081962</v>
      </c>
      <c r="AK29" s="53">
        <f>(tblNc[[#This Row],[lex]]/tblNc[[#This Row],[ry]])*(SQRT(tblNc[[#This Row],[kf]]))*SQRT((tblNc[[#This Row],[fy]]/tblNc[[#This Row],[fref]]))</f>
        <v>119.59522726199536</v>
      </c>
      <c r="AL29" s="53">
        <f>(2100*(tblNc[[#This Row],[λny]]-13.5))/((tblNc[[#This Row],[λny]]^2)-(15.3*tblNc[[#This Row],[λny]])+2050)</f>
        <v>15.340958071215255</v>
      </c>
      <c r="AM29" s="53">
        <f>tblNc[[#This Row],[λny]]+tblNc[[#This Row],[αay]]*tblNc[[#This Row],[αb]]</f>
        <v>127.26570629760299</v>
      </c>
      <c r="AN29" s="53">
        <f>MAX((0.00326*(tblNc[[#This Row],[λy]]-13.5)),0)</f>
        <v>0.37087620253018572</v>
      </c>
      <c r="AO29" s="53">
        <f>((tblNc[[#This Row],[λy]]/90)^2+1+tblNc[[#This Row],[ηy]])/(2*(tblNc[[#This Row],[λy]]/90)^2)</f>
        <v>0.84279184101089466</v>
      </c>
      <c r="AP29" s="53">
        <f>tblNc[[#This Row],[ξy]]*(1-SQRT(1-(90/(tblNc[[#This Row],[ξy]]*tblNc[[#This Row],[λy]]))^2))</f>
        <v>0.38432494813069418</v>
      </c>
      <c r="AQ29" s="69">
        <f>tblNc[[#This Row],[αcy]]*tblNc[[#This Row],[Ns]]</f>
        <v>17586.709626460564</v>
      </c>
      <c r="AR29" s="69">
        <f>tblNc[[#This Row],[Ncy]]*0.9</f>
        <v>15828.038663814508</v>
      </c>
      <c r="AS29" s="69">
        <f>MIN(tblNc[[#This Row],[Ncy]],tblNc[[#This Row],[Ncx]],tblNc[[#This Row],[Ns]])</f>
        <v>17586.709626460564</v>
      </c>
      <c r="AT29" s="69">
        <f>tblNc[[#This Row],[Ncflex]]*0.9</f>
        <v>15828.038663814508</v>
      </c>
      <c r="AU29" s="69" t="e">
        <f t="array" ref="AU29">INDEX(tblfocDblSym[Nc],MATCH(tblNc[[#This Row],[Section]]&amp;tblNc[[#This Row],[lex]],tblfocDblSym[Section]&amp;tblfocDblSym[lex],0))</f>
        <v>#N/A</v>
      </c>
      <c r="AV29" s="69">
        <f t="array" ref="AV29">INDEX(tblfocSglSym[Nc],MATCH(tblNc[[#This Row],[Section]]&amp;tblNc[[#This Row],[lex]],tblfocSglSym[Section]&amp;tblfocSglSym[lex],0))</f>
        <v>31859.767293802663</v>
      </c>
      <c r="AW29" s="69">
        <f t="array" ref="AW29">INDEX(tblfocunsym[Nc],MATCH(tblNc[[#This Row],[Section]]&amp;tblNc[[#This Row],[lex]],tblfocunsym[Section]&amp;tblfocunsym[lex],0))</f>
        <v>18223.065294329943</v>
      </c>
      <c r="AX29" s="69">
        <f>IF(tblNc[[#This Row],[Axis]]="['x', 'y']",tblNc[[#This Row],[Ncz_dbl]],IF(tblNc[[#This Row],[Axis]]="[]",tblNc[[#This Row],[Ncz_un]],tblNc[[#This Row],[Ncz_sngl]]))</f>
        <v>31859.767293802663</v>
      </c>
      <c r="AY29" s="69">
        <f>MIN(tblNc[[#This Row],[Ncz_base]],tblNc[[#This Row],[Ns]])</f>
        <v>31859.767293802663</v>
      </c>
      <c r="AZ29" s="69">
        <f>tblNc[[#This Row],[Ncz]]*0.9</f>
        <v>28673.790564422397</v>
      </c>
      <c r="BA29" s="69">
        <f>MIN(tblNc[[#This Row],[Ncflex]],tblNc[[#This Row],[Ncz]])</f>
        <v>17586.709626460564</v>
      </c>
      <c r="BB29" s="69">
        <f>tblNc[[#This Row],[Nc]]*0.9</f>
        <v>15828.038663814508</v>
      </c>
    </row>
    <row r="30" spans="2:54" x14ac:dyDescent="0.2">
      <c r="B30" s="13" t="s">
        <v>38</v>
      </c>
      <c r="C30" s="54">
        <v>1.4300000000000001E-4</v>
      </c>
      <c r="D30" s="11">
        <v>1</v>
      </c>
      <c r="E30" s="56">
        <v>10</v>
      </c>
      <c r="F30" s="11">
        <v>0.01</v>
      </c>
      <c r="G30" s="11">
        <v>0.01</v>
      </c>
      <c r="H30" s="11">
        <v>0.01</v>
      </c>
      <c r="I30" s="59">
        <v>9.2200000000000008E-3</v>
      </c>
      <c r="J30" s="59">
        <v>4.7299999999999998E-3</v>
      </c>
      <c r="K30" s="59">
        <v>0</v>
      </c>
      <c r="L30" s="59">
        <v>0</v>
      </c>
      <c r="M30" s="61">
        <v>5.1499999999999998E-10</v>
      </c>
      <c r="N30" s="63">
        <v>0</v>
      </c>
      <c r="O30" s="65">
        <v>320000000</v>
      </c>
      <c r="P30" s="66">
        <v>200000000000</v>
      </c>
      <c r="Q30" s="66">
        <v>80000000000</v>
      </c>
      <c r="R30" s="65">
        <v>250000000</v>
      </c>
      <c r="S30" s="8">
        <v>0.5</v>
      </c>
      <c r="T30" s="8" t="s">
        <v>49</v>
      </c>
      <c r="U30" s="7" t="b">
        <v>1</v>
      </c>
      <c r="V30" s="7" t="b">
        <v>1</v>
      </c>
      <c r="W30" s="68">
        <f>tblNc[[#This Row],[An]]*tblNc[[#This Row],[kf]]</f>
        <v>1.4300000000000001E-4</v>
      </c>
      <c r="X30" s="69">
        <f>tblNc[[#This Row],[Ae]]*tblNc[[#This Row],[fy]]</f>
        <v>45760</v>
      </c>
      <c r="Y30" s="69">
        <f>tblNc[[#This Row],[Ns]]*0.9</f>
        <v>41184</v>
      </c>
      <c r="Z30" s="71">
        <f>tblNc[[#This Row],[l]]*tblNc[[#This Row],[kex]]</f>
        <v>0.1</v>
      </c>
      <c r="AA30" s="71">
        <f>tblNc[[#This Row],[l]]*tblNc[[#This Row],[key]]</f>
        <v>0.1</v>
      </c>
      <c r="AB30" s="71">
        <f>tblNc[[#This Row],[kez]]*tblNc[[#This Row],[l]]</f>
        <v>0.1</v>
      </c>
      <c r="AC30" s="53">
        <f>(tblNc[[#This Row],[lex]]/tblNc[[#This Row],[rx]])*(SQRT(tblNc[[#This Row],[kf]]))*SQRT((tblNc[[#This Row],[fy]]/tblNc[[#This Row],[fref]]))</f>
        <v>12.270833512998655</v>
      </c>
      <c r="AD30" s="53">
        <f>(2100*(tblNc[[#This Row],[λnx]]-13.5))/((tblNc[[#This Row],[λnx]]^2)-(15.3*tblNc[[#This Row],[λnx]])+2050)</f>
        <v>-1.2823984800715207</v>
      </c>
      <c r="AE30" s="53">
        <f>tblNc[[#This Row],[λnx]]+tblNc[[#This Row],[αax]]*tblNc[[#This Row],[αb]]</f>
        <v>11.629634272962894</v>
      </c>
      <c r="AF30" s="53">
        <f>MAX((0.00326*(tblNc[[#This Row],[λx]]-13.5)),0)</f>
        <v>0</v>
      </c>
      <c r="AG30" s="53">
        <f>((tblNc[[#This Row],[λx]]/90)^2+1+tblNc[[#This Row],[ηx]])/(2*(tblNc[[#This Row],[λx]]/90)^2)</f>
        <v>30.444902859818782</v>
      </c>
      <c r="AH30" s="53">
        <f>tblNc[[#This Row],[ξx]]*(1-SQRT(1-(90/(tblNc[[#This Row],[ξx]]*tblNc[[#This Row],[λx]]))^2))</f>
        <v>0.99999999999999889</v>
      </c>
      <c r="AI30" s="69">
        <f>tblNc[[#This Row],[αcx]]*tblNc[[#This Row],[Ns]]</f>
        <v>45759.999999999949</v>
      </c>
      <c r="AJ30" s="69">
        <f>tblNc[[#This Row],[Ncx]]*0.9</f>
        <v>41183.999999999956</v>
      </c>
      <c r="AK30" s="53">
        <f>(tblNc[[#This Row],[lex]]/tblNc[[#This Row],[ry]])*(SQRT(tblNc[[#This Row],[kf]]))*SQRT((tblNc[[#This Row],[fy]]/tblNc[[#This Row],[fref]]))</f>
        <v>23.919045452399072</v>
      </c>
      <c r="AL30" s="53">
        <f>(2100*(tblNc[[#This Row],[λny]]-13.5))/((tblNc[[#This Row],[λny]]^2)-(15.3*tblNc[[#This Row],[λny]])+2050)</f>
        <v>9.697894586955595</v>
      </c>
      <c r="AM30" s="53">
        <f>tblNc[[#This Row],[λny]]+tblNc[[#This Row],[αay]]*tblNc[[#This Row],[αb]]</f>
        <v>28.767992745876867</v>
      </c>
      <c r="AN30" s="53">
        <f>MAX((0.00326*(tblNc[[#This Row],[λy]]-13.5)),0)</f>
        <v>4.9773656351558587E-2</v>
      </c>
      <c r="AO30" s="53">
        <f>((tblNc[[#This Row],[λy]]/90)^2+1+tblNc[[#This Row],[ηy]])/(2*(tblNc[[#This Row],[λy]]/90)^2)</f>
        <v>5.6372603081886092</v>
      </c>
      <c r="AP30" s="53">
        <f>tblNc[[#This Row],[ξy]]*(1-SQRT(1-(90/(tblNc[[#This Row],[ξy]]*tblNc[[#This Row],[λy]]))^2))</f>
        <v>0.94776819978323257</v>
      </c>
      <c r="AQ30" s="69">
        <f>tblNc[[#This Row],[αcy]]*tblNc[[#This Row],[Ns]]</f>
        <v>43369.872822080724</v>
      </c>
      <c r="AR30" s="69">
        <f>tblNc[[#This Row],[Ncy]]*0.9</f>
        <v>39032.885539872652</v>
      </c>
      <c r="AS30" s="69">
        <f>MIN(tblNc[[#This Row],[Ncy]],tblNc[[#This Row],[Ncx]],tblNc[[#This Row],[Ns]])</f>
        <v>43369.872822080724</v>
      </c>
      <c r="AT30" s="69">
        <f>tblNc[[#This Row],[Ncflex]]*0.9</f>
        <v>39032.885539872652</v>
      </c>
      <c r="AU30" s="69" t="e">
        <f t="array" ref="AU30">INDEX(tblfocDblSym[Nc],MATCH(tblNc[[#This Row],[Section]]&amp;tblNc[[#This Row],[lex]],tblfocDblSym[Section]&amp;tblfocDblSym[lex],0))</f>
        <v>#N/A</v>
      </c>
      <c r="AV30" s="69">
        <f t="array" ref="AV30">INDEX(tblfocSglSym[Nc],MATCH(tblNc[[#This Row],[Section]]&amp;tblNc[[#This Row],[lex]],tblfocSglSym[Section]&amp;tblfocSglSym[lex],0))</f>
        <v>37002.01976824335</v>
      </c>
      <c r="AW30" s="69">
        <f t="array" ref="AW30">INDEX(tblfocunsym[Nc],MATCH(tblNc[[#This Row],[Section]]&amp;tblNc[[#This Row],[lex]],tblfocunsym[Section]&amp;tblfocunsym[lex],0))</f>
        <v>37002.01976824335</v>
      </c>
      <c r="AX30" s="69">
        <f>IF(tblNc[[#This Row],[Axis]]="['x', 'y']",tblNc[[#This Row],[Ncz_dbl]],IF(tblNc[[#This Row],[Axis]]="[]",tblNc[[#This Row],[Ncz_un]],tblNc[[#This Row],[Ncz_sngl]]))</f>
        <v>37002.01976824335</v>
      </c>
      <c r="AY30" s="69">
        <f>MIN(tblNc[[#This Row],[Ncz_base]],tblNc[[#This Row],[Ns]])</f>
        <v>37002.01976824335</v>
      </c>
      <c r="AZ30" s="69">
        <f>tblNc[[#This Row],[Ncz]]*0.9</f>
        <v>33301.817791419016</v>
      </c>
      <c r="BA30" s="69">
        <f>MIN(tblNc[[#This Row],[Ncflex]],tblNc[[#This Row],[Ncz]])</f>
        <v>37002.01976824335</v>
      </c>
      <c r="BB30" s="69">
        <f>tblNc[[#This Row],[Nc]]*0.9</f>
        <v>33301.817791419016</v>
      </c>
    </row>
    <row r="31" spans="2:54" x14ac:dyDescent="0.2">
      <c r="B31" s="4" t="s">
        <v>5</v>
      </c>
      <c r="C31" s="55">
        <v>2.5100000000000001E-2</v>
      </c>
      <c r="D31" s="9">
        <v>1</v>
      </c>
      <c r="E31" s="57">
        <v>40</v>
      </c>
      <c r="F31" s="9">
        <v>1</v>
      </c>
      <c r="G31" s="9">
        <v>1</v>
      </c>
      <c r="H31" s="9">
        <v>1</v>
      </c>
      <c r="I31" s="60">
        <v>0.13900000000000001</v>
      </c>
      <c r="J31" s="60">
        <v>8.9300000000000004E-2</v>
      </c>
      <c r="K31" s="59">
        <v>0</v>
      </c>
      <c r="L31" s="59">
        <v>0</v>
      </c>
      <c r="M31" s="61">
        <v>5.75E-6</v>
      </c>
      <c r="N31" s="63">
        <v>4.6E-6</v>
      </c>
      <c r="O31" s="65">
        <v>280000000</v>
      </c>
      <c r="P31" s="65">
        <v>200000000000</v>
      </c>
      <c r="Q31" s="65">
        <v>80000000000</v>
      </c>
      <c r="R31" s="65">
        <v>250000000</v>
      </c>
      <c r="S31" s="7">
        <v>0</v>
      </c>
      <c r="T31" s="7" t="s">
        <v>48</v>
      </c>
      <c r="U31" s="7" t="b">
        <v>1</v>
      </c>
      <c r="V31" s="7" t="b">
        <v>1</v>
      </c>
      <c r="W31" s="68">
        <f>tblNc[[#This Row],[An]]*tblNc[[#This Row],[kf]]</f>
        <v>2.5100000000000001E-2</v>
      </c>
      <c r="X31" s="70">
        <f>tblNc[[#This Row],[Ae]]*tblNc[[#This Row],[fy]]</f>
        <v>7028000</v>
      </c>
      <c r="Y31" s="70">
        <f>tblNc[[#This Row],[Ns]]*0.9</f>
        <v>6325200</v>
      </c>
      <c r="Z31" s="72">
        <f>tblNc[[#This Row],[l]]*tblNc[[#This Row],[kex]]</f>
        <v>40</v>
      </c>
      <c r="AA31" s="72">
        <f>tblNc[[#This Row],[l]]*tblNc[[#This Row],[key]]</f>
        <v>40</v>
      </c>
      <c r="AB31" s="72">
        <f>tblNc[[#This Row],[kez]]*tblNc[[#This Row],[l]]</f>
        <v>40</v>
      </c>
      <c r="AC31" s="52">
        <f>(tblNc[[#This Row],[lex]]/tblNc[[#This Row],[rx]])*(SQRT(tblNc[[#This Row],[kf]]))*SQRT((tblNc[[#This Row],[fy]]/tblNc[[#This Row],[fref]]))</f>
        <v>304.54691350383774</v>
      </c>
      <c r="AD31" s="52">
        <f>(2100*(tblNc[[#This Row],[λnx]]-13.5))/((tblNc[[#This Row],[λnx]]^2)-(15.3*tblNc[[#This Row],[λnx]])+2050)</f>
        <v>6.7806031907636379</v>
      </c>
      <c r="AE31" s="52">
        <f>tblNc[[#This Row],[λnx]]+tblNc[[#This Row],[αax]]*tblNc[[#This Row],[αb]]</f>
        <v>304.54691350383774</v>
      </c>
      <c r="AF31" s="52">
        <f>MAX((0.00326*(tblNc[[#This Row],[λx]]-13.5)),0)</f>
        <v>0.94881293802251099</v>
      </c>
      <c r="AG31" s="52">
        <f>((tblNc[[#This Row],[λx]]/90)^2+1+tblNc[[#This Row],[ηx]])/(2*(tblNc[[#This Row],[λx]]/90)^2)</f>
        <v>0.58509749433086411</v>
      </c>
      <c r="AH31" s="53">
        <f>tblNc[[#This Row],[ξx]]*(1-SQRT(1-(90/(tblNc[[#This Row],[ξx]]*tblNc[[#This Row],[λx]]))^2))</f>
        <v>8.0115878048677258E-2</v>
      </c>
      <c r="AI31" s="69">
        <f>tblNc[[#This Row],[αcx]]*tblNc[[#This Row],[Ns]]</f>
        <v>563054.39092610381</v>
      </c>
      <c r="AJ31" s="69">
        <f>tblNc[[#This Row],[Ncx]]*0.9</f>
        <v>506748.95183349343</v>
      </c>
      <c r="AK31" s="53">
        <f>(tblNc[[#This Row],[lex]]/tblNc[[#This Row],[ry]])*(SQRT(tblNc[[#This Row],[kf]]))*SQRT((tblNc[[#This Row],[fy]]/tblNc[[#This Row],[fref]]))</f>
        <v>474.0427880966792</v>
      </c>
      <c r="AL31" s="53">
        <f>(2100*(tblNc[[#This Row],[λny]]-13.5))/((tblNc[[#This Row],[λny]]^2)-(15.3*tblNc[[#This Row],[λny]])+2050)</f>
        <v>4.40582892855089</v>
      </c>
      <c r="AM31" s="53">
        <f>tblNc[[#This Row],[λny]]+tblNc[[#This Row],[αay]]*tblNc[[#This Row],[αb]]</f>
        <v>474.0427880966792</v>
      </c>
      <c r="AN31" s="53">
        <f>MAX((0.00326*(tblNc[[#This Row],[λy]]-13.5)),0)</f>
        <v>1.5013694891951741</v>
      </c>
      <c r="AO31" s="53">
        <f>((tblNc[[#This Row],[λy]]/90)^2+1+tblNc[[#This Row],[ηy]])/(2*(tblNc[[#This Row],[λy]]/90)^2)</f>
        <v>0.5450814404076243</v>
      </c>
      <c r="AP31" s="53">
        <f>tblNc[[#This Row],[ξy]]*(1-SQRT(1-(90/(tblNc[[#This Row],[ξy]]*tblNc[[#This Row],[λy]]))^2))</f>
        <v>3.413294019570004E-2</v>
      </c>
      <c r="AQ31" s="69">
        <f>tblNc[[#This Row],[αcy]]*tblNc[[#This Row],[Ns]]</f>
        <v>239886.30369537987</v>
      </c>
      <c r="AR31" s="69">
        <f>tblNc[[#This Row],[Ncy]]*0.9</f>
        <v>215897.6733258419</v>
      </c>
      <c r="AS31" s="69">
        <f>MIN(tblNc[[#This Row],[Ncy]],tblNc[[#This Row],[Ncx]],tblNc[[#This Row],[Ns]])</f>
        <v>239886.30369537987</v>
      </c>
      <c r="AT31" s="69">
        <f>tblNc[[#This Row],[Ncflex]]*0.9</f>
        <v>215897.6733258419</v>
      </c>
      <c r="AU31" s="69">
        <f t="array" ref="AU31">INDEX(tblfocDblSym[Nc],MATCH(tblNc[[#This Row],[Section]]&amp;tblNc[[#This Row],[lex]],tblfocDblSym[Section]&amp;tblfocDblSym[lex],0))</f>
        <v>445996.6529199974</v>
      </c>
      <c r="AV31" s="69" t="e">
        <f t="array" ref="AV31">INDEX(tblfocSglSym[Nc],MATCH(tblNc[[#This Row],[Section]]&amp;tblNc[[#This Row],[lex]],tblfocSglSym[Section]&amp;tblfocSglSym[lex],0))</f>
        <v>#N/A</v>
      </c>
      <c r="AW31" s="69">
        <f t="array" ref="AW31">INDEX(tblfocunsym[Nc],MATCH(tblNc[[#This Row],[Section]]&amp;tblNc[[#This Row],[lex]],tblfocunsym[Section]&amp;tblfocunsym[lex],0))</f>
        <v>184079.28413353275</v>
      </c>
      <c r="AX31" s="69">
        <f>IF(tblNc[[#This Row],[Axis]]="['x', 'y']",tblNc[[#This Row],[Ncz_dbl]],IF(tblNc[[#This Row],[Axis]]="[]",tblNc[[#This Row],[Ncz_un]],tblNc[[#This Row],[Ncz_sngl]]))</f>
        <v>445996.6529199974</v>
      </c>
      <c r="AY31" s="69">
        <f>MIN(tblNc[[#This Row],[Ncz_base]],tblNc[[#This Row],[Ns]])</f>
        <v>445996.6529199974</v>
      </c>
      <c r="AZ31" s="69">
        <f>tblNc[[#This Row],[Ncz]]*0.9</f>
        <v>401396.98762799765</v>
      </c>
      <c r="BA31" s="69">
        <f>MIN(tblNc[[#This Row],[Ncflex]],tblNc[[#This Row],[Ncz]])</f>
        <v>239886.30369537987</v>
      </c>
      <c r="BB31" s="69">
        <f>tblNc[[#This Row],[Nc]]*0.9</f>
        <v>215897.6733258419</v>
      </c>
    </row>
    <row r="32" spans="2:54" x14ac:dyDescent="0.2">
      <c r="B32" s="4" t="s">
        <v>5</v>
      </c>
      <c r="C32" s="55">
        <v>2.5100000000000001E-2</v>
      </c>
      <c r="D32" s="9">
        <v>1</v>
      </c>
      <c r="E32" s="57">
        <v>40</v>
      </c>
      <c r="F32" s="9">
        <v>0.5</v>
      </c>
      <c r="G32" s="9">
        <v>0.5</v>
      </c>
      <c r="H32" s="9">
        <v>0.5</v>
      </c>
      <c r="I32" s="60">
        <v>0.13900000000000001</v>
      </c>
      <c r="J32" s="60">
        <v>8.9300000000000004E-2</v>
      </c>
      <c r="K32" s="59">
        <v>0</v>
      </c>
      <c r="L32" s="59">
        <v>0</v>
      </c>
      <c r="M32" s="61">
        <v>5.75E-6</v>
      </c>
      <c r="N32" s="63">
        <v>4.6E-6</v>
      </c>
      <c r="O32" s="65">
        <v>280000000</v>
      </c>
      <c r="P32" s="65">
        <v>200000000000</v>
      </c>
      <c r="Q32" s="65">
        <v>80000000000</v>
      </c>
      <c r="R32" s="65">
        <v>250000000</v>
      </c>
      <c r="S32" s="7">
        <v>0</v>
      </c>
      <c r="T32" s="7" t="s">
        <v>48</v>
      </c>
      <c r="U32" s="7" t="b">
        <v>1</v>
      </c>
      <c r="V32" s="7" t="b">
        <v>1</v>
      </c>
      <c r="W32" s="68">
        <f>tblNc[[#This Row],[An]]*tblNc[[#This Row],[kf]]</f>
        <v>2.5100000000000001E-2</v>
      </c>
      <c r="X32" s="70">
        <f>tblNc[[#This Row],[Ae]]*tblNc[[#This Row],[fy]]</f>
        <v>7028000</v>
      </c>
      <c r="Y32" s="70">
        <f>tblNc[[#This Row],[Ns]]*0.9</f>
        <v>6325200</v>
      </c>
      <c r="Z32" s="72">
        <f>tblNc[[#This Row],[l]]*tblNc[[#This Row],[kex]]</f>
        <v>20</v>
      </c>
      <c r="AA32" s="72">
        <f>tblNc[[#This Row],[l]]*tblNc[[#This Row],[key]]</f>
        <v>20</v>
      </c>
      <c r="AB32" s="72">
        <f>tblNc[[#This Row],[kez]]*tblNc[[#This Row],[l]]</f>
        <v>20</v>
      </c>
      <c r="AC32" s="52">
        <f>(tblNc[[#This Row],[lex]]/tblNc[[#This Row],[rx]])*(SQRT(tblNc[[#This Row],[kf]]))*SQRT((tblNc[[#This Row],[fy]]/tblNc[[#This Row],[fref]]))</f>
        <v>152.27345675191887</v>
      </c>
      <c r="AD32" s="52">
        <f>(2100*(tblNc[[#This Row],[λnx]]-13.5))/((tblNc[[#This Row],[λnx]]^2)-(15.3*tblNc[[#This Row],[λnx]])+2050)</f>
        <v>12.721827120054813</v>
      </c>
      <c r="AE32" s="52">
        <f>tblNc[[#This Row],[λnx]]+tblNc[[#This Row],[αax]]*tblNc[[#This Row],[αb]]</f>
        <v>152.27345675191887</v>
      </c>
      <c r="AF32" s="52">
        <f>MAX((0.00326*(tblNc[[#This Row],[λx]]-13.5)),0)</f>
        <v>0.4524014690112555</v>
      </c>
      <c r="AG32" s="52">
        <f>((tblNc[[#This Row],[λx]]/90)^2+1+tblNc[[#This Row],[ηx]])/(2*(tblNc[[#This Row],[λx]]/90)^2)</f>
        <v>0.75368412404063445</v>
      </c>
      <c r="AH32" s="53">
        <f>tblNc[[#This Row],[ξx]]*(1-SQRT(1-(90/(tblNc[[#This Row],[ξx]]*tblNc[[#This Row],[λx]]))^2))</f>
        <v>0.28602059277723185</v>
      </c>
      <c r="AI32" s="69">
        <f>tblNc[[#This Row],[αcx]]*tblNc[[#This Row],[Ns]]</f>
        <v>2010152.7260383854</v>
      </c>
      <c r="AJ32" s="69">
        <f>tblNc[[#This Row],[Ncx]]*0.9</f>
        <v>1809137.4534345469</v>
      </c>
      <c r="AK32" s="53">
        <f>(tblNc[[#This Row],[lex]]/tblNc[[#This Row],[ry]])*(SQRT(tblNc[[#This Row],[kf]]))*SQRT((tblNc[[#This Row],[fy]]/tblNc[[#This Row],[fref]]))</f>
        <v>237.0213940483396</v>
      </c>
      <c r="AL32" s="53">
        <f>(2100*(tblNc[[#This Row],[λny]]-13.5))/((tblNc[[#This Row],[λny]]^2)-(15.3*tblNc[[#This Row],[λny]])+2050)</f>
        <v>8.5965494003678629</v>
      </c>
      <c r="AM32" s="53">
        <f>tblNc[[#This Row],[λny]]+tblNc[[#This Row],[αay]]*tblNc[[#This Row],[αb]]</f>
        <v>237.0213940483396</v>
      </c>
      <c r="AN32" s="53">
        <f>MAX((0.00326*(tblNc[[#This Row],[λy]]-13.5)),0)</f>
        <v>0.72867974459758711</v>
      </c>
      <c r="AO32" s="53">
        <f>((tblNc[[#This Row],[λy]]/90)^2+1+tblNc[[#This Row],[ηy]])/(2*(tblNc[[#This Row],[λy]]/90)^2)</f>
        <v>0.62462192926966265</v>
      </c>
      <c r="AP32" s="53">
        <f>tblNc[[#This Row],[ξy]]*(1-SQRT(1-(90/(tblNc[[#This Row],[ξy]]*tblNc[[#This Row],[λy]]))^2))</f>
        <v>0.12866736754811481</v>
      </c>
      <c r="AQ32" s="69">
        <f>tblNc[[#This Row],[αcy]]*tblNc[[#This Row],[Ns]]</f>
        <v>904274.25912815088</v>
      </c>
      <c r="AR32" s="69">
        <f>tblNc[[#This Row],[Ncy]]*0.9</f>
        <v>813846.83321533585</v>
      </c>
      <c r="AS32" s="69">
        <f>MIN(tblNc[[#This Row],[Ncy]],tblNc[[#This Row],[Ncx]],tblNc[[#This Row],[Ns]])</f>
        <v>904274.25912815088</v>
      </c>
      <c r="AT32" s="69">
        <f>tblNc[[#This Row],[Ncflex]]*0.9</f>
        <v>813846.83321533585</v>
      </c>
      <c r="AU32" s="69">
        <f t="array" ref="AU32">INDEX(tblfocDblSym[Nc],MATCH(tblNc[[#This Row],[Section]]&amp;tblNc[[#This Row],[lex]],tblfocDblSym[Section]&amp;tblfocDblSym[lex],0))</f>
        <v>1783986.6116799882</v>
      </c>
      <c r="AV32" s="69" t="e">
        <f t="array" ref="AV32">INDEX(tblfocSglSym[Nc],MATCH(tblNc[[#This Row],[Section]]&amp;tblNc[[#This Row],[lex]],tblfocSglSym[Section]&amp;tblfocSglSym[lex],0))</f>
        <v>#N/A</v>
      </c>
      <c r="AW32" s="69">
        <f t="array" ref="AW32">INDEX(tblfocunsym[Nc],MATCH(tblNc[[#This Row],[Section]]&amp;tblNc[[#This Row],[lex]],tblfocunsym[Section]&amp;tblfocunsym[lex],0))</f>
        <v>736317.13653413136</v>
      </c>
      <c r="AX32" s="69">
        <f>IF(tblNc[[#This Row],[Axis]]="['x', 'y']",tblNc[[#This Row],[Ncz_dbl]],IF(tblNc[[#This Row],[Axis]]="[]",tblNc[[#This Row],[Ncz_un]],tblNc[[#This Row],[Ncz_sngl]]))</f>
        <v>1783986.6116799882</v>
      </c>
      <c r="AY32" s="69">
        <f>MIN(tblNc[[#This Row],[Ncz_base]],tblNc[[#This Row],[Ns]])</f>
        <v>1783986.6116799882</v>
      </c>
      <c r="AZ32" s="69">
        <f>tblNc[[#This Row],[Ncz]]*0.9</f>
        <v>1605587.9505119894</v>
      </c>
      <c r="BA32" s="69">
        <f>MIN(tblNc[[#This Row],[Ncflex]],tblNc[[#This Row],[Ncz]])</f>
        <v>904274.25912815088</v>
      </c>
      <c r="BB32" s="69">
        <f>tblNc[[#This Row],[Nc]]*0.9</f>
        <v>813846.83321533585</v>
      </c>
    </row>
    <row r="33" spans="2:54" x14ac:dyDescent="0.2">
      <c r="B33" s="4" t="s">
        <v>5</v>
      </c>
      <c r="C33" s="55">
        <v>2.5100000000000001E-2</v>
      </c>
      <c r="D33" s="9">
        <v>1</v>
      </c>
      <c r="E33" s="57">
        <v>40</v>
      </c>
      <c r="F33" s="9">
        <v>0.25</v>
      </c>
      <c r="G33" s="9">
        <v>0.25</v>
      </c>
      <c r="H33" s="9">
        <v>0.25</v>
      </c>
      <c r="I33" s="60">
        <v>0.13900000000000001</v>
      </c>
      <c r="J33" s="60">
        <v>8.9300000000000004E-2</v>
      </c>
      <c r="K33" s="59">
        <v>0</v>
      </c>
      <c r="L33" s="59">
        <v>0</v>
      </c>
      <c r="M33" s="61">
        <v>5.75E-6</v>
      </c>
      <c r="N33" s="63">
        <v>4.6E-6</v>
      </c>
      <c r="O33" s="65">
        <v>280000000</v>
      </c>
      <c r="P33" s="65">
        <v>200000000000</v>
      </c>
      <c r="Q33" s="65">
        <v>80000000000</v>
      </c>
      <c r="R33" s="65">
        <v>250000000</v>
      </c>
      <c r="S33" s="7">
        <v>0</v>
      </c>
      <c r="T33" s="7" t="s">
        <v>48</v>
      </c>
      <c r="U33" s="7" t="b">
        <v>1</v>
      </c>
      <c r="V33" s="7" t="b">
        <v>1</v>
      </c>
      <c r="W33" s="68">
        <f>tblNc[[#This Row],[An]]*tblNc[[#This Row],[kf]]</f>
        <v>2.5100000000000001E-2</v>
      </c>
      <c r="X33" s="70">
        <f>tblNc[[#This Row],[Ae]]*tblNc[[#This Row],[fy]]</f>
        <v>7028000</v>
      </c>
      <c r="Y33" s="70">
        <f>tblNc[[#This Row],[Ns]]*0.9</f>
        <v>6325200</v>
      </c>
      <c r="Z33" s="72">
        <f>tblNc[[#This Row],[l]]*tblNc[[#This Row],[kex]]</f>
        <v>10</v>
      </c>
      <c r="AA33" s="72">
        <f>tblNc[[#This Row],[l]]*tblNc[[#This Row],[key]]</f>
        <v>10</v>
      </c>
      <c r="AB33" s="72">
        <f>tblNc[[#This Row],[kez]]*tblNc[[#This Row],[l]]</f>
        <v>10</v>
      </c>
      <c r="AC33" s="52">
        <f>(tblNc[[#This Row],[lex]]/tblNc[[#This Row],[rx]])*(SQRT(tblNc[[#This Row],[kf]]))*SQRT((tblNc[[#This Row],[fy]]/tblNc[[#This Row],[fref]]))</f>
        <v>76.136728375959436</v>
      </c>
      <c r="AD33" s="52">
        <f>(2100*(tblNc[[#This Row],[λnx]]-13.5))/((tblNc[[#This Row],[λnx]]^2)-(15.3*tblNc[[#This Row],[λnx]])+2050)</f>
        <v>19.685559989286535</v>
      </c>
      <c r="AE33" s="52">
        <f>tblNc[[#This Row],[λnx]]+tblNc[[#This Row],[αax]]*tblNc[[#This Row],[αb]]</f>
        <v>76.136728375959436</v>
      </c>
      <c r="AF33" s="52">
        <f>MAX((0.00326*(tblNc[[#This Row],[λx]]-13.5)),0)</f>
        <v>0.20419573450562775</v>
      </c>
      <c r="AG33" s="52">
        <f>((tblNc[[#This Row],[λx]]/90)^2+1+tblNc[[#This Row],[ηx]])/(2*(tblNc[[#This Row],[λx]]/90)^2)</f>
        <v>1.3413247895968938</v>
      </c>
      <c r="AH33" s="53">
        <f>tblNc[[#This Row],[ξx]]*(1-SQRT(1-(90/(tblNc[[#This Row],[ξx]]*tblNc[[#This Row],[λx]]))^2))</f>
        <v>0.70742426920068857</v>
      </c>
      <c r="AI33" s="69">
        <f>tblNc[[#This Row],[αcx]]*tblNc[[#This Row],[Ns]]</f>
        <v>4971777.7639424391</v>
      </c>
      <c r="AJ33" s="69">
        <f>tblNc[[#This Row],[Ncx]]*0.9</f>
        <v>4474599.9875481958</v>
      </c>
      <c r="AK33" s="53">
        <f>(tblNc[[#This Row],[lex]]/tblNc[[#This Row],[ry]])*(SQRT(tblNc[[#This Row],[kf]]))*SQRT((tblNc[[#This Row],[fy]]/tblNc[[#This Row],[fref]]))</f>
        <v>118.5106970241698</v>
      </c>
      <c r="AL33" s="53">
        <f>(2100*(tblNc[[#This Row],[λny]]-13.5))/((tblNc[[#This Row],[λny]]^2)-(15.3*tblNc[[#This Row],[λny]])+2050)</f>
        <v>15.441050133500489</v>
      </c>
      <c r="AM33" s="53">
        <f>tblNc[[#This Row],[λny]]+tblNc[[#This Row],[αay]]*tblNc[[#This Row],[αb]]</f>
        <v>118.5106970241698</v>
      </c>
      <c r="AN33" s="53">
        <f>MAX((0.00326*(tblNc[[#This Row],[λy]]-13.5)),0)</f>
        <v>0.34233487229879356</v>
      </c>
      <c r="AO33" s="53">
        <f>((tblNc[[#This Row],[λy]]/90)^2+1+tblNc[[#This Row],[ηy]])/(2*(tblNc[[#This Row],[λy]]/90)^2)</f>
        <v>0.8870800523569814</v>
      </c>
      <c r="AP33" s="53">
        <f>tblNc[[#This Row],[ξy]]*(1-SQRT(1-(90/(tblNc[[#This Row],[ξy]]*tblNc[[#This Row],[λy]]))^2))</f>
        <v>0.42862120975375106</v>
      </c>
      <c r="AQ33" s="69">
        <f>tblNc[[#This Row],[αcy]]*tblNc[[#This Row],[Ns]]</f>
        <v>3012349.8621493625</v>
      </c>
      <c r="AR33" s="69">
        <f>tblNc[[#This Row],[Ncy]]*0.9</f>
        <v>2711114.8759344262</v>
      </c>
      <c r="AS33" s="69">
        <f>MIN(tblNc[[#This Row],[Ncy]],tblNc[[#This Row],[Ncx]],tblNc[[#This Row],[Ns]])</f>
        <v>3012349.8621493625</v>
      </c>
      <c r="AT33" s="69">
        <f>tblNc[[#This Row],[Ncflex]]*0.9</f>
        <v>2711114.8759344262</v>
      </c>
      <c r="AU33" s="69">
        <f t="array" ref="AU33">INDEX(tblfocDblSym[Nc],MATCH(tblNc[[#This Row],[Section]]&amp;tblNc[[#This Row],[lex]],tblfocDblSym[Section]&amp;tblfocDblSym[lex],0))</f>
        <v>4393361.6143259918</v>
      </c>
      <c r="AV33" s="69" t="e">
        <f t="array" ref="AV33">INDEX(tblfocSglSym[Nc],MATCH(tblNc[[#This Row],[Section]]&amp;tblNc[[#This Row],[lex]],tblfocSglSym[Section]&amp;tblfocSglSym[lex],0))</f>
        <v>#N/A</v>
      </c>
      <c r="AW33" s="69">
        <f t="array" ref="AW33">INDEX(tblfocunsym[Nc],MATCH(tblNc[[#This Row],[Section]]&amp;tblNc[[#This Row],[lex]],tblfocunsym[Section]&amp;tblfocunsym[lex],0))</f>
        <v>2837345.3510327809</v>
      </c>
      <c r="AX33" s="69">
        <f>IF(tblNc[[#This Row],[Axis]]="['x', 'y']",tblNc[[#This Row],[Ncz_dbl]],IF(tblNc[[#This Row],[Axis]]="[]",tblNc[[#This Row],[Ncz_un]],tblNc[[#This Row],[Ncz_sngl]]))</f>
        <v>4393361.6143259918</v>
      </c>
      <c r="AY33" s="69">
        <f>MIN(tblNc[[#This Row],[Ncz_base]],tblNc[[#This Row],[Ns]])</f>
        <v>4393361.6143259918</v>
      </c>
      <c r="AZ33" s="69">
        <f>tblNc[[#This Row],[Ncz]]*0.9</f>
        <v>3954025.4528933926</v>
      </c>
      <c r="BA33" s="69">
        <f>MIN(tblNc[[#This Row],[Ncflex]],tblNc[[#This Row],[Ncz]])</f>
        <v>3012349.8621493625</v>
      </c>
      <c r="BB33" s="69">
        <f>tblNc[[#This Row],[Nc]]*0.9</f>
        <v>2711114.8759344262</v>
      </c>
    </row>
    <row r="34" spans="2:54" x14ac:dyDescent="0.2">
      <c r="B34" s="4" t="s">
        <v>5</v>
      </c>
      <c r="C34" s="55">
        <v>2.5100000000000001E-2</v>
      </c>
      <c r="D34" s="9">
        <v>1</v>
      </c>
      <c r="E34" s="57">
        <v>40</v>
      </c>
      <c r="F34" s="9">
        <v>0.125</v>
      </c>
      <c r="G34" s="9">
        <v>0.125</v>
      </c>
      <c r="H34" s="9">
        <v>0.125</v>
      </c>
      <c r="I34" s="60">
        <v>0.13900000000000001</v>
      </c>
      <c r="J34" s="60">
        <v>8.9300000000000004E-2</v>
      </c>
      <c r="K34" s="59">
        <v>0</v>
      </c>
      <c r="L34" s="59">
        <v>0</v>
      </c>
      <c r="M34" s="61">
        <v>5.75E-6</v>
      </c>
      <c r="N34" s="63">
        <v>4.6E-6</v>
      </c>
      <c r="O34" s="65">
        <v>280000000</v>
      </c>
      <c r="P34" s="65">
        <v>200000000000</v>
      </c>
      <c r="Q34" s="65">
        <v>80000000000</v>
      </c>
      <c r="R34" s="65">
        <v>250000000</v>
      </c>
      <c r="S34" s="7">
        <v>0</v>
      </c>
      <c r="T34" s="7" t="s">
        <v>48</v>
      </c>
      <c r="U34" s="7" t="b">
        <v>1</v>
      </c>
      <c r="V34" s="7" t="b">
        <v>1</v>
      </c>
      <c r="W34" s="68">
        <f>tblNc[[#This Row],[An]]*tblNc[[#This Row],[kf]]</f>
        <v>2.5100000000000001E-2</v>
      </c>
      <c r="X34" s="70">
        <f>tblNc[[#This Row],[Ae]]*tblNc[[#This Row],[fy]]</f>
        <v>7028000</v>
      </c>
      <c r="Y34" s="70">
        <f>tblNc[[#This Row],[Ns]]*0.9</f>
        <v>6325200</v>
      </c>
      <c r="Z34" s="72">
        <f>tblNc[[#This Row],[l]]*tblNc[[#This Row],[kex]]</f>
        <v>5</v>
      </c>
      <c r="AA34" s="72">
        <f>tblNc[[#This Row],[l]]*tblNc[[#This Row],[key]]</f>
        <v>5</v>
      </c>
      <c r="AB34" s="72">
        <f>tblNc[[#This Row],[kez]]*tblNc[[#This Row],[l]]</f>
        <v>5</v>
      </c>
      <c r="AC34" s="52">
        <f>(tblNc[[#This Row],[lex]]/tblNc[[#This Row],[rx]])*(SQRT(tblNc[[#This Row],[kf]]))*SQRT((tblNc[[#This Row],[fy]]/tblNc[[#This Row],[fref]]))</f>
        <v>38.068364187979718</v>
      </c>
      <c r="AD34" s="52">
        <f>(2100*(tblNc[[#This Row],[λnx]]-13.5))/((tblNc[[#This Row],[λnx]]^2)-(15.3*tblNc[[#This Row],[λnx]])+2050)</f>
        <v>17.688690261609047</v>
      </c>
      <c r="AE34" s="52">
        <f>tblNc[[#This Row],[λnx]]+tblNc[[#This Row],[αax]]*tblNc[[#This Row],[αb]]</f>
        <v>38.068364187979718</v>
      </c>
      <c r="AF34" s="52">
        <f>MAX((0.00326*(tblNc[[#This Row],[λx]]-13.5)),0)</f>
        <v>8.0092867252813879E-2</v>
      </c>
      <c r="AG34" s="52">
        <f>((tblNc[[#This Row],[λx]]/90)^2+1+tblNc[[#This Row],[ηx]])/(2*(tblNc[[#This Row],[λx]]/90)^2)</f>
        <v>3.5184757452562878</v>
      </c>
      <c r="AH34" s="53">
        <f>tblNc[[#This Row],[ξx]]*(1-SQRT(1-(90/(tblNc[[#This Row],[ξx]]*tblNc[[#This Row],[λx]]))^2))</f>
        <v>0.91263954851588203</v>
      </c>
      <c r="AI34" s="69">
        <f>tblNc[[#This Row],[αcx]]*tblNc[[#This Row],[Ns]]</f>
        <v>6414030.7469696188</v>
      </c>
      <c r="AJ34" s="69">
        <f>tblNc[[#This Row],[Ncx]]*0.9</f>
        <v>5772627.672272657</v>
      </c>
      <c r="AK34" s="53">
        <f>(tblNc[[#This Row],[lex]]/tblNc[[#This Row],[ry]])*(SQRT(tblNc[[#This Row],[kf]]))*SQRT((tblNc[[#This Row],[fy]]/tblNc[[#This Row],[fref]]))</f>
        <v>59.2553485120849</v>
      </c>
      <c r="AL34" s="53">
        <f>(2100*(tblNc[[#This Row],[λny]]-13.5))/((tblNc[[#This Row],[λny]]^2)-(15.3*tblNc[[#This Row],[λny]])+2050)</f>
        <v>20.643331055828984</v>
      </c>
      <c r="AM34" s="53">
        <f>tblNc[[#This Row],[λny]]+tblNc[[#This Row],[αay]]*tblNc[[#This Row],[αb]]</f>
        <v>59.2553485120849</v>
      </c>
      <c r="AN34" s="53">
        <f>MAX((0.00326*(tblNc[[#This Row],[λy]]-13.5)),0)</f>
        <v>0.14916243614939678</v>
      </c>
      <c r="AO34" s="53">
        <f>((tblNc[[#This Row],[λy]]/90)^2+1+tblNc[[#This Row],[ηy]])/(2*(tblNc[[#This Row],[λy]]/90)^2)</f>
        <v>1.8255048799845877</v>
      </c>
      <c r="AP34" s="53">
        <f>tblNc[[#This Row],[ξy]]*(1-SQRT(1-(90/(tblNc[[#This Row],[ξy]]*tblNc[[#This Row],[λy]]))^2))</f>
        <v>0.81280451406520171</v>
      </c>
      <c r="AQ34" s="69">
        <f>tblNc[[#This Row],[αcy]]*tblNc[[#This Row],[Ns]]</f>
        <v>5712390.1248502377</v>
      </c>
      <c r="AR34" s="69">
        <f>tblNc[[#This Row],[Ncy]]*0.9</f>
        <v>5141151.1123652142</v>
      </c>
      <c r="AS34" s="69">
        <f>MIN(tblNc[[#This Row],[Ncy]],tblNc[[#This Row],[Ncx]],tblNc[[#This Row],[Ns]])</f>
        <v>5712390.1248502377</v>
      </c>
      <c r="AT34" s="69">
        <f>tblNc[[#This Row],[Ncflex]]*0.9</f>
        <v>5141151.1123652142</v>
      </c>
      <c r="AU34" s="69">
        <f t="array" ref="AU34">INDEX(tblfocDblSym[Nc],MATCH(tblNc[[#This Row],[Section]]&amp;tblNc[[#This Row],[lex]],tblfocDblSym[Section]&amp;tblfocDblSym[lex],0))</f>
        <v>5418653.7553265784</v>
      </c>
      <c r="AV34" s="69" t="e">
        <f t="array" ref="AV34">INDEX(tblfocSglSym[Nc],MATCH(tblNc[[#This Row],[Section]]&amp;tblNc[[#This Row],[lex]],tblfocSglSym[Section]&amp;tblfocSglSym[lex],0))</f>
        <v>#N/A</v>
      </c>
      <c r="AW34" s="69">
        <f t="array" ref="AW34">INDEX(tblfocunsym[Nc],MATCH(tblNc[[#This Row],[Section]]&amp;tblNc[[#This Row],[lex]],tblfocunsym[Section]&amp;tblfocunsym[lex],0))</f>
        <v>4959250.6489928877</v>
      </c>
      <c r="AX34" s="69">
        <f>IF(tblNc[[#This Row],[Axis]]="['x', 'y']",tblNc[[#This Row],[Ncz_dbl]],IF(tblNc[[#This Row],[Axis]]="[]",tblNc[[#This Row],[Ncz_un]],tblNc[[#This Row],[Ncz_sngl]]))</f>
        <v>5418653.7553265784</v>
      </c>
      <c r="AY34" s="69">
        <f>MIN(tblNc[[#This Row],[Ncz_base]],tblNc[[#This Row],[Ns]])</f>
        <v>5418653.7553265784</v>
      </c>
      <c r="AZ34" s="69">
        <f>tblNc[[#This Row],[Ncz]]*0.9</f>
        <v>4876788.3797939206</v>
      </c>
      <c r="BA34" s="69">
        <f>MIN(tblNc[[#This Row],[Ncflex]],tblNc[[#This Row],[Ncz]])</f>
        <v>5418653.7553265784</v>
      </c>
      <c r="BB34" s="69">
        <f>tblNc[[#This Row],[Nc]]*0.9</f>
        <v>4876788.3797939206</v>
      </c>
    </row>
    <row r="35" spans="2:54" x14ac:dyDescent="0.2">
      <c r="B35" s="4" t="s">
        <v>5</v>
      </c>
      <c r="C35" s="55">
        <v>2.5100000000000001E-2</v>
      </c>
      <c r="D35" s="9">
        <v>1</v>
      </c>
      <c r="E35" s="57">
        <v>40</v>
      </c>
      <c r="F35" s="9">
        <v>2.5000000000000001E-2</v>
      </c>
      <c r="G35" s="9">
        <v>2.5000000000000001E-2</v>
      </c>
      <c r="H35" s="9">
        <v>2.5000000000000001E-2</v>
      </c>
      <c r="I35" s="60">
        <v>0.13900000000000001</v>
      </c>
      <c r="J35" s="60">
        <v>8.9300000000000004E-2</v>
      </c>
      <c r="K35" s="59">
        <v>0</v>
      </c>
      <c r="L35" s="59">
        <v>0</v>
      </c>
      <c r="M35" s="61">
        <v>5.75E-6</v>
      </c>
      <c r="N35" s="63">
        <v>4.6E-6</v>
      </c>
      <c r="O35" s="65">
        <v>280000000</v>
      </c>
      <c r="P35" s="65">
        <v>200000000000</v>
      </c>
      <c r="Q35" s="65">
        <v>80000000000</v>
      </c>
      <c r="R35" s="65">
        <v>250000000</v>
      </c>
      <c r="S35" s="7">
        <v>0</v>
      </c>
      <c r="T35" s="7" t="s">
        <v>48</v>
      </c>
      <c r="U35" s="7" t="b">
        <v>1</v>
      </c>
      <c r="V35" s="7" t="b">
        <v>1</v>
      </c>
      <c r="W35" s="68">
        <f>tblNc[[#This Row],[An]]*tblNc[[#This Row],[kf]]</f>
        <v>2.5100000000000001E-2</v>
      </c>
      <c r="X35" s="70">
        <f>tblNc[[#This Row],[Ae]]*tblNc[[#This Row],[fy]]</f>
        <v>7028000</v>
      </c>
      <c r="Y35" s="70">
        <f>tblNc[[#This Row],[Ns]]*0.9</f>
        <v>6325200</v>
      </c>
      <c r="Z35" s="72">
        <f>tblNc[[#This Row],[l]]*tblNc[[#This Row],[kex]]</f>
        <v>1</v>
      </c>
      <c r="AA35" s="72">
        <f>tblNc[[#This Row],[l]]*tblNc[[#This Row],[key]]</f>
        <v>1</v>
      </c>
      <c r="AB35" s="72">
        <f>tblNc[[#This Row],[kez]]*tblNc[[#This Row],[l]]</f>
        <v>1</v>
      </c>
      <c r="AC35" s="52">
        <f>(tblNc[[#This Row],[lex]]/tblNc[[#This Row],[rx]])*(SQRT(tblNc[[#This Row],[kf]]))*SQRT((tblNc[[#This Row],[fy]]/tblNc[[#This Row],[fref]]))</f>
        <v>7.6136728375959448</v>
      </c>
      <c r="AD35" s="52">
        <f>(2100*(tblNc[[#This Row],[λnx]]-13.5))/((tblNc[[#This Row],[λnx]]^2)-(15.3*tblNc[[#This Row],[λnx]])+2050)</f>
        <v>-6.2070893845318382</v>
      </c>
      <c r="AE35" s="52">
        <f>tblNc[[#This Row],[λnx]]+tblNc[[#This Row],[αax]]*tblNc[[#This Row],[αb]]</f>
        <v>7.6136728375959448</v>
      </c>
      <c r="AF35" s="52">
        <f>MAX((0.00326*(tblNc[[#This Row],[λx]]-13.5)),0)</f>
        <v>0</v>
      </c>
      <c r="AG35" s="52">
        <f>((tblNc[[#This Row],[λx]]/90)^2+1+tblNc[[#This Row],[ηx]])/(2*(tblNc[[#This Row],[λx]]/90)^2)</f>
        <v>70.36611607142855</v>
      </c>
      <c r="AH35" s="53">
        <f>tblNc[[#This Row],[ξx]]*(1-SQRT(1-(90/(tblNc[[#This Row],[ξx]]*tblNc[[#This Row],[λx]]))^2))</f>
        <v>1.0000000000000029</v>
      </c>
      <c r="AI35" s="69">
        <f>tblNc[[#This Row],[αcx]]*tblNc[[#This Row],[Ns]]</f>
        <v>7028000.0000000205</v>
      </c>
      <c r="AJ35" s="69">
        <f>tblNc[[#This Row],[Ncx]]*0.9</f>
        <v>6325200.0000000186</v>
      </c>
      <c r="AK35" s="53">
        <f>(tblNc[[#This Row],[lex]]/tblNc[[#This Row],[ry]])*(SQRT(tblNc[[#This Row],[kf]]))*SQRT((tblNc[[#This Row],[fy]]/tblNc[[#This Row],[fref]]))</f>
        <v>11.851069702416979</v>
      </c>
      <c r="AL35" s="53">
        <f>(2100*(tblNc[[#This Row],[λny]]-13.5))/((tblNc[[#This Row],[λny]]^2)-(15.3*tblNc[[#This Row],[λny]])+2050)</f>
        <v>-1.723512007801697</v>
      </c>
      <c r="AM35" s="53">
        <f>tblNc[[#This Row],[λny]]+tblNc[[#This Row],[αay]]*tblNc[[#This Row],[αb]]</f>
        <v>11.851069702416979</v>
      </c>
      <c r="AN35" s="53">
        <f>MAX((0.00326*(tblNc[[#This Row],[λy]]-13.5)),0)</f>
        <v>0</v>
      </c>
      <c r="AO35" s="53">
        <f>((tblNc[[#This Row],[λy]]/90)^2+1+tblNc[[#This Row],[ηy]])/(2*(tblNc[[#This Row],[λy]]/90)^2)</f>
        <v>29.336325446428578</v>
      </c>
      <c r="AP35" s="53">
        <f>tblNc[[#This Row],[ξy]]*(1-SQRT(1-(90/(tblNc[[#This Row],[ξy]]*tblNc[[#This Row],[λy]]))^2))</f>
        <v>0.999999999999999</v>
      </c>
      <c r="AQ35" s="69">
        <f>tblNc[[#This Row],[αcy]]*tblNc[[#This Row],[Ns]]</f>
        <v>7027999.9999999925</v>
      </c>
      <c r="AR35" s="69">
        <f>tblNc[[#This Row],[Ncy]]*0.9</f>
        <v>6325199.9999999935</v>
      </c>
      <c r="AS35" s="69">
        <f>MIN(tblNc[[#This Row],[Ncy]],tblNc[[#This Row],[Ncx]],tblNc[[#This Row],[Ns]])</f>
        <v>7027999.9999999925</v>
      </c>
      <c r="AT35" s="69">
        <f>tblNc[[#This Row],[Ncflex]]*0.9</f>
        <v>6325199.9999999935</v>
      </c>
      <c r="AU35" s="69">
        <f t="array" ref="AU35">INDEX(tblfocDblSym[Nc],MATCH(tblNc[[#This Row],[Section]]&amp;tblNc[[#This Row],[lex]],tblfocDblSym[Section]&amp;tblfocDblSym[lex],0))</f>
        <v>5923733.7888396773</v>
      </c>
      <c r="AV35" s="69" t="e">
        <f t="array" ref="AV35">INDEX(tblfocSglSym[Nc],MATCH(tblNc[[#This Row],[Section]]&amp;tblNc[[#This Row],[lex]],tblfocSglSym[Section]&amp;tblfocSglSym[lex],0))</f>
        <v>#N/A</v>
      </c>
      <c r="AW35" s="69">
        <f t="array" ref="AW35">INDEX(tblfocunsym[Nc],MATCH(tblNc[[#This Row],[Section]]&amp;tblNc[[#This Row],[lex]],tblfocunsym[Section]&amp;tblfocunsym[lex],0))</f>
        <v>5923733.7888396773</v>
      </c>
      <c r="AX35" s="69">
        <f>IF(tblNc[[#This Row],[Axis]]="['x', 'y']",tblNc[[#This Row],[Ncz_dbl]],IF(tblNc[[#This Row],[Axis]]="[]",tblNc[[#This Row],[Ncz_un]],tblNc[[#This Row],[Ncz_sngl]]))</f>
        <v>5923733.7888396773</v>
      </c>
      <c r="AY35" s="69">
        <f>MIN(tblNc[[#This Row],[Ncz_base]],tblNc[[#This Row],[Ns]])</f>
        <v>5923733.7888396773</v>
      </c>
      <c r="AZ35" s="69">
        <f>tblNc[[#This Row],[Ncz]]*0.9</f>
        <v>5331360.4099557102</v>
      </c>
      <c r="BA35" s="69">
        <f>MIN(tblNc[[#This Row],[Ncflex]],tblNc[[#This Row],[Ncz]])</f>
        <v>5923733.7888396773</v>
      </c>
      <c r="BB35" s="69">
        <f>tblNc[[#This Row],[Nc]]*0.9</f>
        <v>5331360.4099557102</v>
      </c>
    </row>
    <row r="36" spans="2:54" x14ac:dyDescent="0.2">
      <c r="B36" s="13" t="s">
        <v>37</v>
      </c>
      <c r="C36" s="54">
        <v>7.0299999999999998E-3</v>
      </c>
      <c r="D36" s="11">
        <v>1</v>
      </c>
      <c r="E36" s="56">
        <v>20</v>
      </c>
      <c r="F36" s="11">
        <v>1</v>
      </c>
      <c r="G36" s="11">
        <v>1</v>
      </c>
      <c r="H36" s="11">
        <v>1</v>
      </c>
      <c r="I36" s="59">
        <v>0.14699999999999999</v>
      </c>
      <c r="J36" s="59">
        <v>3.04E-2</v>
      </c>
      <c r="K36" s="59">
        <v>5.67E-2</v>
      </c>
      <c r="L36" s="59">
        <v>0</v>
      </c>
      <c r="M36" s="61">
        <v>4.7199999999999999E-7</v>
      </c>
      <c r="N36" s="63">
        <v>1.5099999999999999E-7</v>
      </c>
      <c r="O36" s="65">
        <v>280000000</v>
      </c>
      <c r="P36" s="65">
        <v>200000000000</v>
      </c>
      <c r="Q36" s="65">
        <v>80000000000</v>
      </c>
      <c r="R36" s="65">
        <v>250000000</v>
      </c>
      <c r="S36" s="8">
        <v>0.5</v>
      </c>
      <c r="T36" s="8" t="s">
        <v>49</v>
      </c>
      <c r="U36" s="7" t="b">
        <v>1</v>
      </c>
      <c r="V36" s="7" t="b">
        <v>1</v>
      </c>
      <c r="W36" s="68">
        <f>tblNc[[#This Row],[An]]*tblNc[[#This Row],[kf]]</f>
        <v>7.0299999999999998E-3</v>
      </c>
      <c r="X36" s="69">
        <f>tblNc[[#This Row],[Ae]]*tblNc[[#This Row],[fy]]</f>
        <v>1968400</v>
      </c>
      <c r="Y36" s="69">
        <f>tblNc[[#This Row],[Ns]]*0.9</f>
        <v>1771560</v>
      </c>
      <c r="Z36" s="71">
        <f>tblNc[[#This Row],[l]]*tblNc[[#This Row],[kex]]</f>
        <v>20</v>
      </c>
      <c r="AA36" s="71">
        <f>tblNc[[#This Row],[l]]*tblNc[[#This Row],[key]]</f>
        <v>20</v>
      </c>
      <c r="AB36" s="71">
        <f>tblNc[[#This Row],[kez]]*tblNc[[#This Row],[l]]</f>
        <v>20</v>
      </c>
      <c r="AC36" s="53">
        <f>(tblNc[[#This Row],[lex]]/tblNc[[#This Row],[rx]])*(SQRT(tblNc[[#This Row],[kf]]))*SQRT((tblNc[[#This Row],[fy]]/tblNc[[#This Row],[fref]]))</f>
        <v>143.98646590827707</v>
      </c>
      <c r="AD36" s="53">
        <f>(2100*(tblNc[[#This Row],[λnx]]-13.5))/((tblNc[[#This Row],[λnx]]^2)-(15.3*tblNc[[#This Row],[λnx]])+2050)</f>
        <v>13.315521706845363</v>
      </c>
      <c r="AE36" s="53">
        <f>tblNc[[#This Row],[λnx]]+tblNc[[#This Row],[αax]]*tblNc[[#This Row],[αb]]</f>
        <v>150.64422676169974</v>
      </c>
      <c r="AF36" s="53">
        <f>MAX((0.00326*(tblNc[[#This Row],[λx]]-13.5)),0)</f>
        <v>0.44709017924314115</v>
      </c>
      <c r="AG36" s="53">
        <f>((tblNc[[#This Row],[λx]]/90)^2+1+tblNc[[#This Row],[ηx]])/(2*(tblNc[[#This Row],[λx]]/90)^2)</f>
        <v>0.75825315403012106</v>
      </c>
      <c r="AH36" s="53">
        <f>tblNc[[#This Row],[ξx]]*(1-SQRT(1-(90/(tblNc[[#This Row],[ξx]]*tblNc[[#This Row],[λx]]))^2))</f>
        <v>0.29132668640109649</v>
      </c>
      <c r="AI36" s="69">
        <f>tblNc[[#This Row],[αcx]]*tblNc[[#This Row],[Ns]]</f>
        <v>573447.44951191836</v>
      </c>
      <c r="AJ36" s="69">
        <f>tblNc[[#This Row],[Ncx]]*0.9</f>
        <v>516102.70456072653</v>
      </c>
      <c r="AK36" s="53">
        <f>(tblNc[[#This Row],[lex]]/tblNc[[#This Row],[ry]])*(SQRT(tblNc[[#This Row],[kf]]))*SQRT((tblNc[[#This Row],[fy]]/tblNc[[#This Row],[fref]]))</f>
        <v>696.2503450169977</v>
      </c>
      <c r="AL36" s="53">
        <f>(2100*(tblNc[[#This Row],[λny]]-13.5))/((tblNc[[#This Row],[λny]]^2)-(15.3*tblNc[[#This Row],[λny]])+2050)</f>
        <v>3.0111096381766158</v>
      </c>
      <c r="AM36" s="53">
        <f>tblNc[[#This Row],[λny]]+tblNc[[#This Row],[αay]]*tblNc[[#This Row],[αb]]</f>
        <v>697.75589983608597</v>
      </c>
      <c r="AN36" s="53">
        <f>MAX((0.00326*(tblNc[[#This Row],[λy]]-13.5)),0)</f>
        <v>2.2306742334656402</v>
      </c>
      <c r="AO36" s="53">
        <f>((tblNc[[#This Row],[λy]]/90)^2+1+tblNc[[#This Row],[ηy]])/(2*(tblNc[[#This Row],[λy]]/90)^2)</f>
        <v>0.52687454724886773</v>
      </c>
      <c r="AP36" s="53">
        <f>tblNc[[#This Row],[ξy]]*(1-SQRT(1-(90/(tblNc[[#This Row],[ξy]]*tblNc[[#This Row],[λy]]))^2))</f>
        <v>1.6032424029938399E-2</v>
      </c>
      <c r="AQ36" s="69">
        <f>tblNc[[#This Row],[αcy]]*tblNc[[#This Row],[Ns]]</f>
        <v>31558.223460530746</v>
      </c>
      <c r="AR36" s="69">
        <f>tblNc[[#This Row],[Ncy]]*0.9</f>
        <v>28402.40111447767</v>
      </c>
      <c r="AS36" s="69">
        <f>MIN(tblNc[[#This Row],[Ncy]],tblNc[[#This Row],[Ncx]],tblNc[[#This Row],[Ns]])</f>
        <v>31558.223460530746</v>
      </c>
      <c r="AT36" s="69">
        <f>tblNc[[#This Row],[Ncflex]]*0.9</f>
        <v>28402.40111447767</v>
      </c>
      <c r="AU36" s="69" t="e">
        <f t="array" ref="AU36">INDEX(tblfocDblSym[Nc],MATCH(tblNc[[#This Row],[Section]]&amp;tblNc[[#This Row],[lex]],tblfocDblSym[Section]&amp;tblfocDblSym[lex],0))</f>
        <v>#N/A</v>
      </c>
      <c r="AV36" s="69">
        <f t="array" ref="AV36">INDEX(tblfocSglSym[Nc],MATCH(tblNc[[#This Row],[Section]]&amp;tblNc[[#This Row],[lex]],tblfocSglSym[Section]&amp;tblfocSglSym[lex],0))</f>
        <v>506244.61512789573</v>
      </c>
      <c r="AW36" s="69">
        <f t="array" ref="AW36">INDEX(tblfocunsym[Nc],MATCH(tblNc[[#This Row],[Section]]&amp;tblNc[[#This Row],[lex]],tblfocunsym[Section]&amp;tblfocunsym[lex],0))</f>
        <v>23896.686915564904</v>
      </c>
      <c r="AX36" s="69">
        <f>IF(tblNc[[#This Row],[Axis]]="['x', 'y']",tblNc[[#This Row],[Ncz_dbl]],IF(tblNc[[#This Row],[Axis]]="[]",tblNc[[#This Row],[Ncz_un]],tblNc[[#This Row],[Ncz_sngl]]))</f>
        <v>506244.61512789573</v>
      </c>
      <c r="AY36" s="69">
        <f>MIN(tblNc[[#This Row],[Ncz_base]],tblNc[[#This Row],[Ns]])</f>
        <v>506244.61512789573</v>
      </c>
      <c r="AZ36" s="69">
        <f>tblNc[[#This Row],[Ncz]]*0.9</f>
        <v>455620.15361510619</v>
      </c>
      <c r="BA36" s="69">
        <f>MIN(tblNc[[#This Row],[Ncflex]],tblNc[[#This Row],[Ncz]])</f>
        <v>31558.223460530746</v>
      </c>
      <c r="BB36" s="69">
        <f>tblNc[[#This Row],[Nc]]*0.9</f>
        <v>28402.40111447767</v>
      </c>
    </row>
    <row r="37" spans="2:54" x14ac:dyDescent="0.2">
      <c r="B37" s="13" t="s">
        <v>37</v>
      </c>
      <c r="C37" s="54">
        <v>7.0299999999999998E-3</v>
      </c>
      <c r="D37" s="11">
        <v>1</v>
      </c>
      <c r="E37" s="56">
        <v>20</v>
      </c>
      <c r="F37" s="11">
        <v>0.5</v>
      </c>
      <c r="G37" s="11">
        <v>0.5</v>
      </c>
      <c r="H37" s="11">
        <v>0.5</v>
      </c>
      <c r="I37" s="59">
        <v>0.14699999999999999</v>
      </c>
      <c r="J37" s="59">
        <v>3.04E-2</v>
      </c>
      <c r="K37" s="59">
        <v>5.67E-2</v>
      </c>
      <c r="L37" s="59">
        <v>0</v>
      </c>
      <c r="M37" s="61">
        <v>4.7199999999999999E-7</v>
      </c>
      <c r="N37" s="63">
        <v>1.5099999999999999E-7</v>
      </c>
      <c r="O37" s="65">
        <v>280000000</v>
      </c>
      <c r="P37" s="65">
        <v>200000000000</v>
      </c>
      <c r="Q37" s="65">
        <v>80000000000</v>
      </c>
      <c r="R37" s="65">
        <v>250000000</v>
      </c>
      <c r="S37" s="8">
        <v>0.5</v>
      </c>
      <c r="T37" s="8" t="s">
        <v>49</v>
      </c>
      <c r="U37" s="7" t="b">
        <v>1</v>
      </c>
      <c r="V37" s="7" t="b">
        <v>1</v>
      </c>
      <c r="W37" s="68">
        <f>tblNc[[#This Row],[An]]*tblNc[[#This Row],[kf]]</f>
        <v>7.0299999999999998E-3</v>
      </c>
      <c r="X37" s="69">
        <f>tblNc[[#This Row],[Ae]]*tblNc[[#This Row],[fy]]</f>
        <v>1968400</v>
      </c>
      <c r="Y37" s="69">
        <f>tblNc[[#This Row],[Ns]]*0.9</f>
        <v>1771560</v>
      </c>
      <c r="Z37" s="71">
        <f>tblNc[[#This Row],[l]]*tblNc[[#This Row],[kex]]</f>
        <v>10</v>
      </c>
      <c r="AA37" s="71">
        <f>tblNc[[#This Row],[l]]*tblNc[[#This Row],[key]]</f>
        <v>10</v>
      </c>
      <c r="AB37" s="71">
        <f>tblNc[[#This Row],[kez]]*tblNc[[#This Row],[l]]</f>
        <v>10</v>
      </c>
      <c r="AC37" s="53">
        <f>(tblNc[[#This Row],[lex]]/tblNc[[#This Row],[rx]])*(SQRT(tblNc[[#This Row],[kf]]))*SQRT((tblNc[[#This Row],[fy]]/tblNc[[#This Row],[fref]]))</f>
        <v>71.993232954138534</v>
      </c>
      <c r="AD37" s="53">
        <f>(2100*(tblNc[[#This Row],[λnx]]-13.5))/((tblNc[[#This Row],[λnx]]^2)-(15.3*tblNc[[#This Row],[λnx]])+2050)</f>
        <v>20.033467453163816</v>
      </c>
      <c r="AE37" s="53">
        <f>tblNc[[#This Row],[λnx]]+tblNc[[#This Row],[αax]]*tblNc[[#This Row],[αb]]</f>
        <v>82.009966680720439</v>
      </c>
      <c r="AF37" s="53">
        <f>MAX((0.00326*(tblNc[[#This Row],[λx]]-13.5)),0)</f>
        <v>0.22334249137914863</v>
      </c>
      <c r="AG37" s="53">
        <f>((tblNc[[#This Row],[λx]]/90)^2+1+tblNc[[#This Row],[ηx]])/(2*(tblNc[[#This Row],[λx]]/90)^2)</f>
        <v>1.2366646211083592</v>
      </c>
      <c r="AH37" s="53">
        <f>tblNc[[#This Row],[ξx]]*(1-SQRT(1-(90/(tblNc[[#This Row],[ξx]]*tblNc[[#This Row],[λx]]))^2))</f>
        <v>0.66658386171775985</v>
      </c>
      <c r="AI37" s="69">
        <f>tblNc[[#This Row],[αcx]]*tblNc[[#This Row],[Ns]]</f>
        <v>1312103.6734052384</v>
      </c>
      <c r="AJ37" s="69">
        <f>tblNc[[#This Row],[Ncx]]*0.9</f>
        <v>1180893.3060647147</v>
      </c>
      <c r="AK37" s="53">
        <f>(tblNc[[#This Row],[lex]]/tblNc[[#This Row],[ry]])*(SQRT(tblNc[[#This Row],[kf]]))*SQRT((tblNc[[#This Row],[fy]]/tblNc[[#This Row],[fref]]))</f>
        <v>348.12517250849885</v>
      </c>
      <c r="AL37" s="53">
        <f>(2100*(tblNc[[#This Row],[λny]]-13.5))/((tblNc[[#This Row],[λny]]^2)-(15.3*tblNc[[#This Row],[λny]])+2050)</f>
        <v>5.9594956658016605</v>
      </c>
      <c r="AM37" s="53">
        <f>tblNc[[#This Row],[λny]]+tblNc[[#This Row],[αay]]*tblNc[[#This Row],[αb]]</f>
        <v>351.10492034139969</v>
      </c>
      <c r="AN37" s="53">
        <f>MAX((0.00326*(tblNc[[#This Row],[λy]]-13.5)),0)</f>
        <v>1.100592040312963</v>
      </c>
      <c r="AO37" s="53">
        <f>((tblNc[[#This Row],[λy]]/90)^2+1+tblNc[[#This Row],[ηy]])/(2*(tblNc[[#This Row],[λy]]/90)^2)</f>
        <v>0.56901172886739193</v>
      </c>
      <c r="AP37" s="53">
        <f>tblNc[[#This Row],[ξy]]*(1-SQRT(1-(90/(tblNc[[#This Row],[ξy]]*tblNc[[#This Row],[λy]]))^2))</f>
        <v>6.1008366789180347E-2</v>
      </c>
      <c r="AQ37" s="69">
        <f>tblNc[[#This Row],[αcy]]*tblNc[[#This Row],[Ns]]</f>
        <v>120088.86918782259</v>
      </c>
      <c r="AR37" s="69">
        <f>tblNc[[#This Row],[Ncy]]*0.9</f>
        <v>108079.98226904034</v>
      </c>
      <c r="AS37" s="69">
        <f>MIN(tblNc[[#This Row],[Ncy]],tblNc[[#This Row],[Ncx]],tblNc[[#This Row],[Ns]])</f>
        <v>120088.86918782259</v>
      </c>
      <c r="AT37" s="69">
        <f>tblNc[[#This Row],[Ncflex]]*0.9</f>
        <v>108079.98226904034</v>
      </c>
      <c r="AU37" s="69" t="e">
        <f t="array" ref="AU37">INDEX(tblfocDblSym[Nc],MATCH(tblNc[[#This Row],[Section]]&amp;tblNc[[#This Row],[lex]],tblfocDblSym[Section]&amp;tblfocDblSym[lex],0))</f>
        <v>#N/A</v>
      </c>
      <c r="AV37" s="69">
        <f t="array" ref="AV37">INDEX(tblfocSglSym[Nc],MATCH(tblNc[[#This Row],[Section]]&amp;tblNc[[#This Row],[lex]],tblfocSglSym[Section]&amp;tblfocSglSym[lex],0))</f>
        <v>937412.41689539142</v>
      </c>
      <c r="AW37" s="69">
        <f t="array" ref="AW37">INDEX(tblfocunsym[Nc],MATCH(tblNc[[#This Row],[Section]]&amp;tblNc[[#This Row],[lex]],tblfocunsym[Section]&amp;tblfocunsym[lex],0))</f>
        <v>95551.442285207493</v>
      </c>
      <c r="AX37" s="69">
        <f>IF(tblNc[[#This Row],[Axis]]="['x', 'y']",tblNc[[#This Row],[Ncz_dbl]],IF(tblNc[[#This Row],[Axis]]="[]",tblNc[[#This Row],[Ncz_un]],tblNc[[#This Row],[Ncz_sngl]]))</f>
        <v>937412.41689539142</v>
      </c>
      <c r="AY37" s="69">
        <f>MIN(tblNc[[#This Row],[Ncz_base]],tblNc[[#This Row],[Ns]])</f>
        <v>937412.41689539142</v>
      </c>
      <c r="AZ37" s="69">
        <f>tblNc[[#This Row],[Ncz]]*0.9</f>
        <v>843671.17520585225</v>
      </c>
      <c r="BA37" s="69">
        <f>MIN(tblNc[[#This Row],[Ncflex]],tblNc[[#This Row],[Ncz]])</f>
        <v>120088.86918782259</v>
      </c>
      <c r="BB37" s="69">
        <f>tblNc[[#This Row],[Nc]]*0.9</f>
        <v>108079.98226904034</v>
      </c>
    </row>
    <row r="38" spans="2:54" x14ac:dyDescent="0.2">
      <c r="B38" s="13" t="s">
        <v>37</v>
      </c>
      <c r="C38" s="54">
        <v>7.0299999999999998E-3</v>
      </c>
      <c r="D38" s="11">
        <v>1</v>
      </c>
      <c r="E38" s="56">
        <v>20</v>
      </c>
      <c r="F38" s="11">
        <v>0.25</v>
      </c>
      <c r="G38" s="11">
        <v>0.25</v>
      </c>
      <c r="H38" s="11">
        <v>0.25</v>
      </c>
      <c r="I38" s="59">
        <v>0.14699999999999999</v>
      </c>
      <c r="J38" s="59">
        <v>3.04E-2</v>
      </c>
      <c r="K38" s="59">
        <v>5.67E-2</v>
      </c>
      <c r="L38" s="59">
        <v>0</v>
      </c>
      <c r="M38" s="61">
        <v>4.7199999999999999E-7</v>
      </c>
      <c r="N38" s="63">
        <v>1.5099999999999999E-7</v>
      </c>
      <c r="O38" s="65">
        <v>280000000</v>
      </c>
      <c r="P38" s="65">
        <v>200000000000</v>
      </c>
      <c r="Q38" s="65">
        <v>80000000000</v>
      </c>
      <c r="R38" s="65">
        <v>250000000</v>
      </c>
      <c r="S38" s="8">
        <v>0.5</v>
      </c>
      <c r="T38" s="8" t="s">
        <v>49</v>
      </c>
      <c r="U38" s="7" t="b">
        <v>1</v>
      </c>
      <c r="V38" s="7" t="b">
        <v>1</v>
      </c>
      <c r="W38" s="68">
        <f>tblNc[[#This Row],[An]]*tblNc[[#This Row],[kf]]</f>
        <v>7.0299999999999998E-3</v>
      </c>
      <c r="X38" s="69">
        <f>tblNc[[#This Row],[Ae]]*tblNc[[#This Row],[fy]]</f>
        <v>1968400</v>
      </c>
      <c r="Y38" s="69">
        <f>tblNc[[#This Row],[Ns]]*0.9</f>
        <v>1771560</v>
      </c>
      <c r="Z38" s="71">
        <f>tblNc[[#This Row],[l]]*tblNc[[#This Row],[kex]]</f>
        <v>5</v>
      </c>
      <c r="AA38" s="71">
        <f>tblNc[[#This Row],[l]]*tblNc[[#This Row],[key]]</f>
        <v>5</v>
      </c>
      <c r="AB38" s="71">
        <f>tblNc[[#This Row],[kez]]*tblNc[[#This Row],[l]]</f>
        <v>5</v>
      </c>
      <c r="AC38" s="53">
        <f>(tblNc[[#This Row],[lex]]/tblNc[[#This Row],[rx]])*(SQRT(tblNc[[#This Row],[kf]]))*SQRT((tblNc[[#This Row],[fy]]/tblNc[[#This Row],[fref]]))</f>
        <v>35.996616477069267</v>
      </c>
      <c r="AD38" s="53">
        <f>(2100*(tblNc[[#This Row],[λnx]]-13.5))/((tblNc[[#This Row],[λnx]]^2)-(15.3*tblNc[[#This Row],[λnx]])+2050)</f>
        <v>16.902596272038625</v>
      </c>
      <c r="AE38" s="53">
        <f>tblNc[[#This Row],[λnx]]+tblNc[[#This Row],[αax]]*tblNc[[#This Row],[αb]]</f>
        <v>44.447914613088578</v>
      </c>
      <c r="AF38" s="53">
        <f>MAX((0.00326*(tblNc[[#This Row],[λx]]-13.5)),0)</f>
        <v>0.10089020163866876</v>
      </c>
      <c r="AG38" s="53">
        <f>((tblNc[[#This Row],[λx]]/90)^2+1+tblNc[[#This Row],[ηx]])/(2*(tblNc[[#This Row],[λx]]/90)^2)</f>
        <v>2.7568165087642638</v>
      </c>
      <c r="AH38" s="53">
        <f>tblNc[[#This Row],[ξx]]*(1-SQRT(1-(90/(tblNc[[#This Row],[ξx]]*tblNc[[#This Row],[λx]]))^2))</f>
        <v>0.88597377573713187</v>
      </c>
      <c r="AI38" s="69">
        <f>tblNc[[#This Row],[αcx]]*tblNc[[#This Row],[Ns]]</f>
        <v>1743950.7801609703</v>
      </c>
      <c r="AJ38" s="69">
        <f>tblNc[[#This Row],[Ncx]]*0.9</f>
        <v>1569555.7021448733</v>
      </c>
      <c r="AK38" s="53">
        <f>(tblNc[[#This Row],[lex]]/tblNc[[#This Row],[ry]])*(SQRT(tblNc[[#This Row],[kf]]))*SQRT((tblNc[[#This Row],[fy]]/tblNc[[#This Row],[fref]]))</f>
        <v>174.06258625424942</v>
      </c>
      <c r="AL38" s="53">
        <f>(2100*(tblNc[[#This Row],[λny]]-13.5))/((tblNc[[#This Row],[λny]]^2)-(15.3*tblNc[[#This Row],[λny]])+2050)</f>
        <v>11.358789799180153</v>
      </c>
      <c r="AM38" s="53">
        <f>tblNc[[#This Row],[λny]]+tblNc[[#This Row],[αay]]*tblNc[[#This Row],[αb]]</f>
        <v>179.7419811538395</v>
      </c>
      <c r="AN38" s="53">
        <f>MAX((0.00326*(tblNc[[#This Row],[λy]]-13.5)),0)</f>
        <v>0.54194885856151676</v>
      </c>
      <c r="AO38" s="53">
        <f>((tblNc[[#This Row],[λy]]/90)^2+1+tblNc[[#This Row],[ηy]])/(2*(tblNc[[#This Row],[λy]]/90)^2)</f>
        <v>0.69329736974688494</v>
      </c>
      <c r="AP38" s="53">
        <f>tblNc[[#This Row],[ξy]]*(1-SQRT(1-(90/(tblNc[[#This Row],[ξy]]*tblNc[[#This Row],[λy]]))^2))</f>
        <v>0.21377366869369166</v>
      </c>
      <c r="AQ38" s="69">
        <f>tblNc[[#This Row],[αcy]]*tblNc[[#This Row],[Ns]]</f>
        <v>420792.08945666265</v>
      </c>
      <c r="AR38" s="69">
        <f>tblNc[[#This Row],[Ncy]]*0.9</f>
        <v>378712.88051099639</v>
      </c>
      <c r="AS38" s="69">
        <f>MIN(tblNc[[#This Row],[Ncy]],tblNc[[#This Row],[Ncx]],tblNc[[#This Row],[Ns]])</f>
        <v>420792.08945666265</v>
      </c>
      <c r="AT38" s="69">
        <f>tblNc[[#This Row],[Ncflex]]*0.9</f>
        <v>378712.88051099639</v>
      </c>
      <c r="AU38" s="69" t="e">
        <f t="array" ref="AU38">INDEX(tblfocDblSym[Nc],MATCH(tblNc[[#This Row],[Section]]&amp;tblNc[[#This Row],[lex]],tblfocDblSym[Section]&amp;tblfocDblSym[lex],0))</f>
        <v>#N/A</v>
      </c>
      <c r="AV38" s="69">
        <f t="array" ref="AV38">INDEX(tblfocSglSym[Nc],MATCH(tblNc[[#This Row],[Section]]&amp;tblNc[[#This Row],[lex]],tblfocSglSym[Section]&amp;tblfocSglSym[lex],0))</f>
        <v>1080887.950431349</v>
      </c>
      <c r="AW38" s="69">
        <f t="array" ref="AW38">INDEX(tblfocunsym[Nc],MATCH(tblNc[[#This Row],[Section]]&amp;tblNc[[#This Row],[lex]],tblfocunsym[Section]&amp;tblfocunsym[lex],0))</f>
        <v>381624.98680338723</v>
      </c>
      <c r="AX38" s="69">
        <f>IF(tblNc[[#This Row],[Axis]]="['x', 'y']",tblNc[[#This Row],[Ncz_dbl]],IF(tblNc[[#This Row],[Axis]]="[]",tblNc[[#This Row],[Ncz_un]],tblNc[[#This Row],[Ncz_sngl]]))</f>
        <v>1080887.950431349</v>
      </c>
      <c r="AY38" s="69">
        <f>MIN(tblNc[[#This Row],[Ncz_base]],tblNc[[#This Row],[Ns]])</f>
        <v>1080887.950431349</v>
      </c>
      <c r="AZ38" s="69">
        <f>tblNc[[#This Row],[Ncz]]*0.9</f>
        <v>972799.15538821416</v>
      </c>
      <c r="BA38" s="69">
        <f>MIN(tblNc[[#This Row],[Ncflex]],tblNc[[#This Row],[Ncz]])</f>
        <v>420792.08945666265</v>
      </c>
      <c r="BB38" s="69">
        <f>tblNc[[#This Row],[Nc]]*0.9</f>
        <v>378712.88051099639</v>
      </c>
    </row>
    <row r="39" spans="2:54" x14ac:dyDescent="0.2">
      <c r="B39" s="13" t="s">
        <v>37</v>
      </c>
      <c r="C39" s="54">
        <v>7.0299999999999998E-3</v>
      </c>
      <c r="D39" s="11">
        <v>1</v>
      </c>
      <c r="E39" s="56">
        <v>20</v>
      </c>
      <c r="F39" s="11">
        <v>0.05</v>
      </c>
      <c r="G39" s="11">
        <v>0.05</v>
      </c>
      <c r="H39" s="11">
        <v>0.05</v>
      </c>
      <c r="I39" s="59">
        <v>0.14699999999999999</v>
      </c>
      <c r="J39" s="59">
        <v>3.04E-2</v>
      </c>
      <c r="K39" s="59">
        <v>5.67E-2</v>
      </c>
      <c r="L39" s="59">
        <v>0</v>
      </c>
      <c r="M39" s="61">
        <v>4.7199999999999999E-7</v>
      </c>
      <c r="N39" s="63">
        <v>1.5099999999999999E-7</v>
      </c>
      <c r="O39" s="65">
        <v>280000000</v>
      </c>
      <c r="P39" s="65">
        <v>200000000000</v>
      </c>
      <c r="Q39" s="65">
        <v>80000000000</v>
      </c>
      <c r="R39" s="65">
        <v>250000000</v>
      </c>
      <c r="S39" s="8">
        <v>0.5</v>
      </c>
      <c r="T39" s="8" t="s">
        <v>49</v>
      </c>
      <c r="U39" s="7" t="b">
        <v>1</v>
      </c>
      <c r="V39" s="7" t="b">
        <v>1</v>
      </c>
      <c r="W39" s="68">
        <f>tblNc[[#This Row],[An]]*tblNc[[#This Row],[kf]]</f>
        <v>7.0299999999999998E-3</v>
      </c>
      <c r="X39" s="69">
        <f>tblNc[[#This Row],[Ae]]*tblNc[[#This Row],[fy]]</f>
        <v>1968400</v>
      </c>
      <c r="Y39" s="69">
        <f>tblNc[[#This Row],[Ns]]*0.9</f>
        <v>1771560</v>
      </c>
      <c r="Z39" s="71">
        <f>tblNc[[#This Row],[l]]*tblNc[[#This Row],[kex]]</f>
        <v>1</v>
      </c>
      <c r="AA39" s="71">
        <f>tblNc[[#This Row],[l]]*tblNc[[#This Row],[key]]</f>
        <v>1</v>
      </c>
      <c r="AB39" s="71">
        <f>tblNc[[#This Row],[kez]]*tblNc[[#This Row],[l]]</f>
        <v>1</v>
      </c>
      <c r="AC39" s="53">
        <f>(tblNc[[#This Row],[lex]]/tblNc[[#This Row],[rx]])*(SQRT(tblNc[[#This Row],[kf]]))*SQRT((tblNc[[#This Row],[fy]]/tblNc[[#This Row],[fref]]))</f>
        <v>7.1993232954138531</v>
      </c>
      <c r="AD39" s="53">
        <f>(2100*(tblNc[[#This Row],[λnx]]-13.5))/((tblNc[[#This Row],[λnx]]^2)-(15.3*tblNc[[#This Row],[λnx]])+2050)</f>
        <v>-6.6433448297743638</v>
      </c>
      <c r="AE39" s="53">
        <f>tblNc[[#This Row],[λnx]]+tblNc[[#This Row],[αax]]*tblNc[[#This Row],[αb]]</f>
        <v>3.8776508805266712</v>
      </c>
      <c r="AF39" s="53">
        <f>MAX((0.00326*(tblNc[[#This Row],[λx]]-13.5)),0)</f>
        <v>0</v>
      </c>
      <c r="AG39" s="53">
        <f>((tblNc[[#This Row],[λx]]/90)^2+1+tblNc[[#This Row],[ηx]])/(2*(tblNc[[#This Row],[λx]]/90)^2)</f>
        <v>269.85039237309218</v>
      </c>
      <c r="AH39" s="53">
        <f>tblNc[[#This Row],[ξx]]*(1-SQRT(1-(90/(tblNc[[#This Row],[ξx]]*tblNc[[#This Row],[λx]]))^2))</f>
        <v>1.000000000000004</v>
      </c>
      <c r="AI39" s="69">
        <f>tblNc[[#This Row],[αcx]]*tblNc[[#This Row],[Ns]]</f>
        <v>1968400.0000000079</v>
      </c>
      <c r="AJ39" s="69">
        <f>tblNc[[#This Row],[Ncx]]*0.9</f>
        <v>1771560.0000000072</v>
      </c>
      <c r="AK39" s="53">
        <f>(tblNc[[#This Row],[lex]]/tblNc[[#This Row],[ry]])*(SQRT(tblNc[[#This Row],[kf]]))*SQRT((tblNc[[#This Row],[fy]]/tblNc[[#This Row],[fref]]))</f>
        <v>34.812517250849879</v>
      </c>
      <c r="AL39" s="53">
        <f>(2100*(tblNc[[#This Row],[λny]]-13.5))/((tblNc[[#This Row],[λny]]^2)-(15.3*tblNc[[#This Row],[λny]])+2050)</f>
        <v>16.398569877314248</v>
      </c>
      <c r="AM39" s="53">
        <f>tblNc[[#This Row],[λny]]+tblNc[[#This Row],[αay]]*tblNc[[#This Row],[αb]]</f>
        <v>43.011802189507002</v>
      </c>
      <c r="AN39" s="53">
        <f>MAX((0.00326*(tblNc[[#This Row],[λy]]-13.5)),0)</f>
        <v>9.620847513779282E-2</v>
      </c>
      <c r="AO39" s="53">
        <f>((tblNc[[#This Row],[λy]]/90)^2+1+tblNc[[#This Row],[ηy]])/(2*(tblNc[[#This Row],[λy]]/90)^2)</f>
        <v>2.8997881196210975</v>
      </c>
      <c r="AP39" s="53">
        <f>tblNc[[#This Row],[ξy]]*(1-SQRT(1-(90/(tblNc[[#This Row],[ξy]]*tblNc[[#This Row],[λy]]))^2))</f>
        <v>0.89219539141296866</v>
      </c>
      <c r="AQ39" s="69">
        <f>tblNc[[#This Row],[αcy]]*tblNc[[#This Row],[Ns]]</f>
        <v>1756197.4084572876</v>
      </c>
      <c r="AR39" s="69">
        <f>tblNc[[#This Row],[Ncy]]*0.9</f>
        <v>1580577.6676115589</v>
      </c>
      <c r="AS39" s="69">
        <f>MIN(tblNc[[#This Row],[Ncy]],tblNc[[#This Row],[Ncx]],tblNc[[#This Row],[Ns]])</f>
        <v>1756197.4084572876</v>
      </c>
      <c r="AT39" s="69">
        <f>tblNc[[#This Row],[Ncflex]]*0.9</f>
        <v>1580577.6676115589</v>
      </c>
      <c r="AU39" s="69" t="e">
        <f t="array" ref="AU39">INDEX(tblfocDblSym[Nc],MATCH(tblNc[[#This Row],[Section]]&amp;tblNc[[#This Row],[lex]],tblfocDblSym[Section]&amp;tblfocDblSym[lex],0))</f>
        <v>#N/A</v>
      </c>
      <c r="AV39" s="69">
        <f t="array" ref="AV39">INDEX(tblfocSglSym[Nc],MATCH(tblNc[[#This Row],[Section]]&amp;tblNc[[#This Row],[lex]],tblfocSglSym[Section]&amp;tblfocSglSym[lex],0))</f>
        <v>1570160.252360486</v>
      </c>
      <c r="AW39" s="69">
        <f t="array" ref="AW39">INDEX(tblfocunsym[Nc],MATCH(tblNc[[#This Row],[Section]]&amp;tblNc[[#This Row],[lex]],tblfocunsym[Section]&amp;tblfocunsym[lex],0))</f>
        <v>1562386.9034789635</v>
      </c>
      <c r="AX39" s="69">
        <f>IF(tblNc[[#This Row],[Axis]]="['x', 'y']",tblNc[[#This Row],[Ncz_dbl]],IF(tblNc[[#This Row],[Axis]]="[]",tblNc[[#This Row],[Ncz_un]],tblNc[[#This Row],[Ncz_sngl]]))</f>
        <v>1570160.252360486</v>
      </c>
      <c r="AY39" s="69">
        <f>MIN(tblNc[[#This Row],[Ncz_base]],tblNc[[#This Row],[Ns]])</f>
        <v>1570160.252360486</v>
      </c>
      <c r="AZ39" s="69">
        <f>tblNc[[#This Row],[Ncz]]*0.9</f>
        <v>1413144.2271244375</v>
      </c>
      <c r="BA39" s="69">
        <f>MIN(tblNc[[#This Row],[Ncflex]],tblNc[[#This Row],[Ncz]])</f>
        <v>1570160.252360486</v>
      </c>
      <c r="BB39" s="69">
        <f>tblNc[[#This Row],[Nc]]*0.9</f>
        <v>1413144.2271244375</v>
      </c>
    </row>
    <row r="40" spans="2:54" x14ac:dyDescent="0.2">
      <c r="B40" s="13" t="s">
        <v>37</v>
      </c>
      <c r="C40" s="54">
        <v>7.0299999999999998E-3</v>
      </c>
      <c r="D40" s="11">
        <v>1</v>
      </c>
      <c r="E40" s="56">
        <v>20</v>
      </c>
      <c r="F40" s="11">
        <v>2.5000000000000001E-2</v>
      </c>
      <c r="G40" s="11">
        <v>2.5000000000000001E-2</v>
      </c>
      <c r="H40" s="11">
        <v>2.5000000000000001E-2</v>
      </c>
      <c r="I40" s="59">
        <v>0.14699999999999999</v>
      </c>
      <c r="J40" s="59">
        <v>3.04E-2</v>
      </c>
      <c r="K40" s="59">
        <v>5.67E-2</v>
      </c>
      <c r="L40" s="59">
        <v>0</v>
      </c>
      <c r="M40" s="61">
        <v>4.7199999999999999E-7</v>
      </c>
      <c r="N40" s="63">
        <v>1.5099999999999999E-7</v>
      </c>
      <c r="O40" s="65">
        <v>280000000</v>
      </c>
      <c r="P40" s="65">
        <v>200000000000</v>
      </c>
      <c r="Q40" s="65">
        <v>80000000000</v>
      </c>
      <c r="R40" s="65">
        <v>250000000</v>
      </c>
      <c r="S40" s="8">
        <v>0.5</v>
      </c>
      <c r="T40" s="8" t="s">
        <v>49</v>
      </c>
      <c r="U40" s="7" t="b">
        <v>1</v>
      </c>
      <c r="V40" s="7" t="b">
        <v>1</v>
      </c>
      <c r="W40" s="68">
        <f>tblNc[[#This Row],[An]]*tblNc[[#This Row],[kf]]</f>
        <v>7.0299999999999998E-3</v>
      </c>
      <c r="X40" s="69">
        <f>tblNc[[#This Row],[Ae]]*tblNc[[#This Row],[fy]]</f>
        <v>1968400</v>
      </c>
      <c r="Y40" s="69">
        <f>tblNc[[#This Row],[Ns]]*0.9</f>
        <v>1771560</v>
      </c>
      <c r="Z40" s="71">
        <f>tblNc[[#This Row],[l]]*tblNc[[#This Row],[kex]]</f>
        <v>0.5</v>
      </c>
      <c r="AA40" s="71">
        <f>tblNc[[#This Row],[l]]*tblNc[[#This Row],[key]]</f>
        <v>0.5</v>
      </c>
      <c r="AB40" s="71">
        <f>tblNc[[#This Row],[kez]]*tblNc[[#This Row],[l]]</f>
        <v>0.5</v>
      </c>
      <c r="AC40" s="53">
        <f>(tblNc[[#This Row],[lex]]/tblNc[[#This Row],[rx]])*(SQRT(tblNc[[#This Row],[kf]]))*SQRT((tblNc[[#This Row],[fy]]/tblNc[[#This Row],[fref]]))</f>
        <v>3.5996616477069265</v>
      </c>
      <c r="AD40" s="53">
        <f>(2100*(tblNc[[#This Row],[λnx]]-13.5))/((tblNc[[#This Row],[λnx]]^2)-(15.3*tblNc[[#This Row],[λnx]])+2050)</f>
        <v>-10.35454417615173</v>
      </c>
      <c r="AE40" s="53">
        <f>tblNc[[#This Row],[λnx]]+tblNc[[#This Row],[αax]]*tblNc[[#This Row],[αb]]</f>
        <v>-1.5776104403689386</v>
      </c>
      <c r="AF40" s="53">
        <f>MAX((0.00326*(tblNc[[#This Row],[λx]]-13.5)),0)</f>
        <v>0</v>
      </c>
      <c r="AG40" s="53">
        <f>((tblNc[[#This Row],[λx]]/90)^2+1+tblNc[[#This Row],[ηx]])/(2*(tblNc[[#This Row],[λx]]/90)^2)</f>
        <v>1627.7544947922161</v>
      </c>
      <c r="AH40" s="53">
        <f>tblNc[[#This Row],[ξx]]*(1-SQRT(1-(90/(tblNc[[#This Row],[ξx]]*tblNc[[#This Row],[λx]]))^2))</f>
        <v>0.99999999999994482</v>
      </c>
      <c r="AI40" s="69">
        <f>tblNc[[#This Row],[αcx]]*tblNc[[#This Row],[Ns]]</f>
        <v>1968399.9999998915</v>
      </c>
      <c r="AJ40" s="69">
        <f>tblNc[[#This Row],[Ncx]]*0.9</f>
        <v>1771559.9999999024</v>
      </c>
      <c r="AK40" s="53">
        <f>(tblNc[[#This Row],[lex]]/tblNc[[#This Row],[ry]])*(SQRT(tblNc[[#This Row],[kf]]))*SQRT((tblNc[[#This Row],[fy]]/tblNc[[#This Row],[fref]]))</f>
        <v>17.40625862542494</v>
      </c>
      <c r="AL40" s="53">
        <f>(2100*(tblNc[[#This Row],[λny]]-13.5))/((tblNc[[#This Row],[λny]]^2)-(15.3*tblNc[[#This Row],[λny]])+2050)</f>
        <v>3.9312273811437572</v>
      </c>
      <c r="AM40" s="53">
        <f>tblNc[[#This Row],[λny]]+tblNc[[#This Row],[αay]]*tblNc[[#This Row],[αb]]</f>
        <v>19.371872315996818</v>
      </c>
      <c r="AN40" s="53">
        <f>MAX((0.00326*(tblNc[[#This Row],[λy]]-13.5)),0)</f>
        <v>1.9142303750149626E-2</v>
      </c>
      <c r="AO40" s="53">
        <f>((tblNc[[#This Row],[λy]]/90)^2+1+tblNc[[#This Row],[ηy]])/(2*(tblNc[[#This Row],[λy]]/90)^2)</f>
        <v>11.498834231970815</v>
      </c>
      <c r="AP40" s="53">
        <f>tblNc[[#This Row],[ξy]]*(1-SQRT(1-(90/(tblNc[[#This Row],[ξy]]*tblNc[[#This Row],[λy]]))^2))</f>
        <v>0.98034113056470173</v>
      </c>
      <c r="AQ40" s="69">
        <f>tblNc[[#This Row],[αcy]]*tblNc[[#This Row],[Ns]]</f>
        <v>1929703.481403559</v>
      </c>
      <c r="AR40" s="69">
        <f>tblNc[[#This Row],[Ncy]]*0.9</f>
        <v>1736733.1332632031</v>
      </c>
      <c r="AS40" s="69">
        <f>MIN(tblNc[[#This Row],[Ncy]],tblNc[[#This Row],[Ncx]],tblNc[[#This Row],[Ns]])</f>
        <v>1929703.481403559</v>
      </c>
      <c r="AT40" s="69">
        <f>tblNc[[#This Row],[Ncflex]]*0.9</f>
        <v>1736733.1332632031</v>
      </c>
      <c r="AU40" s="69" t="e">
        <f t="array" ref="AU40">INDEX(tblfocDblSym[Nc],MATCH(tblNc[[#This Row],[Section]]&amp;tblNc[[#This Row],[lex]],tblfocDblSym[Section]&amp;tblfocDblSym[lex],0))</f>
        <v>#N/A</v>
      </c>
      <c r="AV40" s="69">
        <f t="array" ref="AV40">INDEX(tblfocSglSym[Nc],MATCH(tblNc[[#This Row],[Section]]&amp;tblNc[[#This Row],[lex]],tblfocSglSym[Section]&amp;tblfocSglSym[lex],0))</f>
        <v>1644385.7301176095</v>
      </c>
      <c r="AW40" s="69">
        <f t="array" ref="AW40">INDEX(tblfocunsym[Nc],MATCH(tblNc[[#This Row],[Section]]&amp;tblNc[[#This Row],[lex]],tblfocunsym[Section]&amp;tblfocunsym[lex],0))</f>
        <v>1643246.8387073991</v>
      </c>
      <c r="AX40" s="69">
        <f>IF(tblNc[[#This Row],[Axis]]="['x', 'y']",tblNc[[#This Row],[Ncz_dbl]],IF(tblNc[[#This Row],[Axis]]="[]",tblNc[[#This Row],[Ncz_un]],tblNc[[#This Row],[Ncz_sngl]]))</f>
        <v>1644385.7301176095</v>
      </c>
      <c r="AY40" s="69">
        <f>MIN(tblNc[[#This Row],[Ncz_base]],tblNc[[#This Row],[Ns]])</f>
        <v>1644385.7301176095</v>
      </c>
      <c r="AZ40" s="69">
        <f>tblNc[[#This Row],[Ncz]]*0.9</f>
        <v>1479947.1571058487</v>
      </c>
      <c r="BA40" s="69">
        <f>MIN(tblNc[[#This Row],[Ncflex]],tblNc[[#This Row],[Ncz]])</f>
        <v>1644385.7301176095</v>
      </c>
      <c r="BB40" s="69">
        <f>tblNc[[#This Row],[Nc]]*0.9</f>
        <v>1479947.1571058487</v>
      </c>
    </row>
    <row r="41" spans="2:54" x14ac:dyDescent="0.2">
      <c r="B41" s="4" t="s">
        <v>7</v>
      </c>
      <c r="C41" s="55">
        <v>1.6E-2</v>
      </c>
      <c r="D41" s="9">
        <v>0.95</v>
      </c>
      <c r="E41" s="57">
        <v>40</v>
      </c>
      <c r="F41" s="9">
        <v>1</v>
      </c>
      <c r="G41" s="9">
        <v>1</v>
      </c>
      <c r="H41" s="9">
        <v>1</v>
      </c>
      <c r="I41" s="60">
        <v>0.249</v>
      </c>
      <c r="J41" s="60">
        <v>4.9599999999999998E-2</v>
      </c>
      <c r="K41" s="59">
        <v>0</v>
      </c>
      <c r="L41" s="59">
        <v>0</v>
      </c>
      <c r="M41" s="61">
        <v>1.5600000000000001E-6</v>
      </c>
      <c r="N41" s="63">
        <v>3.45E-6</v>
      </c>
      <c r="O41" s="65">
        <v>280000000</v>
      </c>
      <c r="P41" s="65">
        <v>200000000000</v>
      </c>
      <c r="Q41" s="65">
        <v>80000000000</v>
      </c>
      <c r="R41" s="65">
        <v>250000000</v>
      </c>
      <c r="S41" s="7">
        <v>0</v>
      </c>
      <c r="T41" s="7" t="s">
        <v>48</v>
      </c>
      <c r="U41" s="7" t="b">
        <v>1</v>
      </c>
      <c r="V41" s="7" t="b">
        <v>1</v>
      </c>
      <c r="W41" s="68">
        <f>tblNc[[#This Row],[An]]*tblNc[[#This Row],[kf]]</f>
        <v>1.52E-2</v>
      </c>
      <c r="X41" s="70">
        <f>tblNc[[#This Row],[Ae]]*tblNc[[#This Row],[fy]]</f>
        <v>4256000</v>
      </c>
      <c r="Y41" s="70">
        <f>tblNc[[#This Row],[Ns]]*0.9</f>
        <v>3830400</v>
      </c>
      <c r="Z41" s="72">
        <f>tblNc[[#This Row],[l]]*tblNc[[#This Row],[kex]]</f>
        <v>40</v>
      </c>
      <c r="AA41" s="72">
        <f>tblNc[[#This Row],[l]]*tblNc[[#This Row],[key]]</f>
        <v>40</v>
      </c>
      <c r="AB41" s="72">
        <f>tblNc[[#This Row],[kez]]*tblNc[[#This Row],[l]]</f>
        <v>40</v>
      </c>
      <c r="AC41" s="52">
        <f>(tblNc[[#This Row],[lex]]/tblNc[[#This Row],[rx]])*(SQRT(tblNc[[#This Row],[kf]]))*SQRT((tblNc[[#This Row],[fy]]/tblNc[[#This Row],[fref]]))</f>
        <v>165.70341472421049</v>
      </c>
      <c r="AD41" s="52">
        <f>(2100*(tblNc[[#This Row],[λnx]]-13.5))/((tblNc[[#This Row],[λnx]]^2)-(15.3*tblNc[[#This Row],[λnx]])+2050)</f>
        <v>11.850174695875481</v>
      </c>
      <c r="AE41" s="52">
        <f>tblNc[[#This Row],[λnx]]+tblNc[[#This Row],[αax]]*tblNc[[#This Row],[αb]]</f>
        <v>165.70341472421049</v>
      </c>
      <c r="AF41" s="52">
        <f>MAX((0.00326*(tblNc[[#This Row],[λx]]-13.5)),0)</f>
        <v>0.49618313200092617</v>
      </c>
      <c r="AG41" s="52">
        <f>((tblNc[[#This Row],[λx]]/90)^2+1+tblNc[[#This Row],[ηx]])/(2*(tblNc[[#This Row],[λx]]/90)^2)</f>
        <v>0.72068705591348503</v>
      </c>
      <c r="AH41" s="53">
        <f>tblNc[[#This Row],[ξx]]*(1-SQRT(1-(90/(tblNc[[#This Row],[ξx]]*tblNc[[#This Row],[λx]]))^2))</f>
        <v>0.24698907848414733</v>
      </c>
      <c r="AI41" s="69">
        <f>tblNc[[#This Row],[αcx]]*tblNc[[#This Row],[Ns]]</f>
        <v>1051185.518028531</v>
      </c>
      <c r="AJ41" s="69">
        <f>tblNc[[#This Row],[Ncx]]*0.9</f>
        <v>946066.96622567787</v>
      </c>
      <c r="AK41" s="53">
        <f>(tblNc[[#This Row],[lex]]/tblNc[[#This Row],[ry]])*(SQRT(tblNc[[#This Row],[kf]]))*SQRT((tblNc[[#This Row],[fy]]/tblNc[[#This Row],[fref]]))</f>
        <v>831.85786827275024</v>
      </c>
      <c r="AL41" s="53">
        <f>(2100*(tblNc[[#This Row],[λny]]-13.5))/((tblNc[[#This Row],[λny]]^2)-(15.3*tblNc[[#This Row],[λny]])+2050)</f>
        <v>2.5224219552792779</v>
      </c>
      <c r="AM41" s="53">
        <f>tblNc[[#This Row],[λny]]+tblNc[[#This Row],[αay]]*tblNc[[#This Row],[αb]]</f>
        <v>831.85786827275024</v>
      </c>
      <c r="AN41" s="53">
        <f>MAX((0.00326*(tblNc[[#This Row],[λy]]-13.5)),0)</f>
        <v>2.6678466505691656</v>
      </c>
      <c r="AO41" s="53">
        <f>((tblNc[[#This Row],[λy]]/90)^2+1+tblNc[[#This Row],[ηy]])/(2*(tblNc[[#This Row],[λy]]/90)^2)</f>
        <v>0.52146683091180102</v>
      </c>
      <c r="AP41" s="53">
        <f>tblNc[[#This Row],[ξy]]*(1-SQRT(1-(90/(tblNc[[#This Row],[ξy]]*tblNc[[#This Row],[λy]]))^2))</f>
        <v>1.1346999688428316E-2</v>
      </c>
      <c r="AQ41" s="69">
        <f>tblNc[[#This Row],[αcy]]*tblNc[[#This Row],[Ns]]</f>
        <v>48292.830673950913</v>
      </c>
      <c r="AR41" s="69">
        <f>tblNc[[#This Row],[Ncy]]*0.9</f>
        <v>43463.547606555825</v>
      </c>
      <c r="AS41" s="69">
        <f>MIN(tblNc[[#This Row],[Ncy]],tblNc[[#This Row],[Ncx]],tblNc[[#This Row],[Ns]])</f>
        <v>48292.830673950913</v>
      </c>
      <c r="AT41" s="69">
        <f>tblNc[[#This Row],[Ncflex]]*0.9</f>
        <v>43463.547606555825</v>
      </c>
      <c r="AU41" s="69">
        <f t="array" ref="AU41">INDEX(tblfocDblSym[Nc],MATCH(tblNc[[#This Row],[Section]]&amp;tblNc[[#This Row],[lex]],tblfocDblSym[Section]&amp;tblfocDblSym[lex],0))</f>
        <v>866703.51843684597</v>
      </c>
      <c r="AV41" s="69" t="e">
        <f t="array" ref="AV41">INDEX(tblfocSglSym[Nc],MATCH(tblNc[[#This Row],[Section]]&amp;tblNc[[#This Row],[lex]],tblfocSglSym[Section]&amp;tblfocSglSym[lex],0))</f>
        <v>#N/A</v>
      </c>
      <c r="AW41" s="69">
        <f t="array" ref="AW41">INDEX(tblfocunsym[Nc],MATCH(tblNc[[#This Row],[Section]]&amp;tblNc[[#This Row],[lex]],tblfocunsym[Section]&amp;tblfocunsym[lex],0))</f>
        <v>34390.240930268737</v>
      </c>
      <c r="AX41" s="69">
        <f>IF(tblNc[[#This Row],[Axis]]="['x', 'y']",tblNc[[#This Row],[Ncz_dbl]],IF(tblNc[[#This Row],[Axis]]="[]",tblNc[[#This Row],[Ncz_un]],tblNc[[#This Row],[Ncz_sngl]]))</f>
        <v>866703.51843684597</v>
      </c>
      <c r="AY41" s="69">
        <f>MIN(tblNc[[#This Row],[Ncz_base]],tblNc[[#This Row],[Ns]])</f>
        <v>866703.51843684597</v>
      </c>
      <c r="AZ41" s="69">
        <f>tblNc[[#This Row],[Ncz]]*0.9</f>
        <v>780033.16659316141</v>
      </c>
      <c r="BA41" s="69">
        <f>MIN(tblNc[[#This Row],[Ncflex]],tblNc[[#This Row],[Ncz]])</f>
        <v>48292.830673950913</v>
      </c>
      <c r="BB41" s="69">
        <f>tblNc[[#This Row],[Nc]]*0.9</f>
        <v>43463.547606555825</v>
      </c>
    </row>
    <row r="42" spans="2:54" x14ac:dyDescent="0.2">
      <c r="B42" s="4" t="s">
        <v>7</v>
      </c>
      <c r="C42" s="55">
        <v>1.6E-2</v>
      </c>
      <c r="D42" s="9">
        <v>0.95</v>
      </c>
      <c r="E42" s="57">
        <v>40</v>
      </c>
      <c r="F42" s="9">
        <v>0.5</v>
      </c>
      <c r="G42" s="9">
        <v>0.5</v>
      </c>
      <c r="H42" s="9">
        <v>0.5</v>
      </c>
      <c r="I42" s="60">
        <v>0.249</v>
      </c>
      <c r="J42" s="60">
        <v>4.9599999999999998E-2</v>
      </c>
      <c r="K42" s="59">
        <v>0</v>
      </c>
      <c r="L42" s="59">
        <v>0</v>
      </c>
      <c r="M42" s="61">
        <v>1.5600000000000001E-6</v>
      </c>
      <c r="N42" s="63">
        <v>3.45E-6</v>
      </c>
      <c r="O42" s="65">
        <v>280000000</v>
      </c>
      <c r="P42" s="65">
        <v>200000000000</v>
      </c>
      <c r="Q42" s="65">
        <v>80000000000</v>
      </c>
      <c r="R42" s="65">
        <v>250000000</v>
      </c>
      <c r="S42" s="7">
        <v>0</v>
      </c>
      <c r="T42" s="7" t="s">
        <v>48</v>
      </c>
      <c r="U42" s="7" t="b">
        <v>1</v>
      </c>
      <c r="V42" s="7" t="b">
        <v>1</v>
      </c>
      <c r="W42" s="68">
        <f>tblNc[[#This Row],[An]]*tblNc[[#This Row],[kf]]</f>
        <v>1.52E-2</v>
      </c>
      <c r="X42" s="70">
        <f>tblNc[[#This Row],[Ae]]*tblNc[[#This Row],[fy]]</f>
        <v>4256000</v>
      </c>
      <c r="Y42" s="70">
        <f>tblNc[[#This Row],[Ns]]*0.9</f>
        <v>3830400</v>
      </c>
      <c r="Z42" s="72">
        <f>tblNc[[#This Row],[l]]*tblNc[[#This Row],[kex]]</f>
        <v>20</v>
      </c>
      <c r="AA42" s="72">
        <f>tblNc[[#This Row],[l]]*tblNc[[#This Row],[key]]</f>
        <v>20</v>
      </c>
      <c r="AB42" s="72">
        <f>tblNc[[#This Row],[kez]]*tblNc[[#This Row],[l]]</f>
        <v>20</v>
      </c>
      <c r="AC42" s="52">
        <f>(tblNc[[#This Row],[lex]]/tblNc[[#This Row],[rx]])*(SQRT(tblNc[[#This Row],[kf]]))*SQRT((tblNc[[#This Row],[fy]]/tblNc[[#This Row],[fref]]))</f>
        <v>82.851707362105245</v>
      </c>
      <c r="AD42" s="52">
        <f>(2100*(tblNc[[#This Row],[λnx]]-13.5))/((tblNc[[#This Row],[λnx]]^2)-(15.3*tblNc[[#This Row],[λnx]])+2050)</f>
        <v>19.045754449367227</v>
      </c>
      <c r="AE42" s="52">
        <f>tblNc[[#This Row],[λnx]]+tblNc[[#This Row],[αax]]*tblNc[[#This Row],[αb]]</f>
        <v>82.851707362105245</v>
      </c>
      <c r="AF42" s="52">
        <f>MAX((0.00326*(tblNc[[#This Row],[λx]]-13.5)),0)</f>
        <v>0.22608656600046309</v>
      </c>
      <c r="AG42" s="52">
        <f>((tblNc[[#This Row],[λx]]/90)^2+1+tblNc[[#This Row],[ηx]])/(2*(tblNc[[#This Row],[λx]]/90)^2)</f>
        <v>1.2233912179823976</v>
      </c>
      <c r="AH42" s="53">
        <f>tblNc[[#This Row],[ξx]]*(1-SQRT(1-(90/(tblNc[[#This Row],[ξx]]*tblNc[[#This Row],[λx]]))^2))</f>
        <v>0.66064275083739643</v>
      </c>
      <c r="AI42" s="69">
        <f>tblNc[[#This Row],[αcx]]*tblNc[[#This Row],[Ns]]</f>
        <v>2811695.5475639594</v>
      </c>
      <c r="AJ42" s="69">
        <f>tblNc[[#This Row],[Ncx]]*0.9</f>
        <v>2530525.9928075634</v>
      </c>
      <c r="AK42" s="53">
        <f>(tblNc[[#This Row],[lex]]/tblNc[[#This Row],[ry]])*(SQRT(tblNc[[#This Row],[kf]]))*SQRT((tblNc[[#This Row],[fy]]/tblNc[[#This Row],[fref]]))</f>
        <v>415.92893413637512</v>
      </c>
      <c r="AL42" s="53">
        <f>(2100*(tblNc[[#This Row],[λny]]-13.5))/((tblNc[[#This Row],[λny]]^2)-(15.3*tblNc[[#This Row],[λny]])+2050)</f>
        <v>5.0099887495182225</v>
      </c>
      <c r="AM42" s="53">
        <f>tblNc[[#This Row],[λny]]+tblNc[[#This Row],[αay]]*tblNc[[#This Row],[αb]]</f>
        <v>415.92893413637512</v>
      </c>
      <c r="AN42" s="53">
        <f>MAX((0.00326*(tblNc[[#This Row],[λy]]-13.5)),0)</f>
        <v>1.3119183252845827</v>
      </c>
      <c r="AO42" s="53">
        <f>((tblNc[[#This Row],[λy]]/90)^2+1+tblNc[[#This Row],[ηy]])/(2*(tblNc[[#This Row],[λy]]/90)^2)</f>
        <v>0.55412392010781275</v>
      </c>
      <c r="AP42" s="53">
        <f>tblNc[[#This Row],[ξy]]*(1-SQRT(1-(90/(tblNc[[#This Row],[ξy]]*tblNc[[#This Row],[λy]]))^2))</f>
        <v>4.3994853399875321E-2</v>
      </c>
      <c r="AQ42" s="69">
        <f>tblNc[[#This Row],[αcy]]*tblNc[[#This Row],[Ns]]</f>
        <v>187242.09606986935</v>
      </c>
      <c r="AR42" s="69">
        <f>tblNc[[#This Row],[Ncy]]*0.9</f>
        <v>168517.88646288242</v>
      </c>
      <c r="AS42" s="69">
        <f>MIN(tblNc[[#This Row],[Ncy]],tblNc[[#This Row],[Ncx]],tblNc[[#This Row],[Ns]])</f>
        <v>187242.09606986935</v>
      </c>
      <c r="AT42" s="69">
        <f>tblNc[[#This Row],[Ncflex]]*0.9</f>
        <v>168517.88646288242</v>
      </c>
      <c r="AU42" s="69">
        <f t="array" ref="AU42">INDEX(tblfocDblSym[Nc],MATCH(tblNc[[#This Row],[Section]]&amp;tblNc[[#This Row],[lex]],tblfocDblSym[Section]&amp;tblfocDblSym[lex],0))</f>
        <v>1542729.5918957696</v>
      </c>
      <c r="AV42" s="69" t="e">
        <f t="array" ref="AV42">INDEX(tblfocSglSym[Nc],MATCH(tblNc[[#This Row],[Section]]&amp;tblNc[[#This Row],[lex]],tblfocSglSym[Section]&amp;tblfocSglSym[lex],0))</f>
        <v>#N/A</v>
      </c>
      <c r="AW42" s="69">
        <f t="array" ref="AW42">INDEX(tblfocunsym[Nc],MATCH(tblNc[[#This Row],[Section]]&amp;tblNc[[#This Row],[lex]],tblfocunsym[Section]&amp;tblfocunsym[lex],0))</f>
        <v>137560.96372107495</v>
      </c>
      <c r="AX42" s="69">
        <f>IF(tblNc[[#This Row],[Axis]]="['x', 'y']",tblNc[[#This Row],[Ncz_dbl]],IF(tblNc[[#This Row],[Axis]]="[]",tblNc[[#This Row],[Ncz_un]],tblNc[[#This Row],[Ncz_sngl]]))</f>
        <v>1542729.5918957696</v>
      </c>
      <c r="AY42" s="69">
        <f>MIN(tblNc[[#This Row],[Ncz_base]],tblNc[[#This Row],[Ns]])</f>
        <v>1542729.5918957696</v>
      </c>
      <c r="AZ42" s="69">
        <f>tblNc[[#This Row],[Ncz]]*0.9</f>
        <v>1388456.6327061926</v>
      </c>
      <c r="BA42" s="69">
        <f>MIN(tblNc[[#This Row],[Ncflex]],tblNc[[#This Row],[Ncz]])</f>
        <v>187242.09606986935</v>
      </c>
      <c r="BB42" s="69">
        <f>tblNc[[#This Row],[Nc]]*0.9</f>
        <v>168517.88646288242</v>
      </c>
    </row>
    <row r="43" spans="2:54" x14ac:dyDescent="0.2">
      <c r="B43" s="4" t="s">
        <v>7</v>
      </c>
      <c r="C43" s="55">
        <v>1.6E-2</v>
      </c>
      <c r="D43" s="9">
        <v>0.95</v>
      </c>
      <c r="E43" s="57">
        <v>40</v>
      </c>
      <c r="F43" s="9">
        <v>0.25</v>
      </c>
      <c r="G43" s="9">
        <v>0.25</v>
      </c>
      <c r="H43" s="9">
        <v>0.25</v>
      </c>
      <c r="I43" s="60">
        <v>0.249</v>
      </c>
      <c r="J43" s="60">
        <v>4.9599999999999998E-2</v>
      </c>
      <c r="K43" s="59">
        <v>0</v>
      </c>
      <c r="L43" s="59">
        <v>0</v>
      </c>
      <c r="M43" s="61">
        <v>1.5600000000000001E-6</v>
      </c>
      <c r="N43" s="63">
        <v>3.45E-6</v>
      </c>
      <c r="O43" s="65">
        <v>280000000</v>
      </c>
      <c r="P43" s="65">
        <v>200000000000</v>
      </c>
      <c r="Q43" s="65">
        <v>80000000000</v>
      </c>
      <c r="R43" s="65">
        <v>250000000</v>
      </c>
      <c r="S43" s="7">
        <v>0</v>
      </c>
      <c r="T43" s="7" t="s">
        <v>48</v>
      </c>
      <c r="U43" s="7" t="b">
        <v>1</v>
      </c>
      <c r="V43" s="7" t="b">
        <v>1</v>
      </c>
      <c r="W43" s="68">
        <f>tblNc[[#This Row],[An]]*tblNc[[#This Row],[kf]]</f>
        <v>1.52E-2</v>
      </c>
      <c r="X43" s="70">
        <f>tblNc[[#This Row],[Ae]]*tblNc[[#This Row],[fy]]</f>
        <v>4256000</v>
      </c>
      <c r="Y43" s="70">
        <f>tblNc[[#This Row],[Ns]]*0.9</f>
        <v>3830400</v>
      </c>
      <c r="Z43" s="72">
        <f>tblNc[[#This Row],[l]]*tblNc[[#This Row],[kex]]</f>
        <v>10</v>
      </c>
      <c r="AA43" s="72">
        <f>tblNc[[#This Row],[l]]*tblNc[[#This Row],[key]]</f>
        <v>10</v>
      </c>
      <c r="AB43" s="72">
        <f>tblNc[[#This Row],[kez]]*tblNc[[#This Row],[l]]</f>
        <v>10</v>
      </c>
      <c r="AC43" s="52">
        <f>(tblNc[[#This Row],[lex]]/tblNc[[#This Row],[rx]])*(SQRT(tblNc[[#This Row],[kf]]))*SQRT((tblNc[[#This Row],[fy]]/tblNc[[#This Row],[fref]]))</f>
        <v>41.425853681052622</v>
      </c>
      <c r="AD43" s="52">
        <f>(2100*(tblNc[[#This Row],[λnx]]-13.5))/((tblNc[[#This Row],[λnx]]^2)-(15.3*tblNc[[#This Row],[λnx]])+2050)</f>
        <v>18.722522983747151</v>
      </c>
      <c r="AE43" s="52">
        <f>tblNc[[#This Row],[λnx]]+tblNc[[#This Row],[αax]]*tblNc[[#This Row],[αb]]</f>
        <v>41.425853681052622</v>
      </c>
      <c r="AF43" s="52">
        <f>MAX((0.00326*(tblNc[[#This Row],[λx]]-13.5)),0)</f>
        <v>9.1038283000231549E-2</v>
      </c>
      <c r="AG43" s="52">
        <f>((tblNc[[#This Row],[λx]]/90)^2+1+tblNc[[#This Row],[ηx]])/(2*(tblNc[[#This Row],[λx]]/90)^2)</f>
        <v>3.0748508605865053</v>
      </c>
      <c r="AH43" s="53">
        <f>tblNc[[#This Row],[ξx]]*(1-SQRT(1-(90/(tblNc[[#This Row],[ξx]]*tblNc[[#This Row],[λx]]))^2))</f>
        <v>0.89891270084943453</v>
      </c>
      <c r="AI43" s="69">
        <f>tblNc[[#This Row],[αcx]]*tblNc[[#This Row],[Ns]]</f>
        <v>3825772.4548151935</v>
      </c>
      <c r="AJ43" s="69">
        <f>tblNc[[#This Row],[Ncx]]*0.9</f>
        <v>3443195.2093336741</v>
      </c>
      <c r="AK43" s="53">
        <f>(tblNc[[#This Row],[lex]]/tblNc[[#This Row],[ry]])*(SQRT(tblNc[[#This Row],[kf]]))*SQRT((tblNc[[#This Row],[fy]]/tblNc[[#This Row],[fref]]))</f>
        <v>207.96446706818756</v>
      </c>
      <c r="AL43" s="53">
        <f>(2100*(tblNc[[#This Row],[λny]]-13.5))/((tblNc[[#This Row],[λny]]^2)-(15.3*tblNc[[#This Row],[λny]])+2050)</f>
        <v>9.696128856428091</v>
      </c>
      <c r="AM43" s="53">
        <f>tblNc[[#This Row],[λny]]+tblNc[[#This Row],[αay]]*tblNc[[#This Row],[αb]]</f>
        <v>207.96446706818756</v>
      </c>
      <c r="AN43" s="53">
        <f>MAX((0.00326*(tblNc[[#This Row],[λy]]-13.5)),0)</f>
        <v>0.63395416264229143</v>
      </c>
      <c r="AO43" s="53">
        <f>((tblNc[[#This Row],[λy]]/90)^2+1+tblNc[[#This Row],[ηy]])/(2*(tblNc[[#This Row],[λy]]/90)^2)</f>
        <v>0.65300887335246749</v>
      </c>
      <c r="AP43" s="53">
        <f>tblNc[[#This Row],[ξy]]*(1-SQRT(1-(90/(tblNc[[#This Row],[ξy]]*tblNc[[#This Row],[λy]]))^2))</f>
        <v>0.16399560958991305</v>
      </c>
      <c r="AQ43" s="69">
        <f>tblNc[[#This Row],[αcy]]*tblNc[[#This Row],[Ns]]</f>
        <v>697965.31441466999</v>
      </c>
      <c r="AR43" s="69">
        <f>tblNc[[#This Row],[Ncy]]*0.9</f>
        <v>628168.78297320299</v>
      </c>
      <c r="AS43" s="69">
        <f>MIN(tblNc[[#This Row],[Ncy]],tblNc[[#This Row],[Ncx]],tblNc[[#This Row],[Ns]])</f>
        <v>697965.31441466999</v>
      </c>
      <c r="AT43" s="69">
        <f>tblNc[[#This Row],[Ncflex]]*0.9</f>
        <v>628168.78297320299</v>
      </c>
      <c r="AU43" s="69">
        <f t="array" ref="AU43">INDEX(tblfocDblSym[Nc],MATCH(tblNc[[#This Row],[Section]]&amp;tblNc[[#This Row],[lex]],tblfocDblSym[Section]&amp;tblfocDblSym[lex],0))</f>
        <v>1933264.3390188324</v>
      </c>
      <c r="AV43" s="69" t="e">
        <f t="array" ref="AV43">INDEX(tblfocSglSym[Nc],MATCH(tblNc[[#This Row],[Section]]&amp;tblNc[[#This Row],[lex]],tblfocSglSym[Section]&amp;tblfocSglSym[lex],0))</f>
        <v>#N/A</v>
      </c>
      <c r="AW43" s="69">
        <f t="array" ref="AW43">INDEX(tblfocunsym[Nc],MATCH(tblNc[[#This Row],[Section]]&amp;tblNc[[#This Row],[lex]],tblfocunsym[Section]&amp;tblfocunsym[lex],0))</f>
        <v>550243.85488429968</v>
      </c>
      <c r="AX43" s="69">
        <f>IF(tblNc[[#This Row],[Axis]]="['x', 'y']",tblNc[[#This Row],[Ncz_dbl]],IF(tblNc[[#This Row],[Axis]]="[]",tblNc[[#This Row],[Ncz_un]],tblNc[[#This Row],[Ncz_sngl]]))</f>
        <v>1933264.3390188324</v>
      </c>
      <c r="AY43" s="69">
        <f>MIN(tblNc[[#This Row],[Ncz_base]],tblNc[[#This Row],[Ns]])</f>
        <v>1933264.3390188324</v>
      </c>
      <c r="AZ43" s="69">
        <f>tblNc[[#This Row],[Ncz]]*0.9</f>
        <v>1739937.9051169492</v>
      </c>
      <c r="BA43" s="69">
        <f>MIN(tblNc[[#This Row],[Ncflex]],tblNc[[#This Row],[Ncz]])</f>
        <v>697965.31441466999</v>
      </c>
      <c r="BB43" s="69">
        <f>tblNc[[#This Row],[Nc]]*0.9</f>
        <v>628168.78297320299</v>
      </c>
    </row>
    <row r="44" spans="2:54" x14ac:dyDescent="0.2">
      <c r="B44" s="4" t="s">
        <v>7</v>
      </c>
      <c r="C44" s="55">
        <v>1.6E-2</v>
      </c>
      <c r="D44" s="9">
        <v>0.95</v>
      </c>
      <c r="E44" s="57">
        <v>40</v>
      </c>
      <c r="F44" s="9">
        <v>0.125</v>
      </c>
      <c r="G44" s="9">
        <v>0.125</v>
      </c>
      <c r="H44" s="9">
        <v>0.125</v>
      </c>
      <c r="I44" s="60">
        <v>0.249</v>
      </c>
      <c r="J44" s="60">
        <v>4.9599999999999998E-2</v>
      </c>
      <c r="K44" s="59">
        <v>0</v>
      </c>
      <c r="L44" s="59">
        <v>0</v>
      </c>
      <c r="M44" s="61">
        <v>1.5600000000000001E-6</v>
      </c>
      <c r="N44" s="63">
        <v>3.45E-6</v>
      </c>
      <c r="O44" s="65">
        <v>280000000</v>
      </c>
      <c r="P44" s="65">
        <v>200000000000</v>
      </c>
      <c r="Q44" s="65">
        <v>80000000000</v>
      </c>
      <c r="R44" s="65">
        <v>250000000</v>
      </c>
      <c r="S44" s="7">
        <v>0</v>
      </c>
      <c r="T44" s="7" t="s">
        <v>48</v>
      </c>
      <c r="U44" s="7" t="b">
        <v>1</v>
      </c>
      <c r="V44" s="7" t="b">
        <v>1</v>
      </c>
      <c r="W44" s="68">
        <f>tblNc[[#This Row],[An]]*tblNc[[#This Row],[kf]]</f>
        <v>1.52E-2</v>
      </c>
      <c r="X44" s="70">
        <f>tblNc[[#This Row],[Ae]]*tblNc[[#This Row],[fy]]</f>
        <v>4256000</v>
      </c>
      <c r="Y44" s="70">
        <f>tblNc[[#This Row],[Ns]]*0.9</f>
        <v>3830400</v>
      </c>
      <c r="Z44" s="72">
        <f>tblNc[[#This Row],[l]]*tblNc[[#This Row],[kex]]</f>
        <v>5</v>
      </c>
      <c r="AA44" s="72">
        <f>tblNc[[#This Row],[l]]*tblNc[[#This Row],[key]]</f>
        <v>5</v>
      </c>
      <c r="AB44" s="72">
        <f>tblNc[[#This Row],[kez]]*tblNc[[#This Row],[l]]</f>
        <v>5</v>
      </c>
      <c r="AC44" s="52">
        <f>(tblNc[[#This Row],[lex]]/tblNc[[#This Row],[rx]])*(SQRT(tblNc[[#This Row],[kf]]))*SQRT((tblNc[[#This Row],[fy]]/tblNc[[#This Row],[fref]]))</f>
        <v>20.712926840526311</v>
      </c>
      <c r="AD44" s="52">
        <f>(2100*(tblNc[[#This Row],[λnx]]-13.5))/((tblNc[[#This Row],[λnx]]^2)-(15.3*tblNc[[#This Row],[λnx]])+2050)</f>
        <v>7.0056997185814902</v>
      </c>
      <c r="AE44" s="52">
        <f>tblNc[[#This Row],[λnx]]+tblNc[[#This Row],[αax]]*tblNc[[#This Row],[αb]]</f>
        <v>20.712926840526311</v>
      </c>
      <c r="AF44" s="52">
        <f>MAX((0.00326*(tblNc[[#This Row],[λx]]-13.5)),0)</f>
        <v>2.3514141500115774E-2</v>
      </c>
      <c r="AG44" s="52">
        <f>((tblNc[[#This Row],[λx]]/90)^2+1+tblNc[[#This Row],[ηx]])/(2*(tblNc[[#This Row],[λx]]/90)^2)</f>
        <v>10.161975419659852</v>
      </c>
      <c r="AH44" s="53">
        <f>tblNc[[#This Row],[ξx]]*(1-SQRT(1-(90/(tblNc[[#This Row],[ξx]]*tblNc[[#This Row],[λx]]))^2))</f>
        <v>0.9758042547853083</v>
      </c>
      <c r="AI44" s="69">
        <f>tblNc[[#This Row],[αcx]]*tblNc[[#This Row],[Ns]]</f>
        <v>4153022.9083662722</v>
      </c>
      <c r="AJ44" s="69">
        <f>tblNc[[#This Row],[Ncx]]*0.9</f>
        <v>3737720.6175296451</v>
      </c>
      <c r="AK44" s="53">
        <f>(tblNc[[#This Row],[lex]]/tblNc[[#This Row],[ry]])*(SQRT(tblNc[[#This Row],[kf]]))*SQRT((tblNc[[#This Row],[fy]]/tblNc[[#This Row],[fref]]))</f>
        <v>103.98223353409378</v>
      </c>
      <c r="AL44" s="53">
        <f>(2100*(tblNc[[#This Row],[λny]]-13.5))/((tblNc[[#This Row],[λny]]^2)-(15.3*tblNc[[#This Row],[λny]])+2050)</f>
        <v>16.857984182514624</v>
      </c>
      <c r="AM44" s="53">
        <f>tblNc[[#This Row],[λny]]+tblNc[[#This Row],[αay]]*tblNc[[#This Row],[αb]]</f>
        <v>103.98223353409378</v>
      </c>
      <c r="AN44" s="53">
        <f>MAX((0.00326*(tblNc[[#This Row],[λy]]-13.5)),0)</f>
        <v>0.29497208132114572</v>
      </c>
      <c r="AO44" s="53">
        <f>((tblNc[[#This Row],[λy]]/90)^2+1+tblNc[[#This Row],[ηy]])/(2*(tblNc[[#This Row],[λy]]/90)^2)</f>
        <v>0.98506187925230326</v>
      </c>
      <c r="AP44" s="53">
        <f>tblNc[[#This Row],[ξy]]*(1-SQRT(1-(90/(tblNc[[#This Row],[ξy]]*tblNc[[#This Row],[λy]]))^2))</f>
        <v>0.5147423710553054</v>
      </c>
      <c r="AQ44" s="69">
        <f>tblNc[[#This Row],[αcy]]*tblNc[[#This Row],[Ns]]</f>
        <v>2190743.5312113799</v>
      </c>
      <c r="AR44" s="69">
        <f>tblNc[[#This Row],[Ncy]]*0.9</f>
        <v>1971669.178090242</v>
      </c>
      <c r="AS44" s="69">
        <f>MIN(tblNc[[#This Row],[Ncy]],tblNc[[#This Row],[Ncx]],tblNc[[#This Row],[Ns]])</f>
        <v>2190743.5312113799</v>
      </c>
      <c r="AT44" s="69">
        <f>tblNc[[#This Row],[Ncflex]]*0.9</f>
        <v>1971669.178090242</v>
      </c>
      <c r="AU44" s="69">
        <f t="array" ref="AU44">INDEX(tblfocDblSym[Nc],MATCH(tblNc[[#This Row],[Section]]&amp;tblNc[[#This Row],[lex]],tblfocDblSym[Section]&amp;tblfocDblSym[lex],0))</f>
        <v>2668463.3720975625</v>
      </c>
      <c r="AV44" s="69" t="e">
        <f t="array" ref="AV44">INDEX(tblfocSglSym[Nc],MATCH(tblNc[[#This Row],[Section]]&amp;tblNc[[#This Row],[lex]],tblfocSglSym[Section]&amp;tblfocSglSym[lex],0))</f>
        <v>#N/A</v>
      </c>
      <c r="AW44" s="69">
        <f t="array" ref="AW44">INDEX(tblfocunsym[Nc],MATCH(tblNc[[#This Row],[Section]]&amp;tblNc[[#This Row],[lex]],tblfocunsym[Section]&amp;tblfocunsym[lex],0))</f>
        <v>1978786.8856566397</v>
      </c>
      <c r="AX44" s="69">
        <f>IF(tblNc[[#This Row],[Axis]]="['x', 'y']",tblNc[[#This Row],[Ncz_dbl]],IF(tblNc[[#This Row],[Axis]]="[]",tblNc[[#This Row],[Ncz_un]],tblNc[[#This Row],[Ncz_sngl]]))</f>
        <v>2668463.3720975625</v>
      </c>
      <c r="AY44" s="69">
        <f>MIN(tblNc[[#This Row],[Ncz_base]],tblNc[[#This Row],[Ns]])</f>
        <v>2668463.3720975625</v>
      </c>
      <c r="AZ44" s="69">
        <f>tblNc[[#This Row],[Ncz]]*0.9</f>
        <v>2401617.0348878065</v>
      </c>
      <c r="BA44" s="69">
        <f>MIN(tblNc[[#This Row],[Ncflex]],tblNc[[#This Row],[Ncz]])</f>
        <v>2190743.5312113799</v>
      </c>
      <c r="BB44" s="69">
        <f>tblNc[[#This Row],[Nc]]*0.9</f>
        <v>1971669.178090242</v>
      </c>
    </row>
    <row r="45" spans="2:54" x14ac:dyDescent="0.2">
      <c r="B45" s="4" t="s">
        <v>7</v>
      </c>
      <c r="C45" s="55">
        <v>1.6E-2</v>
      </c>
      <c r="D45" s="9">
        <v>0.95</v>
      </c>
      <c r="E45" s="57">
        <v>40</v>
      </c>
      <c r="F45" s="9">
        <v>2.5000000000000001E-2</v>
      </c>
      <c r="G45" s="9">
        <v>2.5000000000000001E-2</v>
      </c>
      <c r="H45" s="9">
        <v>2.5000000000000001E-2</v>
      </c>
      <c r="I45" s="60">
        <v>0.249</v>
      </c>
      <c r="J45" s="60">
        <v>4.9599999999999998E-2</v>
      </c>
      <c r="K45" s="59">
        <v>0</v>
      </c>
      <c r="L45" s="59">
        <v>0</v>
      </c>
      <c r="M45" s="61">
        <v>1.5600000000000001E-6</v>
      </c>
      <c r="N45" s="63">
        <v>3.45E-6</v>
      </c>
      <c r="O45" s="65">
        <v>280000000</v>
      </c>
      <c r="P45" s="65">
        <v>200000000000</v>
      </c>
      <c r="Q45" s="65">
        <v>80000000000</v>
      </c>
      <c r="R45" s="65">
        <v>250000000</v>
      </c>
      <c r="S45" s="7">
        <v>0</v>
      </c>
      <c r="T45" s="7" t="s">
        <v>48</v>
      </c>
      <c r="U45" s="7" t="b">
        <v>1</v>
      </c>
      <c r="V45" s="7" t="b">
        <v>1</v>
      </c>
      <c r="W45" s="68">
        <f>tblNc[[#This Row],[An]]*tblNc[[#This Row],[kf]]</f>
        <v>1.52E-2</v>
      </c>
      <c r="X45" s="70">
        <f>tblNc[[#This Row],[Ae]]*tblNc[[#This Row],[fy]]</f>
        <v>4256000</v>
      </c>
      <c r="Y45" s="70">
        <f>tblNc[[#This Row],[Ns]]*0.9</f>
        <v>3830400</v>
      </c>
      <c r="Z45" s="72">
        <f>tblNc[[#This Row],[l]]*tblNc[[#This Row],[kex]]</f>
        <v>1</v>
      </c>
      <c r="AA45" s="72">
        <f>tblNc[[#This Row],[l]]*tblNc[[#This Row],[key]]</f>
        <v>1</v>
      </c>
      <c r="AB45" s="72">
        <f>tblNc[[#This Row],[kez]]*tblNc[[#This Row],[l]]</f>
        <v>1</v>
      </c>
      <c r="AC45" s="52">
        <f>(tblNc[[#This Row],[lex]]/tblNc[[#This Row],[rx]])*(SQRT(tblNc[[#This Row],[kf]]))*SQRT((tblNc[[#This Row],[fy]]/tblNc[[#This Row],[fref]]))</f>
        <v>4.1425853681052622</v>
      </c>
      <c r="AD45" s="52">
        <f>(2100*(tblNc[[#This Row],[λnx]]-13.5))/((tblNc[[#This Row],[λnx]]^2)-(15.3*tblNc[[#This Row],[λnx]])+2050)</f>
        <v>-9.8067532603993364</v>
      </c>
      <c r="AE45" s="52">
        <f>tblNc[[#This Row],[λnx]]+tblNc[[#This Row],[αax]]*tblNc[[#This Row],[αb]]</f>
        <v>4.1425853681052622</v>
      </c>
      <c r="AF45" s="52">
        <f>MAX((0.00326*(tblNc[[#This Row],[λx]]-13.5)),0)</f>
        <v>0</v>
      </c>
      <c r="AG45" s="52">
        <f>((tblNc[[#This Row],[λx]]/90)^2+1+tblNc[[#This Row],[ηx]])/(2*(tblNc[[#This Row],[λx]]/90)^2)</f>
        <v>236.50004699248115</v>
      </c>
      <c r="AH45" s="53">
        <f>tblNc[[#This Row],[ξx]]*(1-SQRT(1-(90/(tblNc[[#This Row],[ξx]]*tblNc[[#This Row],[λx]]))^2))</f>
        <v>1.0000000000000164</v>
      </c>
      <c r="AI45" s="69">
        <f>tblNc[[#This Row],[αcx]]*tblNc[[#This Row],[Ns]]</f>
        <v>4256000.0000000698</v>
      </c>
      <c r="AJ45" s="69">
        <f>tblNc[[#This Row],[Ncx]]*0.9</f>
        <v>3830400.0000000629</v>
      </c>
      <c r="AK45" s="53">
        <f>(tblNc[[#This Row],[lex]]/tblNc[[#This Row],[ry]])*(SQRT(tblNc[[#This Row],[kf]]))*SQRT((tblNc[[#This Row],[fy]]/tblNc[[#This Row],[fref]]))</f>
        <v>20.796446706818756</v>
      </c>
      <c r="AL45" s="53">
        <f>(2100*(tblNc[[#This Row],[λny]]-13.5))/((tblNc[[#This Row],[λny]]^2)-(15.3*tblNc[[#This Row],[λny]])+2050)</f>
        <v>7.0796523747227109</v>
      </c>
      <c r="AM45" s="53">
        <f>tblNc[[#This Row],[λny]]+tblNc[[#This Row],[αay]]*tblNc[[#This Row],[αb]]</f>
        <v>20.796446706818756</v>
      </c>
      <c r="AN45" s="53">
        <f>MAX((0.00326*(tblNc[[#This Row],[λy]]-13.5)),0)</f>
        <v>2.3786416264229143E-2</v>
      </c>
      <c r="AO45" s="53">
        <f>((tblNc[[#This Row],[λy]]/90)^2+1+tblNc[[#This Row],[ηy]])/(2*(tblNc[[#This Row],[λy]]/90)^2)</f>
        <v>10.087074698156252</v>
      </c>
      <c r="AP45" s="53">
        <f>tblNc[[#This Row],[ξy]]*(1-SQRT(1-(90/(tblNc[[#This Row],[ξy]]*tblNc[[#This Row],[λy]]))^2))</f>
        <v>0.97552080696685095</v>
      </c>
      <c r="AQ45" s="69">
        <f>tblNc[[#This Row],[αcy]]*tblNc[[#This Row],[Ns]]</f>
        <v>4151816.5544509175</v>
      </c>
      <c r="AR45" s="69">
        <f>tblNc[[#This Row],[Ncy]]*0.9</f>
        <v>3736634.8990058256</v>
      </c>
      <c r="AS45" s="69">
        <f>MIN(tblNc[[#This Row],[Ncy]],tblNc[[#This Row],[Ncx]],tblNc[[#This Row],[Ns]])</f>
        <v>4151816.5544509175</v>
      </c>
      <c r="AT45" s="69">
        <f>tblNc[[#This Row],[Ncflex]]*0.9</f>
        <v>3736634.8990058256</v>
      </c>
      <c r="AU45" s="69">
        <f t="array" ref="AU45">INDEX(tblfocDblSym[Nc],MATCH(tblNc[[#This Row],[Section]]&amp;tblNc[[#This Row],[lex]],tblfocDblSym[Section]&amp;tblfocDblSym[lex],0))</f>
        <v>3555092.8857029993</v>
      </c>
      <c r="AV45" s="69" t="e">
        <f t="array" ref="AV45">INDEX(tblfocSglSym[Nc],MATCH(tblNc[[#This Row],[Section]]&amp;tblNc[[#This Row],[lex]],tblfocSglSym[Section]&amp;tblfocSglSym[lex],0))</f>
        <v>#N/A</v>
      </c>
      <c r="AW45" s="69">
        <f t="array" ref="AW45">INDEX(tblfocunsym[Nc],MATCH(tblNc[[#This Row],[Section]]&amp;tblNc[[#This Row],[lex]],tblfocunsym[Section]&amp;tblfocunsym[lex],0))</f>
        <v>3531341.2227037079</v>
      </c>
      <c r="AX45" s="69">
        <f>IF(tblNc[[#This Row],[Axis]]="['x', 'y']",tblNc[[#This Row],[Ncz_dbl]],IF(tblNc[[#This Row],[Axis]]="[]",tblNc[[#This Row],[Ncz_un]],tblNc[[#This Row],[Ncz_sngl]]))</f>
        <v>3555092.8857029993</v>
      </c>
      <c r="AY45" s="69">
        <f>MIN(tblNc[[#This Row],[Ncz_base]],tblNc[[#This Row],[Ns]])</f>
        <v>3555092.8857029993</v>
      </c>
      <c r="AZ45" s="69">
        <f>tblNc[[#This Row],[Ncz]]*0.9</f>
        <v>3199583.5971326996</v>
      </c>
      <c r="BA45" s="69">
        <f>MIN(tblNc[[#This Row],[Ncflex]],tblNc[[#This Row],[Ncz]])</f>
        <v>3555092.8857029993</v>
      </c>
      <c r="BB45" s="69">
        <f>tblNc[[#This Row],[Nc]]*0.9</f>
        <v>3199583.5971326996</v>
      </c>
    </row>
    <row r="46" spans="2:54" x14ac:dyDescent="0.2">
      <c r="B46" s="4" t="s">
        <v>6</v>
      </c>
      <c r="C46" s="55">
        <v>7.54E-4</v>
      </c>
      <c r="D46" s="9">
        <v>1</v>
      </c>
      <c r="E46" s="57">
        <v>10</v>
      </c>
      <c r="F46" s="9">
        <v>1</v>
      </c>
      <c r="G46" s="9">
        <v>1</v>
      </c>
      <c r="H46" s="9">
        <v>1</v>
      </c>
      <c r="I46" s="60">
        <v>3.0099999999999998E-2</v>
      </c>
      <c r="J46" s="60">
        <v>1.26E-2</v>
      </c>
      <c r="K46" s="59">
        <v>2.7199999999999998E-2</v>
      </c>
      <c r="L46" s="59">
        <v>0</v>
      </c>
      <c r="M46" s="62">
        <v>8.1300000000000007E-9</v>
      </c>
      <c r="N46" s="64">
        <v>1.06E-10</v>
      </c>
      <c r="O46" s="65">
        <v>320000000</v>
      </c>
      <c r="P46" s="65">
        <v>200000000000</v>
      </c>
      <c r="Q46" s="65">
        <v>80000000000</v>
      </c>
      <c r="R46" s="65">
        <v>250000000</v>
      </c>
      <c r="S46" s="8">
        <v>0.5</v>
      </c>
      <c r="T46" s="8" t="s">
        <v>49</v>
      </c>
      <c r="U46" s="7" t="b">
        <v>1</v>
      </c>
      <c r="V46" s="7" t="b">
        <v>1</v>
      </c>
      <c r="W46" s="68">
        <f>tblNc[[#This Row],[An]]*tblNc[[#This Row],[kf]]</f>
        <v>7.54E-4</v>
      </c>
      <c r="X46" s="69">
        <f>tblNc[[#This Row],[Ae]]*tblNc[[#This Row],[fy]]</f>
        <v>241280</v>
      </c>
      <c r="Y46" s="69">
        <f>tblNc[[#This Row],[Ns]]*0.9</f>
        <v>217152</v>
      </c>
      <c r="Z46" s="72">
        <f>tblNc[[#This Row],[l]]*tblNc[[#This Row],[kex]]</f>
        <v>10</v>
      </c>
      <c r="AA46" s="72">
        <f>tblNc[[#This Row],[l]]*tblNc[[#This Row],[key]]</f>
        <v>10</v>
      </c>
      <c r="AB46" s="72">
        <f>tblNc[[#This Row],[kez]]*tblNc[[#This Row],[l]]</f>
        <v>10</v>
      </c>
      <c r="AC46" s="52">
        <f>(tblNc[[#This Row],[lex]]/tblNc[[#This Row],[rx]])*(SQRT(tblNc[[#This Row],[kf]]))*SQRT((tblNc[[#This Row],[fy]]/tblNc[[#This Row],[fref]]))</f>
        <v>375.87071425198542</v>
      </c>
      <c r="AD46" s="52">
        <f>(2100*(tblNc[[#This Row],[λnx]]-13.5))/((tblNc[[#This Row],[λnx]]^2)-(15.3*tblNc[[#This Row],[λnx]])+2050)</f>
        <v>5.5312524919238486</v>
      </c>
      <c r="AE46" s="52">
        <f>tblNc[[#This Row],[λnx]]+tblNc[[#This Row],[αax]]*tblNc[[#This Row],[αb]]</f>
        <v>378.63634049794734</v>
      </c>
      <c r="AF46" s="52">
        <f>MAX((0.00326*(tblNc[[#This Row],[λx]]-13.5)),0)</f>
        <v>1.1903444700233083</v>
      </c>
      <c r="AG46" s="52">
        <f>((tblNc[[#This Row],[λx]]/90)^2+1+tblNc[[#This Row],[ηx]])/(2*(tblNc[[#This Row],[λx]]/90)^2)</f>
        <v>0.5618760890415001</v>
      </c>
      <c r="AH46" s="53">
        <f>tblNc[[#This Row],[ξx]]*(1-SQRT(1-(90/(tblNc[[#This Row],[ξx]]*tblNc[[#This Row],[λx]]))^2))</f>
        <v>5.2753527754907006E-2</v>
      </c>
      <c r="AI46" s="69">
        <f>tblNc[[#This Row],[αcx]]*tblNc[[#This Row],[Ns]]</f>
        <v>12728.371176703962</v>
      </c>
      <c r="AJ46" s="69">
        <f>tblNc[[#This Row],[Ncx]]*0.9</f>
        <v>11455.534059033565</v>
      </c>
      <c r="AK46" s="53">
        <f>(tblNc[[#This Row],[lex]]/tblNc[[#This Row],[ry]])*(SQRT(tblNc[[#This Row],[kf]]))*SQRT((tblNc[[#This Row],[fy]]/tblNc[[#This Row],[fref]]))</f>
        <v>897.91337293529841</v>
      </c>
      <c r="AL46" s="53">
        <f>(2100*(tblNc[[#This Row],[λny]]-13.5))/((tblNc[[#This Row],[λny]]^2)-(15.3*tblNc[[#This Row],[λny]])+2050)</f>
        <v>2.3374789360568426</v>
      </c>
      <c r="AM46" s="53">
        <f>tblNc[[#This Row],[λny]]+tblNc[[#This Row],[αay]]*tblNc[[#This Row],[αb]]</f>
        <v>899.08211240332685</v>
      </c>
      <c r="AN46" s="53">
        <f>MAX((0.00326*(tblNc[[#This Row],[λy]]-13.5)),0)</f>
        <v>2.8869976864348454</v>
      </c>
      <c r="AO46" s="53">
        <f>((tblNc[[#This Row],[λy]]/90)^2+1+tblNc[[#This Row],[ηy]])/(2*(tblNc[[#This Row],[λy]]/90)^2)</f>
        <v>0.51947469168220894</v>
      </c>
      <c r="AP46" s="53">
        <f>tblNc[[#This Row],[ξy]]*(1-SQRT(1-(90/(tblNc[[#This Row],[ξy]]*tblNc[[#This Row],[λy]]))^2))</f>
        <v>9.7360071100707404E-3</v>
      </c>
      <c r="AQ46" s="69">
        <f>tblNc[[#This Row],[αcy]]*tblNc[[#This Row],[Ns]]</f>
        <v>2349.1037955178681</v>
      </c>
      <c r="AR46" s="69">
        <f>tblNc[[#This Row],[Ncy]]*0.9</f>
        <v>2114.1934159660814</v>
      </c>
      <c r="AS46" s="69">
        <f>MIN(tblNc[[#This Row],[Ncy]],tblNc[[#This Row],[Ncx]],tblNc[[#This Row],[Ns]])</f>
        <v>2349.1037955178681</v>
      </c>
      <c r="AT46" s="69">
        <f>tblNc[[#This Row],[Ncflex]]*0.9</f>
        <v>2114.1934159660814</v>
      </c>
      <c r="AU46" s="69" t="e">
        <f t="array" ref="AU46">INDEX(tblfocDblSym[Nc],MATCH(tblNc[[#This Row],[Section]]&amp;tblNc[[#This Row],[lex]],tblfocDblSym[Section]&amp;tblfocDblSym[lex],0))</f>
        <v>#N/A</v>
      </c>
      <c r="AV46" s="69">
        <f t="array" ref="AV46">INDEX(tblfocSglSym[Nc],MATCH(tblNc[[#This Row],[Section]]&amp;tblNc[[#This Row],[lex]],tblfocSglSym[Section]&amp;tblfocSglSym[lex],0))</f>
        <v>9897.3252040653606</v>
      </c>
      <c r="AW46" s="69">
        <f t="array" ref="AW46">INDEX(tblfocunsym[Nc],MATCH(tblNc[[#This Row],[Section]]&amp;tblNc[[#This Row],[lex]],tblfocunsym[Section]&amp;tblfocunsym[lex],0))</f>
        <v>1760.4030241003661</v>
      </c>
      <c r="AX46" s="69">
        <f>IF(tblNc[[#This Row],[Axis]]="['x', 'y']",tblNc[[#This Row],[Ncz_dbl]],IF(tblNc[[#This Row],[Axis]]="[]",tblNc[[#This Row],[Ncz_un]],tblNc[[#This Row],[Ncz_sngl]]))</f>
        <v>9897.3252040653606</v>
      </c>
      <c r="AY46" s="69">
        <f>MIN(tblNc[[#This Row],[Ncz_base]],tblNc[[#This Row],[Ns]])</f>
        <v>9897.3252040653606</v>
      </c>
      <c r="AZ46" s="69">
        <f>tblNc[[#This Row],[Ncz]]*0.9</f>
        <v>8907.5926836588242</v>
      </c>
      <c r="BA46" s="69">
        <f>MIN(tblNc[[#This Row],[Ncflex]],tblNc[[#This Row],[Ncz]])</f>
        <v>2349.1037955178681</v>
      </c>
      <c r="BB46" s="69">
        <f>tblNc[[#This Row],[Nc]]*0.9</f>
        <v>2114.1934159660814</v>
      </c>
    </row>
    <row r="47" spans="2:54" x14ac:dyDescent="0.2">
      <c r="B47" s="4" t="s">
        <v>6</v>
      </c>
      <c r="C47" s="55">
        <v>7.54E-4</v>
      </c>
      <c r="D47" s="9">
        <v>1</v>
      </c>
      <c r="E47" s="57">
        <v>10</v>
      </c>
      <c r="F47" s="9">
        <v>0.5</v>
      </c>
      <c r="G47" s="9">
        <v>0.5</v>
      </c>
      <c r="H47" s="9">
        <v>0.5</v>
      </c>
      <c r="I47" s="60">
        <v>3.0099999999999998E-2</v>
      </c>
      <c r="J47" s="60">
        <v>1.26E-2</v>
      </c>
      <c r="K47" s="59">
        <v>2.7199999999999998E-2</v>
      </c>
      <c r="L47" s="59">
        <v>0</v>
      </c>
      <c r="M47" s="62">
        <v>8.1300000000000007E-9</v>
      </c>
      <c r="N47" s="64">
        <v>1.06E-10</v>
      </c>
      <c r="O47" s="65">
        <v>320000000</v>
      </c>
      <c r="P47" s="65">
        <v>200000000000</v>
      </c>
      <c r="Q47" s="65">
        <v>80000000000</v>
      </c>
      <c r="R47" s="65">
        <v>250000000</v>
      </c>
      <c r="S47" s="8">
        <v>0.5</v>
      </c>
      <c r="T47" s="8" t="s">
        <v>49</v>
      </c>
      <c r="U47" s="7" t="b">
        <v>1</v>
      </c>
      <c r="V47" s="7" t="b">
        <v>1</v>
      </c>
      <c r="W47" s="68">
        <f>tblNc[[#This Row],[An]]*tblNc[[#This Row],[kf]]</f>
        <v>7.54E-4</v>
      </c>
      <c r="X47" s="69">
        <f>tblNc[[#This Row],[Ae]]*tblNc[[#This Row],[fy]]</f>
        <v>241280</v>
      </c>
      <c r="Y47" s="69">
        <f>tblNc[[#This Row],[Ns]]*0.9</f>
        <v>217152</v>
      </c>
      <c r="Z47" s="72">
        <f>tblNc[[#This Row],[l]]*tblNc[[#This Row],[kex]]</f>
        <v>5</v>
      </c>
      <c r="AA47" s="72">
        <f>tblNc[[#This Row],[l]]*tblNc[[#This Row],[key]]</f>
        <v>5</v>
      </c>
      <c r="AB47" s="72">
        <f>tblNc[[#This Row],[kez]]*tblNc[[#This Row],[l]]</f>
        <v>5</v>
      </c>
      <c r="AC47" s="53">
        <f>(tblNc[[#This Row],[lex]]/tblNc[[#This Row],[rx]])*(SQRT(tblNc[[#This Row],[kf]]))*SQRT((tblNc[[#This Row],[fy]]/tblNc[[#This Row],[fref]]))</f>
        <v>187.93535712599271</v>
      </c>
      <c r="AD47" s="53">
        <f>(2100*(tblNc[[#This Row],[λnx]]-13.5))/((tblNc[[#This Row],[λnx]]^2)-(15.3*tblNc[[#This Row],[λnx]])+2050)</f>
        <v>10.619562732751207</v>
      </c>
      <c r="AE47" s="53">
        <f>tblNc[[#This Row],[λnx]]+tblNc[[#This Row],[αax]]*tblNc[[#This Row],[αb]]</f>
        <v>193.24513849236831</v>
      </c>
      <c r="AF47" s="53">
        <f>MAX((0.00326*(tblNc[[#This Row],[λx]]-13.5)),0)</f>
        <v>0.58596915148512063</v>
      </c>
      <c r="AG47" s="53">
        <f>((tblNc[[#This Row],[λx]]/90)^2+1+tblNc[[#This Row],[ηx]])/(2*(tblNc[[#This Row],[λx]]/90)^2)</f>
        <v>0.6720016466708193</v>
      </c>
      <c r="AH47" s="53">
        <f>tblNc[[#This Row],[ξx]]*(1-SQRT(1-(90/(tblNc[[#This Row],[ξx]]*tblNc[[#This Row],[λx]]))^2))</f>
        <v>0.18756170046384979</v>
      </c>
      <c r="AI47" s="69">
        <f>tblNc[[#This Row],[αcx]]*tblNc[[#This Row],[Ns]]</f>
        <v>45254.887087917676</v>
      </c>
      <c r="AJ47" s="69">
        <f>tblNc[[#This Row],[Ncx]]*0.9</f>
        <v>40729.398379125909</v>
      </c>
      <c r="AK47" s="53">
        <f>(tblNc[[#This Row],[lex]]/tblNc[[#This Row],[ry]])*(SQRT(tblNc[[#This Row],[kf]]))*SQRT((tblNc[[#This Row],[fy]]/tblNc[[#This Row],[fref]]))</f>
        <v>448.95668646764921</v>
      </c>
      <c r="AL47" s="53">
        <f>(2100*(tblNc[[#This Row],[λny]]-13.5))/((tblNc[[#This Row],[λny]]^2)-(15.3*tblNc[[#This Row],[λny]])+2050)</f>
        <v>4.6479860568007867</v>
      </c>
      <c r="AM47" s="53">
        <f>tblNc[[#This Row],[λny]]+tblNc[[#This Row],[αay]]*tblNc[[#This Row],[αb]]</f>
        <v>451.28067949604957</v>
      </c>
      <c r="AN47" s="53">
        <f>MAX((0.00326*(tblNc[[#This Row],[λy]]-13.5)),0)</f>
        <v>1.4271650151571216</v>
      </c>
      <c r="AO47" s="53">
        <f>((tblNc[[#This Row],[λy]]/90)^2+1+tblNc[[#This Row],[ηy]])/(2*(tblNc[[#This Row],[λy]]/90)^2)</f>
        <v>0.54826817132461569</v>
      </c>
      <c r="AP47" s="53">
        <f>tblNc[[#This Row],[ξy]]*(1-SQRT(1-(90/(tblNc[[#This Row],[ξy]]*tblNc[[#This Row],[λy]]))^2))</f>
        <v>3.7558179467468464E-2</v>
      </c>
      <c r="AQ47" s="69">
        <f>tblNc[[#This Row],[αcy]]*tblNc[[#This Row],[Ns]]</f>
        <v>9062.0375419107913</v>
      </c>
      <c r="AR47" s="69">
        <f>tblNc[[#This Row],[Ncy]]*0.9</f>
        <v>8155.8337877197127</v>
      </c>
      <c r="AS47" s="69">
        <f>MIN(tblNc[[#This Row],[Ncy]],tblNc[[#This Row],[Ncx]],tblNc[[#This Row],[Ns]])</f>
        <v>9062.0375419107913</v>
      </c>
      <c r="AT47" s="69">
        <f>tblNc[[#This Row],[Ncflex]]*0.9</f>
        <v>8155.8337877197127</v>
      </c>
      <c r="AU47" s="69" t="e">
        <f t="array" ref="AU47">INDEX(tblfocDblSym[Nc],MATCH(tblNc[[#This Row],[Section]]&amp;tblNc[[#This Row],[lex]],tblfocDblSym[Section]&amp;tblfocDblSym[lex],0))</f>
        <v>#N/A</v>
      </c>
      <c r="AV47" s="69">
        <f t="array" ref="AV47">INDEX(tblfocSglSym[Nc],MATCH(tblNc[[#This Row],[Section]]&amp;tblNc[[#This Row],[lex]],tblfocSglSym[Section]&amp;tblfocSglSym[lex],0))</f>
        <v>37719.606369152796</v>
      </c>
      <c r="AW47" s="69">
        <f t="array" ref="AW47">INDEX(tblfocunsym[Nc],MATCH(tblNc[[#This Row],[Section]]&amp;tblNc[[#This Row],[lex]],tblfocunsym[Section]&amp;tblfocunsym[lex],0))</f>
        <v>7029.4163182340417</v>
      </c>
      <c r="AX47" s="69">
        <f>IF(tblNc[[#This Row],[Axis]]="['x', 'y']",tblNc[[#This Row],[Ncz_dbl]],IF(tblNc[[#This Row],[Axis]]="[]",tblNc[[#This Row],[Ncz_un]],tblNc[[#This Row],[Ncz_sngl]]))</f>
        <v>37719.606369152796</v>
      </c>
      <c r="AY47" s="69">
        <f>MIN(tblNc[[#This Row],[Ncz_base]],tblNc[[#This Row],[Ns]])</f>
        <v>37719.606369152796</v>
      </c>
      <c r="AZ47" s="69">
        <f>tblNc[[#This Row],[Ncz]]*0.9</f>
        <v>33947.645732237521</v>
      </c>
      <c r="BA47" s="69">
        <f>MIN(tblNc[[#This Row],[Ncflex]],tblNc[[#This Row],[Ncz]])</f>
        <v>9062.0375419107913</v>
      </c>
      <c r="BB47" s="69">
        <f>tblNc[[#This Row],[Nc]]*0.9</f>
        <v>8155.8337877197127</v>
      </c>
    </row>
    <row r="48" spans="2:54" x14ac:dyDescent="0.2">
      <c r="B48" s="4" t="s">
        <v>6</v>
      </c>
      <c r="C48" s="55">
        <v>7.54E-4</v>
      </c>
      <c r="D48" s="9">
        <v>1</v>
      </c>
      <c r="E48" s="57">
        <v>10</v>
      </c>
      <c r="F48" s="9">
        <v>0.1</v>
      </c>
      <c r="G48" s="9">
        <v>0.1</v>
      </c>
      <c r="H48" s="9">
        <v>0.1</v>
      </c>
      <c r="I48" s="60">
        <v>3.0099999999999998E-2</v>
      </c>
      <c r="J48" s="60">
        <v>1.26E-2</v>
      </c>
      <c r="K48" s="59">
        <v>2.7199999999999998E-2</v>
      </c>
      <c r="L48" s="59">
        <v>0</v>
      </c>
      <c r="M48" s="62">
        <v>8.1300000000000007E-9</v>
      </c>
      <c r="N48" s="64">
        <v>1.06E-10</v>
      </c>
      <c r="O48" s="65">
        <v>320000000</v>
      </c>
      <c r="P48" s="65">
        <v>200000000000</v>
      </c>
      <c r="Q48" s="65">
        <v>80000000000</v>
      </c>
      <c r="R48" s="65">
        <v>250000000</v>
      </c>
      <c r="S48" s="8">
        <v>0.5</v>
      </c>
      <c r="T48" s="8" t="s">
        <v>49</v>
      </c>
      <c r="U48" s="7" t="b">
        <v>1</v>
      </c>
      <c r="V48" s="7" t="b">
        <v>1</v>
      </c>
      <c r="W48" s="68">
        <f>tblNc[[#This Row],[An]]*tblNc[[#This Row],[kf]]</f>
        <v>7.54E-4</v>
      </c>
      <c r="X48" s="69">
        <f>tblNc[[#This Row],[Ae]]*tblNc[[#This Row],[fy]]</f>
        <v>241280</v>
      </c>
      <c r="Y48" s="69">
        <f>tblNc[[#This Row],[Ns]]*0.9</f>
        <v>217152</v>
      </c>
      <c r="Z48" s="72">
        <f>tblNc[[#This Row],[l]]*tblNc[[#This Row],[kex]]</f>
        <v>1</v>
      </c>
      <c r="AA48" s="72">
        <f>tblNc[[#This Row],[l]]*tblNc[[#This Row],[key]]</f>
        <v>1</v>
      </c>
      <c r="AB48" s="72">
        <f>tblNc[[#This Row],[kez]]*tblNc[[#This Row],[l]]</f>
        <v>1</v>
      </c>
      <c r="AC48" s="53">
        <f>(tblNc[[#This Row],[lex]]/tblNc[[#This Row],[rx]])*(SQRT(tblNc[[#This Row],[kf]]))*SQRT((tblNc[[#This Row],[fy]]/tblNc[[#This Row],[fref]]))</f>
        <v>37.587071425198538</v>
      </c>
      <c r="AD48" s="53">
        <f>(2100*(tblNc[[#This Row],[λnx]]-13.5))/((tblNc[[#This Row],[λnx]]^2)-(15.3*tblNc[[#This Row],[λnx]])+2050)</f>
        <v>17.516622000505507</v>
      </c>
      <c r="AE48" s="53">
        <f>tblNc[[#This Row],[λnx]]+tblNc[[#This Row],[αax]]*tblNc[[#This Row],[αb]]</f>
        <v>46.345382425451291</v>
      </c>
      <c r="AF48" s="53">
        <f>MAX((0.00326*(tblNc[[#This Row],[λx]]-13.5)),0)</f>
        <v>0.10707594670697121</v>
      </c>
      <c r="AG48" s="53">
        <f>((tblNc[[#This Row],[λx]]/90)^2+1+tblNc[[#This Row],[ηx]])/(2*(tblNc[[#This Row],[λx]]/90)^2)</f>
        <v>2.5874664199175159</v>
      </c>
      <c r="AH48" s="53">
        <f>tblNc[[#This Row],[ξx]]*(1-SQRT(1-(90/(tblNc[[#This Row],[ξx]]*tblNc[[#This Row],[λx]]))^2))</f>
        <v>0.87754025670466207</v>
      </c>
      <c r="AI48" s="69">
        <f>tblNc[[#This Row],[αcx]]*tblNc[[#This Row],[Ns]]</f>
        <v>211732.91313770087</v>
      </c>
      <c r="AJ48" s="69">
        <f>tblNc[[#This Row],[Ncx]]*0.9</f>
        <v>190559.62182393079</v>
      </c>
      <c r="AK48" s="53">
        <f>(tblNc[[#This Row],[lex]]/tblNc[[#This Row],[ry]])*(SQRT(tblNc[[#This Row],[kf]]))*SQRT((tblNc[[#This Row],[fy]]/tblNc[[#This Row],[fref]]))</f>
        <v>89.79133729352985</v>
      </c>
      <c r="AL48" s="53">
        <f>(2100*(tblNc[[#This Row],[λny]]-13.5))/((tblNc[[#This Row],[λny]]^2)-(15.3*tblNc[[#This Row],[λny]])+2050)</f>
        <v>18.333646171272598</v>
      </c>
      <c r="AM48" s="53">
        <f>tblNc[[#This Row],[λny]]+tblNc[[#This Row],[αay]]*tblNc[[#This Row],[αb]]</f>
        <v>98.958160379166145</v>
      </c>
      <c r="AN48" s="53">
        <f>MAX((0.00326*(tblNc[[#This Row],[λy]]-13.5)),0)</f>
        <v>0.27859360283608164</v>
      </c>
      <c r="AO48" s="53">
        <f>((tblNc[[#This Row],[λy]]/90)^2+1+tblNc[[#This Row],[ηy]])/(2*(tblNc[[#This Row],[λy]]/90)^2)</f>
        <v>1.0287913276891412</v>
      </c>
      <c r="AP48" s="53">
        <f>tblNc[[#This Row],[ξy]]*(1-SQRT(1-(90/(tblNc[[#This Row],[ξy]]*tblNc[[#This Row],[λy]]))^2))</f>
        <v>0.54788975524683237</v>
      </c>
      <c r="AQ48" s="69">
        <f>tblNc[[#This Row],[αcy]]*tblNc[[#This Row],[Ns]]</f>
        <v>132194.84014595571</v>
      </c>
      <c r="AR48" s="69">
        <f>tblNc[[#This Row],[Ncy]]*0.9</f>
        <v>118975.35613136014</v>
      </c>
      <c r="AS48" s="69">
        <f>MIN(tblNc[[#This Row],[Ncy]],tblNc[[#This Row],[Ncx]],tblNc[[#This Row],[Ns]])</f>
        <v>132194.84014595571</v>
      </c>
      <c r="AT48" s="69">
        <f>tblNc[[#This Row],[Ncflex]]*0.9</f>
        <v>118975.35613136014</v>
      </c>
      <c r="AU48" s="69" t="e">
        <f t="array" ref="AU48">INDEX(tblfocDblSym[Nc],MATCH(tblNc[[#This Row],[Section]]&amp;tblNc[[#This Row],[lex]],tblfocDblSym[Section]&amp;tblfocDblSym[lex],0))</f>
        <v>#N/A</v>
      </c>
      <c r="AV48" s="69">
        <f t="array" ref="AV48">INDEX(tblfocSglSym[Nc],MATCH(tblNc[[#This Row],[Section]]&amp;tblNc[[#This Row],[lex]],tblfocSglSym[Section]&amp;tblfocSglSym[lex],0))</f>
        <v>159831.55316917089</v>
      </c>
      <c r="AW48" s="69">
        <f t="array" ref="AW48">INDEX(tblfocunsym[Nc],MATCH(tblNc[[#This Row],[Section]]&amp;tblNc[[#This Row],[lex]],tblfocunsym[Section]&amp;tblfocunsym[lex],0))</f>
        <v>129611.43072609032</v>
      </c>
      <c r="AX48" s="69">
        <f>IF(tblNc[[#This Row],[Axis]]="['x', 'y']",tblNc[[#This Row],[Ncz_dbl]],IF(tblNc[[#This Row],[Axis]]="[]",tblNc[[#This Row],[Ncz_un]],tblNc[[#This Row],[Ncz_sngl]]))</f>
        <v>159831.55316917089</v>
      </c>
      <c r="AY48" s="69">
        <f>MIN(tblNc[[#This Row],[Ncz_base]],tblNc[[#This Row],[Ns]])</f>
        <v>159831.55316917089</v>
      </c>
      <c r="AZ48" s="69">
        <f>tblNc[[#This Row],[Ncz]]*0.9</f>
        <v>143848.39785225381</v>
      </c>
      <c r="BA48" s="69">
        <f>MIN(tblNc[[#This Row],[Ncflex]],tblNc[[#This Row],[Ncz]])</f>
        <v>132194.84014595571</v>
      </c>
      <c r="BB48" s="69">
        <f>tblNc[[#This Row],[Nc]]*0.9</f>
        <v>118975.35613136014</v>
      </c>
    </row>
    <row r="49" spans="2:54" x14ac:dyDescent="0.2">
      <c r="B49" s="4" t="s">
        <v>6</v>
      </c>
      <c r="C49" s="55">
        <v>7.54E-4</v>
      </c>
      <c r="D49" s="9">
        <v>1</v>
      </c>
      <c r="E49" s="57">
        <v>10</v>
      </c>
      <c r="F49" s="9">
        <v>0.05</v>
      </c>
      <c r="G49" s="9">
        <v>0.05</v>
      </c>
      <c r="H49" s="9">
        <v>0.05</v>
      </c>
      <c r="I49" s="60">
        <v>3.0099999999999998E-2</v>
      </c>
      <c r="J49" s="60">
        <v>1.26E-2</v>
      </c>
      <c r="K49" s="59">
        <v>2.7199999999999998E-2</v>
      </c>
      <c r="L49" s="59">
        <v>0</v>
      </c>
      <c r="M49" s="62">
        <v>8.1300000000000007E-9</v>
      </c>
      <c r="N49" s="64">
        <v>1.06E-10</v>
      </c>
      <c r="O49" s="65">
        <v>320000000</v>
      </c>
      <c r="P49" s="65">
        <v>200000000000</v>
      </c>
      <c r="Q49" s="65">
        <v>80000000000</v>
      </c>
      <c r="R49" s="65">
        <v>250000000</v>
      </c>
      <c r="S49" s="8">
        <v>0.5</v>
      </c>
      <c r="T49" s="8" t="s">
        <v>49</v>
      </c>
      <c r="U49" s="7" t="b">
        <v>1</v>
      </c>
      <c r="V49" s="7" t="b">
        <v>1</v>
      </c>
      <c r="W49" s="68">
        <f>tblNc[[#This Row],[An]]*tblNc[[#This Row],[kf]]</f>
        <v>7.54E-4</v>
      </c>
      <c r="X49" s="69">
        <f>tblNc[[#This Row],[Ae]]*tblNc[[#This Row],[fy]]</f>
        <v>241280</v>
      </c>
      <c r="Y49" s="69">
        <f>tblNc[[#This Row],[Ns]]*0.9</f>
        <v>217152</v>
      </c>
      <c r="Z49" s="72">
        <f>tblNc[[#This Row],[l]]*tblNc[[#This Row],[kex]]</f>
        <v>0.5</v>
      </c>
      <c r="AA49" s="72">
        <f>tblNc[[#This Row],[l]]*tblNc[[#This Row],[key]]</f>
        <v>0.5</v>
      </c>
      <c r="AB49" s="72">
        <f>tblNc[[#This Row],[kez]]*tblNc[[#This Row],[l]]</f>
        <v>0.5</v>
      </c>
      <c r="AC49" s="53">
        <f>(tblNc[[#This Row],[lex]]/tblNc[[#This Row],[rx]])*(SQRT(tblNc[[#This Row],[kf]]))*SQRT((tblNc[[#This Row],[fy]]/tblNc[[#This Row],[fref]]))</f>
        <v>18.793535712599269</v>
      </c>
      <c r="AD49" s="53">
        <f>(2100*(tblNc[[#This Row],[λnx]]-13.5))/((tblNc[[#This Row],[λnx]]^2)-(15.3*tblNc[[#This Row],[λnx]])+2050)</f>
        <v>5.2543634617404846</v>
      </c>
      <c r="AE49" s="53">
        <f>tblNc[[#This Row],[λnx]]+tblNc[[#This Row],[αax]]*tblNc[[#This Row],[αb]]</f>
        <v>21.42071744346951</v>
      </c>
      <c r="AF49" s="53">
        <f>MAX((0.00326*(tblNc[[#This Row],[λx]]-13.5)),0)</f>
        <v>2.5821538865710602E-2</v>
      </c>
      <c r="AG49" s="53">
        <f>((tblNc[[#This Row],[λx]]/90)^2+1+tblNc[[#This Row],[ηx]])/(2*(tblNc[[#This Row],[λx]]/90)^2)</f>
        <v>9.5543819680303219</v>
      </c>
      <c r="AH49" s="53">
        <f>tblNc[[#This Row],[ξx]]*(1-SQRT(1-(90/(tblNc[[#This Row],[ξx]]*tblNc[[#This Row],[λx]]))^2))</f>
        <v>0.97339852337824129</v>
      </c>
      <c r="AI49" s="69">
        <f>tblNc[[#This Row],[αcx]]*tblNc[[#This Row],[Ns]]</f>
        <v>234861.59572070205</v>
      </c>
      <c r="AJ49" s="69">
        <f>tblNc[[#This Row],[Ncx]]*0.9</f>
        <v>211375.43614863185</v>
      </c>
      <c r="AK49" s="53">
        <f>(tblNc[[#This Row],[lex]]/tblNc[[#This Row],[ry]])*(SQRT(tblNc[[#This Row],[kf]]))*SQRT((tblNc[[#This Row],[fy]]/tblNc[[#This Row],[fref]]))</f>
        <v>44.895668646764925</v>
      </c>
      <c r="AL49" s="53">
        <f>(2100*(tblNc[[#This Row],[λny]]-13.5))/((tblNc[[#This Row],[λny]]^2)-(15.3*tblNc[[#This Row],[λny]])+2050)</f>
        <v>19.513589821598501</v>
      </c>
      <c r="AM49" s="53">
        <f>tblNc[[#This Row],[λny]]+tblNc[[#This Row],[αay]]*tblNc[[#This Row],[αb]]</f>
        <v>54.652463557564175</v>
      </c>
      <c r="AN49" s="53">
        <f>MAX((0.00326*(tblNc[[#This Row],[λy]]-13.5)),0)</f>
        <v>0.1341570311976592</v>
      </c>
      <c r="AO49" s="53">
        <f>((tblNc[[#This Row],[λy]]/90)^2+1+tblNc[[#This Row],[ηy]])/(2*(tblNc[[#This Row],[λy]]/90)^2)</f>
        <v>2.0378314065507892</v>
      </c>
      <c r="AP49" s="53">
        <f>tblNc[[#This Row],[ξy]]*(1-SQRT(1-(90/(tblNc[[#This Row],[ξy]]*tblNc[[#This Row],[λy]]))^2))</f>
        <v>0.83745327311201356</v>
      </c>
      <c r="AQ49" s="69">
        <f>tblNc[[#This Row],[αcy]]*tblNc[[#This Row],[Ns]]</f>
        <v>202060.72573646664</v>
      </c>
      <c r="AR49" s="69">
        <f>tblNc[[#This Row],[Ncy]]*0.9</f>
        <v>181854.65316281997</v>
      </c>
      <c r="AS49" s="69">
        <f>MIN(tblNc[[#This Row],[Ncy]],tblNc[[#This Row],[Ncx]],tblNc[[#This Row],[Ns]])</f>
        <v>202060.72573646664</v>
      </c>
      <c r="AT49" s="69">
        <f>tblNc[[#This Row],[Ncflex]]*0.9</f>
        <v>181854.65316281997</v>
      </c>
      <c r="AU49" s="69" t="e">
        <f t="array" ref="AU49">INDEX(tblfocDblSym[Nc],MATCH(tblNc[[#This Row],[Section]]&amp;tblNc[[#This Row],[lex]],tblfocDblSym[Section]&amp;tblfocDblSym[lex],0))</f>
        <v>#N/A</v>
      </c>
      <c r="AV49" s="69">
        <f t="array" ref="AV49">INDEX(tblfocSglSym[Nc],MATCH(tblNc[[#This Row],[Section]]&amp;tblNc[[#This Row],[lex]],tblfocSglSym[Section]&amp;tblfocSglSym[lex],0))</f>
        <v>179922.48415346662</v>
      </c>
      <c r="AW49" s="69">
        <f t="array" ref="AW49">INDEX(tblfocunsym[Nc],MATCH(tblNc[[#This Row],[Section]]&amp;tblNc[[#This Row],[lex]],tblfocunsym[Section]&amp;tblfocunsym[lex],0))</f>
        <v>176800.02220776436</v>
      </c>
      <c r="AX49" s="69">
        <f>IF(tblNc[[#This Row],[Axis]]="['x', 'y']",tblNc[[#This Row],[Ncz_dbl]],IF(tblNc[[#This Row],[Axis]]="[]",tblNc[[#This Row],[Ncz_un]],tblNc[[#This Row],[Ncz_sngl]]))</f>
        <v>179922.48415346662</v>
      </c>
      <c r="AY49" s="69">
        <f>MIN(tblNc[[#This Row],[Ncz_base]],tblNc[[#This Row],[Ns]])</f>
        <v>179922.48415346662</v>
      </c>
      <c r="AZ49" s="69">
        <f>tblNc[[#This Row],[Ncz]]*0.9</f>
        <v>161930.23573811995</v>
      </c>
      <c r="BA49" s="69">
        <f>MIN(tblNc[[#This Row],[Ncflex]],tblNc[[#This Row],[Ncz]])</f>
        <v>179922.48415346662</v>
      </c>
      <c r="BB49" s="69">
        <f>tblNc[[#This Row],[Nc]]*0.9</f>
        <v>161930.23573811995</v>
      </c>
    </row>
    <row r="50" spans="2:54" x14ac:dyDescent="0.2">
      <c r="B50" s="4" t="s">
        <v>6</v>
      </c>
      <c r="C50" s="55">
        <v>7.54E-4</v>
      </c>
      <c r="D50" s="9">
        <v>1</v>
      </c>
      <c r="E50" s="57">
        <v>10</v>
      </c>
      <c r="F50" s="9">
        <v>0.01</v>
      </c>
      <c r="G50" s="9">
        <v>0.01</v>
      </c>
      <c r="H50" s="9">
        <v>0.01</v>
      </c>
      <c r="I50" s="60">
        <v>3.0099999999999998E-2</v>
      </c>
      <c r="J50" s="60">
        <v>1.26E-2</v>
      </c>
      <c r="K50" s="59">
        <v>2.7199999999999998E-2</v>
      </c>
      <c r="L50" s="59">
        <v>0</v>
      </c>
      <c r="M50" s="62">
        <v>8.1300000000000007E-9</v>
      </c>
      <c r="N50" s="64">
        <v>1.06E-10</v>
      </c>
      <c r="O50" s="65">
        <v>320000000</v>
      </c>
      <c r="P50" s="65">
        <v>200000000000</v>
      </c>
      <c r="Q50" s="65">
        <v>80000000000</v>
      </c>
      <c r="R50" s="65">
        <v>250000000</v>
      </c>
      <c r="S50" s="8">
        <v>0.5</v>
      </c>
      <c r="T50" s="8" t="s">
        <v>49</v>
      </c>
      <c r="U50" s="7" t="b">
        <v>1</v>
      </c>
      <c r="V50" s="7" t="b">
        <v>1</v>
      </c>
      <c r="W50" s="68">
        <f>tblNc[[#This Row],[An]]*tblNc[[#This Row],[kf]]</f>
        <v>7.54E-4</v>
      </c>
      <c r="X50" s="69">
        <f>tblNc[[#This Row],[Ae]]*tblNc[[#This Row],[fy]]</f>
        <v>241280</v>
      </c>
      <c r="Y50" s="69">
        <f>tblNc[[#This Row],[Ns]]*0.9</f>
        <v>217152</v>
      </c>
      <c r="Z50" s="72">
        <f>tblNc[[#This Row],[l]]*tblNc[[#This Row],[kex]]</f>
        <v>0.1</v>
      </c>
      <c r="AA50" s="72">
        <f>tblNc[[#This Row],[l]]*tblNc[[#This Row],[key]]</f>
        <v>0.1</v>
      </c>
      <c r="AB50" s="72">
        <f>tblNc[[#This Row],[kez]]*tblNc[[#This Row],[l]]</f>
        <v>0.1</v>
      </c>
      <c r="AC50" s="53">
        <f>(tblNc[[#This Row],[lex]]/tblNc[[#This Row],[rx]])*(SQRT(tblNc[[#This Row],[kf]]))*SQRT((tblNc[[#This Row],[fy]]/tblNc[[#This Row],[fref]]))</f>
        <v>3.7587071425198544</v>
      </c>
      <c r="AD50" s="53">
        <f>(2100*(tblNc[[#This Row],[λnx]]-13.5))/((tblNc[[#This Row],[λnx]]^2)-(15.3*tblNc[[#This Row],[λnx]])+2050)</f>
        <v>-10.194615057076419</v>
      </c>
      <c r="AE50" s="53">
        <f>tblNc[[#This Row],[λnx]]+tblNc[[#This Row],[αax]]*tblNc[[#This Row],[αb]]</f>
        <v>-1.3386003860183551</v>
      </c>
      <c r="AF50" s="53">
        <f>MAX((0.00326*(tblNc[[#This Row],[λx]]-13.5)),0)</f>
        <v>0</v>
      </c>
      <c r="AG50" s="53">
        <f>((tblNc[[#This Row],[λx]]/90)^2+1+tblNc[[#This Row],[ηx]])/(2*(tblNc[[#This Row],[λx]]/90)^2)</f>
        <v>2260.7325834056169</v>
      </c>
      <c r="AH50" s="53">
        <f>tblNc[[#This Row],[ξx]]*(1-SQRT(1-(90/(tblNc[[#This Row],[ξx]]*tblNc[[#This Row],[λx]]))^2))</f>
        <v>1.0000000000000411</v>
      </c>
      <c r="AI50" s="69">
        <f>tblNc[[#This Row],[αcx]]*tblNc[[#This Row],[Ns]]</f>
        <v>241280.00000000992</v>
      </c>
      <c r="AJ50" s="69">
        <f>tblNc[[#This Row],[Ncx]]*0.9</f>
        <v>217152.00000000893</v>
      </c>
      <c r="AK50" s="53">
        <f>(tblNc[[#This Row],[lex]]/tblNc[[#This Row],[ry]])*(SQRT(tblNc[[#This Row],[kf]]))*SQRT((tblNc[[#This Row],[fy]]/tblNc[[#This Row],[fref]]))</f>
        <v>8.9791337293529843</v>
      </c>
      <c r="AL50" s="53">
        <f>(2100*(tblNc[[#This Row],[λny]]-13.5))/((tblNc[[#This Row],[λny]]^2)-(15.3*tblNc[[#This Row],[λny]])+2050)</f>
        <v>-4.762998764260594</v>
      </c>
      <c r="AM50" s="53">
        <f>tblNc[[#This Row],[λny]]+tblNc[[#This Row],[αay]]*tblNc[[#This Row],[αb]]</f>
        <v>6.5976343472226873</v>
      </c>
      <c r="AN50" s="53">
        <f>MAX((0.00326*(tblNc[[#This Row],[λy]]-13.5)),0)</f>
        <v>0</v>
      </c>
      <c r="AO50" s="53">
        <f>((tblNc[[#This Row],[λy]]/90)^2+1+tblNc[[#This Row],[ηy]])/(2*(tblNc[[#This Row],[λy]]/90)^2)</f>
        <v>93.541893086253708</v>
      </c>
      <c r="AP50" s="53">
        <f>tblNc[[#This Row],[ξy]]*(1-SQRT(1-(90/(tblNc[[#This Row],[ξy]]*tblNc[[#This Row],[λy]]))^2))</f>
        <v>0.99999999999999378</v>
      </c>
      <c r="AQ50" s="69">
        <f>tblNc[[#This Row],[αcy]]*tblNc[[#This Row],[Ns]]</f>
        <v>241279.99999999849</v>
      </c>
      <c r="AR50" s="69">
        <f>tblNc[[#This Row],[Ncy]]*0.9</f>
        <v>217151.99999999863</v>
      </c>
      <c r="AS50" s="69">
        <f>MIN(tblNc[[#This Row],[Ncy]],tblNc[[#This Row],[Ncx]],tblNc[[#This Row],[Ns]])</f>
        <v>241279.99999999849</v>
      </c>
      <c r="AT50" s="69">
        <f>tblNc[[#This Row],[Ncflex]]*0.9</f>
        <v>217151.99999999863</v>
      </c>
      <c r="AU50" s="69" t="e">
        <f t="array" ref="AU50">INDEX(tblfocDblSym[Nc],MATCH(tblNc[[#This Row],[Section]]&amp;tblNc[[#This Row],[lex]],tblfocDblSym[Section]&amp;tblfocDblSym[lex],0))</f>
        <v>#N/A</v>
      </c>
      <c r="AV50" s="69">
        <f t="array" ref="AV50">INDEX(tblfocSglSym[Nc],MATCH(tblNc[[#This Row],[Section]]&amp;tblNc[[#This Row],[lex]],tblfocSglSym[Section]&amp;tblfocSglSym[lex],0))</f>
        <v>203297.09687813633</v>
      </c>
      <c r="AW50" s="69">
        <f t="array" ref="AW50">INDEX(tblfocunsym[Nc],MATCH(tblNc[[#This Row],[Section]]&amp;tblNc[[#This Row],[lex]],tblfocunsym[Section]&amp;tblfocunsym[lex],0))</f>
        <v>203242.22712981672</v>
      </c>
      <c r="AX50" s="69">
        <f>IF(tblNc[[#This Row],[Axis]]="['x', 'y']",tblNc[[#This Row],[Ncz_dbl]],IF(tblNc[[#This Row],[Axis]]="[]",tblNc[[#This Row],[Ncz_un]],tblNc[[#This Row],[Ncz_sngl]]))</f>
        <v>203297.09687813633</v>
      </c>
      <c r="AY50" s="69">
        <f>MIN(tblNc[[#This Row],[Ncz_base]],tblNc[[#This Row],[Ns]])</f>
        <v>203297.09687813633</v>
      </c>
      <c r="AZ50" s="69">
        <f>tblNc[[#This Row],[Ncz]]*0.9</f>
        <v>182967.38719032271</v>
      </c>
      <c r="BA50" s="69">
        <f>MIN(tblNc[[#This Row],[Ncflex]],tblNc[[#This Row],[Ncz]])</f>
        <v>203297.09687813633</v>
      </c>
      <c r="BB50" s="69">
        <f>tblNc[[#This Row],[Nc]]*0.9</f>
        <v>182967.38719032271</v>
      </c>
    </row>
    <row r="51" spans="2:54" x14ac:dyDescent="0.2">
      <c r="B51" s="13" t="s">
        <v>47</v>
      </c>
      <c r="C51" s="54">
        <v>1.0999999999999999E-2</v>
      </c>
      <c r="D51" s="20">
        <v>1</v>
      </c>
      <c r="E51" s="58">
        <v>10</v>
      </c>
      <c r="F51" s="20">
        <v>1</v>
      </c>
      <c r="G51" s="20">
        <v>1</v>
      </c>
      <c r="H51" s="20">
        <v>1</v>
      </c>
      <c r="I51" s="59">
        <v>0.21</v>
      </c>
      <c r="J51" s="59">
        <v>3.6978999999999998E-2</v>
      </c>
      <c r="K51" s="59">
        <v>0</v>
      </c>
      <c r="L51" s="59">
        <v>0.15428504787</v>
      </c>
      <c r="M51" s="61">
        <v>9.1838800792000005E-7</v>
      </c>
      <c r="N51" s="63">
        <v>4.0290907437000001E-7</v>
      </c>
      <c r="O51" s="67">
        <v>300000000</v>
      </c>
      <c r="P51" s="66">
        <v>200000000000</v>
      </c>
      <c r="Q51" s="66">
        <v>80000000000</v>
      </c>
      <c r="R51" s="65">
        <v>250000000</v>
      </c>
      <c r="S51" s="8">
        <v>0.5</v>
      </c>
      <c r="T51" s="22" t="s">
        <v>50</v>
      </c>
      <c r="U51" s="7" t="b">
        <v>1</v>
      </c>
      <c r="V51" s="7" t="b">
        <v>1</v>
      </c>
      <c r="W51" s="68">
        <f>tblNc[[#This Row],[An]]*tblNc[[#This Row],[kf]]</f>
        <v>1.0999999999999999E-2</v>
      </c>
      <c r="X51" s="69">
        <f>tblNc[[#This Row],[Ae]]*tblNc[[#This Row],[fy]]</f>
        <v>3300000</v>
      </c>
      <c r="Y51" s="69">
        <f>tblNc[[#This Row],[Ns]]*0.9</f>
        <v>2970000</v>
      </c>
      <c r="Z51" s="71">
        <f>tblNc[[#This Row],[l]]*tblNc[[#This Row],[kex]]</f>
        <v>10</v>
      </c>
      <c r="AA51" s="71">
        <f>tblNc[[#This Row],[l]]*tblNc[[#This Row],[key]]</f>
        <v>10</v>
      </c>
      <c r="AB51" s="71">
        <f>tblNc[[#This Row],[kez]]*tblNc[[#This Row],[l]]</f>
        <v>10</v>
      </c>
      <c r="AC51" s="53">
        <f>(tblNc[[#This Row],[lex]]/tblNc[[#This Row],[rx]])*(SQRT(tblNc[[#This Row],[kf]]))*SQRT((tblNc[[#This Row],[fy]]/tblNc[[#This Row],[fref]]))</f>
        <v>52.164053095730104</v>
      </c>
      <c r="AD51" s="53">
        <f>(2100*(tblNc[[#This Row],[λnx]]-13.5))/((tblNc[[#This Row],[λnx]]^2)-(15.3*tblNc[[#This Row],[λnx]])+2050)</f>
        <v>20.436685744577854</v>
      </c>
      <c r="AE51" s="53">
        <f>tblNc[[#This Row],[λnx]]+tblNc[[#This Row],[αax]]*tblNc[[#This Row],[αb]]</f>
        <v>62.382395968019033</v>
      </c>
      <c r="AF51" s="53">
        <f>MAX((0.00326*(tblNc[[#This Row],[λx]]-13.5)),0)</f>
        <v>0.15935661085574204</v>
      </c>
      <c r="AG51" s="53">
        <f>((tblNc[[#This Row],[λx]]/90)^2+1+tblNc[[#This Row],[ηx]])/(2*(tblNc[[#This Row],[λx]]/90)^2)</f>
        <v>1.7065573343591103</v>
      </c>
      <c r="AH51" s="53">
        <f>tblNc[[#This Row],[ξx]]*(1-SQRT(1-(90/(tblNc[[#This Row],[ξx]]*tblNc[[#This Row],[λx]]))^2))</f>
        <v>0.79501347076527196</v>
      </c>
      <c r="AI51" s="69">
        <f>tblNc[[#This Row],[αcx]]*tblNc[[#This Row],[Ns]]</f>
        <v>2623544.4535253975</v>
      </c>
      <c r="AJ51" s="69">
        <f>tblNc[[#This Row],[Ncx]]*0.9</f>
        <v>2361190.0081728576</v>
      </c>
      <c r="AK51" s="53">
        <f>(tblNc[[#This Row],[lex]]/tblNc[[#This Row],[ry]])*(SQRT(tblNc[[#This Row],[kf]]))*SQRT((tblNc[[#This Row],[fy]]/tblNc[[#This Row],[fref]]))</f>
        <v>296.23438032676171</v>
      </c>
      <c r="AL51" s="53">
        <f>(2100*(tblNc[[#This Row],[λny]]-13.5))/((tblNc[[#This Row],[λny]]^2)-(15.3*tblNc[[#This Row],[λny]])+2050)</f>
        <v>6.9628865262989432</v>
      </c>
      <c r="AM51" s="53">
        <f>tblNc[[#This Row],[λny]]+tblNc[[#This Row],[αay]]*tblNc[[#This Row],[αb]]</f>
        <v>299.71582358991117</v>
      </c>
      <c r="AN51" s="53">
        <f>MAX((0.00326*(tblNc[[#This Row],[λy]]-13.5)),0)</f>
        <v>0.93306358490311037</v>
      </c>
      <c r="AO51" s="53">
        <f>((tblNc[[#This Row],[λy]]/90)^2+1+tblNc[[#This Row],[ηy]])/(2*(tblNc[[#This Row],[λy]]/90)^2)</f>
        <v>0.58715289509814306</v>
      </c>
      <c r="AP51" s="53">
        <f>tblNc[[#This Row],[ξy]]*(1-SQRT(1-(90/(tblNc[[#This Row],[ξy]]*tblNc[[#This Row],[λy]]))^2))</f>
        <v>8.2595887614318769E-2</v>
      </c>
      <c r="AQ51" s="69">
        <f>tblNc[[#This Row],[αcy]]*tblNc[[#This Row],[Ns]]</f>
        <v>272566.42912725196</v>
      </c>
      <c r="AR51" s="69">
        <f>tblNc[[#This Row],[Ncy]]*0.9</f>
        <v>245309.78621452677</v>
      </c>
      <c r="AS51" s="69">
        <f>MIN(tblNc[[#This Row],[Ncy]],tblNc[[#This Row],[Ncx]],tblNc[[#This Row],[Ns]])</f>
        <v>272566.42912725196</v>
      </c>
      <c r="AT51" s="69">
        <f>tblNc[[#This Row],[Ncflex]]*0.9</f>
        <v>245309.78621452677</v>
      </c>
      <c r="AU51" s="69" t="e">
        <f t="array" ref="AU51">INDEX(tblfocDblSym[Nc],MATCH(tblNc[[#This Row],[Section]]&amp;tblNc[[#This Row],[lex]],tblfocDblSym[Section]&amp;tblfocDblSym[lex],0))</f>
        <v>#N/A</v>
      </c>
      <c r="AV51" s="69">
        <f t="array" ref="AV51">INDEX(tblfocSglSym[Nc],MATCH(tblNc[[#This Row],[Section]]&amp;tblNc[[#This Row],[lex]],tblfocSglSym[Section]&amp;tblfocSglSym[lex],0))</f>
        <v>200817.8476668559</v>
      </c>
      <c r="AW51" s="69">
        <f t="array" ref="AW51">INDEX(tblfocunsym[Nc],MATCH(tblNc[[#This Row],[Section]]&amp;tblNc[[#This Row],[lex]],tblfocunsym[Section]&amp;tblfocunsym[lex],0))</f>
        <v>200340.44663074327</v>
      </c>
      <c r="AX51" s="69">
        <f>IF(tblNc[[#This Row],[Axis]]="['x', 'y']",tblNc[[#This Row],[Ncz_dbl]],IF(tblNc[[#This Row],[Axis]]="[]",tblNc[[#This Row],[Ncz_un]],tblNc[[#This Row],[Ncz_sngl]]))</f>
        <v>200817.8476668559</v>
      </c>
      <c r="AY51" s="69">
        <f>MIN(tblNc[[#This Row],[Ncz_base]],tblNc[[#This Row],[Ns]])</f>
        <v>200817.8476668559</v>
      </c>
      <c r="AZ51" s="69">
        <f>tblNc[[#This Row],[Ncz]]*0.9</f>
        <v>180736.06290017031</v>
      </c>
      <c r="BA51" s="69">
        <f>MIN(tblNc[[#This Row],[Ncflex]],tblNc[[#This Row],[Ncz]])</f>
        <v>200817.8476668559</v>
      </c>
      <c r="BB51" s="69">
        <f>tblNc[[#This Row],[Nc]]*0.9</f>
        <v>180736.06290017031</v>
      </c>
    </row>
    <row r="52" spans="2:54" x14ac:dyDescent="0.2">
      <c r="B52" s="13" t="s">
        <v>47</v>
      </c>
      <c r="C52" s="54">
        <v>1.0999999999999999E-2</v>
      </c>
      <c r="D52" s="20">
        <v>1</v>
      </c>
      <c r="E52" s="58">
        <v>10</v>
      </c>
      <c r="F52" s="20">
        <v>0.5</v>
      </c>
      <c r="G52" s="20">
        <v>0.5</v>
      </c>
      <c r="H52" s="20">
        <v>0.5</v>
      </c>
      <c r="I52" s="59">
        <v>0.21</v>
      </c>
      <c r="J52" s="59">
        <v>3.6978999999999998E-2</v>
      </c>
      <c r="K52" s="59">
        <v>0</v>
      </c>
      <c r="L52" s="59">
        <v>0.15428504787</v>
      </c>
      <c r="M52" s="61">
        <v>9.1838800792000005E-7</v>
      </c>
      <c r="N52" s="63">
        <v>4.0290907437000001E-7</v>
      </c>
      <c r="O52" s="67">
        <v>300000000</v>
      </c>
      <c r="P52" s="66">
        <v>200000000000</v>
      </c>
      <c r="Q52" s="66">
        <v>80000000000</v>
      </c>
      <c r="R52" s="65">
        <v>250000000</v>
      </c>
      <c r="S52" s="8">
        <v>0.5</v>
      </c>
      <c r="T52" s="22" t="s">
        <v>50</v>
      </c>
      <c r="U52" s="7" t="b">
        <v>1</v>
      </c>
      <c r="V52" s="7" t="b">
        <v>1</v>
      </c>
      <c r="W52" s="68">
        <f>tblNc[[#This Row],[An]]*tblNc[[#This Row],[kf]]</f>
        <v>1.0999999999999999E-2</v>
      </c>
      <c r="X52" s="69">
        <f>tblNc[[#This Row],[Ae]]*tblNc[[#This Row],[fy]]</f>
        <v>3300000</v>
      </c>
      <c r="Y52" s="69">
        <f>tblNc[[#This Row],[Ns]]*0.9</f>
        <v>2970000</v>
      </c>
      <c r="Z52" s="71">
        <f>tblNc[[#This Row],[l]]*tblNc[[#This Row],[kex]]</f>
        <v>5</v>
      </c>
      <c r="AA52" s="71">
        <f>tblNc[[#This Row],[l]]*tblNc[[#This Row],[key]]</f>
        <v>5</v>
      </c>
      <c r="AB52" s="71">
        <f>tblNc[[#This Row],[kez]]*tblNc[[#This Row],[l]]</f>
        <v>5</v>
      </c>
      <c r="AC52" s="53">
        <f>(tblNc[[#This Row],[lex]]/tblNc[[#This Row],[rx]])*(SQRT(tblNc[[#This Row],[kf]]))*SQRT((tblNc[[#This Row],[fy]]/tblNc[[#This Row],[fref]]))</f>
        <v>26.082026547865052</v>
      </c>
      <c r="AD52" s="53">
        <f>(2100*(tblNc[[#This Row],[λnx]]-13.5))/((tblNc[[#This Row],[λnx]]^2)-(15.3*tblNc[[#This Row],[λnx]])+2050)</f>
        <v>11.334103426212113</v>
      </c>
      <c r="AE52" s="53">
        <f>tblNc[[#This Row],[λnx]]+tblNc[[#This Row],[αax]]*tblNc[[#This Row],[αb]]</f>
        <v>31.74907826097111</v>
      </c>
      <c r="AF52" s="53">
        <f>MAX((0.00326*(tblNc[[#This Row],[λx]]-13.5)),0)</f>
        <v>5.9491995130765821E-2</v>
      </c>
      <c r="AG52" s="53">
        <f>((tblNc[[#This Row],[λx]]/90)^2+1+tblNc[[#This Row],[ηx]])/(2*(tblNc[[#This Row],[λx]]/90)^2)</f>
        <v>4.7568707130055419</v>
      </c>
      <c r="AH52" s="53">
        <f>tblNc[[#This Row],[ξx]]*(1-SQRT(1-(90/(tblNc[[#This Row],[ξx]]*tblNc[[#This Row],[λx]]))^2))</f>
        <v>0.93690522279935973</v>
      </c>
      <c r="AI52" s="69">
        <f>tblNc[[#This Row],[αcx]]*tblNc[[#This Row],[Ns]]</f>
        <v>3091787.2352378871</v>
      </c>
      <c r="AJ52" s="69">
        <f>tblNc[[#This Row],[Ncx]]*0.9</f>
        <v>2782608.5117140985</v>
      </c>
      <c r="AK52" s="53">
        <f>(tblNc[[#This Row],[lex]]/tblNc[[#This Row],[ry]])*(SQRT(tblNc[[#This Row],[kf]]))*SQRT((tblNc[[#This Row],[fy]]/tblNc[[#This Row],[fref]]))</f>
        <v>148.11719016338085</v>
      </c>
      <c r="AL52" s="53">
        <f>(2100*(tblNc[[#This Row],[λny]]-13.5))/((tblNc[[#This Row],[λny]]^2)-(15.3*tblNc[[#This Row],[λny]])+2050)</f>
        <v>13.01397086228789</v>
      </c>
      <c r="AM52" s="53">
        <f>tblNc[[#This Row],[λny]]+tblNc[[#This Row],[αay]]*tblNc[[#This Row],[αb]]</f>
        <v>154.62417559452479</v>
      </c>
      <c r="AN52" s="53">
        <f>MAX((0.00326*(tblNc[[#This Row],[λy]]-13.5)),0)</f>
        <v>0.46006481243815078</v>
      </c>
      <c r="AO52" s="53">
        <f>((tblNc[[#This Row],[λy]]/90)^2+1+tblNc[[#This Row],[ηy]])/(2*(tblNc[[#This Row],[λy]]/90)^2)</f>
        <v>0.74732747488995677</v>
      </c>
      <c r="AP52" s="53">
        <f>tblNc[[#This Row],[ξy]]*(1-SQRT(1-(90/(tblNc[[#This Row],[ξy]]*tblNc[[#This Row],[λy]]))^2))</f>
        <v>0.27859659881834409</v>
      </c>
      <c r="AQ52" s="69">
        <f>tblNc[[#This Row],[αcy]]*tblNc[[#This Row],[Ns]]</f>
        <v>919368.77610053553</v>
      </c>
      <c r="AR52" s="69">
        <f>tblNc[[#This Row],[Ncy]]*0.9</f>
        <v>827431.89849048201</v>
      </c>
      <c r="AS52" s="69">
        <f>MIN(tblNc[[#This Row],[Ncy]],tblNc[[#This Row],[Ncx]],tblNc[[#This Row],[Ns]])</f>
        <v>919368.77610053553</v>
      </c>
      <c r="AT52" s="69">
        <f>tblNc[[#This Row],[Ncflex]]*0.9</f>
        <v>827431.89849048201</v>
      </c>
      <c r="AU52" s="69" t="e">
        <f t="array" ref="AU52">INDEX(tblfocDblSym[Nc],MATCH(tblNc[[#This Row],[Section]]&amp;tblNc[[#This Row],[lex]],tblfocDblSym[Section]&amp;tblfocDblSym[lex],0))</f>
        <v>#N/A</v>
      </c>
      <c r="AV52" s="69">
        <f t="array" ref="AV52">INDEX(tblfocSglSym[Nc],MATCH(tblNc[[#This Row],[Section]]&amp;tblNc[[#This Row],[lex]],tblfocSglSym[Section]&amp;tblfocSglSym[lex],0))</f>
        <v>623347.9886370626</v>
      </c>
      <c r="AW52" s="69">
        <f t="array" ref="AW52">INDEX(tblfocunsym[Nc],MATCH(tblNc[[#This Row],[Section]]&amp;tblNc[[#This Row],[lex]],tblfocunsym[Section]&amp;tblfocunsym[lex],0))</f>
        <v>620897.31676609395</v>
      </c>
      <c r="AX52" s="69">
        <f>IF(tblNc[[#This Row],[Axis]]="['x', 'y']",tblNc[[#This Row],[Ncz_dbl]],IF(tblNc[[#This Row],[Axis]]="[]",tblNc[[#This Row],[Ncz_un]],tblNc[[#This Row],[Ncz_sngl]]))</f>
        <v>623347.9886370626</v>
      </c>
      <c r="AY52" s="69">
        <f>MIN(tblNc[[#This Row],[Ncz_base]],tblNc[[#This Row],[Ns]])</f>
        <v>623347.9886370626</v>
      </c>
      <c r="AZ52" s="69">
        <f>tblNc[[#This Row],[Ncz]]*0.9</f>
        <v>561013.18977335631</v>
      </c>
      <c r="BA52" s="69">
        <f>MIN(tblNc[[#This Row],[Ncflex]],tblNc[[#This Row],[Ncz]])</f>
        <v>623347.9886370626</v>
      </c>
      <c r="BB52" s="69">
        <f>tblNc[[#This Row],[Nc]]*0.9</f>
        <v>561013.18977335631</v>
      </c>
    </row>
    <row r="53" spans="2:54" x14ac:dyDescent="0.2">
      <c r="B53" s="13" t="s">
        <v>47</v>
      </c>
      <c r="C53" s="54">
        <v>1.0999999999999999E-2</v>
      </c>
      <c r="D53" s="20">
        <v>1</v>
      </c>
      <c r="E53" s="58">
        <v>10</v>
      </c>
      <c r="F53" s="20">
        <v>0.1</v>
      </c>
      <c r="G53" s="20">
        <v>0.1</v>
      </c>
      <c r="H53" s="20">
        <v>0.1</v>
      </c>
      <c r="I53" s="59">
        <v>0.21</v>
      </c>
      <c r="J53" s="59">
        <v>3.6978999999999998E-2</v>
      </c>
      <c r="K53" s="59">
        <v>0</v>
      </c>
      <c r="L53" s="59">
        <v>0.15428504787</v>
      </c>
      <c r="M53" s="61">
        <v>9.1838800792000005E-7</v>
      </c>
      <c r="N53" s="63">
        <v>4.0290907437000001E-7</v>
      </c>
      <c r="O53" s="67">
        <v>300000000</v>
      </c>
      <c r="P53" s="66">
        <v>200000000000</v>
      </c>
      <c r="Q53" s="66">
        <v>80000000000</v>
      </c>
      <c r="R53" s="65">
        <v>250000000</v>
      </c>
      <c r="S53" s="8">
        <v>0.5</v>
      </c>
      <c r="T53" s="22" t="s">
        <v>50</v>
      </c>
      <c r="U53" s="7" t="b">
        <v>1</v>
      </c>
      <c r="V53" s="7" t="b">
        <v>1</v>
      </c>
      <c r="W53" s="68">
        <f>tblNc[[#This Row],[An]]*tblNc[[#This Row],[kf]]</f>
        <v>1.0999999999999999E-2</v>
      </c>
      <c r="X53" s="69">
        <f>tblNc[[#This Row],[Ae]]*tblNc[[#This Row],[fy]]</f>
        <v>3300000</v>
      </c>
      <c r="Y53" s="69">
        <f>tblNc[[#This Row],[Ns]]*0.9</f>
        <v>2970000</v>
      </c>
      <c r="Z53" s="71">
        <f>tblNc[[#This Row],[l]]*tblNc[[#This Row],[kex]]</f>
        <v>1</v>
      </c>
      <c r="AA53" s="71">
        <f>tblNc[[#This Row],[l]]*tblNc[[#This Row],[key]]</f>
        <v>1</v>
      </c>
      <c r="AB53" s="71">
        <f>tblNc[[#This Row],[kez]]*tblNc[[#This Row],[l]]</f>
        <v>1</v>
      </c>
      <c r="AC53" s="53">
        <f>(tblNc[[#This Row],[lex]]/tblNc[[#This Row],[rx]])*(SQRT(tblNc[[#This Row],[kf]]))*SQRT((tblNc[[#This Row],[fy]]/tblNc[[#This Row],[fref]]))</f>
        <v>5.2164053095730099</v>
      </c>
      <c r="AD53" s="53">
        <f>(2100*(tblNc[[#This Row],[λnx]]-13.5))/((tblNc[[#This Row],[λnx]]^2)-(15.3*tblNc[[#This Row],[λnx]])+2050)</f>
        <v>-8.7090967597074442</v>
      </c>
      <c r="AE53" s="53">
        <f>tblNc[[#This Row],[λnx]]+tblNc[[#This Row],[αax]]*tblNc[[#This Row],[αb]]</f>
        <v>0.86185692971928773</v>
      </c>
      <c r="AF53" s="53">
        <f>MAX((0.00326*(tblNc[[#This Row],[λx]]-13.5)),0)</f>
        <v>0</v>
      </c>
      <c r="AG53" s="53">
        <f>((tblNc[[#This Row],[λx]]/90)^2+1+tblNc[[#This Row],[ηx]])/(2*(tblNc[[#This Row],[λx]]/90)^2)</f>
        <v>5452.8618126074653</v>
      </c>
      <c r="AH53" s="53">
        <f>tblNc[[#This Row],[ξx]]*(1-SQRT(1-(90/(tblNc[[#This Row],[ξx]]*tblNc[[#This Row],[λx]]))^2))</f>
        <v>1.0000000000000591</v>
      </c>
      <c r="AI53" s="69">
        <f>tblNc[[#This Row],[αcx]]*tblNc[[#This Row],[Ns]]</f>
        <v>3300000.0000001951</v>
      </c>
      <c r="AJ53" s="69">
        <f>tblNc[[#This Row],[Ncx]]*0.9</f>
        <v>2970000.0000001756</v>
      </c>
      <c r="AK53" s="53">
        <f>(tblNc[[#This Row],[lex]]/tblNc[[#This Row],[ry]])*(SQRT(tblNc[[#This Row],[kf]]))*SQRT((tblNc[[#This Row],[fy]]/tblNc[[#This Row],[fref]]))</f>
        <v>29.623438032676173</v>
      </c>
      <c r="AL53" s="53">
        <f>(2100*(tblNc[[#This Row],[λny]]-13.5))/((tblNc[[#This Row],[λny]]^2)-(15.3*tblNc[[#This Row],[λny]])+2050)</f>
        <v>13.684310776934264</v>
      </c>
      <c r="AM53" s="53">
        <f>tblNc[[#This Row],[λny]]+tblNc[[#This Row],[αay]]*tblNc[[#This Row],[αb]]</f>
        <v>36.465593421143303</v>
      </c>
      <c r="AN53" s="53">
        <f>MAX((0.00326*(tblNc[[#This Row],[λy]]-13.5)),0)</f>
        <v>7.486783455292717E-2</v>
      </c>
      <c r="AO53" s="53">
        <f>((tblNc[[#This Row],[λy]]/90)^2+1+tblNc[[#This Row],[ηy]])/(2*(tblNc[[#This Row],[λy]]/90)^2)</f>
        <v>3.7737349821506609</v>
      </c>
      <c r="AP53" s="53">
        <f>tblNc[[#This Row],[ξy]]*(1-SQRT(1-(90/(tblNc[[#This Row],[ξy]]*tblNc[[#This Row],[λy]]))^2))</f>
        <v>0.9189745588867696</v>
      </c>
      <c r="AQ53" s="69">
        <f>tblNc[[#This Row],[αcy]]*tblNc[[#This Row],[Ns]]</f>
        <v>3032616.0443263398</v>
      </c>
      <c r="AR53" s="69">
        <f>tblNc[[#This Row],[Ncy]]*0.9</f>
        <v>2729354.4398937058</v>
      </c>
      <c r="AS53" s="69">
        <f>MIN(tblNc[[#This Row],[Ncy]],tblNc[[#This Row],[Ncx]],tblNc[[#This Row],[Ns]])</f>
        <v>3032616.0443263398</v>
      </c>
      <c r="AT53" s="69">
        <f>tblNc[[#This Row],[Ncflex]]*0.9</f>
        <v>2729354.4398937058</v>
      </c>
      <c r="AU53" s="69" t="e">
        <f t="array" ref="AU53">INDEX(tblfocDblSym[Nc],MATCH(tblNc[[#This Row],[Section]]&amp;tblNc[[#This Row],[lex]],tblfocDblSym[Section]&amp;tblfocDblSym[lex],0))</f>
        <v>#N/A</v>
      </c>
      <c r="AV53" s="69">
        <f t="array" ref="AV53">INDEX(tblfocSglSym[Nc],MATCH(tblNc[[#This Row],[Section]]&amp;tblNc[[#This Row],[lex]],tblfocSglSym[Section]&amp;tblfocSglSym[lex],0))</f>
        <v>2460658.4915108439</v>
      </c>
      <c r="AW53" s="69">
        <f t="array" ref="AW53">INDEX(tblfocunsym[Nc],MATCH(tblNc[[#This Row],[Section]]&amp;tblNc[[#This Row],[lex]],tblfocunsym[Section]&amp;tblfocunsym[lex],0))</f>
        <v>2460201.8822210119</v>
      </c>
      <c r="AX53" s="69">
        <f>IF(tblNc[[#This Row],[Axis]]="['x', 'y']",tblNc[[#This Row],[Ncz_dbl]],IF(tblNc[[#This Row],[Axis]]="[]",tblNc[[#This Row],[Ncz_un]],tblNc[[#This Row],[Ncz_sngl]]))</f>
        <v>2460658.4915108439</v>
      </c>
      <c r="AY53" s="69">
        <f>MIN(tblNc[[#This Row],[Ncz_base]],tblNc[[#This Row],[Ns]])</f>
        <v>2460658.4915108439</v>
      </c>
      <c r="AZ53" s="69">
        <f>tblNc[[#This Row],[Ncz]]*0.9</f>
        <v>2214592.6423597597</v>
      </c>
      <c r="BA53" s="69">
        <f>MIN(tblNc[[#This Row],[Ncflex]],tblNc[[#This Row],[Ncz]])</f>
        <v>2460658.4915108439</v>
      </c>
      <c r="BB53" s="69">
        <f>tblNc[[#This Row],[Nc]]*0.9</f>
        <v>2214592.6423597597</v>
      </c>
    </row>
    <row r="54" spans="2:54" x14ac:dyDescent="0.2">
      <c r="B54" s="13" t="s">
        <v>47</v>
      </c>
      <c r="C54" s="54">
        <v>1.0999999999999999E-2</v>
      </c>
      <c r="D54" s="20">
        <v>1</v>
      </c>
      <c r="E54" s="58">
        <v>10</v>
      </c>
      <c r="F54" s="20">
        <v>0.05</v>
      </c>
      <c r="G54" s="20">
        <v>0.05</v>
      </c>
      <c r="H54" s="20">
        <v>0.05</v>
      </c>
      <c r="I54" s="59">
        <v>0.21</v>
      </c>
      <c r="J54" s="59">
        <v>3.6978999999999998E-2</v>
      </c>
      <c r="K54" s="59">
        <v>0</v>
      </c>
      <c r="L54" s="59">
        <v>0.15428504787</v>
      </c>
      <c r="M54" s="61">
        <v>9.1838800792000005E-7</v>
      </c>
      <c r="N54" s="63">
        <v>4.0290907437000001E-7</v>
      </c>
      <c r="O54" s="67">
        <v>300000000</v>
      </c>
      <c r="P54" s="66">
        <v>200000000000</v>
      </c>
      <c r="Q54" s="66">
        <v>80000000000</v>
      </c>
      <c r="R54" s="65">
        <v>250000000</v>
      </c>
      <c r="S54" s="8">
        <v>0.5</v>
      </c>
      <c r="T54" s="22" t="s">
        <v>50</v>
      </c>
      <c r="U54" s="7" t="b">
        <v>1</v>
      </c>
      <c r="V54" s="7" t="b">
        <v>1</v>
      </c>
      <c r="W54" s="68">
        <f>tblNc[[#This Row],[An]]*tblNc[[#This Row],[kf]]</f>
        <v>1.0999999999999999E-2</v>
      </c>
      <c r="X54" s="69">
        <f>tblNc[[#This Row],[Ae]]*tblNc[[#This Row],[fy]]</f>
        <v>3300000</v>
      </c>
      <c r="Y54" s="69">
        <f>tblNc[[#This Row],[Ns]]*0.9</f>
        <v>2970000</v>
      </c>
      <c r="Z54" s="71">
        <f>tblNc[[#This Row],[l]]*tblNc[[#This Row],[kex]]</f>
        <v>0.5</v>
      </c>
      <c r="AA54" s="71">
        <f>tblNc[[#This Row],[l]]*tblNc[[#This Row],[key]]</f>
        <v>0.5</v>
      </c>
      <c r="AB54" s="71">
        <f>tblNc[[#This Row],[kez]]*tblNc[[#This Row],[l]]</f>
        <v>0.5</v>
      </c>
      <c r="AC54" s="53">
        <f>(tblNc[[#This Row],[lex]]/tblNc[[#This Row],[rx]])*(SQRT(tblNc[[#This Row],[kf]]))*SQRT((tblNc[[#This Row],[fy]]/tblNc[[#This Row],[fref]]))</f>
        <v>2.6082026547865049</v>
      </c>
      <c r="AD54" s="53">
        <f>(2100*(tblNc[[#This Row],[λnx]]-13.5))/((tblNc[[#This Row],[λnx]]^2)-(15.3*tblNc[[#This Row],[λnx]])+2050)</f>
        <v>-11.340575113498337</v>
      </c>
      <c r="AE54" s="53">
        <f>tblNc[[#This Row],[λnx]]+tblNc[[#This Row],[αax]]*tblNc[[#This Row],[αb]]</f>
        <v>-3.0620849019626637</v>
      </c>
      <c r="AF54" s="53">
        <f>MAX((0.00326*(tblNc[[#This Row],[λx]]-13.5)),0)</f>
        <v>0</v>
      </c>
      <c r="AG54" s="53">
        <f>((tblNc[[#This Row],[λx]]/90)^2+1+tblNc[[#This Row],[ηx]])/(2*(tblNc[[#This Row],[λx]]/90)^2)</f>
        <v>432.43715847284665</v>
      </c>
      <c r="AH54" s="53">
        <f>tblNc[[#This Row],[ξx]]*(1-SQRT(1-(90/(tblNc[[#This Row],[ξx]]*tblNc[[#This Row],[λx]]))^2))</f>
        <v>1.0000000000000058</v>
      </c>
      <c r="AI54" s="69">
        <f>tblNc[[#This Row],[αcx]]*tblNc[[#This Row],[Ns]]</f>
        <v>3300000.0000000191</v>
      </c>
      <c r="AJ54" s="69">
        <f>tblNc[[#This Row],[Ncx]]*0.9</f>
        <v>2970000.0000000172</v>
      </c>
      <c r="AK54" s="53">
        <f>(tblNc[[#This Row],[lex]]/tblNc[[#This Row],[ry]])*(SQRT(tblNc[[#This Row],[kf]]))*SQRT((tblNc[[#This Row],[fy]]/tblNc[[#This Row],[fref]]))</f>
        <v>14.811719016338087</v>
      </c>
      <c r="AL54" s="53">
        <f>(2100*(tblNc[[#This Row],[λny]]-13.5))/((tblNc[[#This Row],[λny]]^2)-(15.3*tblNc[[#This Row],[λny]])+2050)</f>
        <v>1.3484694849670633</v>
      </c>
      <c r="AM54" s="53">
        <f>tblNc[[#This Row],[λny]]+tblNc[[#This Row],[αay]]*tblNc[[#This Row],[αb]]</f>
        <v>15.485953758821617</v>
      </c>
      <c r="AN54" s="53">
        <f>MAX((0.00326*(tblNc[[#This Row],[λy]]-13.5)),0)</f>
        <v>6.4742092537584724E-3</v>
      </c>
      <c r="AO54" s="53">
        <f>((tblNc[[#This Row],[λy]]/90)^2+1+tblNc[[#This Row],[ηy]])/(2*(tblNc[[#This Row],[λy]]/90)^2)</f>
        <v>17.497371148221323</v>
      </c>
      <c r="AP54" s="53">
        <f>tblNc[[#This Row],[ξy]]*(1-SQRT(1-(90/(tblNc[[#This Row],[ξy]]*tblNc[[#This Row],[λy]]))^2))</f>
        <v>0.99337380998928071</v>
      </c>
      <c r="AQ54" s="69">
        <f>tblNc[[#This Row],[αcy]]*tblNc[[#This Row],[Ns]]</f>
        <v>3278133.5729646264</v>
      </c>
      <c r="AR54" s="69">
        <f>tblNc[[#This Row],[Ncy]]*0.9</f>
        <v>2950320.2156681637</v>
      </c>
      <c r="AS54" s="69">
        <f>MIN(tblNc[[#This Row],[Ncy]],tblNc[[#This Row],[Ncx]],tblNc[[#This Row],[Ns]])</f>
        <v>3278133.5729646264</v>
      </c>
      <c r="AT54" s="69">
        <f>tblNc[[#This Row],[Ncflex]]*0.9</f>
        <v>2950320.2156681637</v>
      </c>
      <c r="AU54" s="69" t="e">
        <f t="array" ref="AU54">INDEX(tblfocDblSym[Nc],MATCH(tblNc[[#This Row],[Section]]&amp;tblNc[[#This Row],[lex]],tblfocDblSym[Section]&amp;tblfocDblSym[lex],0))</f>
        <v>#N/A</v>
      </c>
      <c r="AV54" s="69">
        <f t="array" ref="AV54">INDEX(tblfocSglSym[Nc],MATCH(tblNc[[#This Row],[Section]]&amp;tblNc[[#This Row],[lex]],tblfocSglSym[Section]&amp;tblfocSglSym[lex],0))</f>
        <v>2709803.0523540773</v>
      </c>
      <c r="AW54" s="69">
        <f t="array" ref="AW54">INDEX(tblfocunsym[Nc],MATCH(tblNc[[#This Row],[Section]]&amp;tblNc[[#This Row],[lex]],tblfocunsym[Section]&amp;tblfocunsym[lex],0))</f>
        <v>2709683.5202185037</v>
      </c>
      <c r="AX54" s="69">
        <f>IF(tblNc[[#This Row],[Axis]]="['x', 'y']",tblNc[[#This Row],[Ncz_dbl]],IF(tblNc[[#This Row],[Axis]]="[]",tblNc[[#This Row],[Ncz_un]],tblNc[[#This Row],[Ncz_sngl]]))</f>
        <v>2709803.0523540773</v>
      </c>
      <c r="AY54" s="69">
        <f>MIN(tblNc[[#This Row],[Ncz_base]],tblNc[[#This Row],[Ns]])</f>
        <v>2709803.0523540773</v>
      </c>
      <c r="AZ54" s="69">
        <f>tblNc[[#This Row],[Ncz]]*0.9</f>
        <v>2438822.7471186696</v>
      </c>
      <c r="BA54" s="69">
        <f>MIN(tblNc[[#This Row],[Ncflex]],tblNc[[#This Row],[Ncz]])</f>
        <v>2709803.0523540773</v>
      </c>
      <c r="BB54" s="69">
        <f>tblNc[[#This Row],[Nc]]*0.9</f>
        <v>2438822.7471186696</v>
      </c>
    </row>
    <row r="55" spans="2:54" x14ac:dyDescent="0.2">
      <c r="B55" s="13" t="s">
        <v>46</v>
      </c>
      <c r="C55" s="54">
        <v>1.2999999999999999E-2</v>
      </c>
      <c r="D55" s="20">
        <v>1</v>
      </c>
      <c r="E55" s="58">
        <v>10</v>
      </c>
      <c r="F55" s="20">
        <v>1</v>
      </c>
      <c r="G55" s="20">
        <v>1</v>
      </c>
      <c r="H55" s="20">
        <v>1</v>
      </c>
      <c r="I55" s="59">
        <v>0.12710030359999999</v>
      </c>
      <c r="J55" s="59">
        <v>4.5328083000300001E-2</v>
      </c>
      <c r="K55" s="59">
        <v>2.20614080619E-2</v>
      </c>
      <c r="L55" s="59">
        <v>0</v>
      </c>
      <c r="M55" s="61">
        <v>1.5847556188E-6</v>
      </c>
      <c r="N55" s="63">
        <v>3.0634423938800001E-8</v>
      </c>
      <c r="O55" s="67">
        <v>300000000</v>
      </c>
      <c r="P55" s="66">
        <v>200000000000</v>
      </c>
      <c r="Q55" s="66">
        <v>80000000000</v>
      </c>
      <c r="R55" s="65">
        <v>250000000</v>
      </c>
      <c r="S55" s="8">
        <v>0.5</v>
      </c>
      <c r="T55" s="22" t="s">
        <v>49</v>
      </c>
      <c r="U55" s="7" t="b">
        <v>1</v>
      </c>
      <c r="V55" s="7" t="b">
        <v>1</v>
      </c>
      <c r="W55" s="68">
        <f>tblNc[[#This Row],[An]]*tblNc[[#This Row],[kf]]</f>
        <v>1.2999999999999999E-2</v>
      </c>
      <c r="X55" s="69">
        <f>tblNc[[#This Row],[Ae]]*tblNc[[#This Row],[fy]]</f>
        <v>3900000</v>
      </c>
      <c r="Y55" s="69">
        <f>tblNc[[#This Row],[Ns]]*0.9</f>
        <v>3510000</v>
      </c>
      <c r="Z55" s="71">
        <f>tblNc[[#This Row],[l]]*tblNc[[#This Row],[kex]]</f>
        <v>10</v>
      </c>
      <c r="AA55" s="71">
        <f>tblNc[[#This Row],[l]]*tblNc[[#This Row],[key]]</f>
        <v>10</v>
      </c>
      <c r="AB55" s="71">
        <f>tblNc[[#This Row],[kez]]*tblNc[[#This Row],[l]]</f>
        <v>10</v>
      </c>
      <c r="AC55" s="53">
        <f>(tblNc[[#This Row],[lex]]/tblNc[[#This Row],[rx]])*(SQRT(tblNc[[#This Row],[kf]]))*SQRT((tblNc[[#This Row],[fy]]/tblNc[[#This Row],[fref]]))</f>
        <v>86.187450697036113</v>
      </c>
      <c r="AD55" s="53">
        <f>(2100*(tblNc[[#This Row],[λnx]]-13.5))/((tblNc[[#This Row],[λnx]]^2)-(15.3*tblNc[[#This Row],[λnx]])+2050)</f>
        <v>18.707226386339965</v>
      </c>
      <c r="AE55" s="53">
        <f>tblNc[[#This Row],[λnx]]+tblNc[[#This Row],[αax]]*tblNc[[#This Row],[αb]]</f>
        <v>95.54106389020609</v>
      </c>
      <c r="AF55" s="53">
        <f>MAX((0.00326*(tblNc[[#This Row],[λx]]-13.5)),0)</f>
        <v>0.26745386828207185</v>
      </c>
      <c r="AG55" s="53">
        <f>((tblNc[[#This Row],[λx]]/90)^2+1+tblNc[[#This Row],[ηx]])/(2*(tblNc[[#This Row],[λx]]/90)^2)</f>
        <v>1.0623504388166511</v>
      </c>
      <c r="AH55" s="53">
        <f>tblNc[[#This Row],[ξx]]*(1-SQRT(1-(90/(tblNc[[#This Row],[ξx]]*tblNc[[#This Row],[λx]]))^2))</f>
        <v>0.57121075628754703</v>
      </c>
      <c r="AI55" s="69">
        <f>tblNc[[#This Row],[αcx]]*tblNc[[#This Row],[Ns]]</f>
        <v>2227721.9495214336</v>
      </c>
      <c r="AJ55" s="69">
        <f>tblNc[[#This Row],[Ncx]]*0.9</f>
        <v>2004949.7545692902</v>
      </c>
      <c r="AK55" s="53">
        <f>(tblNc[[#This Row],[lex]]/tblNc[[#This Row],[ry]])*(SQRT(tblNc[[#This Row],[kf]]))*SQRT((tblNc[[#This Row],[fy]]/tblNc[[#This Row],[fref]]))</f>
        <v>241.6702941095219</v>
      </c>
      <c r="AL55" s="53">
        <f>(2100*(tblNc[[#This Row],[λny]]-13.5))/((tblNc[[#This Row],[λny]]^2)-(15.3*tblNc[[#This Row],[λny]])+2050)</f>
        <v>8.4422683369512299</v>
      </c>
      <c r="AM55" s="53">
        <f>tblNc[[#This Row],[λny]]+tblNc[[#This Row],[αay]]*tblNc[[#This Row],[αb]]</f>
        <v>245.89142827799753</v>
      </c>
      <c r="AN55" s="53">
        <f>MAX((0.00326*(tblNc[[#This Row],[λy]]-13.5)),0)</f>
        <v>0.7575960561862719</v>
      </c>
      <c r="AO55" s="53">
        <f>((tblNc[[#This Row],[λy]]/90)^2+1+tblNc[[#This Row],[ηy]])/(2*(tblNc[[#This Row],[λy]]/90)^2)</f>
        <v>0.61773004592921521</v>
      </c>
      <c r="AP55" s="53">
        <f>tblNc[[#This Row],[ξy]]*(1-SQRT(1-(90/(tblNc[[#This Row],[ξy]]*tblNc[[#This Row],[λy]]))^2))</f>
        <v>0.12011243781615037</v>
      </c>
      <c r="AQ55" s="69">
        <f>tblNc[[#This Row],[αcy]]*tblNc[[#This Row],[Ns]]</f>
        <v>468438.50748298643</v>
      </c>
      <c r="AR55" s="69">
        <f>tblNc[[#This Row],[Ncy]]*0.9</f>
        <v>421594.6567346878</v>
      </c>
      <c r="AS55" s="69">
        <f>MIN(tblNc[[#This Row],[Ncy]],tblNc[[#This Row],[Ncx]],tblNc[[#This Row],[Ns]])</f>
        <v>468438.50748298643</v>
      </c>
      <c r="AT55" s="69">
        <f>tblNc[[#This Row],[Ncflex]]*0.9</f>
        <v>421594.6567346878</v>
      </c>
      <c r="AU55" s="69" t="e">
        <f t="array" ref="AU55">INDEX(tblfocDblSym[Nc],MATCH(tblNc[[#This Row],[Section]]&amp;tblNc[[#This Row],[lex]],tblfocDblSym[Section]&amp;tblfocDblSym[lex],0))</f>
        <v>#N/A</v>
      </c>
      <c r="AV55" s="69">
        <f t="array" ref="AV55">INDEX(tblfocSglSym[Nc],MATCH(tblNc[[#This Row],[Section]]&amp;tblNc[[#This Row],[lex]],tblfocSglSym[Section]&amp;tblfocSglSym[lex],0))</f>
        <v>2203686.0928105908</v>
      </c>
      <c r="AW55" s="69">
        <f t="array" ref="AW55">INDEX(tblfocunsym[Nc],MATCH(tblNc[[#This Row],[Section]]&amp;tblNc[[#This Row],[lex]],tblfocunsym[Section]&amp;tblfocunsym[lex],0))</f>
        <v>392905.59722806135</v>
      </c>
      <c r="AX55" s="69">
        <f>IF(tblNc[[#This Row],[Axis]]="['x', 'y']",tblNc[[#This Row],[Ncz_dbl]],IF(tblNc[[#This Row],[Axis]]="[]",tblNc[[#This Row],[Ncz_un]],tblNc[[#This Row],[Ncz_sngl]]))</f>
        <v>2203686.0928105908</v>
      </c>
      <c r="AY55" s="69">
        <f>MIN(tblNc[[#This Row],[Ncz_base]],tblNc[[#This Row],[Ns]])</f>
        <v>2203686.0928105908</v>
      </c>
      <c r="AZ55" s="69">
        <f>tblNc[[#This Row],[Ncz]]*0.9</f>
        <v>1983317.4835295316</v>
      </c>
      <c r="BA55" s="69">
        <f>MIN(tblNc[[#This Row],[Ncflex]],tblNc[[#This Row],[Ncz]])</f>
        <v>468438.50748298643</v>
      </c>
      <c r="BB55" s="69">
        <f>tblNc[[#This Row],[Nc]]*0.9</f>
        <v>421594.6567346878</v>
      </c>
    </row>
    <row r="56" spans="2:54" x14ac:dyDescent="0.2">
      <c r="B56" s="13" t="s">
        <v>46</v>
      </c>
      <c r="C56" s="54">
        <v>1.2999999999999999E-2</v>
      </c>
      <c r="D56" s="20">
        <v>1</v>
      </c>
      <c r="E56" s="58">
        <v>10</v>
      </c>
      <c r="F56" s="20">
        <v>0.5</v>
      </c>
      <c r="G56" s="20">
        <v>0.5</v>
      </c>
      <c r="H56" s="20">
        <v>0.5</v>
      </c>
      <c r="I56" s="59">
        <v>0.12710030359999999</v>
      </c>
      <c r="J56" s="59">
        <v>4.5328083000300001E-2</v>
      </c>
      <c r="K56" s="59">
        <v>2.20614080619E-2</v>
      </c>
      <c r="L56" s="59">
        <v>0</v>
      </c>
      <c r="M56" s="61">
        <v>1.5847556188E-6</v>
      </c>
      <c r="N56" s="63">
        <v>3.0634423938800001E-8</v>
      </c>
      <c r="O56" s="67">
        <v>300000000</v>
      </c>
      <c r="P56" s="66">
        <v>200000000000</v>
      </c>
      <c r="Q56" s="66">
        <v>80000000000</v>
      </c>
      <c r="R56" s="65">
        <v>250000000</v>
      </c>
      <c r="S56" s="8">
        <v>0.5</v>
      </c>
      <c r="T56" s="22" t="s">
        <v>49</v>
      </c>
      <c r="U56" s="7" t="b">
        <v>1</v>
      </c>
      <c r="V56" s="7" t="b">
        <v>1</v>
      </c>
      <c r="W56" s="68">
        <f>tblNc[[#This Row],[An]]*tblNc[[#This Row],[kf]]</f>
        <v>1.2999999999999999E-2</v>
      </c>
      <c r="X56" s="69">
        <f>tblNc[[#This Row],[Ae]]*tblNc[[#This Row],[fy]]</f>
        <v>3900000</v>
      </c>
      <c r="Y56" s="69">
        <f>tblNc[[#This Row],[Ns]]*0.9</f>
        <v>3510000</v>
      </c>
      <c r="Z56" s="71">
        <f>tblNc[[#This Row],[l]]*tblNc[[#This Row],[kex]]</f>
        <v>5</v>
      </c>
      <c r="AA56" s="71">
        <f>tblNc[[#This Row],[l]]*tblNc[[#This Row],[key]]</f>
        <v>5</v>
      </c>
      <c r="AB56" s="71">
        <f>tblNc[[#This Row],[kez]]*tblNc[[#This Row],[l]]</f>
        <v>5</v>
      </c>
      <c r="AC56" s="53">
        <f>(tblNc[[#This Row],[lex]]/tblNc[[#This Row],[rx]])*(SQRT(tblNc[[#This Row],[kf]]))*SQRT((tblNc[[#This Row],[fy]]/tblNc[[#This Row],[fref]]))</f>
        <v>43.093725348518056</v>
      </c>
      <c r="AD56" s="53">
        <f>(2100*(tblNc[[#This Row],[λnx]]-13.5))/((tblNc[[#This Row],[λnx]]^2)-(15.3*tblNc[[#This Row],[λnx]])+2050)</f>
        <v>19.135434400985503</v>
      </c>
      <c r="AE56" s="53">
        <f>tblNc[[#This Row],[λnx]]+tblNc[[#This Row],[αax]]*tblNc[[#This Row],[αb]]</f>
        <v>52.661442549010808</v>
      </c>
      <c r="AF56" s="53">
        <f>MAX((0.00326*(tblNc[[#This Row],[λx]]-13.5)),0)</f>
        <v>0.12766630270977522</v>
      </c>
      <c r="AG56" s="53">
        <f>((tblNc[[#This Row],[λx]]/90)^2+1+tblNc[[#This Row],[ηx]])/(2*(tblNc[[#This Row],[λx]]/90)^2)</f>
        <v>2.1468351313977023</v>
      </c>
      <c r="AH56" s="53">
        <f>tblNc[[#This Row],[ξx]]*(1-SQRT(1-(90/(tblNc[[#This Row],[ξx]]*tblNc[[#This Row],[λx]]))^2))</f>
        <v>0.84755972669571022</v>
      </c>
      <c r="AI56" s="69">
        <f>tblNc[[#This Row],[αcx]]*tblNc[[#This Row],[Ns]]</f>
        <v>3305482.9341132697</v>
      </c>
      <c r="AJ56" s="69">
        <f>tblNc[[#This Row],[Ncx]]*0.9</f>
        <v>2974934.6407019426</v>
      </c>
      <c r="AK56" s="53">
        <f>(tblNc[[#This Row],[lex]]/tblNc[[#This Row],[ry]])*(SQRT(tblNc[[#This Row],[kf]]))*SQRT((tblNc[[#This Row],[fy]]/tblNc[[#This Row],[fref]]))</f>
        <v>120.83514705476095</v>
      </c>
      <c r="AL56" s="53">
        <f>(2100*(tblNc[[#This Row],[λny]]-13.5))/((tblNc[[#This Row],[λny]]^2)-(15.3*tblNc[[#This Row],[λny]])+2050)</f>
        <v>15.227564033205384</v>
      </c>
      <c r="AM56" s="53">
        <f>tblNc[[#This Row],[λny]]+tblNc[[#This Row],[αay]]*tblNc[[#This Row],[αb]]</f>
        <v>128.44892907136364</v>
      </c>
      <c r="AN56" s="53">
        <f>MAX((0.00326*(tblNc[[#This Row],[λy]]-13.5)),0)</f>
        <v>0.37473350877264544</v>
      </c>
      <c r="AO56" s="53">
        <f>((tblNc[[#This Row],[λy]]/90)^2+1+tblNc[[#This Row],[ηy]])/(2*(tblNc[[#This Row],[λy]]/90)^2)</f>
        <v>0.83745243505543954</v>
      </c>
      <c r="AP56" s="53">
        <f>tblNc[[#This Row],[ξy]]*(1-SQRT(1-(90/(tblNc[[#This Row],[ξy]]*tblNc[[#This Row],[λy]]))^2))</f>
        <v>0.37876787412314084</v>
      </c>
      <c r="AQ56" s="69">
        <f>tblNc[[#This Row],[αcy]]*tblNc[[#This Row],[Ns]]</f>
        <v>1477194.7090802493</v>
      </c>
      <c r="AR56" s="69">
        <f>tblNc[[#This Row],[Ncy]]*0.9</f>
        <v>1329475.2381722245</v>
      </c>
      <c r="AS56" s="69">
        <f>MIN(tblNc[[#This Row],[Ncy]],tblNc[[#This Row],[Ncx]],tblNc[[#This Row],[Ns]])</f>
        <v>1477194.7090802493</v>
      </c>
      <c r="AT56" s="69">
        <f>tblNc[[#This Row],[Ncflex]]*0.9</f>
        <v>1329475.2381722245</v>
      </c>
      <c r="AU56" s="69" t="e">
        <f t="array" ref="AU56">INDEX(tblfocDblSym[Nc],MATCH(tblNc[[#This Row],[Section]]&amp;tblNc[[#This Row],[lex]],tblfocDblSym[Section]&amp;tblfocDblSym[lex],0))</f>
        <v>#N/A</v>
      </c>
      <c r="AV56" s="69">
        <f t="array" ref="AV56">INDEX(tblfocSglSym[Nc],MATCH(tblNc[[#This Row],[Section]]&amp;tblNc[[#This Row],[lex]],tblfocSglSym[Section]&amp;tblfocSglSym[lex],0))</f>
        <v>2606442.1618466694</v>
      </c>
      <c r="AW56" s="69">
        <f t="array" ref="AW56">INDEX(tblfocunsym[Nc],MATCH(tblNc[[#This Row],[Section]]&amp;tblNc[[#This Row],[lex]],tblfocunsym[Section]&amp;tblfocunsym[lex],0))</f>
        <v>1526786.2412161832</v>
      </c>
      <c r="AX56" s="69">
        <f>IF(tblNc[[#This Row],[Axis]]="['x', 'y']",tblNc[[#This Row],[Ncz_dbl]],IF(tblNc[[#This Row],[Axis]]="[]",tblNc[[#This Row],[Ncz_un]],tblNc[[#This Row],[Ncz_sngl]]))</f>
        <v>2606442.1618466694</v>
      </c>
      <c r="AY56" s="69">
        <f>MIN(tblNc[[#This Row],[Ncz_base]],tblNc[[#This Row],[Ns]])</f>
        <v>2606442.1618466694</v>
      </c>
      <c r="AZ56" s="69">
        <f>tblNc[[#This Row],[Ncz]]*0.9</f>
        <v>2345797.9456620025</v>
      </c>
      <c r="BA56" s="69">
        <f>MIN(tblNc[[#This Row],[Ncflex]],tblNc[[#This Row],[Ncz]])</f>
        <v>1477194.7090802493</v>
      </c>
      <c r="BB56" s="69">
        <f>tblNc[[#This Row],[Nc]]*0.9</f>
        <v>1329475.2381722245</v>
      </c>
    </row>
    <row r="57" spans="2:54" x14ac:dyDescent="0.2">
      <c r="B57" s="13" t="s">
        <v>46</v>
      </c>
      <c r="C57" s="54">
        <v>1.2999999999999999E-2</v>
      </c>
      <c r="D57" s="20">
        <v>1</v>
      </c>
      <c r="E57" s="58">
        <v>10</v>
      </c>
      <c r="F57" s="20">
        <v>0.1</v>
      </c>
      <c r="G57" s="20">
        <v>0.1</v>
      </c>
      <c r="H57" s="20">
        <v>0.1</v>
      </c>
      <c r="I57" s="59">
        <v>0.12710030359999999</v>
      </c>
      <c r="J57" s="59">
        <v>4.5328083000300001E-2</v>
      </c>
      <c r="K57" s="59">
        <v>2.20614080619E-2</v>
      </c>
      <c r="L57" s="59">
        <v>0</v>
      </c>
      <c r="M57" s="61">
        <v>1.5847556188E-6</v>
      </c>
      <c r="N57" s="63">
        <v>3.0634423938800001E-8</v>
      </c>
      <c r="O57" s="67">
        <v>300000000</v>
      </c>
      <c r="P57" s="66">
        <v>200000000000</v>
      </c>
      <c r="Q57" s="66">
        <v>80000000000</v>
      </c>
      <c r="R57" s="65">
        <v>250000000</v>
      </c>
      <c r="S57" s="8">
        <v>0.5</v>
      </c>
      <c r="T57" s="22" t="s">
        <v>49</v>
      </c>
      <c r="U57" s="7" t="b">
        <v>1</v>
      </c>
      <c r="V57" s="7" t="b">
        <v>1</v>
      </c>
      <c r="W57" s="68">
        <f>tblNc[[#This Row],[An]]*tblNc[[#This Row],[kf]]</f>
        <v>1.2999999999999999E-2</v>
      </c>
      <c r="X57" s="69">
        <f>tblNc[[#This Row],[Ae]]*tblNc[[#This Row],[fy]]</f>
        <v>3900000</v>
      </c>
      <c r="Y57" s="69">
        <f>tblNc[[#This Row],[Ns]]*0.9</f>
        <v>3510000</v>
      </c>
      <c r="Z57" s="71">
        <f>tblNc[[#This Row],[l]]*tblNc[[#This Row],[kex]]</f>
        <v>1</v>
      </c>
      <c r="AA57" s="71">
        <f>tblNc[[#This Row],[l]]*tblNc[[#This Row],[key]]</f>
        <v>1</v>
      </c>
      <c r="AB57" s="71">
        <f>tblNc[[#This Row],[kez]]*tblNc[[#This Row],[l]]</f>
        <v>1</v>
      </c>
      <c r="AC57" s="53">
        <f>(tblNc[[#This Row],[lex]]/tblNc[[#This Row],[rx]])*(SQRT(tblNc[[#This Row],[kf]]))*SQRT((tblNc[[#This Row],[fy]]/tblNc[[#This Row],[fref]]))</f>
        <v>8.6187450697036123</v>
      </c>
      <c r="AD57" s="53">
        <f>(2100*(tblNc[[#This Row],[λnx]]-13.5))/((tblNc[[#This Row],[λnx]]^2)-(15.3*tblNc[[#This Row],[λnx]])+2050)</f>
        <v>-5.1448269454520892</v>
      </c>
      <c r="AE57" s="53">
        <f>tblNc[[#This Row],[λnx]]+tblNc[[#This Row],[αax]]*tblNc[[#This Row],[αb]]</f>
        <v>6.0463315969775682</v>
      </c>
      <c r="AF57" s="53">
        <f>MAX((0.00326*(tblNc[[#This Row],[λx]]-13.5)),0)</f>
        <v>0</v>
      </c>
      <c r="AG57" s="53">
        <f>((tblNc[[#This Row],[λx]]/90)^2+1+tblNc[[#This Row],[ηx]])/(2*(tblNc[[#This Row],[λx]]/90)^2)</f>
        <v>111.28248442780261</v>
      </c>
      <c r="AH57" s="53">
        <f>tblNc[[#This Row],[ξx]]*(1-SQRT(1-(90/(tblNc[[#This Row],[ξx]]*tblNc[[#This Row],[λx]]))^2))</f>
        <v>0.99999999999999878</v>
      </c>
      <c r="AI57" s="69">
        <f>tblNc[[#This Row],[αcx]]*tblNc[[#This Row],[Ns]]</f>
        <v>3899999.9999999953</v>
      </c>
      <c r="AJ57" s="69">
        <f>tblNc[[#This Row],[Ncx]]*0.9</f>
        <v>3509999.9999999958</v>
      </c>
      <c r="AK57" s="53">
        <f>(tblNc[[#This Row],[lex]]/tblNc[[#This Row],[ry]])*(SQRT(tblNc[[#This Row],[kf]]))*SQRT((tblNc[[#This Row],[fy]]/tblNc[[#This Row],[fref]]))</f>
        <v>24.167029410952193</v>
      </c>
      <c r="AL57" s="53">
        <f>(2100*(tblNc[[#This Row],[λny]]-13.5))/((tblNc[[#This Row],[λny]]^2)-(15.3*tblNc[[#This Row],[λny]])+2050)</f>
        <v>9.8930632258996454</v>
      </c>
      <c r="AM57" s="53">
        <f>tblNc[[#This Row],[λny]]+tblNc[[#This Row],[αay]]*tblNc[[#This Row],[αb]]</f>
        <v>29.113561023902015</v>
      </c>
      <c r="AN57" s="53">
        <f>MAX((0.00326*(tblNc[[#This Row],[λy]]-13.5)),0)</f>
        <v>5.090020893792057E-2</v>
      </c>
      <c r="AO57" s="53">
        <f>((tblNc[[#This Row],[λy]]/90)^2+1+tblNc[[#This Row],[ηy]])/(2*(tblNc[[#This Row],[λy]]/90)^2)</f>
        <v>5.5214118461814445</v>
      </c>
      <c r="AP57" s="53">
        <f>tblNc[[#This Row],[ξy]]*(1-SQRT(1-(90/(tblNc[[#This Row],[ξy]]*tblNc[[#This Row],[λy]]))^2))</f>
        <v>0.94652519350870135</v>
      </c>
      <c r="AQ57" s="69">
        <f>tblNc[[#This Row],[αcy]]*tblNc[[#This Row],[Ns]]</f>
        <v>3691448.2546839351</v>
      </c>
      <c r="AR57" s="69">
        <f>tblNc[[#This Row],[Ncy]]*0.9</f>
        <v>3322303.4292155416</v>
      </c>
      <c r="AS57" s="69">
        <f>MIN(tblNc[[#This Row],[Ncy]],tblNc[[#This Row],[Ncx]],tblNc[[#This Row],[Ns]])</f>
        <v>3691448.2546839351</v>
      </c>
      <c r="AT57" s="69">
        <f>tblNc[[#This Row],[Ncflex]]*0.9</f>
        <v>3322303.4292155416</v>
      </c>
      <c r="AU57" s="69" t="e">
        <f t="array" ref="AU57">INDEX(tblfocDblSym[Nc],MATCH(tblNc[[#This Row],[Section]]&amp;tblNc[[#This Row],[lex]],tblfocDblSym[Section]&amp;tblfocDblSym[lex],0))</f>
        <v>#N/A</v>
      </c>
      <c r="AV57" s="69">
        <f t="array" ref="AV57">INDEX(tblfocSglSym[Nc],MATCH(tblNc[[#This Row],[Section]]&amp;tblNc[[#This Row],[lex]],tblfocSglSym[Section]&amp;tblfocSglSym[lex],0))</f>
        <v>2816155.4646560149</v>
      </c>
      <c r="AW57" s="69">
        <f t="array" ref="AW57">INDEX(tblfocunsym[Nc],MATCH(tblNc[[#This Row],[Section]]&amp;tblNc[[#This Row],[lex]],tblfocunsym[Section]&amp;tblfocunsym[lex],0))</f>
        <v>2816086.2591703008</v>
      </c>
      <c r="AX57" s="69">
        <f>IF(tblNc[[#This Row],[Axis]]="['x', 'y']",tblNc[[#This Row],[Ncz_dbl]],IF(tblNc[[#This Row],[Axis]]="[]",tblNc[[#This Row],[Ncz_un]],tblNc[[#This Row],[Ncz_sngl]]))</f>
        <v>2816155.4646560149</v>
      </c>
      <c r="AY57" s="69">
        <f>MIN(tblNc[[#This Row],[Ncz_base]],tblNc[[#This Row],[Ns]])</f>
        <v>2816155.4646560149</v>
      </c>
      <c r="AZ57" s="69">
        <f>tblNc[[#This Row],[Ncz]]*0.9</f>
        <v>2534539.9181904136</v>
      </c>
      <c r="BA57" s="69">
        <f>MIN(tblNc[[#This Row],[Ncflex]],tblNc[[#This Row],[Ncz]])</f>
        <v>2816155.4646560149</v>
      </c>
      <c r="BB57" s="69">
        <f>tblNc[[#This Row],[Nc]]*0.9</f>
        <v>2534539.9181904136</v>
      </c>
    </row>
    <row r="58" spans="2:54" x14ac:dyDescent="0.2">
      <c r="B58" s="13" t="s">
        <v>46</v>
      </c>
      <c r="C58" s="54">
        <v>1.2999999999999999E-2</v>
      </c>
      <c r="D58" s="20">
        <v>1</v>
      </c>
      <c r="E58" s="58">
        <v>10</v>
      </c>
      <c r="F58" s="20">
        <v>0.05</v>
      </c>
      <c r="G58" s="20">
        <v>0.05</v>
      </c>
      <c r="H58" s="20">
        <v>0.05</v>
      </c>
      <c r="I58" s="59">
        <v>0.12710030359999999</v>
      </c>
      <c r="J58" s="59">
        <v>4.5328083000300001E-2</v>
      </c>
      <c r="K58" s="59">
        <v>2.20614080619E-2</v>
      </c>
      <c r="L58" s="59">
        <v>0</v>
      </c>
      <c r="M58" s="61">
        <v>1.5847556188E-6</v>
      </c>
      <c r="N58" s="63">
        <v>3.0634423938800001E-8</v>
      </c>
      <c r="O58" s="67">
        <v>300000000</v>
      </c>
      <c r="P58" s="66">
        <v>200000000000</v>
      </c>
      <c r="Q58" s="66">
        <v>80000000000</v>
      </c>
      <c r="R58" s="65">
        <v>250000000</v>
      </c>
      <c r="S58" s="8">
        <v>0.5</v>
      </c>
      <c r="T58" s="22" t="s">
        <v>49</v>
      </c>
      <c r="U58" s="7" t="b">
        <v>1</v>
      </c>
      <c r="V58" s="7" t="b">
        <v>1</v>
      </c>
      <c r="W58" s="68">
        <f>tblNc[[#This Row],[An]]*tblNc[[#This Row],[kf]]</f>
        <v>1.2999999999999999E-2</v>
      </c>
      <c r="X58" s="69">
        <f>tblNc[[#This Row],[Ae]]*tblNc[[#This Row],[fy]]</f>
        <v>3900000</v>
      </c>
      <c r="Y58" s="69">
        <f>tblNc[[#This Row],[Ns]]*0.9</f>
        <v>3510000</v>
      </c>
      <c r="Z58" s="71">
        <f>tblNc[[#This Row],[l]]*tblNc[[#This Row],[kex]]</f>
        <v>0.5</v>
      </c>
      <c r="AA58" s="71">
        <f>tblNc[[#This Row],[l]]*tblNc[[#This Row],[key]]</f>
        <v>0.5</v>
      </c>
      <c r="AB58" s="71">
        <f>tblNc[[#This Row],[kez]]*tblNc[[#This Row],[l]]</f>
        <v>0.5</v>
      </c>
      <c r="AC58" s="53">
        <f>(tblNc[[#This Row],[lex]]/tblNc[[#This Row],[rx]])*(SQRT(tblNc[[#This Row],[kf]]))*SQRT((tblNc[[#This Row],[fy]]/tblNc[[#This Row],[fref]]))</f>
        <v>4.3093725348518062</v>
      </c>
      <c r="AD58" s="53">
        <f>(2100*(tblNc[[#This Row],[λnx]]-13.5))/((tblNc[[#This Row],[λnx]]^2)-(15.3*tblNc[[#This Row],[λnx]])+2050)</f>
        <v>-9.6374504535850587</v>
      </c>
      <c r="AE58" s="53">
        <f>tblNc[[#This Row],[λnx]]+tblNc[[#This Row],[αax]]*tblNc[[#This Row],[αb]]</f>
        <v>-0.50935269194072319</v>
      </c>
      <c r="AF58" s="53">
        <f>MAX((0.00326*(tblNc[[#This Row],[λx]]-13.5)),0)</f>
        <v>0</v>
      </c>
      <c r="AG58" s="53">
        <f>((tblNc[[#This Row],[λx]]/90)^2+1+tblNc[[#This Row],[ηx]])/(2*(tblNc[[#This Row],[λx]]/90)^2)</f>
        <v>15611.035875665073</v>
      </c>
      <c r="AH58" s="53">
        <f>tblNc[[#This Row],[ξx]]*(1-SQRT(1-(90/(tblNc[[#This Row],[ξx]]*tblNc[[#This Row],[λx]]))^2))</f>
        <v>0.99999999999997402</v>
      </c>
      <c r="AI58" s="69">
        <f>tblNc[[#This Row],[αcx]]*tblNc[[#This Row],[Ns]]</f>
        <v>3899999.9999998985</v>
      </c>
      <c r="AJ58" s="69">
        <f>tblNc[[#This Row],[Ncx]]*0.9</f>
        <v>3509999.9999999087</v>
      </c>
      <c r="AK58" s="53">
        <f>(tblNc[[#This Row],[lex]]/tblNc[[#This Row],[ry]])*(SQRT(tblNc[[#This Row],[kf]]))*SQRT((tblNc[[#This Row],[fy]]/tblNc[[#This Row],[fref]]))</f>
        <v>12.083514705476096</v>
      </c>
      <c r="AL58" s="53">
        <f>(2100*(tblNc[[#This Row],[λny]]-13.5))/((tblNc[[#This Row],[λny]]^2)-(15.3*tblNc[[#This Row],[λny]])+2050)</f>
        <v>-1.4790758746926602</v>
      </c>
      <c r="AM58" s="53">
        <f>tblNc[[#This Row],[λny]]+tblNc[[#This Row],[αay]]*tblNc[[#This Row],[αb]]</f>
        <v>11.343976768129766</v>
      </c>
      <c r="AN58" s="53">
        <f>MAX((0.00326*(tblNc[[#This Row],[λy]]-13.5)),0)</f>
        <v>0</v>
      </c>
      <c r="AO58" s="53">
        <f>((tblNc[[#This Row],[λy]]/90)^2+1+tblNc[[#This Row],[ηy]])/(2*(tblNc[[#This Row],[λy]]/90)^2)</f>
        <v>31.972001723576277</v>
      </c>
      <c r="AP58" s="53">
        <f>tblNc[[#This Row],[ξy]]*(1-SQRT(1-(90/(tblNc[[#This Row],[ξy]]*tblNc[[#This Row],[λy]]))^2))</f>
        <v>0.99999999999999767</v>
      </c>
      <c r="AQ58" s="69">
        <f>tblNc[[#This Row],[αcy]]*tblNc[[#This Row],[Ns]]</f>
        <v>3899999.9999999907</v>
      </c>
      <c r="AR58" s="69">
        <f>tblNc[[#This Row],[Ncy]]*0.9</f>
        <v>3509999.9999999916</v>
      </c>
      <c r="AS58" s="69">
        <f>MIN(tblNc[[#This Row],[Ncy]],tblNc[[#This Row],[Ncx]],tblNc[[#This Row],[Ns]])</f>
        <v>3899999.9999998985</v>
      </c>
      <c r="AT58" s="69">
        <f>tblNc[[#This Row],[Ncflex]]*0.9</f>
        <v>3509999.9999999087</v>
      </c>
      <c r="AU58" s="69" t="e">
        <f t="array" ref="AU58">INDEX(tblfocDblSym[Nc],MATCH(tblNc[[#This Row],[Section]]&amp;tblNc[[#This Row],[lex]],tblfocDblSym[Section]&amp;tblfocDblSym[lex],0))</f>
        <v>#N/A</v>
      </c>
      <c r="AV58" s="69">
        <f t="array" ref="AV58">INDEX(tblfocSglSym[Nc],MATCH(tblNc[[#This Row],[Section]]&amp;tblNc[[#This Row],[lex]],tblfocSglSym[Section]&amp;tblfocSglSym[lex],0))</f>
        <v>3051553.0872767624</v>
      </c>
      <c r="AW58" s="69">
        <f t="array" ref="AW58">INDEX(tblfocunsym[Nc],MATCH(tblNc[[#This Row],[Section]]&amp;tblNc[[#This Row],[lex]],tblfocunsym[Section]&amp;tblfocunsym[lex],0))</f>
        <v>3051544.9324457552</v>
      </c>
      <c r="AX58" s="69">
        <f>IF(tblNc[[#This Row],[Axis]]="['x', 'y']",tblNc[[#This Row],[Ncz_dbl]],IF(tblNc[[#This Row],[Axis]]="[]",tblNc[[#This Row],[Ncz_un]],tblNc[[#This Row],[Ncz_sngl]]))</f>
        <v>3051553.0872767624</v>
      </c>
      <c r="AY58" s="69">
        <f>MIN(tblNc[[#This Row],[Ncz_base]],tblNc[[#This Row],[Ns]])</f>
        <v>3051553.0872767624</v>
      </c>
      <c r="AZ58" s="69">
        <f>tblNc[[#This Row],[Ncz]]*0.9</f>
        <v>2746397.7785490863</v>
      </c>
      <c r="BA58" s="69">
        <f>MIN(tblNc[[#This Row],[Ncflex]],tblNc[[#This Row],[Ncz]])</f>
        <v>3051553.0872767624</v>
      </c>
      <c r="BB58" s="69">
        <f>tblNc[[#This Row],[Nc]]*0.9</f>
        <v>2746397.7785490863</v>
      </c>
    </row>
    <row r="60" spans="2:54" x14ac:dyDescent="0.2">
      <c r="B60" s="17" t="str">
        <f t="array" ref="B60:B112">TRANSPOSE(tblNc[#Headers])</f>
        <v>Section</v>
      </c>
      <c r="C60" s="23" t="str">
        <f t="array" aca="1" ref="C60" ca="1">_xlfn.CONCAT(INDIRECT("tblNc["&amp;B60&amp;"]")&amp;",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60" s="17" t="str">
        <f ca="1">B60&amp;" = ["&amp;LEFT(C60,LEN(C60)-2)&amp;"]"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1" spans="2:54" x14ac:dyDescent="0.2">
      <c r="B61" s="17" t="str">
        <v>An</v>
      </c>
      <c r="C61" s="23" t="str">
        <f t="array" aca="1" ref="C61" ca="1">_xlfn.CONCAT(TEXT(INDIRECT("tblNc["&amp;B61&amp;"]"),"0.000000000E+0")&amp;", ")</f>
        <v xml:space="preserve">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1.300000000E-2, </v>
      </c>
      <c r="D61" s="17" t="str">
        <f t="shared" ref="D61:D96" ca="1" si="0">B61&amp;" = ["&amp;LEFT(C61,LEN(C61)-2)&amp;"]"</f>
        <v>An = [1.890000000E-3,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1.300000000E-2]</v>
      </c>
    </row>
    <row r="62" spans="2:54" x14ac:dyDescent="0.2">
      <c r="B62" s="17" t="str">
        <v>kf</v>
      </c>
      <c r="C62" s="23" t="str">
        <f t="array" aca="1" ref="C62" ca="1">_xlfn.CONCAT(INDIRECT("tblNc["&amp;B62&amp;"]")&amp;",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2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3" spans="2:54" x14ac:dyDescent="0.2">
      <c r="B63" s="17" t="str">
        <v>l</v>
      </c>
      <c r="C63" s="23" t="str">
        <f t="array" aca="1" ref="C63" ca="1">_xlfn.CONCAT(INDIRECT("tblNc["&amp;B63&amp;"]")&amp;", ")</f>
        <v xml:space="preserve">10, 10, 10, 10, 80, 80, 80, 80, 80, 80, 20, 20, 20, 20, 20, 20, 20, 20, 20, 20, 20, 20, 10, 10, 10, 10, 10, 40, 40, 40, 40, 40, 20, 20, 20, 20, 20, 40, 40, 40, 40, 40, 10, 10, 10, 10, 10, 10, 10, 10, 10, 10, 10, 10, 10, </v>
      </c>
      <c r="D63" s="17" t="str">
        <f t="shared" ca="1" si="0"/>
        <v>l = [10, 10, 10, 10, 80, 80, 80, 80, 80, 80, 20, 20, 20, 20, 20, 20, 20, 20, 20, 20, 20, 20, 10, 10, 10, 10, 10, 40, 40, 40, 40, 40, 20, 20, 20, 20, 20, 40, 40, 40, 40, 40, 10, 10, 10, 10, 10, 10, 10, 10, 10, 10, 10, 10, 10]</v>
      </c>
    </row>
    <row r="64" spans="2:54" x14ac:dyDescent="0.2">
      <c r="B64" s="17" t="str">
        <v>kex</v>
      </c>
      <c r="C64" s="23" t="str">
        <f t="array" aca="1" ref="C64" ca="1">_xlfn.CONCAT(INDIRECT("tblNc["&amp;B64&amp;"]")&amp;",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4" s="17" t="str">
        <f t="shared" ca="1" si="0"/>
        <v>kex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5" spans="2:4" x14ac:dyDescent="0.2">
      <c r="B65" s="17" t="str">
        <v>key</v>
      </c>
      <c r="C65" s="23" t="str">
        <f t="array" aca="1" ref="C65" ca="1">_xlfn.CONCAT(INDIRECT("tblNc["&amp;B65&amp;"]")&amp;",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5" s="17" t="str">
        <f t="shared" ca="1" si="0"/>
        <v>key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6" spans="2:4" x14ac:dyDescent="0.2">
      <c r="B66" s="17" t="str">
        <v>kez</v>
      </c>
      <c r="C66" s="23" t="str">
        <f t="array" aca="1" ref="C66" ca="1">_xlfn.CONCAT(TEXT(INDIRECT("tblNc["&amp;B66&amp;"]"),"0.000000000E+0")&amp;", ")</f>
        <v xml:space="preserve">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5.000000000E-2, </v>
      </c>
      <c r="D66" s="17" t="str">
        <f t="shared" ca="1" si="0"/>
        <v>kez = [1.000000000E+0,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5.000000000E-2]</v>
      </c>
    </row>
    <row r="67" spans="2:4" x14ac:dyDescent="0.2">
      <c r="B67" s="17" t="str">
        <v>rx</v>
      </c>
      <c r="C67" s="23" t="str">
        <f t="array" aca="1" ref="C67" ca="1">_xlfn.CONCAT(TEXT(INDIRECT("tblNc["&amp;B67&amp;"]"),"0.000000000E+0")&amp;", ")</f>
        <v xml:space="preserve">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1.271003036E-1, </v>
      </c>
      <c r="D67" s="17" t="str">
        <f t="shared" ca="1" si="0"/>
        <v>rx = [4.110000000E-2,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1.271003036E-1]</v>
      </c>
    </row>
    <row r="68" spans="2:4" x14ac:dyDescent="0.2">
      <c r="B68" s="17" t="str">
        <v>ry</v>
      </c>
      <c r="C68" s="23" t="str">
        <f t="array" aca="1" ref="C68" ca="1">_xlfn.CONCAT(TEXT(INDIRECT("tblNc["&amp;B68&amp;"]"),"0.000000000E+0")&amp;", ")</f>
        <v xml:space="preserve">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4.532808300E-2, </v>
      </c>
      <c r="D68" s="17" t="str">
        <f t="shared" ca="1" si="0"/>
        <v>ry = [2.450000000E-2,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4.532808300E-2]</v>
      </c>
    </row>
    <row r="69" spans="2:4" x14ac:dyDescent="0.2">
      <c r="B69" s="17" t="str">
        <v>xo</v>
      </c>
      <c r="C69" s="23" t="str">
        <f t="array" aca="1" ref="C69" ca="1">_xlfn.CONCAT(TEXT(INDIRECT("tblNc["&amp;B69&amp;"]"),"0.000000000E+0")&amp;",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2.206140806E-2, </v>
      </c>
      <c r="D69" s="17" t="str">
        <f t="shared" ca="1" si="0"/>
        <v>xo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2.206140806E-2]</v>
      </c>
    </row>
    <row r="70" spans="2:4" x14ac:dyDescent="0.2">
      <c r="B70" s="17" t="str">
        <v>yo</v>
      </c>
      <c r="C70" s="23" t="str">
        <f t="array" aca="1" ref="C70" ca="1">_xlfn.CONCAT(TEXT(INDIRECT("tblNc["&amp;B70&amp;"]"),"0.000000000E+0")&amp;",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0.000000000E+0, </v>
      </c>
      <c r="D70" s="17" t="str">
        <f t="shared" ca="1" si="0"/>
        <v>yo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0.000000000E+0]</v>
      </c>
    </row>
    <row r="71" spans="2:4" x14ac:dyDescent="0.2">
      <c r="B71" s="17" t="str">
        <v>J</v>
      </c>
      <c r="C71" s="23" t="str">
        <f t="array" aca="1" ref="C71" ca="1">_xlfn.CONCAT(TEXT(INDIRECT("tblNc["&amp;B71&amp;"]"),"0.000000000E+0")&amp;", ")</f>
        <v xml:space="preserve">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1.584755619E-6, </v>
      </c>
      <c r="D71" s="17" t="str">
        <f t="shared" ca="1" si="0"/>
        <v>J = [3.490000000E-8,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1.584755619E-6]</v>
      </c>
    </row>
    <row r="72" spans="2:4" x14ac:dyDescent="0.2">
      <c r="B72" s="17" t="str">
        <v>Iw</v>
      </c>
      <c r="C72" s="23" t="str">
        <f t="array" aca="1" ref="C72" ca="1">_xlfn.CONCAT(TEXT(INDIRECT("tblNc["&amp;B72&amp;"]"),"0.000E+0")&amp;", ")</f>
        <v xml:space="preserve">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3.063E-8, </v>
      </c>
      <c r="D72" s="17" t="str">
        <f t="shared" ca="1" si="0"/>
        <v>Iw = [2.300E-9,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3.063E-8]</v>
      </c>
    </row>
    <row r="73" spans="2:4" x14ac:dyDescent="0.2">
      <c r="B73" s="17" t="str">
        <v>fy</v>
      </c>
      <c r="C73" s="23" t="str">
        <f t="array" aca="1" ref="C73" ca="1">_xlfn.CONCAT(TEXT(INDIRECT("tblNc["&amp;B73&amp;"]"),"0.000E+0")&amp;",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23" t="str">
        <f t="array" aca="1" ref="C74" ca="1">_xlfn.CONCAT(TEXT(INDIRECT("tblNc["&amp;B74&amp;"]"),"0.000E+0")&amp;",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23" t="str">
        <f t="array" aca="1" ref="C75" ca="1">_xlfn.CONCAT(TEXT(INDIRECT("tblNc["&amp;B75&amp;"]"),"0.000E+0")&amp;",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23" t="str">
        <f t="array" aca="1" ref="C76" ca="1">_xlfn.CONCAT(INDIRECT("tblNc["&amp;B76&amp;"]")&amp;", ")</f>
        <v xml:space="preserve">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</v>
      </c>
      <c r="D76" s="17" t="str">
        <f t="shared" ca="1" si="0"/>
        <v>fref = [250000000,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250000000]</v>
      </c>
    </row>
    <row r="77" spans="2:4" x14ac:dyDescent="0.2">
      <c r="B77" s="17" t="str">
        <v>αb</v>
      </c>
      <c r="C77" s="23" t="str">
        <f t="array" aca="1" ref="C77" ca="1">_xlfn.CONCAT(INDIRECT("tblNc["&amp;B77&amp;"]")&amp;",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23" t="str">
        <f t="array" aca="1" ref="C78" ca="1">_xlfn.CONCAT(TEXT(INDIRECT("tblNc["&amp;B78&amp;"]"),"0.000000000E+0")&amp;",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calc_buckle</v>
      </c>
      <c r="C79" s="23" t="str">
        <f t="array" aca="1" ref="C79" ca="1">_xlfn.CONCAT(TEXT(INDIRECT("tblNc["&amp;B79&amp;"]"),"0.000000000E+0")&amp;",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79" s="17" t="str">
        <f t="shared" ca="1" si="0"/>
        <v>calc_buckle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0" spans="2:4" x14ac:dyDescent="0.2">
      <c r="B80" s="17" t="str">
        <v>calc_torsion</v>
      </c>
      <c r="C80" s="23" t="str">
        <f t="array" aca="1" ref="C80" ca="1">_xlfn.CONCAT(TEXT(INDIRECT("tblNc["&amp;B80&amp;"]"),"0.000000000E+0")&amp;",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80" s="17" t="str">
        <f t="shared" ca="1" si="0"/>
        <v>calc_torsion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1" spans="2:4" x14ac:dyDescent="0.2">
      <c r="B81" s="17" t="str">
        <v>Ae</v>
      </c>
      <c r="C81" s="23" t="str">
        <f t="array" aca="1" ref="C81" ca="1">_xlfn.CONCAT(TEXT(INDIRECT("tblNc["&amp;B81&amp;"]"),"0.000000000E+0")&amp;", ")</f>
        <v xml:space="preserve">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1.300000000E-2, </v>
      </c>
      <c r="D81" s="17" t="str">
        <f t="shared" ca="1" si="0"/>
        <v>Ae = [1.890000000E-3,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1.300000000E-2]</v>
      </c>
    </row>
    <row r="82" spans="2:4" x14ac:dyDescent="0.2">
      <c r="B82" s="17" t="str">
        <v>Ns</v>
      </c>
      <c r="C82" s="23" t="str">
        <f t="array" aca="1" ref="C82" ca="1">_xlfn.CONCAT(TEXT(INDIRECT("tblNc["&amp;B82&amp;"]"),"0.000000000E+0")&amp;", ")</f>
        <v xml:space="preserve">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3.900000000E+6, </v>
      </c>
      <c r="D82" s="17" t="str">
        <f t="shared" ca="1" si="0"/>
        <v>Ns = [6.048000000E+5,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3.900000000E+6]</v>
      </c>
    </row>
    <row r="83" spans="2:4" x14ac:dyDescent="0.2">
      <c r="B83" s="17" t="str">
        <v>φNs</v>
      </c>
      <c r="C83" s="23" t="str">
        <f t="array" aca="1" ref="C83" ca="1">_xlfn.CONCAT(TEXT(INDIRECT("tblNc["&amp;B83&amp;"]"),"0.000000000E+0")&amp;", ")</f>
        <v xml:space="preserve">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3.510000000E+6, </v>
      </c>
      <c r="D83" s="17" t="str">
        <f t="shared" ca="1" si="0"/>
        <v>φNs = [5.443200000E+5,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3.510000000E+6]</v>
      </c>
    </row>
    <row r="84" spans="2:4" x14ac:dyDescent="0.2">
      <c r="B84" s="17" t="str">
        <v>lex</v>
      </c>
      <c r="C84" s="23" t="str">
        <f t="array" aca="1" ref="C84" ca="1">_xlfn.CONCAT(TEXT(INDIRECT("tblNc["&amp;B84&amp;"]"),"0.000000000E+0")&amp;",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4" s="17" t="str">
        <f t="shared" ca="1" si="0"/>
        <v>lex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5" spans="2:4" x14ac:dyDescent="0.2">
      <c r="B85" s="17" t="str">
        <v>ley</v>
      </c>
      <c r="C85" s="23" t="str">
        <f t="array" aca="1" ref="C85" ca="1">_xlfn.CONCAT(TEXT(INDIRECT("tblNc["&amp;B85&amp;"]"),"0.000000000E+0")&amp;",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5" s="17" t="str">
        <f t="shared" ca="1" si="0"/>
        <v>ley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6" spans="2:4" x14ac:dyDescent="0.2">
      <c r="B86" s="17" t="str">
        <v>lez</v>
      </c>
      <c r="C86" s="23" t="str">
        <f t="array" aca="1" ref="C86" ca="1">_xlfn.CONCAT(TEXT(INDIRECT("tblNc["&amp;B86&amp;"]"),"0.000000000E+0")&amp;",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6" s="17" t="str">
        <f t="shared" ca="1" si="0"/>
        <v>lez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7" spans="2:4" x14ac:dyDescent="0.2">
      <c r="B87" s="17" t="str">
        <v>λnx</v>
      </c>
      <c r="C87" s="23" t="str">
        <f t="array" aca="1" ref="C87" ca="1">_xlfn.CONCAT(TEXT(INDIRECT("tblNc["&amp;B87&amp;"]"),"0.000000000E+0")&amp;", ")</f>
        <v xml:space="preserve">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4.309372535E+0, </v>
      </c>
      <c r="D87" s="17" t="str">
        <f t="shared" ca="1" si="0"/>
        <v>λnx = [2.752727129E+2,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4.309372535E+0]</v>
      </c>
    </row>
    <row r="88" spans="2:4" x14ac:dyDescent="0.2">
      <c r="B88" s="17" t="str">
        <v>αax</v>
      </c>
      <c r="C88" s="23" t="str">
        <f t="array" aca="1" ref="C88" ca="1">_xlfn.CONCAT(TEXT(INDIRECT("tblNc["&amp;B88&amp;"]"),"0.000000000E+0")&amp;", ")</f>
        <v xml:space="preserve">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-9.637450454E+0, </v>
      </c>
      <c r="D88" s="17" t="str">
        <f t="shared" ca="1" si="0"/>
        <v>αax = [7.467699390E+0,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-9.637450454E+0]</v>
      </c>
    </row>
    <row r="89" spans="2:4" x14ac:dyDescent="0.2">
      <c r="B89" s="17" t="str">
        <v>λx</v>
      </c>
      <c r="C89" s="23" t="str">
        <f t="array" aca="1" ref="C89" ca="1">_xlfn.CONCAT(TEXT(INDIRECT("tblNc["&amp;B89&amp;"]"),"0.000000000E+0")&amp;", ")</f>
        <v xml:space="preserve">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-5.093526919E-1, </v>
      </c>
      <c r="D89" s="17" t="str">
        <f t="shared" ca="1" si="0"/>
        <v>λx = [2.752727129E+2,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-5.093526919E-1]</v>
      </c>
    </row>
    <row r="90" spans="2:4" x14ac:dyDescent="0.2">
      <c r="B90" s="17" t="str">
        <v>ηx</v>
      </c>
      <c r="C90" s="23" t="str">
        <f t="array" aca="1" ref="C90" ca="1">_xlfn.CONCAT(TEXT(INDIRECT("tblNc["&amp;B90&amp;"]"),"0.000000000E+0")&amp;", ")</f>
        <v xml:space="preserve">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0.000000000E+0, </v>
      </c>
      <c r="D90" s="17" t="str">
        <f t="shared" ca="1" si="0"/>
        <v>ηx = [8.533790440E-1,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0.000000000E+0]</v>
      </c>
    </row>
    <row r="91" spans="2:4" x14ac:dyDescent="0.2">
      <c r="B91" s="17" t="str">
        <v>ξx</v>
      </c>
      <c r="C91" s="23" t="str">
        <f t="array" aca="1" ref="C91" ca="1">_xlfn.CONCAT(TEXT(INDIRECT("tblNc["&amp;B91&amp;"]"),"0.000000000E+0")&amp;", ")</f>
        <v xml:space="preserve">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1.561103588E+4, </v>
      </c>
      <c r="D91" s="17" t="str">
        <f t="shared" ca="1" si="0"/>
        <v>ξx = [5.990587733E-1,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1.561103588E+4]</v>
      </c>
    </row>
    <row r="92" spans="2:4" x14ac:dyDescent="0.2">
      <c r="B92" s="17" t="str">
        <v>αcx</v>
      </c>
      <c r="C92" s="23" t="str">
        <f t="array" aca="1" ref="C92" ca="1">_xlfn.CONCAT(TEXT(INDIRECT("tblNc["&amp;B92&amp;"]"),"0.000000000E+0")&amp;", ")</f>
        <v xml:space="preserve">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1.000000000E+0, </v>
      </c>
      <c r="D92" s="17" t="str">
        <f t="shared" ca="1" si="0"/>
        <v>αcx = [9.708656934E-2,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1.000000000E+0]</v>
      </c>
    </row>
    <row r="93" spans="2:4" x14ac:dyDescent="0.2">
      <c r="B93" s="17" t="str">
        <v>Ncx</v>
      </c>
      <c r="C93" s="23" t="str">
        <f t="array" aca="1" ref="C93" ca="1">_xlfn.CONCAT(TEXT(INDIRECT("tblNc["&amp;B93&amp;"]"),"0.000000000E+0")&amp;", ")</f>
        <v xml:space="preserve">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3.900000000E+6, </v>
      </c>
      <c r="D93" s="17" t="str">
        <f t="shared" ca="1" si="0"/>
        <v>Ncx = [5.871795713E+4,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3.900000000E+6]</v>
      </c>
    </row>
    <row r="94" spans="2:4" x14ac:dyDescent="0.2">
      <c r="B94" s="17" t="str">
        <v>φNcx</v>
      </c>
      <c r="C94" s="23" t="str">
        <f t="array" aca="1" ref="C94" ca="1">_xlfn.CONCAT(TEXT(INDIRECT("tblNc["&amp;B94&amp;"]"),"0.000000000E+0")&amp;", ")</f>
        <v xml:space="preserve">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3.510000000E+6, </v>
      </c>
      <c r="D94" s="17" t="str">
        <f t="shared" ca="1" si="0"/>
        <v>φNcx = [5.284616142E+4,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3.510000000E+6]</v>
      </c>
    </row>
    <row r="95" spans="2:4" x14ac:dyDescent="0.2">
      <c r="B95" s="17" t="str">
        <v>λny</v>
      </c>
      <c r="C95" s="23" t="str">
        <f t="array" aca="1" ref="C95" ca="1">_xlfn.CONCAT(TEXT(INDIRECT("tblNc["&amp;B95&amp;"]"),"0.000000000E+0")&amp;", ")</f>
        <v xml:space="preserve">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1.208351471E+1, </v>
      </c>
      <c r="D95" s="17" t="str">
        <f t="shared" ca="1" si="0"/>
        <v>λny = [4.617840204E+2,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1.208351471E+1]</v>
      </c>
    </row>
    <row r="96" spans="2:4" x14ac:dyDescent="0.2">
      <c r="B96" s="17" t="str">
        <v>αay</v>
      </c>
      <c r="C96" s="23" t="str">
        <f t="array" aca="1" ref="C96" ca="1">_xlfn.CONCAT(TEXT(INDIRECT("tblNc["&amp;B96&amp;"]"),"0.000000000E+0")&amp;", ")</f>
        <v xml:space="preserve">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-1.479075875E+0, </v>
      </c>
      <c r="D96" s="17" t="str">
        <f t="shared" ca="1" si="0"/>
        <v>αay = [4.520962988E+0,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-1.479075875E+0]</v>
      </c>
    </row>
    <row r="97" spans="2:4" x14ac:dyDescent="0.2">
      <c r="B97" s="17" t="str">
        <v>λy</v>
      </c>
      <c r="C97" s="23" t="str">
        <f t="array" aca="1" ref="C97" ca="1">_xlfn.CONCAT(TEXT(INDIRECT("tblNc["&amp;B97&amp;"]"),"0.000000000E+0")&amp;", ")</f>
        <v xml:space="preserve">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1.134397677E+1, </v>
      </c>
      <c r="D97" s="17" t="str">
        <f t="shared" ref="D97:D100" ca="1" si="1">B97&amp;" = ["&amp;LEFT(C97,LEN(C97)-2)&amp;"]"</f>
        <v>λy = [4.617840204E+2,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1.134397677E+1]</v>
      </c>
    </row>
    <row r="98" spans="2:4" x14ac:dyDescent="0.2">
      <c r="B98" s="17" t="str">
        <v>ηy</v>
      </c>
      <c r="C98" s="23" t="str">
        <f t="array" aca="1" ref="C98" ca="1">_xlfn.CONCAT(TEXT(INDIRECT("tblNc["&amp;B98&amp;"]"),"0.000000000E+0")&amp;", ")</f>
        <v xml:space="preserve">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0.000000000E+0, </v>
      </c>
      <c r="D98" s="17" t="str">
        <f t="shared" ca="1" si="1"/>
        <v>ηy = [1.461405906E+0,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0.000000000E+0]</v>
      </c>
    </row>
    <row r="99" spans="2:4" x14ac:dyDescent="0.2">
      <c r="B99" s="17" t="str">
        <v>ξy</v>
      </c>
      <c r="C99" s="23" t="str">
        <f t="array" aca="1" ref="C99" ca="1">_xlfn.CONCAT(TEXT(INDIRECT("tblNc["&amp;B99&amp;"]"),"0.000000000E+0")&amp;", ")</f>
        <v xml:space="preserve">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3.197200172E+1, </v>
      </c>
      <c r="D99" s="17" t="str">
        <f t="shared" ca="1" si="1"/>
        <v>ξy = [5.467477229E-1,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3.197200172E+1]</v>
      </c>
    </row>
    <row r="100" spans="2:4" x14ac:dyDescent="0.2">
      <c r="B100" s="17" t="str">
        <v>αcy</v>
      </c>
      <c r="C100" s="23" t="str">
        <f t="array" aca="1" ref="C100" ca="1">_xlfn.CONCAT(TEXT(INDIRECT("tblNc["&amp;B100&amp;"]"),"0.000000000E+0")&amp;", ")</f>
        <v xml:space="preserve">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1.000000000E+0, </v>
      </c>
      <c r="D100" s="17" t="str">
        <f t="shared" ca="1" si="1"/>
        <v>αcy = [3.591653534E-2,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1.000000000E+0]</v>
      </c>
    </row>
    <row r="101" spans="2:4" x14ac:dyDescent="0.2">
      <c r="B101" s="17" t="str">
        <v>Ncy</v>
      </c>
      <c r="C101" s="23" t="str">
        <f t="array" aca="1" ref="C101" ca="1">_xlfn.CONCAT(TEXT(INDIRECT("tblNc["&amp;B101&amp;"]"),"0.000000000E+0")&amp;",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1" s="17" t="str">
        <f t="shared" ref="D101" ca="1" si="2">B101&amp;" = ["&amp;LEFT(C101,LEN(C101)-2)&amp;"]"</f>
        <v>Ncy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2" spans="2:4" x14ac:dyDescent="0.2">
      <c r="B102" s="17" t="str">
        <v>φNcy</v>
      </c>
      <c r="C102" s="23" t="str">
        <f t="array" aca="1" ref="C102" ca="1">_xlfn.CONCAT(TEXT(INDIRECT("tblNc["&amp;B102&amp;"]"),"0.000000000E+0")&amp;",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2" s="17" t="str">
        <f t="shared" ref="D102" ca="1" si="3">B102&amp;" = ["&amp;LEFT(C102,LEN(C102)-2)&amp;"]"</f>
        <v>φNcy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3" spans="2:4" x14ac:dyDescent="0.2">
      <c r="B103" s="17" t="str">
        <v>Ncflex</v>
      </c>
      <c r="C103" s="23" t="str">
        <f t="array" aca="1" ref="C103" ca="1">_xlfn.CONCAT(TEXT(INDIRECT("tblNc["&amp;B103&amp;"]"),"0.000000000E+0")&amp;",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3" s="17" t="str">
        <f t="shared" ref="D103:D110" ca="1" si="4">B103&amp;" = ["&amp;LEFT(C103,LEN(C103)-2)&amp;"]"</f>
        <v>Ncflex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4" spans="2:4" x14ac:dyDescent="0.2">
      <c r="B104" s="17" t="str">
        <v>φNcflex</v>
      </c>
      <c r="C104" s="23" t="str">
        <f t="array" aca="1" ref="C104" ca="1">_xlfn.CONCAT(TEXT(INDIRECT("tblNc["&amp;B104&amp;"]"),"0.000000000E+0")&amp;",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4" s="17" t="str">
        <f t="shared" ca="1" si="4"/>
        <v>φNcflex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5" spans="2:4" x14ac:dyDescent="0.2">
      <c r="B105" s="17" t="str">
        <v>Ncz_dbl</v>
      </c>
      <c r="C105" s="23" t="e">
        <f t="array" aca="1" ref="C105" ca="1">_xlfn.CONCAT(TEXT(INDIRECT("tblNc["&amp;B105&amp;"]"),"0.000000000E+0")&amp;", ")</f>
        <v>#N/A</v>
      </c>
      <c r="D105" s="17" t="e">
        <f t="shared" ca="1" si="4"/>
        <v>#N/A</v>
      </c>
    </row>
    <row r="106" spans="2:4" x14ac:dyDescent="0.2">
      <c r="B106" s="17" t="str">
        <v>Ncz_sngl</v>
      </c>
      <c r="C106" s="23" t="e">
        <f t="array" aca="1" ref="C106" ca="1">_xlfn.CONCAT(TEXT(INDIRECT("tblNc["&amp;B106&amp;"]"),"0.000000000E+0")&amp;", ")</f>
        <v>#N/A</v>
      </c>
      <c r="D106" s="17" t="e">
        <f t="shared" ca="1" si="4"/>
        <v>#N/A</v>
      </c>
    </row>
    <row r="107" spans="2:4" x14ac:dyDescent="0.2">
      <c r="B107" s="17" t="str">
        <v>Ncz_un</v>
      </c>
      <c r="C107" s="23" t="str">
        <f t="array" aca="1" ref="C107" ca="1">_xlfn.CONCAT(TEXT(INDIRECT("tblNc["&amp;B107&amp;"]"),"0.000000000E+0")&amp;",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107" s="17" t="str">
        <f t="shared" ca="1" si="4"/>
        <v>Ncz_un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  <row r="108" spans="2:4" x14ac:dyDescent="0.2">
      <c r="B108" s="17" t="str">
        <v>Ncz_base</v>
      </c>
      <c r="C108" s="23" t="str">
        <f t="array" aca="1" ref="C108" ca="1">_xlfn.CONCAT(TEXT(INDIRECT("tblNc["&amp;B108&amp;"]"),"0.000000000E+0")&amp;",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8" s="17" t="str">
        <f t="shared" ca="1" si="4"/>
        <v>Ncz_base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09" spans="2:4" x14ac:dyDescent="0.2">
      <c r="B109" s="17" t="str">
        <v>Ncz</v>
      </c>
      <c r="C109" s="23" t="str">
        <f t="array" aca="1" ref="C109" ca="1">_xlfn.CONCAT(TEXT(INDIRECT("tblNc["&amp;B109&amp;"]"),"0.000000000E+0")&amp;",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9" s="17" t="str">
        <f t="shared" ca="1" si="4"/>
        <v>Ncz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10" spans="2:4" x14ac:dyDescent="0.2">
      <c r="B110" s="17" t="str">
        <v>φNcz</v>
      </c>
      <c r="C110" s="23" t="str">
        <f t="array" aca="1" ref="C110" ca="1">_xlfn.CONCAT(TEXT(INDIRECT("tblNc["&amp;B110&amp;"]"),"0.000000000E+0")&amp;", ")</f>
        <v xml:space="preserve">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2.746397779E+6, </v>
      </c>
      <c r="D110" s="17" t="str">
        <f t="shared" ca="1" si="4"/>
        <v>φNcz = [4.228012061E+4,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2.746397779E+6]</v>
      </c>
    </row>
    <row r="111" spans="2:4" x14ac:dyDescent="0.2">
      <c r="B111" s="17" t="str">
        <v>Nc</v>
      </c>
      <c r="C111" s="23" t="str">
        <f t="array" aca="1" ref="C111" ca="1">_xlfn.CONCAT(TEXT(INDIRECT("tblNc["&amp;B111&amp;"]"),"0.000000000E+0")&amp;", ")</f>
        <v xml:space="preserve">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3.051553087E+6, </v>
      </c>
      <c r="D111" s="17" t="str">
        <f t="shared" ref="D111:D112" ca="1" si="5">B111&amp;" = ["&amp;LEFT(C111,LEN(C111)-2)&amp;"]"</f>
        <v>Nc = [2.172232058E+4,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3.051553087E+6]</v>
      </c>
    </row>
    <row r="112" spans="2:4" x14ac:dyDescent="0.2">
      <c r="B112" s="17" t="str">
        <v>φNc</v>
      </c>
      <c r="C112" s="23" t="str">
        <f t="array" aca="1" ref="C112" ca="1">_xlfn.CONCAT(TEXT(INDIRECT("tblNc["&amp;B112&amp;"]"),"0.000000000E+0")&amp;", ")</f>
        <v xml:space="preserve">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2.746397779E+6, </v>
      </c>
      <c r="D112" s="17" t="str">
        <f t="shared" ca="1" si="5"/>
        <v>φNc = [1.955008852E+4,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5"/>
  <sheetViews>
    <sheetView topLeftCell="A19" workbookViewId="0">
      <selection activeCell="I32" sqref="I32"/>
    </sheetView>
  </sheetViews>
  <sheetFormatPr defaultColWidth="9" defaultRowHeight="11.25" x14ac:dyDescent="0.2"/>
  <cols>
    <col min="1" max="1" width="3.5703125" style="17" customWidth="1"/>
    <col min="2" max="2" width="8.28515625" style="17" bestFit="1" customWidth="1"/>
    <col min="3" max="5" width="6.42578125" style="17" bestFit="1" customWidth="1"/>
    <col min="6" max="7" width="6.28515625" style="17" bestFit="1" customWidth="1"/>
    <col min="8" max="9" width="5.7109375" style="17" bestFit="1" customWidth="1"/>
    <col min="10" max="11" width="6.28515625" style="17" bestFit="1" customWidth="1"/>
    <col min="12" max="12" width="6" style="17" bestFit="1" customWidth="1"/>
    <col min="13" max="13" width="6.28515625" style="17" bestFit="1" customWidth="1"/>
    <col min="14" max="14" width="16.42578125" style="17" bestFit="1" customWidth="1"/>
    <col min="15" max="15" width="18" style="17" bestFit="1" customWidth="1"/>
    <col min="16" max="16" width="17.28515625" style="17" bestFit="1" customWidth="1"/>
    <col min="17" max="17" width="14.140625" style="17" bestFit="1" customWidth="1"/>
    <col min="18" max="18" width="17.28515625" style="17" bestFit="1" customWidth="1"/>
    <col min="19" max="16384" width="9" style="17"/>
  </cols>
  <sheetData>
    <row r="2" spans="2:18" ht="12.75" x14ac:dyDescent="0.25">
      <c r="B2" s="17" t="s">
        <v>3</v>
      </c>
      <c r="C2" s="17" t="s">
        <v>59</v>
      </c>
      <c r="D2" s="17" t="s">
        <v>53</v>
      </c>
      <c r="E2" s="17" t="s">
        <v>55</v>
      </c>
      <c r="F2" s="17" t="s">
        <v>32</v>
      </c>
      <c r="G2" s="17" t="s">
        <v>33</v>
      </c>
      <c r="H2" s="17" t="s">
        <v>56</v>
      </c>
      <c r="I2" s="17" t="s">
        <v>57</v>
      </c>
      <c r="J2" s="17" t="s">
        <v>2</v>
      </c>
      <c r="K2" s="17" t="s">
        <v>58</v>
      </c>
      <c r="L2" s="17" t="s">
        <v>1</v>
      </c>
      <c r="M2" s="17" t="s">
        <v>0</v>
      </c>
      <c r="N2" s="17" t="s">
        <v>60</v>
      </c>
      <c r="O2" s="17" t="s">
        <v>74</v>
      </c>
      <c r="P2" s="17" t="s">
        <v>63</v>
      </c>
      <c r="Q2" s="34" t="s">
        <v>35</v>
      </c>
      <c r="R2" s="17" t="s">
        <v>34</v>
      </c>
    </row>
    <row r="3" spans="2:18" x14ac:dyDescent="0.2">
      <c r="B3" s="13" t="s">
        <v>36</v>
      </c>
      <c r="C3" s="14">
        <v>1.89E-3</v>
      </c>
      <c r="D3" s="7">
        <v>10</v>
      </c>
      <c r="E3" s="7">
        <v>10</v>
      </c>
      <c r="F3" s="15">
        <v>4.1099999999999998E-2</v>
      </c>
      <c r="G3" s="15">
        <v>2.4500000000000001E-2</v>
      </c>
      <c r="H3" s="18">
        <v>0</v>
      </c>
      <c r="I3" s="18">
        <v>0</v>
      </c>
      <c r="J3" s="16">
        <v>3.4900000000000001E-8</v>
      </c>
      <c r="K3" s="16">
        <v>2.2999999999999999E-9</v>
      </c>
      <c r="L3" s="6">
        <v>200000000000</v>
      </c>
      <c r="M3" s="6">
        <v>80000000000</v>
      </c>
      <c r="N3" s="47">
        <f>SQRT(tblfoxz[[#This Row],[rx]]^2+tblfoxz[[#This Row],[ry]]^2+tblfoxz[[#This Row],[xo]]^2+tblfoxz[[#This Row],[yo]]^2)</f>
        <v>4.784830195524184E-2</v>
      </c>
      <c r="O3" s="48">
        <f>(tblfoxz[[#This Row],[E]]*PI()^2)/((tblfoxz[[#This Row],[lex]]/tblfoxz[[#This Row],[rx]])^2)</f>
        <v>33343668.900728308</v>
      </c>
      <c r="P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655731018.07307041</v>
      </c>
      <c r="Q3" s="47">
        <f>1-(tblfoxz[[#This Row],[xo]]/tblfoxz[[#This Row],[rol]])^2</f>
        <v>1</v>
      </c>
      <c r="R3" s="50">
        <f>(1/(2*tblfoxz[[#This Row],[β]]))*((tblfoxz[[#This Row],[fox]]+tblfoxz[[#This Row],[foz]])-SQRT((tblfoxz[[#This Row],[fox]]+tblfoxz[[#This Row],[foz]])^2-4*tblfoxz[[#This Row],[β]]*tblfoxz[[#This Row],[fox]]*tblfoxz[[#This Row],[foz]]))</f>
        <v>33343668.900728345</v>
      </c>
    </row>
    <row r="4" spans="2:18" x14ac:dyDescent="0.2">
      <c r="B4" s="13" t="s">
        <v>36</v>
      </c>
      <c r="C4" s="14">
        <v>1.89E-3</v>
      </c>
      <c r="D4" s="7">
        <v>5</v>
      </c>
      <c r="E4" s="7">
        <v>5</v>
      </c>
      <c r="F4" s="15">
        <v>4.1099999999999998E-2</v>
      </c>
      <c r="G4" s="15">
        <v>2.4500000000000001E-2</v>
      </c>
      <c r="H4" s="18">
        <v>0</v>
      </c>
      <c r="I4" s="18">
        <v>0</v>
      </c>
      <c r="J4" s="16">
        <v>3.4900000000000001E-8</v>
      </c>
      <c r="K4" s="16">
        <v>2.2999999999999999E-9</v>
      </c>
      <c r="L4" s="6">
        <v>200000000000</v>
      </c>
      <c r="M4" s="6">
        <v>80000000000</v>
      </c>
      <c r="N4" s="47">
        <f>SQRT(tblfoxz[[#This Row],[rx]]^2+tblfoxz[[#This Row],[ry]]^2+tblfoxz[[#This Row],[xo]]^2+tblfoxz[[#This Row],[yo]]^2)</f>
        <v>4.784830195524184E-2</v>
      </c>
      <c r="O4" s="48">
        <f>(tblfoxz[[#This Row],[E]]*PI()^2)/((tblfoxz[[#This Row],[lex]]/tblfoxz[[#This Row],[rx]])^2)</f>
        <v>133374675.60291323</v>
      </c>
      <c r="P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687207339.19974852</v>
      </c>
      <c r="Q4" s="47">
        <f>1-(tblfoxz[[#This Row],[xo]]/tblfoxz[[#This Row],[rol]])^2</f>
        <v>1</v>
      </c>
      <c r="R4" s="50">
        <f>(1/(2*tblfoxz[[#This Row],[β]]))*((tblfoxz[[#This Row],[fox]]+tblfoxz[[#This Row],[foz]])-SQRT((tblfoxz[[#This Row],[fox]]+tblfoxz[[#This Row],[foz]])^2-4*tblfoxz[[#This Row],[β]]*tblfoxz[[#This Row],[fox]]*tblfoxz[[#This Row],[foz]]))</f>
        <v>133374675.60291326</v>
      </c>
    </row>
    <row r="5" spans="2:18" x14ac:dyDescent="0.2">
      <c r="B5" s="13" t="s">
        <v>36</v>
      </c>
      <c r="C5" s="14">
        <v>1.89E-3</v>
      </c>
      <c r="D5" s="7">
        <v>1</v>
      </c>
      <c r="E5" s="7">
        <v>1</v>
      </c>
      <c r="F5" s="15">
        <v>4.1099999999999998E-2</v>
      </c>
      <c r="G5" s="15">
        <v>2.4500000000000001E-2</v>
      </c>
      <c r="H5" s="18">
        <v>0</v>
      </c>
      <c r="I5" s="18">
        <v>0</v>
      </c>
      <c r="J5" s="16">
        <v>3.4900000000000001E-8</v>
      </c>
      <c r="K5" s="16">
        <v>2.2999999999999999E-9</v>
      </c>
      <c r="L5" s="6">
        <v>200000000000</v>
      </c>
      <c r="M5" s="6">
        <v>80000000000</v>
      </c>
      <c r="N5" s="47">
        <f>SQRT(tblfoxz[[#This Row],[rx]]^2+tblfoxz[[#This Row],[ry]]^2+tblfoxz[[#This Row],[xo]]^2+tblfoxz[[#This Row],[yo]]^2)</f>
        <v>4.784830195524184E-2</v>
      </c>
      <c r="O5" s="48">
        <f>(tblfoxz[[#This Row],[E]]*PI()^2)/((tblfoxz[[#This Row],[lex]]/tblfoxz[[#This Row],[rx]])^2)</f>
        <v>3334366890.0728307</v>
      </c>
      <c r="P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1694449615.253444</v>
      </c>
      <c r="Q5" s="47">
        <f>1-(tblfoxz[[#This Row],[xo]]/tblfoxz[[#This Row],[rol]])^2</f>
        <v>1</v>
      </c>
      <c r="R5" s="50">
        <f>(1/(2*tblfoxz[[#This Row],[β]]))*((tblfoxz[[#This Row],[fox]]+tblfoxz[[#This Row],[foz]])-SQRT((tblfoxz[[#This Row],[fox]]+tblfoxz[[#This Row],[foz]])^2-4*tblfoxz[[#This Row],[β]]*tblfoxz[[#This Row],[fox]]*tblfoxz[[#This Row],[foz]]))</f>
        <v>1694449615.2534437</v>
      </c>
    </row>
    <row r="6" spans="2:18" x14ac:dyDescent="0.2">
      <c r="B6" s="13" t="s">
        <v>36</v>
      </c>
      <c r="C6" s="14">
        <v>1.89E-3</v>
      </c>
      <c r="D6" s="7">
        <v>0.5</v>
      </c>
      <c r="E6" s="7">
        <v>0.5</v>
      </c>
      <c r="F6" s="15">
        <v>4.1099999999999998E-2</v>
      </c>
      <c r="G6" s="15">
        <v>2.4500000000000001E-2</v>
      </c>
      <c r="H6" s="18">
        <v>0</v>
      </c>
      <c r="I6" s="18">
        <v>0</v>
      </c>
      <c r="J6" s="16">
        <v>3.4900000000000001E-8</v>
      </c>
      <c r="K6" s="16">
        <v>2.2999999999999999E-9</v>
      </c>
      <c r="L6" s="6">
        <v>200000000000</v>
      </c>
      <c r="M6" s="6">
        <v>80000000000</v>
      </c>
      <c r="N6" s="47">
        <f>SQRT(tblfoxz[[#This Row],[rx]]^2+tblfoxz[[#This Row],[ry]]^2+tblfoxz[[#This Row],[xo]]^2+tblfoxz[[#This Row],[yo]]^2)</f>
        <v>4.784830195524184E-2</v>
      </c>
      <c r="O6" s="48">
        <f>(tblfoxz[[#This Row],[E]]*PI()^2)/((tblfoxz[[#This Row],[lex]]/tblfoxz[[#This Row],[rx]])^2)</f>
        <v>13337467560.291323</v>
      </c>
      <c r="P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4842081727.9212427</v>
      </c>
      <c r="Q6" s="47">
        <f>1-(tblfoxz[[#This Row],[xo]]/tblfoxz[[#This Row],[rol]])^2</f>
        <v>1</v>
      </c>
      <c r="R6" s="50">
        <f>(1/(2*tblfoxz[[#This Row],[β]]))*((tblfoxz[[#This Row],[fox]]+tblfoxz[[#This Row],[foz]])-SQRT((tblfoxz[[#This Row],[fox]]+tblfoxz[[#This Row],[foz]])^2-4*tblfoxz[[#This Row],[β]]*tblfoxz[[#This Row],[fox]]*tblfoxz[[#This Row],[foz]]))</f>
        <v>4842081727.9212418</v>
      </c>
    </row>
    <row r="7" spans="2:18" x14ac:dyDescent="0.2">
      <c r="B7" s="4" t="s">
        <v>4</v>
      </c>
      <c r="C7" s="10">
        <v>5.79E-2</v>
      </c>
      <c r="D7" s="4">
        <v>80</v>
      </c>
      <c r="E7" s="4">
        <v>80</v>
      </c>
      <c r="F7" s="4">
        <v>0.51500000000000001</v>
      </c>
      <c r="G7" s="5">
        <v>0.12</v>
      </c>
      <c r="H7" s="18">
        <v>0</v>
      </c>
      <c r="I7" s="18">
        <v>0</v>
      </c>
      <c r="J7" s="16">
        <v>2.1999999999999999E-5</v>
      </c>
      <c r="K7" s="16">
        <v>2.7999999999999998E-4</v>
      </c>
      <c r="L7" s="6">
        <v>200000000000</v>
      </c>
      <c r="M7" s="6">
        <v>80000000000</v>
      </c>
      <c r="N7" s="47">
        <f>SQRT(tblfoxz[[#This Row],[rx]]^2+tblfoxz[[#This Row],[ry]]^2+tblfoxz[[#This Row],[xo]]^2+tblfoxz[[#This Row],[yo]]^2)</f>
        <v>0.52879580179876617</v>
      </c>
      <c r="O7" s="48">
        <f>(tblfoxz[[#This Row],[E]]*PI()^2)/((tblfoxz[[#This Row],[lex]]/tblfoxz[[#This Row],[rx]])^2)</f>
        <v>81802057.102466419</v>
      </c>
      <c r="P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114041152.0493093</v>
      </c>
      <c r="Q7" s="47">
        <f>1-(tblfoxz[[#This Row],[xo]]/tblfoxz[[#This Row],[rol]])^2</f>
        <v>1</v>
      </c>
      <c r="R7" s="50">
        <f>(1/(2*tblfoxz[[#This Row],[β]]))*((tblfoxz[[#This Row],[fox]]+tblfoxz[[#This Row],[foz]])-SQRT((tblfoxz[[#This Row],[fox]]+tblfoxz[[#This Row],[foz]])^2-4*tblfoxz[[#This Row],[β]]*tblfoxz[[#This Row],[fox]]*tblfoxz[[#This Row],[foz]]))</f>
        <v>81802057.102466404</v>
      </c>
    </row>
    <row r="8" spans="2:18" x14ac:dyDescent="0.2">
      <c r="B8" s="4" t="s">
        <v>4</v>
      </c>
      <c r="C8" s="10">
        <v>5.79E-2</v>
      </c>
      <c r="D8" s="4">
        <v>40</v>
      </c>
      <c r="E8" s="4">
        <v>40</v>
      </c>
      <c r="F8" s="4">
        <v>0.51500000000000001</v>
      </c>
      <c r="G8" s="5">
        <v>0.12</v>
      </c>
      <c r="H8" s="18">
        <v>0</v>
      </c>
      <c r="I8" s="18">
        <v>0</v>
      </c>
      <c r="J8" s="16">
        <v>2.1999999999999999E-5</v>
      </c>
      <c r="K8" s="16">
        <v>2.7999999999999998E-4</v>
      </c>
      <c r="L8" s="6">
        <v>200000000000</v>
      </c>
      <c r="M8" s="6">
        <v>80000000000</v>
      </c>
      <c r="N8" s="47">
        <f>SQRT(tblfoxz[[#This Row],[rx]]^2+tblfoxz[[#This Row],[ry]]^2+tblfoxz[[#This Row],[xo]]^2+tblfoxz[[#This Row],[yo]]^2)</f>
        <v>0.52879580179876617</v>
      </c>
      <c r="O8" s="48">
        <f>(tblfoxz[[#This Row],[E]]*PI()^2)/((tblfoxz[[#This Row],[lex]]/tblfoxz[[#This Row],[rx]])^2)</f>
        <v>327208228.40986568</v>
      </c>
      <c r="P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130043160.38477561</v>
      </c>
      <c r="Q8" s="47">
        <f>1-(tblfoxz[[#This Row],[xo]]/tblfoxz[[#This Row],[rol]])^2</f>
        <v>1</v>
      </c>
      <c r="R8" s="50">
        <f>(1/(2*tblfoxz[[#This Row],[β]]))*((tblfoxz[[#This Row],[fox]]+tblfoxz[[#This Row],[foz]])-SQRT((tblfoxz[[#This Row],[fox]]+tblfoxz[[#This Row],[foz]])^2-4*tblfoxz[[#This Row],[β]]*tblfoxz[[#This Row],[fox]]*tblfoxz[[#This Row],[foz]]))</f>
        <v>130043160.38477562</v>
      </c>
    </row>
    <row r="9" spans="2:18" x14ac:dyDescent="0.2">
      <c r="B9" s="4" t="s">
        <v>4</v>
      </c>
      <c r="C9" s="10">
        <v>5.79E-2</v>
      </c>
      <c r="D9" s="4">
        <v>20</v>
      </c>
      <c r="E9" s="4">
        <v>20</v>
      </c>
      <c r="F9" s="4">
        <v>0.51500000000000001</v>
      </c>
      <c r="G9" s="5">
        <v>0.12</v>
      </c>
      <c r="H9" s="18">
        <v>0</v>
      </c>
      <c r="I9" s="18">
        <v>0</v>
      </c>
      <c r="J9" s="16">
        <v>2.1999999999999999E-5</v>
      </c>
      <c r="K9" s="16">
        <v>2.7999999999999998E-4</v>
      </c>
      <c r="L9" s="6">
        <v>200000000000</v>
      </c>
      <c r="M9" s="6">
        <v>80000000000</v>
      </c>
      <c r="N9" s="47">
        <f>SQRT(tblfoxz[[#This Row],[rx]]^2+tblfoxz[[#This Row],[ry]]^2+tblfoxz[[#This Row],[xo]]^2+tblfoxz[[#This Row],[yo]]^2)</f>
        <v>0.52879580179876617</v>
      </c>
      <c r="O9" s="48">
        <f>(tblfoxz[[#This Row],[E]]*PI()^2)/((tblfoxz[[#This Row],[lex]]/tblfoxz[[#This Row],[rx]])^2)</f>
        <v>1308832913.6394627</v>
      </c>
      <c r="P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194051193.72664073</v>
      </c>
      <c r="Q9" s="47">
        <f>1-(tblfoxz[[#This Row],[xo]]/tblfoxz[[#This Row],[rol]])^2</f>
        <v>1</v>
      </c>
      <c r="R9" s="50">
        <f>(1/(2*tblfoxz[[#This Row],[β]]))*((tblfoxz[[#This Row],[fox]]+tblfoxz[[#This Row],[foz]])-SQRT((tblfoxz[[#This Row],[fox]]+tblfoxz[[#This Row],[foz]])^2-4*tblfoxz[[#This Row],[β]]*tblfoxz[[#This Row],[fox]]*tblfoxz[[#This Row],[foz]]))</f>
        <v>194051193.7266407</v>
      </c>
    </row>
    <row r="10" spans="2:18" x14ac:dyDescent="0.2">
      <c r="B10" s="4" t="s">
        <v>4</v>
      </c>
      <c r="C10" s="10">
        <v>5.79E-2</v>
      </c>
      <c r="D10" s="4">
        <v>10</v>
      </c>
      <c r="E10" s="4">
        <v>10</v>
      </c>
      <c r="F10" s="4">
        <v>0.51500000000000001</v>
      </c>
      <c r="G10" s="5">
        <v>0.12</v>
      </c>
      <c r="H10" s="18">
        <v>0</v>
      </c>
      <c r="I10" s="18">
        <v>0</v>
      </c>
      <c r="J10" s="16">
        <v>2.1999999999999999E-5</v>
      </c>
      <c r="K10" s="16">
        <v>2.7999999999999998E-4</v>
      </c>
      <c r="L10" s="6">
        <v>200000000000</v>
      </c>
      <c r="M10" s="6">
        <v>80000000000</v>
      </c>
      <c r="N10" s="47">
        <f>SQRT(tblfoxz[[#This Row],[rx]]^2+tblfoxz[[#This Row],[ry]]^2+tblfoxz[[#This Row],[xo]]^2+tblfoxz[[#This Row],[yo]]^2)</f>
        <v>0.52879580179876617</v>
      </c>
      <c r="O10" s="48">
        <f>(tblfoxz[[#This Row],[E]]*PI()^2)/((tblfoxz[[#This Row],[lex]]/tblfoxz[[#This Row],[rx]])^2)</f>
        <v>5235331654.5578508</v>
      </c>
      <c r="P1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450083327.09410137</v>
      </c>
      <c r="Q10" s="47">
        <f>1-(tblfoxz[[#This Row],[xo]]/tblfoxz[[#This Row],[rol]])^2</f>
        <v>1</v>
      </c>
      <c r="R10" s="50">
        <f>(1/(2*tblfoxz[[#This Row],[β]]))*((tblfoxz[[#This Row],[fox]]+tblfoxz[[#This Row],[foz]])-SQRT((tblfoxz[[#This Row],[fox]]+tblfoxz[[#This Row],[foz]])^2-4*tblfoxz[[#This Row],[β]]*tblfoxz[[#This Row],[fox]]*tblfoxz[[#This Row],[foz]]))</f>
        <v>450083327.09410143</v>
      </c>
    </row>
    <row r="11" spans="2:18" x14ac:dyDescent="0.2">
      <c r="B11" s="4" t="s">
        <v>4</v>
      </c>
      <c r="C11" s="10">
        <v>5.79E-2</v>
      </c>
      <c r="D11" s="4">
        <v>5</v>
      </c>
      <c r="E11" s="4">
        <v>5</v>
      </c>
      <c r="F11" s="4">
        <v>0.51500000000000001</v>
      </c>
      <c r="G11" s="5">
        <v>0.12</v>
      </c>
      <c r="H11" s="18">
        <v>0</v>
      </c>
      <c r="I11" s="18">
        <v>0</v>
      </c>
      <c r="J11" s="16">
        <v>2.1999999999999999E-5</v>
      </c>
      <c r="K11" s="16">
        <v>2.7999999999999998E-4</v>
      </c>
      <c r="L11" s="6">
        <v>200000000000</v>
      </c>
      <c r="M11" s="6">
        <v>80000000000</v>
      </c>
      <c r="N11" s="47">
        <f>SQRT(tblfoxz[[#This Row],[rx]]^2+tblfoxz[[#This Row],[ry]]^2+tblfoxz[[#This Row],[xo]]^2+tblfoxz[[#This Row],[yo]]^2)</f>
        <v>0.52879580179876617</v>
      </c>
      <c r="O11" s="48">
        <f>(tblfoxz[[#This Row],[E]]*PI()^2)/((tblfoxz[[#This Row],[lex]]/tblfoxz[[#This Row],[rx]])^2)</f>
        <v>20941326618.231403</v>
      </c>
      <c r="P1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1474211860.5639436</v>
      </c>
      <c r="Q11" s="47">
        <f>1-(tblfoxz[[#This Row],[xo]]/tblfoxz[[#This Row],[rol]])^2</f>
        <v>1</v>
      </c>
      <c r="R11" s="50">
        <f>(1/(2*tblfoxz[[#This Row],[β]]))*((tblfoxz[[#This Row],[fox]]+tblfoxz[[#This Row],[foz]])-SQRT((tblfoxz[[#This Row],[fox]]+tblfoxz[[#This Row],[foz]])^2-4*tblfoxz[[#This Row],[β]]*tblfoxz[[#This Row],[fox]]*tblfoxz[[#This Row],[foz]]))</f>
        <v>1474211860.5639439</v>
      </c>
    </row>
    <row r="12" spans="2:18" x14ac:dyDescent="0.2">
      <c r="B12" s="4" t="s">
        <v>4</v>
      </c>
      <c r="C12" s="10">
        <v>5.79E-2</v>
      </c>
      <c r="D12" s="4">
        <v>1</v>
      </c>
      <c r="E12" s="4">
        <v>1</v>
      </c>
      <c r="F12" s="4">
        <v>0.51500000000000001</v>
      </c>
      <c r="G12" s="5">
        <v>0.12</v>
      </c>
      <c r="H12" s="18">
        <v>0</v>
      </c>
      <c r="I12" s="18">
        <v>0</v>
      </c>
      <c r="J12" s="16">
        <v>2.1999999999999999E-5</v>
      </c>
      <c r="K12" s="16">
        <v>2.7999999999999998E-4</v>
      </c>
      <c r="L12" s="6">
        <v>200000000000</v>
      </c>
      <c r="M12" s="6">
        <v>80000000000</v>
      </c>
      <c r="N12" s="47">
        <f>SQRT(tblfoxz[[#This Row],[rx]]^2+tblfoxz[[#This Row],[ry]]^2+tblfoxz[[#This Row],[xo]]^2+tblfoxz[[#This Row],[yo]]^2)</f>
        <v>0.52879580179876617</v>
      </c>
      <c r="O12" s="48">
        <f>(tblfoxz[[#This Row],[E]]*PI()^2)/((tblfoxz[[#This Row],[lex]]/tblfoxz[[#This Row],[rx]])^2)</f>
        <v>523533165455.78497</v>
      </c>
      <c r="P1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34246324931.5989</v>
      </c>
      <c r="Q12" s="47">
        <f>1-(tblfoxz[[#This Row],[xo]]/tblfoxz[[#This Row],[rol]])^2</f>
        <v>1</v>
      </c>
      <c r="R12" s="50">
        <f>(1/(2*tblfoxz[[#This Row],[β]]))*((tblfoxz[[#This Row],[fox]]+tblfoxz[[#This Row],[foz]])-SQRT((tblfoxz[[#This Row],[fox]]+tblfoxz[[#This Row],[foz]])^2-4*tblfoxz[[#This Row],[β]]*tblfoxz[[#This Row],[fox]]*tblfoxz[[#This Row],[foz]]))</f>
        <v>34246324931.598907</v>
      </c>
    </row>
    <row r="13" spans="2:18" x14ac:dyDescent="0.2">
      <c r="B13" s="4" t="s">
        <v>9</v>
      </c>
      <c r="C13" s="10">
        <v>1.17E-3</v>
      </c>
      <c r="D13" s="4">
        <v>20</v>
      </c>
      <c r="E13" s="4">
        <v>20</v>
      </c>
      <c r="F13" s="4">
        <v>4.2500000000000003E-2</v>
      </c>
      <c r="G13" s="5">
        <v>1.6400000000000001E-2</v>
      </c>
      <c r="H13" s="5">
        <v>0</v>
      </c>
      <c r="I13" s="5">
        <v>0</v>
      </c>
      <c r="J13" s="6">
        <v>1.48E-8</v>
      </c>
      <c r="K13" s="6">
        <v>0</v>
      </c>
      <c r="L13" s="6">
        <v>200000000000</v>
      </c>
      <c r="M13" s="6">
        <v>80000000000</v>
      </c>
      <c r="N13" s="47">
        <f>SQRT(tblfoxz[[#This Row],[rx]]^2+tblfoxz[[#This Row],[ry]]^2+tblfoxz[[#This Row],[xo]]^2+tblfoxz[[#This Row],[yo]]^2)</f>
        <v>4.5554472886863706E-2</v>
      </c>
      <c r="O13" s="48">
        <f>(tblfoxz[[#This Row],[E]]*PI()^2)/((tblfoxz[[#This Row],[lex]]/tblfoxz[[#This Row],[rx]])^2)</f>
        <v>8913486.4747338276</v>
      </c>
      <c r="P1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3" s="47">
        <f>1-(tblfoxz[[#This Row],[xo]]/tblfoxz[[#This Row],[rol]])^2</f>
        <v>1</v>
      </c>
      <c r="R13" s="50">
        <f>(1/(2*tblfoxz[[#This Row],[β]]))*((tblfoxz[[#This Row],[fox]]+tblfoxz[[#This Row],[foz]])-SQRT((tblfoxz[[#This Row],[fox]]+tblfoxz[[#This Row],[foz]])^2-4*tblfoxz[[#This Row],[β]]*tblfoxz[[#This Row],[fox]]*tblfoxz[[#This Row],[foz]]))</f>
        <v>8913486.4747338295</v>
      </c>
    </row>
    <row r="14" spans="2:18" x14ac:dyDescent="0.2">
      <c r="B14" s="4" t="s">
        <v>9</v>
      </c>
      <c r="C14" s="10">
        <v>1.17E-3</v>
      </c>
      <c r="D14" s="4">
        <v>10</v>
      </c>
      <c r="E14" s="4">
        <v>10</v>
      </c>
      <c r="F14" s="4">
        <v>4.2500000000000003E-2</v>
      </c>
      <c r="G14" s="5">
        <v>1.6400000000000001E-2</v>
      </c>
      <c r="H14" s="5">
        <v>0</v>
      </c>
      <c r="I14" s="5">
        <v>0</v>
      </c>
      <c r="J14" s="6">
        <v>1.48E-8</v>
      </c>
      <c r="K14" s="6">
        <v>0</v>
      </c>
      <c r="L14" s="6">
        <v>200000000000</v>
      </c>
      <c r="M14" s="6">
        <v>80000000000</v>
      </c>
      <c r="N14" s="47">
        <f>SQRT(tblfoxz[[#This Row],[rx]]^2+tblfoxz[[#This Row],[ry]]^2+tblfoxz[[#This Row],[xo]]^2+tblfoxz[[#This Row],[yo]]^2)</f>
        <v>4.5554472886863706E-2</v>
      </c>
      <c r="O14" s="48">
        <f>(tblfoxz[[#This Row],[E]]*PI()^2)/((tblfoxz[[#This Row],[lex]]/tblfoxz[[#This Row],[rx]])^2)</f>
        <v>35653945.898935311</v>
      </c>
      <c r="P1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4" s="47">
        <f>1-(tblfoxz[[#This Row],[xo]]/tblfoxz[[#This Row],[rol]])^2</f>
        <v>1</v>
      </c>
      <c r="R14" s="50">
        <f>(1/(2*tblfoxz[[#This Row],[β]]))*((tblfoxz[[#This Row],[fox]]+tblfoxz[[#This Row],[foz]])-SQRT((tblfoxz[[#This Row],[fox]]+tblfoxz[[#This Row],[foz]])^2-4*tblfoxz[[#This Row],[β]]*tblfoxz[[#This Row],[fox]]*tblfoxz[[#This Row],[foz]]))</f>
        <v>35653945.898935318</v>
      </c>
    </row>
    <row r="15" spans="2:18" x14ac:dyDescent="0.2">
      <c r="B15" s="4" t="s">
        <v>9</v>
      </c>
      <c r="C15" s="10">
        <v>1.17E-3</v>
      </c>
      <c r="D15" s="4">
        <v>5</v>
      </c>
      <c r="E15" s="4">
        <v>5</v>
      </c>
      <c r="F15" s="4">
        <v>4.2500000000000003E-2</v>
      </c>
      <c r="G15" s="5">
        <v>1.6400000000000001E-2</v>
      </c>
      <c r="H15" s="5">
        <v>0</v>
      </c>
      <c r="I15" s="5">
        <v>0</v>
      </c>
      <c r="J15" s="6">
        <v>1.48E-8</v>
      </c>
      <c r="K15" s="6">
        <v>0</v>
      </c>
      <c r="L15" s="6">
        <v>200000000000</v>
      </c>
      <c r="M15" s="6">
        <v>80000000000</v>
      </c>
      <c r="N15" s="47">
        <f>SQRT(tblfoxz[[#This Row],[rx]]^2+tblfoxz[[#This Row],[ry]]^2+tblfoxz[[#This Row],[xo]]^2+tblfoxz[[#This Row],[yo]]^2)</f>
        <v>4.5554472886863706E-2</v>
      </c>
      <c r="O15" s="48">
        <f>(tblfoxz[[#This Row],[E]]*PI()^2)/((tblfoxz[[#This Row],[lex]]/tblfoxz[[#This Row],[rx]])^2)</f>
        <v>142615783.59574124</v>
      </c>
      <c r="P1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5" s="47">
        <f>1-(tblfoxz[[#This Row],[xo]]/tblfoxz[[#This Row],[rol]])^2</f>
        <v>1</v>
      </c>
      <c r="R15" s="50">
        <f>(1/(2*tblfoxz[[#This Row],[β]]))*((tblfoxz[[#This Row],[fox]]+tblfoxz[[#This Row],[foz]])-SQRT((tblfoxz[[#This Row],[fox]]+tblfoxz[[#This Row],[foz]])^2-4*tblfoxz[[#This Row],[β]]*tblfoxz[[#This Row],[fox]]*tblfoxz[[#This Row],[foz]]))</f>
        <v>142615783.59574124</v>
      </c>
    </row>
    <row r="16" spans="2:18" x14ac:dyDescent="0.2">
      <c r="B16" s="4" t="s">
        <v>9</v>
      </c>
      <c r="C16" s="10">
        <v>1.17E-3</v>
      </c>
      <c r="D16" s="4">
        <v>1</v>
      </c>
      <c r="E16" s="4">
        <v>1</v>
      </c>
      <c r="F16" s="4">
        <v>4.2500000000000003E-2</v>
      </c>
      <c r="G16" s="5">
        <v>1.6400000000000001E-2</v>
      </c>
      <c r="H16" s="5">
        <v>0</v>
      </c>
      <c r="I16" s="5">
        <v>0</v>
      </c>
      <c r="J16" s="6">
        <v>1.48E-8</v>
      </c>
      <c r="K16" s="6">
        <v>0</v>
      </c>
      <c r="L16" s="6">
        <v>200000000000</v>
      </c>
      <c r="M16" s="6">
        <v>80000000000</v>
      </c>
      <c r="N16" s="47">
        <f>SQRT(tblfoxz[[#This Row],[rx]]^2+tblfoxz[[#This Row],[ry]]^2+tblfoxz[[#This Row],[xo]]^2+tblfoxz[[#This Row],[yo]]^2)</f>
        <v>4.5554472886863706E-2</v>
      </c>
      <c r="O16" s="48">
        <f>(tblfoxz[[#This Row],[E]]*PI()^2)/((tblfoxz[[#This Row],[lex]]/tblfoxz[[#This Row],[rx]])^2)</f>
        <v>3565394589.8935313</v>
      </c>
      <c r="P1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6" s="47">
        <f>1-(tblfoxz[[#This Row],[xo]]/tblfoxz[[#This Row],[rol]])^2</f>
        <v>1</v>
      </c>
      <c r="R16" s="50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487645015.18680596</v>
      </c>
    </row>
    <row r="17" spans="2:18" x14ac:dyDescent="0.2">
      <c r="B17" s="4" t="s">
        <v>9</v>
      </c>
      <c r="C17" s="10">
        <v>1.17E-3</v>
      </c>
      <c r="D17" s="4">
        <v>0.5</v>
      </c>
      <c r="E17" s="4">
        <v>0.5</v>
      </c>
      <c r="F17" s="4">
        <v>4.2500000000000003E-2</v>
      </c>
      <c r="G17" s="5">
        <v>1.6400000000000001E-2</v>
      </c>
      <c r="H17" s="5">
        <v>0</v>
      </c>
      <c r="I17" s="5">
        <v>0</v>
      </c>
      <c r="J17" s="6">
        <v>1.48E-8</v>
      </c>
      <c r="K17" s="6">
        <v>0</v>
      </c>
      <c r="L17" s="6">
        <v>200000000000</v>
      </c>
      <c r="M17" s="6">
        <v>80000000000</v>
      </c>
      <c r="N17" s="47">
        <f>SQRT(tblfoxz[[#This Row],[rx]]^2+tblfoxz[[#This Row],[ry]]^2+tblfoxz[[#This Row],[xo]]^2+tblfoxz[[#This Row],[yo]]^2)</f>
        <v>4.5554472886863706E-2</v>
      </c>
      <c r="O17" s="48">
        <f>(tblfoxz[[#This Row],[E]]*PI()^2)/((tblfoxz[[#This Row],[lex]]/tblfoxz[[#This Row],[rx]])^2)</f>
        <v>14261578359.574125</v>
      </c>
      <c r="P1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7" s="47">
        <f>1-(tblfoxz[[#This Row],[xo]]/tblfoxz[[#This Row],[rol]])^2</f>
        <v>1</v>
      </c>
      <c r="R17" s="50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487645015.18680668</v>
      </c>
    </row>
    <row r="18" spans="2:18" x14ac:dyDescent="0.2">
      <c r="B18" s="4" t="s">
        <v>9</v>
      </c>
      <c r="C18" s="10">
        <v>1.17E-3</v>
      </c>
      <c r="D18" s="4">
        <v>0.1</v>
      </c>
      <c r="E18" s="4">
        <v>0.1</v>
      </c>
      <c r="F18" s="4">
        <v>4.2500000000000003E-2</v>
      </c>
      <c r="G18" s="5">
        <v>1.6400000000000001E-2</v>
      </c>
      <c r="H18" s="5">
        <v>0</v>
      </c>
      <c r="I18" s="5">
        <v>0</v>
      </c>
      <c r="J18" s="6">
        <v>1.48E-8</v>
      </c>
      <c r="K18" s="6">
        <v>0</v>
      </c>
      <c r="L18" s="6">
        <v>200000000000</v>
      </c>
      <c r="M18" s="6">
        <v>80000000000</v>
      </c>
      <c r="N18" s="47">
        <f>SQRT(tblfoxz[[#This Row],[rx]]^2+tblfoxz[[#This Row],[ry]]^2+tblfoxz[[#This Row],[xo]]^2+tblfoxz[[#This Row],[yo]]^2)</f>
        <v>4.5554472886863706E-2</v>
      </c>
      <c r="O18" s="48">
        <f>(tblfoxz[[#This Row],[E]]*PI()^2)/((tblfoxz[[#This Row],[lex]]/tblfoxz[[#This Row],[rx]])^2)</f>
        <v>356539458989.35303</v>
      </c>
      <c r="P1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8" s="47">
        <f>1-(tblfoxz[[#This Row],[xo]]/tblfoxz[[#This Row],[rol]])^2</f>
        <v>1</v>
      </c>
      <c r="R18" s="50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487645015.1867981</v>
      </c>
    </row>
    <row r="19" spans="2:18" x14ac:dyDescent="0.2">
      <c r="B19" s="4" t="s">
        <v>8</v>
      </c>
      <c r="C19" s="10">
        <v>2.7899999999999999E-3</v>
      </c>
      <c r="D19" s="4">
        <v>20</v>
      </c>
      <c r="E19" s="4">
        <v>20</v>
      </c>
      <c r="F19" s="4">
        <v>5.8700000000000002E-2</v>
      </c>
      <c r="G19" s="5">
        <v>2.98E-2</v>
      </c>
      <c r="H19" s="19">
        <v>0</v>
      </c>
      <c r="I19" s="19">
        <v>0</v>
      </c>
      <c r="J19" s="6">
        <v>8.8899999999999995E-8</v>
      </c>
      <c r="K19" s="6">
        <v>0</v>
      </c>
      <c r="L19" s="6">
        <v>200000000000</v>
      </c>
      <c r="M19" s="6">
        <v>80000000000</v>
      </c>
      <c r="N19" s="47">
        <f>SQRT(tblfoxz[[#This Row],[rx]]^2+tblfoxz[[#This Row],[ry]]^2+tblfoxz[[#This Row],[xo]]^2+tblfoxz[[#This Row],[yo]]^2)</f>
        <v>6.5831071691109508E-2</v>
      </c>
      <c r="O19" s="48">
        <f>(tblfoxz[[#This Row],[E]]*PI()^2)/((tblfoxz[[#This Row],[lex]]/tblfoxz[[#This Row],[rx]])^2)</f>
        <v>17003798.594394796</v>
      </c>
      <c r="P1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19" s="47">
        <f>1-(tblfoxz[[#This Row],[xo]]/tblfoxz[[#This Row],[rol]])^2</f>
        <v>1</v>
      </c>
      <c r="R19" s="50">
        <f>(1/(2*tblfoxz[[#This Row],[β]]))*((tblfoxz[[#This Row],[fox]]+tblfoxz[[#This Row],[foz]])-SQRT((tblfoxz[[#This Row],[fox]]+tblfoxz[[#This Row],[foz]])^2-4*tblfoxz[[#This Row],[β]]*tblfoxz[[#This Row],[fox]]*tblfoxz[[#This Row],[foz]]))</f>
        <v>17003798.594394803</v>
      </c>
    </row>
    <row r="20" spans="2:18" x14ac:dyDescent="0.2">
      <c r="B20" s="4" t="s">
        <v>8</v>
      </c>
      <c r="C20" s="10">
        <v>2.7899999999999999E-3</v>
      </c>
      <c r="D20" s="4">
        <v>10</v>
      </c>
      <c r="E20" s="4">
        <v>10</v>
      </c>
      <c r="F20" s="4">
        <v>5.8700000000000002E-2</v>
      </c>
      <c r="G20" s="5">
        <v>2.98E-2</v>
      </c>
      <c r="H20" s="19">
        <v>0</v>
      </c>
      <c r="I20" s="19">
        <v>0</v>
      </c>
      <c r="J20" s="6">
        <v>8.8899999999999995E-8</v>
      </c>
      <c r="K20" s="6">
        <v>0</v>
      </c>
      <c r="L20" s="6">
        <v>200000000000</v>
      </c>
      <c r="M20" s="6">
        <v>80000000000</v>
      </c>
      <c r="N20" s="47">
        <f>SQRT(tblfoxz[[#This Row],[rx]]^2+tblfoxz[[#This Row],[ry]]^2+tblfoxz[[#This Row],[xo]]^2+tblfoxz[[#This Row],[yo]]^2)</f>
        <v>6.5831071691109508E-2</v>
      </c>
      <c r="O20" s="48">
        <f>(tblfoxz[[#This Row],[E]]*PI()^2)/((tblfoxz[[#This Row],[lex]]/tblfoxz[[#This Row],[rx]])^2)</f>
        <v>68015194.377579182</v>
      </c>
      <c r="P2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0" s="47">
        <f>1-(tblfoxz[[#This Row],[xo]]/tblfoxz[[#This Row],[rol]])^2</f>
        <v>1</v>
      </c>
      <c r="R20" s="50">
        <f>(1/(2*tblfoxz[[#This Row],[β]]))*((tblfoxz[[#This Row],[fox]]+tblfoxz[[#This Row],[foz]])-SQRT((tblfoxz[[#This Row],[fox]]+tblfoxz[[#This Row],[foz]])^2-4*tblfoxz[[#This Row],[β]]*tblfoxz[[#This Row],[fox]]*tblfoxz[[#This Row],[foz]]))</f>
        <v>68015194.377579153</v>
      </c>
    </row>
    <row r="21" spans="2:18" x14ac:dyDescent="0.2">
      <c r="B21" s="4" t="s">
        <v>8</v>
      </c>
      <c r="C21" s="10">
        <v>2.7899999999999999E-3</v>
      </c>
      <c r="D21" s="4">
        <v>5</v>
      </c>
      <c r="E21" s="4">
        <v>5</v>
      </c>
      <c r="F21" s="4">
        <v>5.8700000000000002E-2</v>
      </c>
      <c r="G21" s="5">
        <v>2.98E-2</v>
      </c>
      <c r="H21" s="18">
        <v>0</v>
      </c>
      <c r="I21" s="18">
        <v>0</v>
      </c>
      <c r="J21" s="16">
        <v>8.8899999999999995E-8</v>
      </c>
      <c r="K21" s="16">
        <v>0</v>
      </c>
      <c r="L21" s="6">
        <v>200000000000</v>
      </c>
      <c r="M21" s="6">
        <v>80000000000</v>
      </c>
      <c r="N21" s="47">
        <f>SQRT(tblfoxz[[#This Row],[rx]]^2+tblfoxz[[#This Row],[ry]]^2+tblfoxz[[#This Row],[xo]]^2+tblfoxz[[#This Row],[yo]]^2)</f>
        <v>6.5831071691109508E-2</v>
      </c>
      <c r="O21" s="48">
        <f>(tblfoxz[[#This Row],[E]]*PI()^2)/((tblfoxz[[#This Row],[lex]]/tblfoxz[[#This Row],[rx]])^2)</f>
        <v>272060777.51031673</v>
      </c>
      <c r="P2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1" s="47">
        <f>1-(tblfoxz[[#This Row],[xo]]/tblfoxz[[#This Row],[rol]])^2</f>
        <v>1</v>
      </c>
      <c r="R21" s="50">
        <f>(1/(2*tblfoxz[[#This Row],[β]]))*((tblfoxz[[#This Row],[fox]]+tblfoxz[[#This Row],[foz]])-SQRT((tblfoxz[[#This Row],[fox]]+tblfoxz[[#This Row],[foz]])^2-4*tblfoxz[[#This Row],[β]]*tblfoxz[[#This Row],[fox]]*tblfoxz[[#This Row],[foz]]))</f>
        <v>272060777.51031667</v>
      </c>
    </row>
    <row r="22" spans="2:18" x14ac:dyDescent="0.2">
      <c r="B22" s="4" t="s">
        <v>8</v>
      </c>
      <c r="C22" s="10">
        <v>2.7899999999999999E-3</v>
      </c>
      <c r="D22" s="4">
        <v>1</v>
      </c>
      <c r="E22" s="4">
        <v>1</v>
      </c>
      <c r="F22" s="4">
        <v>5.8700000000000002E-2</v>
      </c>
      <c r="G22" s="5">
        <v>2.98E-2</v>
      </c>
      <c r="H22" s="18">
        <v>0</v>
      </c>
      <c r="I22" s="18">
        <v>0</v>
      </c>
      <c r="J22" s="16">
        <v>8.8899999999999995E-8</v>
      </c>
      <c r="K22" s="16">
        <v>0</v>
      </c>
      <c r="L22" s="6">
        <v>200000000000</v>
      </c>
      <c r="M22" s="6">
        <v>80000000000</v>
      </c>
      <c r="N22" s="47">
        <f>SQRT(tblfoxz[[#This Row],[rx]]^2+tblfoxz[[#This Row],[ry]]^2+tblfoxz[[#This Row],[xo]]^2+tblfoxz[[#This Row],[yo]]^2)</f>
        <v>6.5831071691109508E-2</v>
      </c>
      <c r="O22" s="48">
        <f>(tblfoxz[[#This Row],[E]]*PI()^2)/((tblfoxz[[#This Row],[lex]]/tblfoxz[[#This Row],[rx]])^2)</f>
        <v>6801519437.7579174</v>
      </c>
      <c r="P2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2" s="47">
        <f>1-(tblfoxz[[#This Row],[xo]]/tblfoxz[[#This Row],[rol]])^2</f>
        <v>1</v>
      </c>
      <c r="R22" s="50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588200912.99004078</v>
      </c>
    </row>
    <row r="23" spans="2:18" x14ac:dyDescent="0.2">
      <c r="B23" s="4" t="s">
        <v>8</v>
      </c>
      <c r="C23" s="10">
        <v>2.7899999999999999E-3</v>
      </c>
      <c r="D23" s="4">
        <v>0.5</v>
      </c>
      <c r="E23" s="4">
        <v>0.5</v>
      </c>
      <c r="F23" s="4">
        <v>5.8700000000000002E-2</v>
      </c>
      <c r="G23" s="5">
        <v>2.98E-2</v>
      </c>
      <c r="H23" s="18">
        <v>0</v>
      </c>
      <c r="I23" s="18">
        <v>0</v>
      </c>
      <c r="J23" s="16">
        <v>8.8899999999999995E-8</v>
      </c>
      <c r="K23" s="16">
        <v>0</v>
      </c>
      <c r="L23" s="6">
        <v>200000000000</v>
      </c>
      <c r="M23" s="6">
        <v>80000000000</v>
      </c>
      <c r="N23" s="47">
        <f>SQRT(tblfoxz[[#This Row],[rx]]^2+tblfoxz[[#This Row],[ry]]^2+tblfoxz[[#This Row],[xo]]^2+tblfoxz[[#This Row],[yo]]^2)</f>
        <v>6.5831071691109508E-2</v>
      </c>
      <c r="O23" s="48">
        <f>(tblfoxz[[#This Row],[E]]*PI()^2)/((tblfoxz[[#This Row],[lex]]/tblfoxz[[#This Row],[rx]])^2)</f>
        <v>27206077751.03167</v>
      </c>
      <c r="P2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3" s="47">
        <f>1-(tblfoxz[[#This Row],[xo]]/tblfoxz[[#This Row],[rol]])^2</f>
        <v>1</v>
      </c>
      <c r="R23" s="50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588200912.99003983</v>
      </c>
    </row>
    <row r="24" spans="2:18" x14ac:dyDescent="0.2">
      <c r="B24" s="4" t="s">
        <v>8</v>
      </c>
      <c r="C24" s="10">
        <v>2.7899999999999999E-3</v>
      </c>
      <c r="D24" s="4">
        <v>0.1</v>
      </c>
      <c r="E24" s="4">
        <v>0.1</v>
      </c>
      <c r="F24" s="4">
        <v>5.8700000000000002E-2</v>
      </c>
      <c r="G24" s="5">
        <v>2.98E-2</v>
      </c>
      <c r="H24" s="18">
        <v>0</v>
      </c>
      <c r="I24" s="18">
        <v>0</v>
      </c>
      <c r="J24" s="16">
        <v>8.8899999999999995E-8</v>
      </c>
      <c r="K24" s="16">
        <v>0</v>
      </c>
      <c r="L24" s="6">
        <v>200000000000</v>
      </c>
      <c r="M24" s="6">
        <v>80000000000</v>
      </c>
      <c r="N24" s="47">
        <f>SQRT(tblfoxz[[#This Row],[rx]]^2+tblfoxz[[#This Row],[ry]]^2+tblfoxz[[#This Row],[xo]]^2+tblfoxz[[#This Row],[yo]]^2)</f>
        <v>6.5831071691109508E-2</v>
      </c>
      <c r="O24" s="48">
        <f>(tblfoxz[[#This Row],[E]]*PI()^2)/((tblfoxz[[#This Row],[lex]]/tblfoxz[[#This Row],[rx]])^2)</f>
        <v>680151943775.79187</v>
      </c>
      <c r="P2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4" s="47">
        <f>1-(tblfoxz[[#This Row],[xo]]/tblfoxz[[#This Row],[rol]])^2</f>
        <v>1</v>
      </c>
      <c r="R24" s="50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588200912.99005127</v>
      </c>
    </row>
    <row r="25" spans="2:18" x14ac:dyDescent="0.2">
      <c r="B25" s="13" t="s">
        <v>38</v>
      </c>
      <c r="C25" s="14">
        <v>1.4300000000000001E-4</v>
      </c>
      <c r="D25" s="7">
        <v>10</v>
      </c>
      <c r="E25" s="7">
        <v>10</v>
      </c>
      <c r="F25" s="15">
        <v>9.2200000000000008E-3</v>
      </c>
      <c r="G25" s="15">
        <v>4.7299999999999998E-3</v>
      </c>
      <c r="H25" s="18">
        <v>0</v>
      </c>
      <c r="I25" s="18">
        <v>0</v>
      </c>
      <c r="J25" s="16">
        <v>5.1499999999999998E-10</v>
      </c>
      <c r="K25" s="16">
        <v>0</v>
      </c>
      <c r="L25" s="16">
        <v>200000000000</v>
      </c>
      <c r="M25" s="16">
        <v>80000000000</v>
      </c>
      <c r="N25" s="47">
        <f>SQRT(tblfoxz[[#This Row],[rx]]^2+tblfoxz[[#This Row],[ry]]^2+tblfoxz[[#This Row],[xo]]^2+tblfoxz[[#This Row],[yo]]^2)</f>
        <v>1.0362494873340107E-2</v>
      </c>
      <c r="O25" s="48">
        <f>(tblfoxz[[#This Row],[E]]*PI()^2)/((tblfoxz[[#This Row],[lex]]/tblfoxz[[#This Row],[rx]])^2)</f>
        <v>1677998.5575391292</v>
      </c>
      <c r="P2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5" s="47">
        <f>1-(tblfoxz[[#This Row],[xo]]/tblfoxz[[#This Row],[rol]])^2</f>
        <v>1</v>
      </c>
      <c r="R25" s="50">
        <f>(1/(2*tblfoxz[[#This Row],[β]]))*((tblfoxz[[#This Row],[fox]]+tblfoxz[[#This Row],[foz]])-SQRT((tblfoxz[[#This Row],[fox]]+tblfoxz[[#This Row],[foz]])^2-4*tblfoxz[[#This Row],[β]]*tblfoxz[[#This Row],[fox]]*tblfoxz[[#This Row],[foz]]))</f>
        <v>1677998.5575392246</v>
      </c>
    </row>
    <row r="26" spans="2:18" x14ac:dyDescent="0.2">
      <c r="B26" s="13" t="s">
        <v>38</v>
      </c>
      <c r="C26" s="14">
        <v>1.4300000000000001E-4</v>
      </c>
      <c r="D26" s="7">
        <v>5</v>
      </c>
      <c r="E26" s="7">
        <v>5</v>
      </c>
      <c r="F26" s="15">
        <v>9.2200000000000008E-3</v>
      </c>
      <c r="G26" s="15">
        <v>4.7299999999999998E-3</v>
      </c>
      <c r="H26" s="18">
        <v>0</v>
      </c>
      <c r="I26" s="18">
        <v>0</v>
      </c>
      <c r="J26" s="16">
        <v>5.1499999999999998E-10</v>
      </c>
      <c r="K26" s="16">
        <v>0</v>
      </c>
      <c r="L26" s="16">
        <v>200000000000</v>
      </c>
      <c r="M26" s="16">
        <v>80000000000</v>
      </c>
      <c r="N26" s="47">
        <f>SQRT(tblfoxz[[#This Row],[rx]]^2+tblfoxz[[#This Row],[ry]]^2+tblfoxz[[#This Row],[xo]]^2+tblfoxz[[#This Row],[yo]]^2)</f>
        <v>1.0362494873340107E-2</v>
      </c>
      <c r="O26" s="48">
        <f>(tblfoxz[[#This Row],[E]]*PI()^2)/((tblfoxz[[#This Row],[lex]]/tblfoxz[[#This Row],[rx]])^2)</f>
        <v>6711994.2301565167</v>
      </c>
      <c r="P2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6" s="47">
        <f>1-(tblfoxz[[#This Row],[xo]]/tblfoxz[[#This Row],[rol]])^2</f>
        <v>1</v>
      </c>
      <c r="R26" s="50">
        <f>(1/(2*tblfoxz[[#This Row],[β]]))*((tblfoxz[[#This Row],[fox]]+tblfoxz[[#This Row],[foz]])-SQRT((tblfoxz[[#This Row],[fox]]+tblfoxz[[#This Row],[foz]])^2-4*tblfoxz[[#This Row],[β]]*tblfoxz[[#This Row],[fox]]*tblfoxz[[#This Row],[foz]]))</f>
        <v>6711994.2301566601</v>
      </c>
    </row>
    <row r="27" spans="2:18" x14ac:dyDescent="0.2">
      <c r="B27" s="13" t="s">
        <v>38</v>
      </c>
      <c r="C27" s="14">
        <v>1.4300000000000001E-4</v>
      </c>
      <c r="D27" s="7">
        <v>1</v>
      </c>
      <c r="E27" s="7">
        <v>1</v>
      </c>
      <c r="F27" s="15">
        <v>9.2200000000000008E-3</v>
      </c>
      <c r="G27" s="15">
        <v>4.7299999999999998E-3</v>
      </c>
      <c r="H27" s="18">
        <v>0</v>
      </c>
      <c r="I27" s="18">
        <v>0</v>
      </c>
      <c r="J27" s="16">
        <v>5.1499999999999998E-10</v>
      </c>
      <c r="K27" s="16">
        <v>0</v>
      </c>
      <c r="L27" s="16">
        <v>200000000000</v>
      </c>
      <c r="M27" s="16">
        <v>80000000000</v>
      </c>
      <c r="N27" s="47">
        <f>SQRT(tblfoxz[[#This Row],[rx]]^2+tblfoxz[[#This Row],[ry]]^2+tblfoxz[[#This Row],[xo]]^2+tblfoxz[[#This Row],[yo]]^2)</f>
        <v>1.0362494873340107E-2</v>
      </c>
      <c r="O27" s="48">
        <f>(tblfoxz[[#This Row],[E]]*PI()^2)/((tblfoxz[[#This Row],[lex]]/tblfoxz[[#This Row],[rx]])^2)</f>
        <v>167799855.75391296</v>
      </c>
      <c r="P2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7" s="47">
        <f>1-(tblfoxz[[#This Row],[xo]]/tblfoxz[[#This Row],[rol]])^2</f>
        <v>1</v>
      </c>
      <c r="R27" s="50">
        <f>(1/(2*tblfoxz[[#This Row],[β]]))*((tblfoxz[[#This Row],[fox]]+tblfoxz[[#This Row],[foz]])-SQRT((tblfoxz[[#This Row],[fox]]+tblfoxz[[#This Row],[foz]])^2-4*tblfoxz[[#This Row],[β]]*tblfoxz[[#This Row],[fox]]*tblfoxz[[#This Row],[foz]]))</f>
        <v>167799855.75391293</v>
      </c>
    </row>
    <row r="28" spans="2:18" x14ac:dyDescent="0.2">
      <c r="B28" s="13" t="s">
        <v>38</v>
      </c>
      <c r="C28" s="14">
        <v>1.4300000000000001E-4</v>
      </c>
      <c r="D28" s="7">
        <v>0.5</v>
      </c>
      <c r="E28" s="7">
        <v>0.5</v>
      </c>
      <c r="F28" s="15">
        <v>9.2200000000000008E-3</v>
      </c>
      <c r="G28" s="15">
        <v>4.7299999999999998E-3</v>
      </c>
      <c r="H28" s="18">
        <v>0</v>
      </c>
      <c r="I28" s="18">
        <v>0</v>
      </c>
      <c r="J28" s="16">
        <v>5.1499999999999998E-10</v>
      </c>
      <c r="K28" s="16">
        <v>0</v>
      </c>
      <c r="L28" s="16">
        <v>200000000000</v>
      </c>
      <c r="M28" s="16">
        <v>80000000000</v>
      </c>
      <c r="N28" s="47">
        <f>SQRT(tblfoxz[[#This Row],[rx]]^2+tblfoxz[[#This Row],[ry]]^2+tblfoxz[[#This Row],[xo]]^2+tblfoxz[[#This Row],[yo]]^2)</f>
        <v>1.0362494873340107E-2</v>
      </c>
      <c r="O28" s="48">
        <f>(tblfoxz[[#This Row],[E]]*PI()^2)/((tblfoxz[[#This Row],[lex]]/tblfoxz[[#This Row],[rx]])^2)</f>
        <v>671199423.01565182</v>
      </c>
      <c r="P2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8" s="47">
        <f>1-(tblfoxz[[#This Row],[xo]]/tblfoxz[[#This Row],[rol]])^2</f>
        <v>1</v>
      </c>
      <c r="R28" s="50">
        <f>(1/(2*tblfoxz[[#This Row],[β]]))*((tblfoxz[[#This Row],[fox]]+tblfoxz[[#This Row],[foz]])-SQRT((tblfoxz[[#This Row],[fox]]+tblfoxz[[#This Row],[foz]])^2-4*tblfoxz[[#This Row],[β]]*tblfoxz[[#This Row],[fox]]*tblfoxz[[#This Row],[foz]]))</f>
        <v>671199423.0156517</v>
      </c>
    </row>
    <row r="29" spans="2:18" x14ac:dyDescent="0.2">
      <c r="B29" s="13" t="s">
        <v>38</v>
      </c>
      <c r="C29" s="14">
        <v>1.4300000000000001E-4</v>
      </c>
      <c r="D29" s="7">
        <v>0.1</v>
      </c>
      <c r="E29" s="7">
        <v>0.1</v>
      </c>
      <c r="F29" s="15">
        <v>9.2200000000000008E-3</v>
      </c>
      <c r="G29" s="15">
        <v>4.7299999999999998E-3</v>
      </c>
      <c r="H29" s="18">
        <v>0</v>
      </c>
      <c r="I29" s="18">
        <v>0</v>
      </c>
      <c r="J29" s="16">
        <v>5.1499999999999998E-10</v>
      </c>
      <c r="K29" s="16">
        <v>0</v>
      </c>
      <c r="L29" s="16">
        <v>200000000000</v>
      </c>
      <c r="M29" s="16">
        <v>80000000000</v>
      </c>
      <c r="N29" s="47">
        <f>SQRT(tblfoxz[[#This Row],[rx]]^2+tblfoxz[[#This Row],[ry]]^2+tblfoxz[[#This Row],[xo]]^2+tblfoxz[[#This Row],[yo]]^2)</f>
        <v>1.0362494873340107E-2</v>
      </c>
      <c r="O29" s="48">
        <f>(tblfoxz[[#This Row],[E]]*PI()^2)/((tblfoxz[[#This Row],[lex]]/tblfoxz[[#This Row],[rx]])^2)</f>
        <v>16779985575.391294</v>
      </c>
      <c r="P2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9" s="47">
        <f>1-(tblfoxz[[#This Row],[xo]]/tblfoxz[[#This Row],[rol]])^2</f>
        <v>1</v>
      </c>
      <c r="R29" s="50">
        <f>(1/(2*tblfoxz[[#This Row],[β]]))*((tblfoxz[[#This Row],[fox]]+tblfoxz[[#This Row],[foz]])-SQRT((tblfoxz[[#This Row],[fox]]+tblfoxz[[#This Row],[foz]])^2-4*tblfoxz[[#This Row],[β]]*tblfoxz[[#This Row],[fox]]*tblfoxz[[#This Row],[foz]]))</f>
        <v>2683073199.0755196</v>
      </c>
    </row>
    <row r="30" spans="2:18" x14ac:dyDescent="0.2">
      <c r="B30" s="4" t="s">
        <v>5</v>
      </c>
      <c r="C30" s="10">
        <v>2.5100000000000001E-2</v>
      </c>
      <c r="D30" s="4">
        <v>40</v>
      </c>
      <c r="E30" s="4">
        <v>40</v>
      </c>
      <c r="F30" s="4">
        <v>0.13900000000000001</v>
      </c>
      <c r="G30" s="5">
        <v>8.9300000000000004E-2</v>
      </c>
      <c r="H30" s="18">
        <v>0</v>
      </c>
      <c r="I30" s="18">
        <v>0</v>
      </c>
      <c r="J30" s="16">
        <v>5.75E-6</v>
      </c>
      <c r="K30" s="16">
        <v>4.6E-6</v>
      </c>
      <c r="L30" s="6">
        <v>200000000000</v>
      </c>
      <c r="M30" s="6">
        <v>80000000000</v>
      </c>
      <c r="N30" s="47">
        <f>SQRT(tblfoxz[[#This Row],[rx]]^2+tblfoxz[[#This Row],[ry]]^2+tblfoxz[[#This Row],[xo]]^2+tblfoxz[[#This Row],[yo]]^2)</f>
        <v>0.16521346797401235</v>
      </c>
      <c r="O30" s="48">
        <f>(tblfoxz[[#This Row],[E]]*PI()^2)/((tblfoxz[[#This Row],[lex]]/tblfoxz[[#This Row],[rx]])^2)</f>
        <v>23836328.329180941</v>
      </c>
      <c r="P3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679701655.55760407</v>
      </c>
      <c r="Q30" s="47">
        <f>1-(tblfoxz[[#This Row],[xo]]/tblfoxz[[#This Row],[rol]])^2</f>
        <v>1</v>
      </c>
      <c r="R30" s="50">
        <f>(1/(2*tblfoxz[[#This Row],[β]]))*((tblfoxz[[#This Row],[fox]]+tblfoxz[[#This Row],[foz]])-SQRT((tblfoxz[[#This Row],[fox]]+tblfoxz[[#This Row],[foz]])^2-4*tblfoxz[[#This Row],[β]]*tblfoxz[[#This Row],[fox]]*tblfoxz[[#This Row],[foz]]))</f>
        <v>23836328.329180956</v>
      </c>
    </row>
    <row r="31" spans="2:18" x14ac:dyDescent="0.2">
      <c r="B31" s="4" t="s">
        <v>5</v>
      </c>
      <c r="C31" s="10">
        <v>2.5100000000000001E-2</v>
      </c>
      <c r="D31" s="4">
        <v>20</v>
      </c>
      <c r="E31" s="4">
        <v>20</v>
      </c>
      <c r="F31" s="4">
        <v>0.13900000000000001</v>
      </c>
      <c r="G31" s="5">
        <v>8.9300000000000004E-2</v>
      </c>
      <c r="H31" s="18">
        <v>0</v>
      </c>
      <c r="I31" s="18">
        <v>0</v>
      </c>
      <c r="J31" s="16">
        <v>5.75E-6</v>
      </c>
      <c r="K31" s="16">
        <v>4.6E-6</v>
      </c>
      <c r="L31" s="6">
        <v>200000000000</v>
      </c>
      <c r="M31" s="6">
        <v>80000000000</v>
      </c>
      <c r="N31" s="47">
        <f>SQRT(tblfoxz[[#This Row],[rx]]^2+tblfoxz[[#This Row],[ry]]^2+tblfoxz[[#This Row],[xo]]^2+tblfoxz[[#This Row],[yo]]^2)</f>
        <v>0.16521346797401235</v>
      </c>
      <c r="O31" s="48">
        <f>(tblfoxz[[#This Row],[E]]*PI()^2)/((tblfoxz[[#This Row],[lex]]/tblfoxz[[#This Row],[rx]])^2)</f>
        <v>95345313.316723764</v>
      </c>
      <c r="P3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704551531.69073784</v>
      </c>
      <c r="Q31" s="47">
        <f>1-(tblfoxz[[#This Row],[xo]]/tblfoxz[[#This Row],[rol]])^2</f>
        <v>1</v>
      </c>
      <c r="R31" s="50">
        <f>(1/(2*tblfoxz[[#This Row],[β]]))*((tblfoxz[[#This Row],[fox]]+tblfoxz[[#This Row],[foz]])-SQRT((tblfoxz[[#This Row],[fox]]+tblfoxz[[#This Row],[foz]])^2-4*tblfoxz[[#This Row],[β]]*tblfoxz[[#This Row],[fox]]*tblfoxz[[#This Row],[foz]]))</f>
        <v>95345313.316723764</v>
      </c>
    </row>
    <row r="32" spans="2:18" x14ac:dyDescent="0.2">
      <c r="B32" s="4" t="s">
        <v>5</v>
      </c>
      <c r="C32" s="10">
        <v>2.5100000000000001E-2</v>
      </c>
      <c r="D32" s="4">
        <v>10</v>
      </c>
      <c r="E32" s="4">
        <v>10</v>
      </c>
      <c r="F32" s="4">
        <v>0.13900000000000001</v>
      </c>
      <c r="G32" s="5">
        <v>8.9300000000000004E-2</v>
      </c>
      <c r="H32" s="18">
        <v>0</v>
      </c>
      <c r="I32" s="18">
        <v>0</v>
      </c>
      <c r="J32" s="16">
        <v>5.75E-6</v>
      </c>
      <c r="K32" s="16">
        <v>4.6E-6</v>
      </c>
      <c r="L32" s="6">
        <v>200000000000</v>
      </c>
      <c r="M32" s="6">
        <v>80000000000</v>
      </c>
      <c r="N32" s="47">
        <f>SQRT(tblfoxz[[#This Row],[rx]]^2+tblfoxz[[#This Row],[ry]]^2+tblfoxz[[#This Row],[xo]]^2+tblfoxz[[#This Row],[yo]]^2)</f>
        <v>0.16521346797401235</v>
      </c>
      <c r="O32" s="48">
        <f>(tblfoxz[[#This Row],[E]]*PI()^2)/((tblfoxz[[#This Row],[lex]]/tblfoxz[[#This Row],[rx]])^2)</f>
        <v>381381253.26689506</v>
      </c>
      <c r="P3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803951036.22327316</v>
      </c>
      <c r="Q32" s="47">
        <f>1-(tblfoxz[[#This Row],[xo]]/tblfoxz[[#This Row],[rol]])^2</f>
        <v>1</v>
      </c>
      <c r="R32" s="50">
        <f>(1/(2*tblfoxz[[#This Row],[β]]))*((tblfoxz[[#This Row],[fox]]+tblfoxz[[#This Row],[foz]])-SQRT((tblfoxz[[#This Row],[fox]]+tblfoxz[[#This Row],[foz]])^2-4*tblfoxz[[#This Row],[β]]*tblfoxz[[#This Row],[fox]]*tblfoxz[[#This Row],[foz]]))</f>
        <v>381381253.26689529</v>
      </c>
    </row>
    <row r="33" spans="2:18" x14ac:dyDescent="0.2">
      <c r="B33" s="4" t="s">
        <v>5</v>
      </c>
      <c r="C33" s="10">
        <v>2.5100000000000001E-2</v>
      </c>
      <c r="D33" s="4">
        <v>5</v>
      </c>
      <c r="E33" s="4">
        <v>5</v>
      </c>
      <c r="F33" s="4">
        <v>0.13900000000000001</v>
      </c>
      <c r="G33" s="5">
        <v>8.9300000000000004E-2</v>
      </c>
      <c r="H33" s="18">
        <v>0</v>
      </c>
      <c r="I33" s="18">
        <v>0</v>
      </c>
      <c r="J33" s="16">
        <v>5.75E-6</v>
      </c>
      <c r="K33" s="16">
        <v>4.6E-6</v>
      </c>
      <c r="L33" s="6">
        <v>200000000000</v>
      </c>
      <c r="M33" s="6">
        <v>80000000000</v>
      </c>
      <c r="N33" s="47">
        <f>SQRT(tblfoxz[[#This Row],[rx]]^2+tblfoxz[[#This Row],[ry]]^2+tblfoxz[[#This Row],[xo]]^2+tblfoxz[[#This Row],[yo]]^2)</f>
        <v>0.16521346797401235</v>
      </c>
      <c r="O33" s="48">
        <f>(tblfoxz[[#This Row],[E]]*PI()^2)/((tblfoxz[[#This Row],[lex]]/tblfoxz[[#This Row],[rx]])^2)</f>
        <v>1525525013.0675802</v>
      </c>
      <c r="P3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1201549054.3534143</v>
      </c>
      <c r="Q33" s="47">
        <f>1-(tblfoxz[[#This Row],[xo]]/tblfoxz[[#This Row],[rol]])^2</f>
        <v>1</v>
      </c>
      <c r="R33" s="50">
        <f>(1/(2*tblfoxz[[#This Row],[β]]))*((tblfoxz[[#This Row],[fox]]+tblfoxz[[#This Row],[foz]])-SQRT((tblfoxz[[#This Row],[fox]]+tblfoxz[[#This Row],[foz]])^2-4*tblfoxz[[#This Row],[β]]*tblfoxz[[#This Row],[fox]]*tblfoxz[[#This Row],[foz]]))</f>
        <v>1201549054.3534136</v>
      </c>
    </row>
    <row r="34" spans="2:18" x14ac:dyDescent="0.2">
      <c r="B34" s="4" t="s">
        <v>5</v>
      </c>
      <c r="C34" s="10">
        <v>2.5100000000000001E-2</v>
      </c>
      <c r="D34" s="4">
        <v>1</v>
      </c>
      <c r="E34" s="4">
        <v>1</v>
      </c>
      <c r="F34" s="4">
        <v>0.13900000000000001</v>
      </c>
      <c r="G34" s="5">
        <v>8.9300000000000004E-2</v>
      </c>
      <c r="H34" s="18">
        <v>0</v>
      </c>
      <c r="I34" s="18">
        <v>0</v>
      </c>
      <c r="J34" s="16">
        <v>5.75E-6</v>
      </c>
      <c r="K34" s="16">
        <v>4.6E-6</v>
      </c>
      <c r="L34" s="6">
        <v>200000000000</v>
      </c>
      <c r="M34" s="6">
        <v>80000000000</v>
      </c>
      <c r="N34" s="47">
        <f>SQRT(tblfoxz[[#This Row],[rx]]^2+tblfoxz[[#This Row],[ry]]^2+tblfoxz[[#This Row],[xo]]^2+tblfoxz[[#This Row],[yo]]^2)</f>
        <v>0.16521346797401235</v>
      </c>
      <c r="O34" s="48">
        <f>(tblfoxz[[#This Row],[E]]*PI()^2)/((tblfoxz[[#This Row],[lex]]/tblfoxz[[#This Row],[rx]])^2)</f>
        <v>38138125326.689499</v>
      </c>
      <c r="P3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13924685634.517929</v>
      </c>
      <c r="Q34" s="47">
        <f>1-(tblfoxz[[#This Row],[xo]]/tblfoxz[[#This Row],[rol]])^2</f>
        <v>1</v>
      </c>
      <c r="R34" s="50">
        <f>(1/(2*tblfoxz[[#This Row],[β]]))*((tblfoxz[[#This Row],[fox]]+tblfoxz[[#This Row],[foz]])-SQRT((tblfoxz[[#This Row],[fox]]+tblfoxz[[#This Row],[foz]])^2-4*tblfoxz[[#This Row],[β]]*tblfoxz[[#This Row],[fox]]*tblfoxz[[#This Row],[foz]]))</f>
        <v>13924685634.517929</v>
      </c>
    </row>
    <row r="35" spans="2:18" x14ac:dyDescent="0.2">
      <c r="B35" s="13" t="s">
        <v>37</v>
      </c>
      <c r="C35" s="14">
        <v>7.0299999999999998E-3</v>
      </c>
      <c r="D35" s="7">
        <v>20</v>
      </c>
      <c r="E35" s="7">
        <v>20</v>
      </c>
      <c r="F35" s="15">
        <v>0.14699999999999999</v>
      </c>
      <c r="G35" s="15">
        <v>3.04E-2</v>
      </c>
      <c r="H35" s="18">
        <v>5.67E-2</v>
      </c>
      <c r="I35" s="18">
        <v>0</v>
      </c>
      <c r="J35" s="16">
        <v>4.7199999999999999E-7</v>
      </c>
      <c r="K35" s="16">
        <v>1.5099999999999999E-7</v>
      </c>
      <c r="L35" s="6">
        <v>200000000000</v>
      </c>
      <c r="M35" s="6">
        <v>80000000000</v>
      </c>
      <c r="N35" s="47">
        <f>SQRT(tblfoxz[[#This Row],[rx]]^2+tblfoxz[[#This Row],[ry]]^2+tblfoxz[[#This Row],[xo]]^2+tblfoxz[[#This Row],[yo]]^2)</f>
        <v>0.16046198926848687</v>
      </c>
      <c r="O35" s="48">
        <f>(tblfoxz[[#This Row],[E]]*PI()^2)/((tblfoxz[[#This Row],[lex]]/tblfoxz[[#This Row],[rx]])^2)</f>
        <v>106636140.75156994</v>
      </c>
      <c r="P3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212725331.25708571</v>
      </c>
      <c r="Q35" s="47">
        <f>1-(tblfoxz[[#This Row],[xo]]/tblfoxz[[#This Row],[rol]])^2</f>
        <v>0.87514044752903608</v>
      </c>
      <c r="R35" s="50">
        <f>(1/(2*tblfoxz[[#This Row],[β]]))*((tblfoxz[[#This Row],[fox]]+tblfoxz[[#This Row],[foz]])-SQRT((tblfoxz[[#This Row],[fox]]+tblfoxz[[#This Row],[foz]])^2-4*tblfoxz[[#This Row],[β]]*tblfoxz[[#This Row],[fox]]*tblfoxz[[#This Row],[foz]]))</f>
        <v>96602101.135298222</v>
      </c>
    </row>
    <row r="36" spans="2:18" x14ac:dyDescent="0.2">
      <c r="B36" s="13" t="s">
        <v>37</v>
      </c>
      <c r="C36" s="14">
        <v>7.0299999999999998E-3</v>
      </c>
      <c r="D36" s="7">
        <v>10</v>
      </c>
      <c r="E36" s="7">
        <v>10</v>
      </c>
      <c r="F36" s="15">
        <v>0.14699999999999999</v>
      </c>
      <c r="G36" s="15">
        <v>3.04E-2</v>
      </c>
      <c r="H36" s="18">
        <v>5.67E-2</v>
      </c>
      <c r="I36" s="18">
        <v>0</v>
      </c>
      <c r="J36" s="16">
        <v>4.7199999999999999E-7</v>
      </c>
      <c r="K36" s="16">
        <v>1.5099999999999999E-7</v>
      </c>
      <c r="L36" s="6">
        <v>200000000000</v>
      </c>
      <c r="M36" s="6">
        <v>80000000000</v>
      </c>
      <c r="N36" s="47">
        <f>SQRT(tblfoxz[[#This Row],[rx]]^2+tblfoxz[[#This Row],[ry]]^2+tblfoxz[[#This Row],[xo]]^2+tblfoxz[[#This Row],[yo]]^2)</f>
        <v>0.16046198926848687</v>
      </c>
      <c r="O36" s="48">
        <f>(tblfoxz[[#This Row],[E]]*PI()^2)/((tblfoxz[[#This Row],[lex]]/tblfoxz[[#This Row],[rx]])^2)</f>
        <v>426544563.00627977</v>
      </c>
      <c r="P3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225075368.94487798</v>
      </c>
      <c r="Q36" s="47">
        <f>1-(tblfoxz[[#This Row],[xo]]/tblfoxz[[#This Row],[rol]])^2</f>
        <v>0.87514044752903608</v>
      </c>
      <c r="R36" s="50">
        <f>(1/(2*tblfoxz[[#This Row],[β]]))*((tblfoxz[[#This Row],[fox]]+tblfoxz[[#This Row],[foz]])-SQRT((tblfoxz[[#This Row],[fox]]+tblfoxz[[#This Row],[foz]])^2-4*tblfoxz[[#This Row],[β]]*tblfoxz[[#This Row],[fox]]*tblfoxz[[#This Row],[foz]]))</f>
        <v>202291057.72419748</v>
      </c>
    </row>
    <row r="37" spans="2:18" x14ac:dyDescent="0.2">
      <c r="B37" s="13" t="s">
        <v>37</v>
      </c>
      <c r="C37" s="14">
        <v>7.0299999999999998E-3</v>
      </c>
      <c r="D37" s="7">
        <v>5</v>
      </c>
      <c r="E37" s="7">
        <v>5</v>
      </c>
      <c r="F37" s="15">
        <v>0.14699999999999999</v>
      </c>
      <c r="G37" s="15">
        <v>3.04E-2</v>
      </c>
      <c r="H37" s="18">
        <v>5.67E-2</v>
      </c>
      <c r="I37" s="18">
        <v>0</v>
      </c>
      <c r="J37" s="16">
        <v>4.7199999999999999E-7</v>
      </c>
      <c r="K37" s="16">
        <v>1.5099999999999999E-7</v>
      </c>
      <c r="L37" s="6">
        <v>200000000000</v>
      </c>
      <c r="M37" s="6">
        <v>80000000000</v>
      </c>
      <c r="N37" s="47">
        <f>SQRT(tblfoxz[[#This Row],[rx]]^2+tblfoxz[[#This Row],[ry]]^2+tblfoxz[[#This Row],[xo]]^2+tblfoxz[[#This Row],[yo]]^2)</f>
        <v>0.16046198926848687</v>
      </c>
      <c r="O37" s="48">
        <f>(tblfoxz[[#This Row],[E]]*PI()^2)/((tblfoxz[[#This Row],[lex]]/tblfoxz[[#This Row],[rx]])^2)</f>
        <v>1706178252.0251191</v>
      </c>
      <c r="P3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274475519.69604725</v>
      </c>
      <c r="Q37" s="47">
        <f>1-(tblfoxz[[#This Row],[xo]]/tblfoxz[[#This Row],[rol]])^2</f>
        <v>0.87514044752903608</v>
      </c>
      <c r="R37" s="50">
        <f>(1/(2*tblfoxz[[#This Row],[β]]))*((tblfoxz[[#This Row],[fox]]+tblfoxz[[#This Row],[foz]])-SQRT((tblfoxz[[#This Row],[fox]]+tblfoxz[[#This Row],[foz]])^2-4*tblfoxz[[#This Row],[β]]*tblfoxz[[#This Row],[fox]]*tblfoxz[[#This Row],[foz]]))</f>
        <v>268228294.272122</v>
      </c>
    </row>
    <row r="38" spans="2:18" x14ac:dyDescent="0.2">
      <c r="B38" s="13" t="s">
        <v>37</v>
      </c>
      <c r="C38" s="14">
        <v>7.0299999999999998E-3</v>
      </c>
      <c r="D38" s="7">
        <v>1</v>
      </c>
      <c r="E38" s="7">
        <v>1</v>
      </c>
      <c r="F38" s="15">
        <v>0.14699999999999999</v>
      </c>
      <c r="G38" s="15">
        <v>3.04E-2</v>
      </c>
      <c r="H38" s="18">
        <v>5.67E-2</v>
      </c>
      <c r="I38" s="18">
        <v>0</v>
      </c>
      <c r="J38" s="16">
        <v>4.7199999999999999E-7</v>
      </c>
      <c r="K38" s="16">
        <v>1.5099999999999999E-7</v>
      </c>
      <c r="L38" s="6">
        <v>200000000000</v>
      </c>
      <c r="M38" s="6">
        <v>80000000000</v>
      </c>
      <c r="N38" s="47">
        <f>SQRT(tblfoxz[[#This Row],[rx]]^2+tblfoxz[[#This Row],[ry]]^2+tblfoxz[[#This Row],[xo]]^2+tblfoxz[[#This Row],[yo]]^2)</f>
        <v>0.16046198926848687</v>
      </c>
      <c r="O38" s="48">
        <f>(tblfoxz[[#This Row],[E]]*PI()^2)/((tblfoxz[[#This Row],[lex]]/tblfoxz[[#This Row],[rx]])^2)</f>
        <v>42654456300.627983</v>
      </c>
      <c r="P3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1855280343.733463</v>
      </c>
      <c r="Q38" s="47">
        <f>1-(tblfoxz[[#This Row],[xo]]/tblfoxz[[#This Row],[rol]])^2</f>
        <v>0.87514044752903608</v>
      </c>
      <c r="R38" s="50">
        <f>(1/(2*tblfoxz[[#This Row],[β]]))*((tblfoxz[[#This Row],[fox]]+tblfoxz[[#This Row],[foz]])-SQRT((tblfoxz[[#This Row],[fox]]+tblfoxz[[#This Row],[foz]])^2-4*tblfoxz[[#This Row],[β]]*tblfoxz[[#This Row],[fox]]*tblfoxz[[#This Row],[foz]]))</f>
        <v>1844867012.5487895</v>
      </c>
    </row>
    <row r="39" spans="2:18" x14ac:dyDescent="0.2">
      <c r="B39" s="13" t="s">
        <v>37</v>
      </c>
      <c r="C39" s="14">
        <v>7.0299999999999998E-3</v>
      </c>
      <c r="D39" s="7">
        <v>0.5</v>
      </c>
      <c r="E39" s="7">
        <v>0.5</v>
      </c>
      <c r="F39" s="15">
        <v>0.14699999999999999</v>
      </c>
      <c r="G39" s="15">
        <v>3.04E-2</v>
      </c>
      <c r="H39" s="18">
        <v>5.67E-2</v>
      </c>
      <c r="I39" s="18">
        <v>0</v>
      </c>
      <c r="J39" s="16">
        <v>4.7199999999999999E-7</v>
      </c>
      <c r="K39" s="16">
        <v>1.5099999999999999E-7</v>
      </c>
      <c r="L39" s="6">
        <v>200000000000</v>
      </c>
      <c r="M39" s="6">
        <v>80000000000</v>
      </c>
      <c r="N39" s="47">
        <f>SQRT(tblfoxz[[#This Row],[rx]]^2+tblfoxz[[#This Row],[ry]]^2+tblfoxz[[#This Row],[xo]]^2+tblfoxz[[#This Row],[yo]]^2)</f>
        <v>0.16046198926848687</v>
      </c>
      <c r="O39" s="48">
        <f>(tblfoxz[[#This Row],[E]]*PI()^2)/((tblfoxz[[#This Row],[lex]]/tblfoxz[[#This Row],[rx]])^2)</f>
        <v>170617825202.51193</v>
      </c>
      <c r="P3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6795295418.8503876</v>
      </c>
      <c r="Q39" s="47">
        <f>1-(tblfoxz[[#This Row],[xo]]/tblfoxz[[#This Row],[rol]])^2</f>
        <v>0.87514044752903608</v>
      </c>
      <c r="R39" s="50">
        <f>(1/(2*tblfoxz[[#This Row],[β]]))*((tblfoxz[[#This Row],[fox]]+tblfoxz[[#This Row],[foz]])-SQRT((tblfoxz[[#This Row],[fox]]+tblfoxz[[#This Row],[foz]])^2-4*tblfoxz[[#This Row],[β]]*tblfoxz[[#This Row],[fox]]*tblfoxz[[#This Row],[foz]]))</f>
        <v>6760468947.3785906</v>
      </c>
    </row>
    <row r="40" spans="2:18" x14ac:dyDescent="0.2">
      <c r="B40" s="4" t="s">
        <v>7</v>
      </c>
      <c r="C40" s="10">
        <v>1.6E-2</v>
      </c>
      <c r="D40" s="4">
        <v>40</v>
      </c>
      <c r="E40" s="4">
        <v>40</v>
      </c>
      <c r="F40" s="4">
        <v>0.249</v>
      </c>
      <c r="G40" s="5">
        <v>4.9599999999999998E-2</v>
      </c>
      <c r="H40" s="18">
        <v>0</v>
      </c>
      <c r="I40" s="18">
        <v>0</v>
      </c>
      <c r="J40" s="16">
        <v>1.5600000000000001E-6</v>
      </c>
      <c r="K40" s="16">
        <v>3.45E-6</v>
      </c>
      <c r="L40" s="6">
        <v>200000000000</v>
      </c>
      <c r="M40" s="6">
        <v>80000000000</v>
      </c>
      <c r="N40" s="47">
        <f>SQRT(tblfoxz[[#This Row],[rx]]^2+tblfoxz[[#This Row],[ry]]^2+tblfoxz[[#This Row],[xo]]^2+tblfoxz[[#This Row],[yo]]^2)</f>
        <v>0.25389202429379304</v>
      </c>
      <c r="O40" s="48">
        <f>(tblfoxz[[#This Row],[E]]*PI()^2)/((tblfoxz[[#This Row],[lex]]/tblfoxz[[#This Row],[rx]])^2)</f>
        <v>76490667.808992654</v>
      </c>
      <c r="P4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125129871.71070321</v>
      </c>
      <c r="Q40" s="47">
        <f>1-(tblfoxz[[#This Row],[xo]]/tblfoxz[[#This Row],[rol]])^2</f>
        <v>1</v>
      </c>
      <c r="R40" s="50">
        <f>(1/(2*tblfoxz[[#This Row],[β]]))*((tblfoxz[[#This Row],[fox]]+tblfoxz[[#This Row],[foz]])-SQRT((tblfoxz[[#This Row],[fox]]+tblfoxz[[#This Row],[foz]])^2-4*tblfoxz[[#This Row],[β]]*tblfoxz[[#This Row],[fox]]*tblfoxz[[#This Row],[foz]]))</f>
        <v>76490667.808992624</v>
      </c>
    </row>
    <row r="41" spans="2:18" x14ac:dyDescent="0.2">
      <c r="B41" s="4" t="s">
        <v>7</v>
      </c>
      <c r="C41" s="10">
        <v>1.6E-2</v>
      </c>
      <c r="D41" s="4">
        <v>20</v>
      </c>
      <c r="E41" s="4">
        <v>20</v>
      </c>
      <c r="F41" s="4">
        <v>0.249</v>
      </c>
      <c r="G41" s="5">
        <v>4.9599999999999998E-2</v>
      </c>
      <c r="H41" s="18">
        <v>0</v>
      </c>
      <c r="I41" s="18">
        <v>0</v>
      </c>
      <c r="J41" s="16">
        <v>1.5600000000000001E-6</v>
      </c>
      <c r="K41" s="16">
        <v>3.45E-6</v>
      </c>
      <c r="L41" s="6">
        <v>200000000000</v>
      </c>
      <c r="M41" s="6">
        <v>80000000000</v>
      </c>
      <c r="N41" s="47">
        <f>SQRT(tblfoxz[[#This Row],[rx]]^2+tblfoxz[[#This Row],[ry]]^2+tblfoxz[[#This Row],[xo]]^2+tblfoxz[[#This Row],[yo]]^2)</f>
        <v>0.25389202429379304</v>
      </c>
      <c r="O41" s="48">
        <f>(tblfoxz[[#This Row],[E]]*PI()^2)/((tblfoxz[[#This Row],[lex]]/tblfoxz[[#This Row],[rx]])^2)</f>
        <v>305962671.23597062</v>
      </c>
      <c r="P4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137510195.66654477</v>
      </c>
      <c r="Q41" s="47">
        <f>1-(tblfoxz[[#This Row],[xo]]/tblfoxz[[#This Row],[rol]])^2</f>
        <v>1</v>
      </c>
      <c r="R41" s="50">
        <f>(1/(2*tblfoxz[[#This Row],[β]]))*((tblfoxz[[#This Row],[fox]]+tblfoxz[[#This Row],[foz]])-SQRT((tblfoxz[[#This Row],[fox]]+tblfoxz[[#This Row],[foz]])^2-4*tblfoxz[[#This Row],[β]]*tblfoxz[[#This Row],[fox]]*tblfoxz[[#This Row],[foz]]))</f>
        <v>137510195.66654471</v>
      </c>
    </row>
    <row r="42" spans="2:18" x14ac:dyDescent="0.2">
      <c r="B42" s="4" t="s">
        <v>7</v>
      </c>
      <c r="C42" s="10">
        <v>1.6E-2</v>
      </c>
      <c r="D42" s="4">
        <v>10</v>
      </c>
      <c r="E42" s="4">
        <v>10</v>
      </c>
      <c r="F42" s="4">
        <v>0.249</v>
      </c>
      <c r="G42" s="5">
        <v>4.9599999999999998E-2</v>
      </c>
      <c r="H42" s="18">
        <v>0</v>
      </c>
      <c r="I42" s="18">
        <v>0</v>
      </c>
      <c r="J42" s="16">
        <v>1.5600000000000001E-6</v>
      </c>
      <c r="K42" s="16">
        <v>3.45E-6</v>
      </c>
      <c r="L42" s="6">
        <v>200000000000</v>
      </c>
      <c r="M42" s="6">
        <v>80000000000</v>
      </c>
      <c r="N42" s="47">
        <f>SQRT(tblfoxz[[#This Row],[rx]]^2+tblfoxz[[#This Row],[ry]]^2+tblfoxz[[#This Row],[xo]]^2+tblfoxz[[#This Row],[yo]]^2)</f>
        <v>0.25389202429379304</v>
      </c>
      <c r="O42" s="48">
        <f>(tblfoxz[[#This Row],[E]]*PI()^2)/((tblfoxz[[#This Row],[lex]]/tblfoxz[[#This Row],[rx]])^2)</f>
        <v>1223850684.9438825</v>
      </c>
      <c r="P4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187031491.48991096</v>
      </c>
      <c r="Q42" s="47">
        <f>1-(tblfoxz[[#This Row],[xo]]/tblfoxz[[#This Row],[rol]])^2</f>
        <v>1</v>
      </c>
      <c r="R42" s="50">
        <f>(1/(2*tblfoxz[[#This Row],[β]]))*((tblfoxz[[#This Row],[fox]]+tblfoxz[[#This Row],[foz]])-SQRT((tblfoxz[[#This Row],[fox]]+tblfoxz[[#This Row],[foz]])^2-4*tblfoxz[[#This Row],[β]]*tblfoxz[[#This Row],[fox]]*tblfoxz[[#This Row],[foz]]))</f>
        <v>187031491.4899109</v>
      </c>
    </row>
    <row r="43" spans="2:18" x14ac:dyDescent="0.2">
      <c r="B43" s="4" t="s">
        <v>7</v>
      </c>
      <c r="C43" s="10">
        <v>1.6E-2</v>
      </c>
      <c r="D43" s="4">
        <v>5</v>
      </c>
      <c r="E43" s="4">
        <v>5</v>
      </c>
      <c r="F43" s="4">
        <v>0.249</v>
      </c>
      <c r="G43" s="5">
        <v>4.9599999999999998E-2</v>
      </c>
      <c r="H43" s="18">
        <v>0</v>
      </c>
      <c r="I43" s="18">
        <v>0</v>
      </c>
      <c r="J43" s="16">
        <v>1.5600000000000001E-6</v>
      </c>
      <c r="K43" s="16">
        <v>3.45E-6</v>
      </c>
      <c r="L43" s="6">
        <v>200000000000</v>
      </c>
      <c r="M43" s="6">
        <v>80000000000</v>
      </c>
      <c r="N43" s="47">
        <f>SQRT(tblfoxz[[#This Row],[rx]]^2+tblfoxz[[#This Row],[ry]]^2+tblfoxz[[#This Row],[xo]]^2+tblfoxz[[#This Row],[yo]]^2)</f>
        <v>0.25389202429379304</v>
      </c>
      <c r="O43" s="48">
        <f>(tblfoxz[[#This Row],[E]]*PI()^2)/((tblfoxz[[#This Row],[lex]]/tblfoxz[[#This Row],[rx]])^2)</f>
        <v>4895402739.7755299</v>
      </c>
      <c r="P4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385116674.78337574</v>
      </c>
      <c r="Q43" s="47">
        <f>1-(tblfoxz[[#This Row],[xo]]/tblfoxz[[#This Row],[rol]])^2</f>
        <v>1</v>
      </c>
      <c r="R43" s="50">
        <f>(1/(2*tblfoxz[[#This Row],[β]]))*((tblfoxz[[#This Row],[fox]]+tblfoxz[[#This Row],[foz]])-SQRT((tblfoxz[[#This Row],[fox]]+tblfoxz[[#This Row],[foz]])^2-4*tblfoxz[[#This Row],[β]]*tblfoxz[[#This Row],[fox]]*tblfoxz[[#This Row],[foz]]))</f>
        <v>385116674.78337574</v>
      </c>
    </row>
    <row r="44" spans="2:18" x14ac:dyDescent="0.2">
      <c r="B44" s="4" t="s">
        <v>7</v>
      </c>
      <c r="C44" s="10">
        <v>1.6E-2</v>
      </c>
      <c r="D44" s="4">
        <v>1</v>
      </c>
      <c r="E44" s="4">
        <v>1</v>
      </c>
      <c r="F44" s="4">
        <v>0.249</v>
      </c>
      <c r="G44" s="5">
        <v>4.9599999999999998E-2</v>
      </c>
      <c r="H44" s="18">
        <v>0</v>
      </c>
      <c r="I44" s="18">
        <v>0</v>
      </c>
      <c r="J44" s="16">
        <v>1.5600000000000001E-6</v>
      </c>
      <c r="K44" s="16">
        <v>3.45E-6</v>
      </c>
      <c r="L44" s="6">
        <v>200000000000</v>
      </c>
      <c r="M44" s="6">
        <v>80000000000</v>
      </c>
      <c r="N44" s="47">
        <f>SQRT(tblfoxz[[#This Row],[rx]]^2+tblfoxz[[#This Row],[ry]]^2+tblfoxz[[#This Row],[xo]]^2+tblfoxz[[#This Row],[yo]]^2)</f>
        <v>0.25389202429379304</v>
      </c>
      <c r="O44" s="48">
        <f>(tblfoxz[[#This Row],[E]]*PI()^2)/((tblfoxz[[#This Row],[lex]]/tblfoxz[[#This Row],[rx]])^2)</f>
        <v>122385068494.38824</v>
      </c>
      <c r="P4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6723842540.1742487</v>
      </c>
      <c r="Q44" s="47">
        <f>1-(tblfoxz[[#This Row],[xo]]/tblfoxz[[#This Row],[rol]])^2</f>
        <v>1</v>
      </c>
      <c r="R44" s="50">
        <f>(1/(2*tblfoxz[[#This Row],[β]]))*((tblfoxz[[#This Row],[fox]]+tblfoxz[[#This Row],[foz]])-SQRT((tblfoxz[[#This Row],[fox]]+tblfoxz[[#This Row],[foz]])^2-4*tblfoxz[[#This Row],[β]]*tblfoxz[[#This Row],[fox]]*tblfoxz[[#This Row],[foz]]))</f>
        <v>6723842540.1742477</v>
      </c>
    </row>
    <row r="45" spans="2:18" x14ac:dyDescent="0.2">
      <c r="B45" s="4" t="s">
        <v>6</v>
      </c>
      <c r="C45" s="10">
        <v>7.54E-4</v>
      </c>
      <c r="D45" s="4">
        <v>10</v>
      </c>
      <c r="E45" s="4">
        <v>10</v>
      </c>
      <c r="F45" s="4">
        <v>3.0099999999999998E-2</v>
      </c>
      <c r="G45" s="5">
        <v>1.26E-2</v>
      </c>
      <c r="H45" s="19">
        <v>2.7199999999999998E-2</v>
      </c>
      <c r="I45" s="19">
        <v>0</v>
      </c>
      <c r="J45" s="6">
        <v>8.1300000000000007E-9</v>
      </c>
      <c r="K45" s="6">
        <v>1.06E-10</v>
      </c>
      <c r="L45" s="6">
        <v>200000000000</v>
      </c>
      <c r="M45" s="6">
        <v>80000000000</v>
      </c>
      <c r="N45" s="47">
        <f>SQRT(tblfoxz[[#This Row],[rx]]^2+tblfoxz[[#This Row],[ry]]^2+tblfoxz[[#This Row],[xo]]^2+tblfoxz[[#This Row],[yo]]^2)</f>
        <v>4.2480701500799162E-2</v>
      </c>
      <c r="O45" s="48">
        <f>(tblfoxz[[#This Row],[E]]*PI()^2)/((tblfoxz[[#This Row],[lex]]/tblfoxz[[#This Row],[rx]])^2)</f>
        <v>17883920.566861939</v>
      </c>
      <c r="P4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479535455.10111028</v>
      </c>
      <c r="Q45" s="47">
        <f>1-(tblfoxz[[#This Row],[xo]]/tblfoxz[[#This Row],[rol]])^2</f>
        <v>0.5900277622311747</v>
      </c>
      <c r="R45" s="50">
        <f>(1/(2*tblfoxz[[#This Row],[β]]))*((tblfoxz[[#This Row],[fox]]+tblfoxz[[#This Row],[foz]])-SQRT((tblfoxz[[#This Row],[fox]]+tblfoxz[[#This Row],[foz]])^2-4*tblfoxz[[#This Row],[β]]*tblfoxz[[#This Row],[fox]]*tblfoxz[[#This Row],[foz]]))</f>
        <v>17608727.614309058</v>
      </c>
    </row>
    <row r="46" spans="2:18" x14ac:dyDescent="0.2">
      <c r="B46" s="4" t="s">
        <v>6</v>
      </c>
      <c r="C46" s="10">
        <v>7.54E-4</v>
      </c>
      <c r="D46" s="4">
        <v>5</v>
      </c>
      <c r="E46" s="4">
        <v>5</v>
      </c>
      <c r="F46" s="4">
        <v>3.0099999999999998E-2</v>
      </c>
      <c r="G46" s="5">
        <v>1.26E-2</v>
      </c>
      <c r="H46" s="19">
        <v>2.7199999999999998E-2</v>
      </c>
      <c r="I46" s="19">
        <v>0</v>
      </c>
      <c r="J46" s="6">
        <v>8.1300000000000007E-9</v>
      </c>
      <c r="K46" s="6">
        <v>1.06E-10</v>
      </c>
      <c r="L46" s="6">
        <v>200000000000</v>
      </c>
      <c r="M46" s="6">
        <v>80000000000</v>
      </c>
      <c r="N46" s="47">
        <f>SQRT(tblfoxz[[#This Row],[rx]]^2+tblfoxz[[#This Row],[ry]]^2+tblfoxz[[#This Row],[xo]]^2+tblfoxz[[#This Row],[yo]]^2)</f>
        <v>4.2480701500799162E-2</v>
      </c>
      <c r="O46" s="48">
        <f>(tblfoxz[[#This Row],[E]]*PI()^2)/((tblfoxz[[#This Row],[lex]]/tblfoxz[[#This Row],[rx]])^2)</f>
        <v>71535682.267447755</v>
      </c>
      <c r="P4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484148653.74346507</v>
      </c>
      <c r="Q46" s="47">
        <f>1-(tblfoxz[[#This Row],[xo]]/tblfoxz[[#This Row],[rol]])^2</f>
        <v>0.5900277622311747</v>
      </c>
      <c r="R46" s="50">
        <f>(1/(2*tblfoxz[[#This Row],[β]]))*((tblfoxz[[#This Row],[fox]]+tblfoxz[[#This Row],[foz]])-SQRT((tblfoxz[[#This Row],[fox]]+tblfoxz[[#This Row],[foz]])^2-4*tblfoxz[[#This Row],[β]]*tblfoxz[[#This Row],[fox]]*tblfoxz[[#This Row],[foz]]))</f>
        <v>67108462.193456925</v>
      </c>
    </row>
    <row r="47" spans="2:18" x14ac:dyDescent="0.2">
      <c r="B47" s="4" t="s">
        <v>6</v>
      </c>
      <c r="C47" s="10">
        <v>7.54E-4</v>
      </c>
      <c r="D47" s="4">
        <v>1</v>
      </c>
      <c r="E47" s="4">
        <v>1</v>
      </c>
      <c r="F47" s="4">
        <v>3.0099999999999998E-2</v>
      </c>
      <c r="G47" s="5">
        <v>1.26E-2</v>
      </c>
      <c r="H47" s="19">
        <v>2.7199999999999998E-2</v>
      </c>
      <c r="I47" s="19">
        <v>0</v>
      </c>
      <c r="J47" s="6">
        <v>8.1300000000000007E-9</v>
      </c>
      <c r="K47" s="6">
        <v>1.06E-10</v>
      </c>
      <c r="L47" s="6">
        <v>200000000000</v>
      </c>
      <c r="M47" s="6">
        <v>80000000000</v>
      </c>
      <c r="N47" s="47">
        <f>SQRT(tblfoxz[[#This Row],[rx]]^2+tblfoxz[[#This Row],[ry]]^2+tblfoxz[[#This Row],[xo]]^2+tblfoxz[[#This Row],[yo]]^2)</f>
        <v>4.2480701500799162E-2</v>
      </c>
      <c r="O47" s="48">
        <f>(tblfoxz[[#This Row],[E]]*PI()^2)/((tblfoxz[[#This Row],[lex]]/tblfoxz[[#This Row],[rx]])^2)</f>
        <v>1788392056.6861939</v>
      </c>
      <c r="P4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631771010.29881835</v>
      </c>
      <c r="Q47" s="47">
        <f>1-(tblfoxz[[#This Row],[xo]]/tblfoxz[[#This Row],[rol]])^2</f>
        <v>0.5900277622311747</v>
      </c>
      <c r="R47" s="50">
        <f>(1/(2*tblfoxz[[#This Row],[β]]))*((tblfoxz[[#This Row],[fox]]+tblfoxz[[#This Row],[foz]])-SQRT((tblfoxz[[#This Row],[fox]]+tblfoxz[[#This Row],[foz]])^2-4*tblfoxz[[#This Row],[β]]*tblfoxz[[#This Row],[fox]]*tblfoxz[[#This Row],[foz]]))</f>
        <v>537208472.70002687</v>
      </c>
    </row>
    <row r="48" spans="2:18" x14ac:dyDescent="0.2">
      <c r="B48" s="4" t="s">
        <v>6</v>
      </c>
      <c r="C48" s="10">
        <v>7.54E-4</v>
      </c>
      <c r="D48" s="4">
        <v>0.5</v>
      </c>
      <c r="E48" s="4">
        <v>0.5</v>
      </c>
      <c r="F48" s="4">
        <v>3.0099999999999998E-2</v>
      </c>
      <c r="G48" s="5">
        <v>1.26E-2</v>
      </c>
      <c r="H48" s="19">
        <v>2.7199999999999998E-2</v>
      </c>
      <c r="I48" s="19">
        <v>0</v>
      </c>
      <c r="J48" s="6">
        <v>8.1300000000000007E-9</v>
      </c>
      <c r="K48" s="6">
        <v>1.06E-10</v>
      </c>
      <c r="L48" s="6">
        <v>200000000000</v>
      </c>
      <c r="M48" s="6">
        <v>80000000000</v>
      </c>
      <c r="N48" s="47">
        <f>SQRT(tblfoxz[[#This Row],[rx]]^2+tblfoxz[[#This Row],[ry]]^2+tblfoxz[[#This Row],[xo]]^2+tblfoxz[[#This Row],[yo]]^2)</f>
        <v>4.2480701500799162E-2</v>
      </c>
      <c r="O48" s="48">
        <f>(tblfoxz[[#This Row],[E]]*PI()^2)/((tblfoxz[[#This Row],[lex]]/tblfoxz[[#This Row],[rx]])^2)</f>
        <v>7153568226.7447758</v>
      </c>
      <c r="P4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1093090874.5342977</v>
      </c>
      <c r="Q48" s="47">
        <f>1-(tblfoxz[[#This Row],[xo]]/tblfoxz[[#This Row],[rol]])^2</f>
        <v>0.5900277622311747</v>
      </c>
      <c r="R48" s="50">
        <f>(1/(2*tblfoxz[[#This Row],[β]]))*((tblfoxz[[#This Row],[fox]]+tblfoxz[[#This Row],[foz]])-SQRT((tblfoxz[[#This Row],[fox]]+tblfoxz[[#This Row],[foz]])^2-4*tblfoxz[[#This Row],[β]]*tblfoxz[[#This Row],[fox]]*tblfoxz[[#This Row],[foz]]))</f>
        <v>1023092202.6957648</v>
      </c>
    </row>
    <row r="49" spans="2:18" x14ac:dyDescent="0.2">
      <c r="B49" s="4" t="s">
        <v>6</v>
      </c>
      <c r="C49" s="10">
        <v>7.54E-4</v>
      </c>
      <c r="D49" s="4">
        <v>0.1</v>
      </c>
      <c r="E49" s="4">
        <v>0.1</v>
      </c>
      <c r="F49" s="4">
        <v>3.0099999999999998E-2</v>
      </c>
      <c r="G49" s="5">
        <v>1.26E-2</v>
      </c>
      <c r="H49" s="19">
        <v>2.7199999999999998E-2</v>
      </c>
      <c r="I49" s="19">
        <v>0</v>
      </c>
      <c r="J49" s="6">
        <v>8.1300000000000007E-9</v>
      </c>
      <c r="K49" s="6">
        <v>1.06E-10</v>
      </c>
      <c r="L49" s="6">
        <v>200000000000</v>
      </c>
      <c r="M49" s="6">
        <v>80000000000</v>
      </c>
      <c r="N49" s="47">
        <f>SQRT(tblfoxz[[#This Row],[rx]]^2+tblfoxz[[#This Row],[ry]]^2+tblfoxz[[#This Row],[xo]]^2+tblfoxz[[#This Row],[yo]]^2)</f>
        <v>4.2480701500799162E-2</v>
      </c>
      <c r="O49" s="48">
        <f>(tblfoxz[[#This Row],[E]]*PI()^2)/((tblfoxz[[#This Row],[lex]]/tblfoxz[[#This Row],[rx]])^2)</f>
        <v>178839205668.61932</v>
      </c>
      <c r="P4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15855326530.069632</v>
      </c>
      <c r="Q49" s="47">
        <f>1-(tblfoxz[[#This Row],[xo]]/tblfoxz[[#This Row],[rol]])^2</f>
        <v>0.5900277622311747</v>
      </c>
      <c r="R49" s="50">
        <f>(1/(2*tblfoxz[[#This Row],[β]]))*((tblfoxz[[#This Row],[fox]]+tblfoxz[[#This Row],[foz]])-SQRT((tblfoxz[[#This Row],[fox]]+tblfoxz[[#This Row],[foz]])^2-4*tblfoxz[[#This Row],[β]]*tblfoxz[[#This Row],[fox]]*tblfoxz[[#This Row],[foz]]))</f>
        <v>15270831924.824717</v>
      </c>
    </row>
    <row r="50" spans="2:18" x14ac:dyDescent="0.2">
      <c r="B50" s="13" t="s">
        <v>47</v>
      </c>
      <c r="C50" s="14">
        <v>1.0999999999999999E-2</v>
      </c>
      <c r="D50" s="7">
        <v>10</v>
      </c>
      <c r="E50" s="7">
        <v>10</v>
      </c>
      <c r="F50" s="15">
        <v>0.21</v>
      </c>
      <c r="G50" s="15">
        <v>3.6978999999999998E-2</v>
      </c>
      <c r="H50" s="18">
        <v>0</v>
      </c>
      <c r="I50" s="18">
        <v>0.15428504787</v>
      </c>
      <c r="J50" s="16">
        <v>9.1838800792000005E-7</v>
      </c>
      <c r="K50" s="16">
        <v>4.0290907437000001E-7</v>
      </c>
      <c r="L50" s="16">
        <v>200000000000</v>
      </c>
      <c r="M50" s="16">
        <v>80000000000</v>
      </c>
      <c r="N50" s="47">
        <f>SQRT(tblfoxz[[#This Row],[rx]]^2+tblfoxz[[#This Row],[ry]]^2+tblfoxz[[#This Row],[xo]]^2+tblfoxz[[#This Row],[yo]]^2)</f>
        <v>0.26319445745921055</v>
      </c>
      <c r="O50" s="48">
        <f>(tblfoxz[[#This Row],[E]]*PI()^2)/((tblfoxz[[#This Row],[lex]]/tblfoxz[[#This Row],[rx]])^2)</f>
        <v>870499108.1760813</v>
      </c>
      <c r="P5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106858002.98941475</v>
      </c>
      <c r="Q50" s="47">
        <f>1-(tblfoxz[[#This Row],[xo]]/tblfoxz[[#This Row],[rol]])^2</f>
        <v>1</v>
      </c>
      <c r="R50" s="50">
        <f>(1/(2*tblfoxz[[#This Row],[β]]))*((tblfoxz[[#This Row],[fox]]+tblfoxz[[#This Row],[foz]])-SQRT((tblfoxz[[#This Row],[fox]]+tblfoxz[[#This Row],[foz]])^2-4*tblfoxz[[#This Row],[β]]*tblfoxz[[#This Row],[fox]]*tblfoxz[[#This Row],[foz]]))</f>
        <v>106858002.98941475</v>
      </c>
    </row>
    <row r="51" spans="2:18" x14ac:dyDescent="0.2">
      <c r="B51" s="13" t="s">
        <v>47</v>
      </c>
      <c r="C51" s="14">
        <v>1.0999999999999999E-2</v>
      </c>
      <c r="D51" s="7">
        <v>5</v>
      </c>
      <c r="E51" s="7">
        <v>5</v>
      </c>
      <c r="F51" s="15">
        <v>0.21</v>
      </c>
      <c r="G51" s="15">
        <v>3.6978999999999998E-2</v>
      </c>
      <c r="H51" s="18">
        <v>0</v>
      </c>
      <c r="I51" s="18">
        <v>0.15428504787</v>
      </c>
      <c r="J51" s="16">
        <v>9.1838800792000005E-7</v>
      </c>
      <c r="K51" s="16">
        <v>4.0290907437000001E-7</v>
      </c>
      <c r="L51" s="16">
        <v>200000000000</v>
      </c>
      <c r="M51" s="16">
        <v>80000000000</v>
      </c>
      <c r="N51" s="47">
        <f>SQRT(tblfoxz[[#This Row],[rx]]^2+tblfoxz[[#This Row],[ry]]^2+tblfoxz[[#This Row],[xo]]^2+tblfoxz[[#This Row],[yo]]^2)</f>
        <v>0.26319445745921055</v>
      </c>
      <c r="O51" s="48">
        <f>(tblfoxz[[#This Row],[E]]*PI()^2)/((tblfoxz[[#This Row],[lex]]/tblfoxz[[#This Row],[rx]])^2)</f>
        <v>3481996432.7043252</v>
      </c>
      <c r="P5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138170080.30350193</v>
      </c>
      <c r="Q51" s="47">
        <f>1-(tblfoxz[[#This Row],[xo]]/tblfoxz[[#This Row],[rol]])^2</f>
        <v>1</v>
      </c>
      <c r="R51" s="50">
        <f>(1/(2*tblfoxz[[#This Row],[β]]))*((tblfoxz[[#This Row],[fox]]+tblfoxz[[#This Row],[foz]])-SQRT((tblfoxz[[#This Row],[fox]]+tblfoxz[[#This Row],[foz]])^2-4*tblfoxz[[#This Row],[β]]*tblfoxz[[#This Row],[fox]]*tblfoxz[[#This Row],[foz]]))</f>
        <v>138170080.30350184</v>
      </c>
    </row>
    <row r="52" spans="2:18" x14ac:dyDescent="0.2">
      <c r="B52" s="13" t="s">
        <v>47</v>
      </c>
      <c r="C52" s="14">
        <v>1.0999999999999999E-2</v>
      </c>
      <c r="D52" s="7">
        <v>1</v>
      </c>
      <c r="E52" s="7">
        <v>1</v>
      </c>
      <c r="F52" s="15">
        <v>0.21</v>
      </c>
      <c r="G52" s="15">
        <v>3.6978999999999998E-2</v>
      </c>
      <c r="H52" s="18">
        <v>0</v>
      </c>
      <c r="I52" s="18">
        <v>0.15428504787</v>
      </c>
      <c r="J52" s="16">
        <v>9.1838800792000005E-7</v>
      </c>
      <c r="K52" s="16">
        <v>4.0290907437000001E-7</v>
      </c>
      <c r="L52" s="16">
        <v>200000000000</v>
      </c>
      <c r="M52" s="16">
        <v>80000000000</v>
      </c>
      <c r="N52" s="47">
        <f>SQRT(tblfoxz[[#This Row],[rx]]^2+tblfoxz[[#This Row],[ry]]^2+tblfoxz[[#This Row],[xo]]^2+tblfoxz[[#This Row],[yo]]^2)</f>
        <v>0.26319445745921055</v>
      </c>
      <c r="O52" s="48">
        <f>(tblfoxz[[#This Row],[E]]*PI()^2)/((tblfoxz[[#This Row],[lex]]/tblfoxz[[#This Row],[rx]])^2)</f>
        <v>87049910817.608139</v>
      </c>
      <c r="P5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1140156554.3542917</v>
      </c>
      <c r="Q52" s="47">
        <f>1-(tblfoxz[[#This Row],[xo]]/tblfoxz[[#This Row],[rol]])^2</f>
        <v>1</v>
      </c>
      <c r="R52" s="50">
        <f>(1/(2*tblfoxz[[#This Row],[β]]))*((tblfoxz[[#This Row],[fox]]+tblfoxz[[#This Row],[foz]])-SQRT((tblfoxz[[#This Row],[fox]]+tblfoxz[[#This Row],[foz]])^2-4*tblfoxz[[#This Row],[β]]*tblfoxz[[#This Row],[fox]]*tblfoxz[[#This Row],[foz]]))</f>
        <v>1140156554.3542938</v>
      </c>
    </row>
    <row r="53" spans="2:18" x14ac:dyDescent="0.2">
      <c r="B53" s="13" t="s">
        <v>47</v>
      </c>
      <c r="C53" s="14">
        <v>1.0999999999999999E-2</v>
      </c>
      <c r="D53" s="7">
        <v>0.5</v>
      </c>
      <c r="E53" s="7">
        <v>0.5</v>
      </c>
      <c r="F53" s="15">
        <v>0.21</v>
      </c>
      <c r="G53" s="15">
        <v>3.6978999999999998E-2</v>
      </c>
      <c r="H53" s="18">
        <v>0</v>
      </c>
      <c r="I53" s="18">
        <v>0.15428504787</v>
      </c>
      <c r="J53" s="16">
        <v>9.1838800792000005E-7</v>
      </c>
      <c r="K53" s="16">
        <v>4.0290907437000001E-7</v>
      </c>
      <c r="L53" s="16">
        <v>200000000000</v>
      </c>
      <c r="M53" s="16">
        <v>80000000000</v>
      </c>
      <c r="N53" s="47">
        <f>SQRT(tblfoxz[[#This Row],[rx]]^2+tblfoxz[[#This Row],[ry]]^2+tblfoxz[[#This Row],[xo]]^2+tblfoxz[[#This Row],[yo]]^2)</f>
        <v>0.26319445745921055</v>
      </c>
      <c r="O53" s="48">
        <f>(tblfoxz[[#This Row],[E]]*PI()^2)/((tblfoxz[[#This Row],[lex]]/tblfoxz[[#This Row],[rx]])^2)</f>
        <v>348199643270.43256</v>
      </c>
      <c r="P5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4271364285.7630091</v>
      </c>
      <c r="Q53" s="47">
        <f>1-(tblfoxz[[#This Row],[xo]]/tblfoxz[[#This Row],[rol]])^2</f>
        <v>1</v>
      </c>
      <c r="R53" s="50">
        <f>(1/(2*tblfoxz[[#This Row],[β]]))*((tblfoxz[[#This Row],[fox]]+tblfoxz[[#This Row],[foz]])-SQRT((tblfoxz[[#This Row],[fox]]+tblfoxz[[#This Row],[foz]])^2-4*tblfoxz[[#This Row],[β]]*tblfoxz[[#This Row],[fox]]*tblfoxz[[#This Row],[foz]]))</f>
        <v>4271364285.7630005</v>
      </c>
    </row>
    <row r="54" spans="2:18" x14ac:dyDescent="0.2">
      <c r="B54" s="13" t="s">
        <v>46</v>
      </c>
      <c r="C54" s="14">
        <v>1.2999999999999999E-2</v>
      </c>
      <c r="D54" s="7">
        <v>10</v>
      </c>
      <c r="E54" s="7">
        <v>10</v>
      </c>
      <c r="F54" s="15">
        <v>0.12710030359999999</v>
      </c>
      <c r="G54" s="15">
        <v>4.5328083000300001E-2</v>
      </c>
      <c r="H54" s="18">
        <v>2.20614080619E-2</v>
      </c>
      <c r="I54" s="18">
        <v>0</v>
      </c>
      <c r="J54" s="16">
        <v>1.5847556188E-6</v>
      </c>
      <c r="K54" s="16">
        <v>3.0634423938800001E-8</v>
      </c>
      <c r="L54" s="16">
        <v>200000000000</v>
      </c>
      <c r="M54" s="16">
        <v>80000000000</v>
      </c>
      <c r="N54" s="47">
        <f>SQRT(tblfoxz[[#This Row],[rx]]^2+tblfoxz[[#This Row],[ry]]^2+tblfoxz[[#This Row],[xo]]^2+tblfoxz[[#This Row],[yo]]^2)</f>
        <v>0.13673268815235048</v>
      </c>
      <c r="O54" s="48">
        <f>(tblfoxz[[#This Row],[E]]*PI()^2)/((tblfoxz[[#This Row],[lex]]/tblfoxz[[#This Row],[rx]])^2)</f>
        <v>318876795.44363129</v>
      </c>
      <c r="P5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524120011.94488424</v>
      </c>
      <c r="Q54" s="47">
        <f>1-(tblfoxz[[#This Row],[xo]]/tblfoxz[[#This Row],[rol]])^2</f>
        <v>0.9739671478882993</v>
      </c>
      <c r="R54" s="50">
        <f>(1/(2*tblfoxz[[#This Row],[β]]))*((tblfoxz[[#This Row],[fox]]+tblfoxz[[#This Row],[foz]])-SQRT((tblfoxz[[#This Row],[fox]]+tblfoxz[[#This Row],[foz]])^2-4*tblfoxz[[#This Row],[β]]*tblfoxz[[#This Row],[fox]]*tblfoxz[[#This Row],[foz]]))</f>
        <v>307511773.54452974</v>
      </c>
    </row>
    <row r="55" spans="2:18" x14ac:dyDescent="0.2">
      <c r="B55" s="13" t="s">
        <v>46</v>
      </c>
      <c r="C55" s="14">
        <v>1.2999999999999999E-2</v>
      </c>
      <c r="D55" s="7">
        <v>5</v>
      </c>
      <c r="E55" s="7">
        <v>5</v>
      </c>
      <c r="F55" s="15">
        <v>0.12710030359999999</v>
      </c>
      <c r="G55" s="15">
        <v>4.5328083000300001E-2</v>
      </c>
      <c r="H55" s="18">
        <v>2.20614080619E-2</v>
      </c>
      <c r="I55" s="18">
        <v>0</v>
      </c>
      <c r="J55" s="16">
        <v>1.5847556188E-6</v>
      </c>
      <c r="K55" s="16">
        <v>3.0634423938800001E-8</v>
      </c>
      <c r="L55" s="16">
        <v>200000000000</v>
      </c>
      <c r="M55" s="16">
        <v>80000000000</v>
      </c>
      <c r="N55" s="47">
        <f>SQRT(tblfoxz[[#This Row],[rx]]^2+tblfoxz[[#This Row],[ry]]^2+tblfoxz[[#This Row],[xo]]^2+tblfoxz[[#This Row],[yo]]^2)</f>
        <v>0.13673268815235048</v>
      </c>
      <c r="O55" s="48">
        <f>(tblfoxz[[#This Row],[E]]*PI()^2)/((tblfoxz[[#This Row],[lex]]/tblfoxz[[#This Row],[rx]])^2)</f>
        <v>1275507181.7745252</v>
      </c>
      <c r="P5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531584029.59004796</v>
      </c>
      <c r="Q55" s="47">
        <f>1-(tblfoxz[[#This Row],[xo]]/tblfoxz[[#This Row],[rol]])^2</f>
        <v>0.9739671478882993</v>
      </c>
      <c r="R55" s="50">
        <f>(1/(2*tblfoxz[[#This Row],[β]]))*((tblfoxz[[#This Row],[fox]]+tblfoxz[[#This Row],[foz]])-SQRT((tblfoxz[[#This Row],[fox]]+tblfoxz[[#This Row],[foz]])^2-4*tblfoxz[[#This Row],[β]]*tblfoxz[[#This Row],[fox]]*tblfoxz[[#This Row],[foz]]))</f>
        <v>522162128.3011418</v>
      </c>
    </row>
    <row r="56" spans="2:18" x14ac:dyDescent="0.2">
      <c r="B56" s="13" t="s">
        <v>46</v>
      </c>
      <c r="C56" s="14">
        <v>1.2999999999999999E-2</v>
      </c>
      <c r="D56" s="7">
        <v>1</v>
      </c>
      <c r="E56" s="7">
        <v>1</v>
      </c>
      <c r="F56" s="15">
        <v>0.12710030359999999</v>
      </c>
      <c r="G56" s="15">
        <v>4.5328083000300001E-2</v>
      </c>
      <c r="H56" s="18">
        <v>2.20614080619E-2</v>
      </c>
      <c r="I56" s="18">
        <v>0</v>
      </c>
      <c r="J56" s="16">
        <v>1.5847556188E-6</v>
      </c>
      <c r="K56" s="16">
        <v>3.0634423938800001E-8</v>
      </c>
      <c r="L56" s="16">
        <v>200000000000</v>
      </c>
      <c r="M56" s="16">
        <v>80000000000</v>
      </c>
      <c r="N56" s="47">
        <f>SQRT(tblfoxz[[#This Row],[rx]]^2+tblfoxz[[#This Row],[ry]]^2+tblfoxz[[#This Row],[xo]]^2+tblfoxz[[#This Row],[yo]]^2)</f>
        <v>0.13673268815235048</v>
      </c>
      <c r="O56" s="48">
        <f>(tblfoxz[[#This Row],[E]]*PI()^2)/((tblfoxz[[#This Row],[lex]]/tblfoxz[[#This Row],[rx]])^2)</f>
        <v>31887679544.363125</v>
      </c>
      <c r="P5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770432594.23528934</v>
      </c>
      <c r="Q56" s="47">
        <f>1-(tblfoxz[[#This Row],[xo]]/tblfoxz[[#This Row],[rol]])^2</f>
        <v>0.9739671478882993</v>
      </c>
      <c r="R56" s="50">
        <f>(1/(2*tblfoxz[[#This Row],[β]]))*((tblfoxz[[#This Row],[fox]]+tblfoxz[[#This Row],[foz]])-SQRT((tblfoxz[[#This Row],[fox]]+tblfoxz[[#This Row],[foz]])^2-4*tblfoxz[[#This Row],[β]]*tblfoxz[[#This Row],[fox]]*tblfoxz[[#This Row],[foz]]))</f>
        <v>769936660.48904824</v>
      </c>
    </row>
    <row r="57" spans="2:18" x14ac:dyDescent="0.2">
      <c r="B57" s="13" t="s">
        <v>46</v>
      </c>
      <c r="C57" s="14">
        <v>1.2999999999999999E-2</v>
      </c>
      <c r="D57" s="7">
        <v>0.5</v>
      </c>
      <c r="E57" s="7">
        <v>0.5</v>
      </c>
      <c r="F57" s="15">
        <v>0.12710030359999999</v>
      </c>
      <c r="G57" s="15">
        <v>4.5328083000300001E-2</v>
      </c>
      <c r="H57" s="18">
        <v>2.20614080619E-2</v>
      </c>
      <c r="I57" s="18">
        <v>0</v>
      </c>
      <c r="J57" s="16">
        <v>1.5847556188E-6</v>
      </c>
      <c r="K57" s="16">
        <v>3.0634423938800001E-8</v>
      </c>
      <c r="L57" s="16">
        <v>200000000000</v>
      </c>
      <c r="M57" s="16">
        <v>80000000000</v>
      </c>
      <c r="N57" s="47">
        <f>SQRT(tblfoxz[[#This Row],[rx]]^2+tblfoxz[[#This Row],[ry]]^2+tblfoxz[[#This Row],[xo]]^2+tblfoxz[[#This Row],[yo]]^2)</f>
        <v>0.13673268815235048</v>
      </c>
      <c r="O57" s="48">
        <f>(tblfoxz[[#This Row],[E]]*PI()^2)/((tblfoxz[[#This Row],[lex]]/tblfoxz[[#This Row],[rx]])^2)</f>
        <v>127550718177.4525</v>
      </c>
      <c r="P5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1516834358.7516687</v>
      </c>
      <c r="Q57" s="47">
        <f>1-(tblfoxz[[#This Row],[xo]]/tblfoxz[[#This Row],[rol]])^2</f>
        <v>0.9739671478882993</v>
      </c>
      <c r="R57" s="50">
        <f>(1/(2*tblfoxz[[#This Row],[β]]))*((tblfoxz[[#This Row],[fox]]+tblfoxz[[#This Row],[foz]])-SQRT((tblfoxz[[#This Row],[fox]]+tblfoxz[[#This Row],[foz]])^2-4*tblfoxz[[#This Row],[β]]*tblfoxz[[#This Row],[fox]]*tblfoxz[[#This Row],[foz]]))</f>
        <v>1516359420.5510182</v>
      </c>
    </row>
    <row r="59" spans="2:18" x14ac:dyDescent="0.2">
      <c r="B59" s="17" t="str">
        <f t="array" ref="B59:B75">TRANSPOSE(tblfoxz[#Headers])</f>
        <v>Section</v>
      </c>
      <c r="C59" s="33" t="str">
        <f t="array" aca="1" ref="C59" ca="1">_xlfn.CONCAT(INDIRECT("tblfoxz["&amp;B59&amp;"]")&amp;",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18" x14ac:dyDescent="0.2">
      <c r="B60" s="17" t="str">
        <v>An</v>
      </c>
      <c r="C60" s="33" t="str">
        <f t="array" aca="1" ref="C60" ca="1">_xlfn.CONCAT(INDIRECT("tblfoxz["&amp;B60&amp;"]")&amp;",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75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18" x14ac:dyDescent="0.2">
      <c r="B61" s="17" t="str">
        <v>lex</v>
      </c>
      <c r="C61" s="33" t="str">
        <f t="array" aca="1" ref="C61" ca="1">_xlfn.CONCAT(INDIRECT("tblfoxz["&amp;B61&amp;"]")&amp;",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1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2" spans="2:18" x14ac:dyDescent="0.2">
      <c r="B62" s="17" t="str">
        <v>lez</v>
      </c>
      <c r="C62" s="33" t="str">
        <f t="array" aca="1" ref="C62" ca="1">_xlfn.CONCAT(INDIRECT("tblfoxz["&amp;B62&amp;"]")&amp;",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3" spans="2:18" x14ac:dyDescent="0.2">
      <c r="B63" s="17" t="str">
        <v>rx</v>
      </c>
      <c r="C63" s="33" t="str">
        <f t="array" aca="1" ref="C63" ca="1">_xlfn.CONCAT(INDIRECT("tblfoxz["&amp;B63&amp;"]")&amp;",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3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4" spans="2:18" x14ac:dyDescent="0.2">
      <c r="B64" s="17" t="str">
        <v>ry</v>
      </c>
      <c r="C64" s="33" t="str">
        <f t="array" aca="1" ref="C64" ca="1">_xlfn.CONCAT(INDIRECT("tblfoxz["&amp;B64&amp;"]")&amp;",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4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5" spans="2:4" x14ac:dyDescent="0.2">
      <c r="B65" s="17" t="str">
        <v>xo</v>
      </c>
      <c r="C65" s="33" t="str">
        <f t="array" aca="1" ref="C65" ca="1">_xlfn.CONCAT(INDIRECT("tblfoxz["&amp;B65&amp;"]")&amp;",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5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6" spans="2:4" x14ac:dyDescent="0.2">
      <c r="B66" s="17" t="str">
        <v>yo</v>
      </c>
      <c r="C66" s="33" t="str">
        <f t="array" aca="1" ref="C66" ca="1">_xlfn.CONCAT(INDIRECT("tblfoxz["&amp;B66&amp;"]")&amp;",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6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7" spans="2:4" x14ac:dyDescent="0.2">
      <c r="B67" s="17" t="str">
        <v>J</v>
      </c>
      <c r="C67" s="33" t="str">
        <f t="array" aca="1" ref="C67" ca="1">_xlfn.CONCAT(TEXT(INDIRECT("tblfoxz["&amp;B67&amp;"]"),"0.000000E+0")&amp;", ")</f>
        <v xml:space="preserve">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1.584756E-6, </v>
      </c>
      <c r="D67" s="17" t="str">
        <f t="shared" ca="1" si="0"/>
        <v>J = [3.490000E-8,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1.584756E-6]</v>
      </c>
    </row>
    <row r="68" spans="2:4" x14ac:dyDescent="0.2">
      <c r="B68" s="17" t="str">
        <v>Iw</v>
      </c>
      <c r="C68" s="33" t="str">
        <f t="array" aca="1" ref="C68" ca="1">_xlfn.CONCAT(TEXT(INDIRECT("tblfoxz["&amp;B68&amp;"]"),"0.000000E+0")&amp;", ")</f>
        <v xml:space="preserve">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3.063442E-8, </v>
      </c>
      <c r="D68" s="17" t="str">
        <f t="shared" ca="1" si="0"/>
        <v>Iw = [2.300000E-9,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3.063442E-8]</v>
      </c>
    </row>
    <row r="69" spans="2:4" x14ac:dyDescent="0.2">
      <c r="B69" s="17" t="str">
        <v>E</v>
      </c>
      <c r="C69" s="33" t="str">
        <f t="array" aca="1" ref="C69" ca="1">_xlfn.CONCAT(TEXT(INDIRECT("tblfoxz["&amp;B69&amp;"]"),"0.000000E+0")&amp;", ")</f>
        <v xml:space="preserve">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</v>
      </c>
      <c r="D69" s="17" t="str">
        <f t="shared" ca="1" si="0"/>
        <v>E = [2.000000E+11,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2.000000E+11]</v>
      </c>
    </row>
    <row r="70" spans="2:4" x14ac:dyDescent="0.2">
      <c r="B70" s="17" t="str">
        <v>G</v>
      </c>
      <c r="C70" s="33" t="str">
        <f t="array" aca="1" ref="C70" ca="1">_xlfn.CONCAT(TEXT(INDIRECT("tblfoxz["&amp;B70&amp;"]"),"0.000000E+0")&amp;", ")</f>
        <v xml:space="preserve">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</v>
      </c>
      <c r="D70" s="17" t="str">
        <f t="shared" ca="1" si="0"/>
        <v>G = [8.000000E+10,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8.000000E+10]</v>
      </c>
    </row>
    <row r="71" spans="2:4" x14ac:dyDescent="0.2">
      <c r="B71" s="17" t="str">
        <v>rol</v>
      </c>
      <c r="C71" s="33" t="str">
        <f t="array" aca="1" ref="C71" ca="1">_xlfn.CONCAT(TEXT(INDIRECT("tblfoxz["&amp;B71&amp;"]"),"0.000000E+0")&amp;", ")</f>
        <v xml:space="preserve">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1.367327E-1, </v>
      </c>
      <c r="D71" s="17" t="str">
        <f t="shared" ca="1" si="0"/>
        <v>rol = [4.784830E-2,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1.367327E-1]</v>
      </c>
    </row>
    <row r="72" spans="2:4" x14ac:dyDescent="0.2">
      <c r="B72" s="17" t="str">
        <v>fox</v>
      </c>
      <c r="C72" s="33" t="str">
        <f t="array" aca="1" ref="C72" ca="1">_xlfn.CONCAT(TEXT(INDIRECT("tblfoxz["&amp;B72&amp;"]"),"0.000000E+0")&amp;", ")</f>
        <v xml:space="preserve">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1.275507E+11, </v>
      </c>
      <c r="D72" s="17" t="str">
        <f t="shared" ca="1" si="0"/>
        <v>fox = [3.334367E+7,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1.275507E+11]</v>
      </c>
    </row>
    <row r="73" spans="2:4" x14ac:dyDescent="0.2">
      <c r="B73" s="17" t="str">
        <v>foz</v>
      </c>
      <c r="C73" s="33" t="str">
        <f t="array" aca="1" ref="C73" ca="1">_xlfn.CONCAT(TEXT(INDIRECT("tblfoxz["&amp;B73&amp;"]"),"0.000000E+0")&amp;", ")</f>
        <v xml:space="preserve">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1.516834E+9, </v>
      </c>
      <c r="D73" s="17" t="str">
        <f t="shared" ca="1" si="0"/>
        <v>foz = [6.557310E+8,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1.516834E+9]</v>
      </c>
    </row>
    <row r="74" spans="2:4" x14ac:dyDescent="0.2">
      <c r="B74" s="17" t="str">
        <v>β</v>
      </c>
      <c r="C74" s="33" t="str">
        <f t="array" aca="1" ref="C74" ca="1">_xlfn.CONCAT(INDIRECT("tblfoxz["&amp;B74&amp;"]")&amp;", ")</f>
        <v xml:space="preserve">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0.973967147888299, </v>
      </c>
      <c r="D74" s="17" t="str">
        <f t="shared" ca="1" si="0"/>
        <v>β = [1,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0.973967147888299]</v>
      </c>
    </row>
    <row r="75" spans="2:4" x14ac:dyDescent="0.2">
      <c r="B75" s="17" t="str">
        <v>f_oxz</v>
      </c>
      <c r="C75" s="33" t="str">
        <f t="array" aca="1" ref="C75" ca="1">_xlfn.CONCAT(TEXT(INDIRECT("tblfoxz["&amp;B75&amp;"]"),"0.000000E+0")&amp;", ")</f>
        <v xml:space="preserve">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1.516359E+9, </v>
      </c>
      <c r="D75" s="17" t="str">
        <f t="shared" ca="1" si="0"/>
        <v>f_oxz = [3.334367E+7,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8"/>
  <sheetViews>
    <sheetView topLeftCell="A4" workbookViewId="0">
      <selection activeCell="N17" sqref="N17"/>
    </sheetView>
  </sheetViews>
  <sheetFormatPr defaultColWidth="9" defaultRowHeight="11.25" x14ac:dyDescent="0.2"/>
  <cols>
    <col min="1" max="1" width="2.85546875" style="17" customWidth="1"/>
    <col min="2" max="2" width="9" style="17"/>
    <col min="3" max="3" width="7.42578125" style="17" customWidth="1"/>
    <col min="4" max="4" width="7" style="17" customWidth="1"/>
    <col min="5" max="5" width="4.140625" style="17" bestFit="1" customWidth="1"/>
    <col min="6" max="6" width="4.140625" style="17" customWidth="1"/>
    <col min="7" max="7" width="4.140625" style="17" bestFit="1" customWidth="1"/>
    <col min="8" max="8" width="5.42578125" style="17" bestFit="1" customWidth="1"/>
    <col min="9" max="9" width="5" style="17" bestFit="1" customWidth="1"/>
    <col min="10" max="11" width="4.140625" style="17" bestFit="1" customWidth="1"/>
    <col min="12" max="13" width="6.28515625" style="17" bestFit="1" customWidth="1"/>
    <col min="14" max="16" width="6.42578125" style="17" bestFit="1" customWidth="1"/>
    <col min="17" max="17" width="6.42578125" style="17" customWidth="1"/>
    <col min="18" max="18" width="7.7109375" style="17" bestFit="1" customWidth="1"/>
    <col min="19" max="26" width="8" style="17" bestFit="1" customWidth="1"/>
    <col min="27" max="16384" width="9" style="17"/>
  </cols>
  <sheetData>
    <row r="2" spans="2:26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74</v>
      </c>
      <c r="T2" s="17" t="s">
        <v>63</v>
      </c>
      <c r="U2" s="34" t="s">
        <v>35</v>
      </c>
      <c r="V2" s="17" t="s">
        <v>75</v>
      </c>
      <c r="W2" s="46" t="s">
        <v>76</v>
      </c>
      <c r="X2" s="34" t="s">
        <v>77</v>
      </c>
      <c r="Y2" s="17" t="s">
        <v>66</v>
      </c>
      <c r="Z2" s="17" t="s">
        <v>30</v>
      </c>
    </row>
    <row r="3" spans="2:26" x14ac:dyDescent="0.2">
      <c r="B3" s="4" t="s">
        <v>4</v>
      </c>
      <c r="C3" s="10">
        <v>5.79E-2</v>
      </c>
      <c r="D3" s="9">
        <v>0.83699999999999997</v>
      </c>
      <c r="E3" s="4">
        <v>80</v>
      </c>
      <c r="F3" s="4">
        <v>80</v>
      </c>
      <c r="G3" s="4">
        <v>80</v>
      </c>
      <c r="H3" s="4">
        <v>0.51500000000000001</v>
      </c>
      <c r="I3" s="5">
        <v>0.12</v>
      </c>
      <c r="J3" s="4">
        <v>0</v>
      </c>
      <c r="K3" s="4">
        <v>0</v>
      </c>
      <c r="L3" s="6">
        <v>2.1999999999999999E-5</v>
      </c>
      <c r="M3" s="6">
        <v>2.7999999999999998E-4</v>
      </c>
      <c r="N3" s="6">
        <v>280000000</v>
      </c>
      <c r="O3" s="6">
        <v>200000000000</v>
      </c>
      <c r="P3" s="6">
        <v>80000000000</v>
      </c>
      <c r="Q3" s="6" t="s">
        <v>48</v>
      </c>
      <c r="R3" s="35">
        <f>SQRT(tblfocDblSym[[#This Row],[rx]]^2+tblfocDblSym[[#This Row],[ry]]^2+tblfocDblSym[[#This Row],[xo]]^2+tblfocDblSym[[#This Row],[yo]]^2)</f>
        <v>0.52879580179876617</v>
      </c>
      <c r="S3" s="35">
        <f>(tblfocDblSym[[#This Row],[E]]*PI()^2)/((tblfocDblSym[[#This Row],[lex]]/tblfocDblSym[[#This Row],[rx]])^2)</f>
        <v>81802057.102466419</v>
      </c>
      <c r="T3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114041152.0493093</v>
      </c>
      <c r="U3" s="35">
        <f>1-(tblfocDblSym[[#This Row],[xo]]/tblfocDblSym[[#This Row],[rol]])^2</f>
        <v>1</v>
      </c>
      <c r="V3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81802057.102466404</v>
      </c>
      <c r="W3" s="35">
        <f>MIN(tblfocDblSym[[#This Row],[foxz]],tblfocDblSym[[#This Row],[foz]])</f>
        <v>81802057.102466404</v>
      </c>
      <c r="X3" s="35">
        <f>SQRT(tblfocDblSym[[#This Row],[fy]]/tblfocDblSym[[#This Row],[foc]])</f>
        <v>1.8501072418217521</v>
      </c>
      <c r="Y3" s="35">
        <f>IF(tblfocDblSym[[#This Row],[λc]]&lt;=1.5,0.658^(tblfocDblSym[[#This Row],[λc]]^2),0.877/(tblfocDblSym[[#This Row],[λc]]^2))*tblfocDblSym[[#This Row],[fy]]</f>
        <v>71740404.07886304</v>
      </c>
      <c r="Z3" s="35">
        <f>0.85*tblfocDblSym[[#This Row],[An]]*tblfocDblSym[[#This Row],[kf]]*tblfocDblSym[[#This Row],[fn]]</f>
        <v>2955199.2369024213</v>
      </c>
    </row>
    <row r="4" spans="2:26" x14ac:dyDescent="0.2">
      <c r="B4" s="4" t="s">
        <v>4</v>
      </c>
      <c r="C4" s="10">
        <v>5.79E-2</v>
      </c>
      <c r="D4" s="9">
        <v>0.83699999999999997</v>
      </c>
      <c r="E4" s="4">
        <v>40</v>
      </c>
      <c r="F4" s="4">
        <v>40</v>
      </c>
      <c r="G4" s="4">
        <v>40</v>
      </c>
      <c r="H4" s="4">
        <v>0.51500000000000001</v>
      </c>
      <c r="I4" s="5">
        <v>0.12</v>
      </c>
      <c r="J4" s="4">
        <v>0</v>
      </c>
      <c r="K4" s="4">
        <v>0</v>
      </c>
      <c r="L4" s="6">
        <v>2.1999999999999999E-5</v>
      </c>
      <c r="M4" s="6">
        <v>2.7999999999999998E-4</v>
      </c>
      <c r="N4" s="6">
        <v>280000000</v>
      </c>
      <c r="O4" s="6">
        <v>200000000000</v>
      </c>
      <c r="P4" s="6">
        <v>80000000000</v>
      </c>
      <c r="Q4" s="6" t="s">
        <v>48</v>
      </c>
      <c r="R4" s="35">
        <f>SQRT(tblfocDblSym[[#This Row],[rx]]^2+tblfocDblSym[[#This Row],[ry]]^2+tblfocDblSym[[#This Row],[xo]]^2+tblfocDblSym[[#This Row],[yo]]^2)</f>
        <v>0.52879580179876617</v>
      </c>
      <c r="S4" s="35">
        <f>(tblfocDblSym[[#This Row],[E]]*PI()^2)/((tblfocDblSym[[#This Row],[lex]]/tblfocDblSym[[#This Row],[rx]])^2)</f>
        <v>327208228.40986568</v>
      </c>
      <c r="T4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130043160.38477561</v>
      </c>
      <c r="U4" s="35">
        <f>1-(tblfocDblSym[[#This Row],[xo]]/tblfocDblSym[[#This Row],[rol]])^2</f>
        <v>1</v>
      </c>
      <c r="V4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130043160.38477562</v>
      </c>
      <c r="W4" s="35">
        <f>MIN(tblfocDblSym[[#This Row],[foxz]],tblfocDblSym[[#This Row],[foz]])</f>
        <v>130043160.38477561</v>
      </c>
      <c r="X4" s="35">
        <f>SQRT(tblfocDblSym[[#This Row],[fy]]/tblfocDblSym[[#This Row],[foc]])</f>
        <v>1.4673552084887536</v>
      </c>
      <c r="Y4" s="35">
        <f>IF(tblfocDblSym[[#This Row],[λc]]&lt;=1.5,0.658^(tblfocDblSym[[#This Row],[λc]]^2),0.877/(tblfocDblSym[[#This Row],[λc]]^2))*tblfocDblSym[[#This Row],[fy]]</f>
        <v>113703677.68019977</v>
      </c>
      <c r="Z4" s="35">
        <f>0.85*tblfocDblSym[[#This Row],[An]]*tblfocDblSym[[#This Row],[kf]]*tblfocDblSym[[#This Row],[fn]]</f>
        <v>4683790.478014973</v>
      </c>
    </row>
    <row r="5" spans="2:26" x14ac:dyDescent="0.2">
      <c r="B5" s="4" t="s">
        <v>4</v>
      </c>
      <c r="C5" s="10">
        <v>5.79E-2</v>
      </c>
      <c r="D5" s="9">
        <v>0.83699999999999997</v>
      </c>
      <c r="E5" s="4">
        <v>20</v>
      </c>
      <c r="F5" s="4">
        <v>20</v>
      </c>
      <c r="G5" s="4">
        <v>20</v>
      </c>
      <c r="H5" s="4">
        <v>0.51500000000000001</v>
      </c>
      <c r="I5" s="5">
        <v>0.12</v>
      </c>
      <c r="J5" s="4">
        <v>0</v>
      </c>
      <c r="K5" s="4">
        <v>0</v>
      </c>
      <c r="L5" s="6">
        <v>2.1999999999999999E-5</v>
      </c>
      <c r="M5" s="6">
        <v>2.7999999999999998E-4</v>
      </c>
      <c r="N5" s="6">
        <v>280000000</v>
      </c>
      <c r="O5" s="6">
        <v>200000000000</v>
      </c>
      <c r="P5" s="6">
        <v>80000000000</v>
      </c>
      <c r="Q5" s="6" t="s">
        <v>48</v>
      </c>
      <c r="R5" s="35">
        <f>SQRT(tblfocDblSym[[#This Row],[rx]]^2+tblfocDblSym[[#This Row],[ry]]^2+tblfocDblSym[[#This Row],[xo]]^2+tblfocDblSym[[#This Row],[yo]]^2)</f>
        <v>0.52879580179876617</v>
      </c>
      <c r="S5" s="35">
        <f>(tblfocDblSym[[#This Row],[E]]*PI()^2)/((tblfocDblSym[[#This Row],[lex]]/tblfocDblSym[[#This Row],[rx]])^2)</f>
        <v>1308832913.6394627</v>
      </c>
      <c r="T5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194051193.72664073</v>
      </c>
      <c r="U5" s="35">
        <f>1-(tblfocDblSym[[#This Row],[xo]]/tblfocDblSym[[#This Row],[rol]])^2</f>
        <v>1</v>
      </c>
      <c r="V5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194051193.7266407</v>
      </c>
      <c r="W5" s="35">
        <f>MIN(tblfocDblSym[[#This Row],[foxz]],tblfocDblSym[[#This Row],[foz]])</f>
        <v>194051193.7266407</v>
      </c>
      <c r="X5" s="35">
        <f>SQRT(tblfocDblSym[[#This Row],[fy]]/tblfocDblSym[[#This Row],[foc]])</f>
        <v>1.2012153030698918</v>
      </c>
      <c r="Y5" s="35">
        <f>IF(tblfocDblSym[[#This Row],[λc]]&lt;=1.5,0.658^(tblfocDblSym[[#This Row],[λc]]^2),0.877/(tblfocDblSym[[#This Row],[λc]]^2))*tblfocDblSym[[#This Row],[fy]]</f>
        <v>153063931.50757471</v>
      </c>
      <c r="Z5" s="35">
        <f>0.85*tblfocDblSym[[#This Row],[An]]*tblfocDblSym[[#This Row],[kf]]*tblfocDblSym[[#This Row],[fn]]</f>
        <v>6305155.6427146066</v>
      </c>
    </row>
    <row r="6" spans="2:26" x14ac:dyDescent="0.2">
      <c r="B6" s="4" t="s">
        <v>4</v>
      </c>
      <c r="C6" s="10">
        <v>5.79E-2</v>
      </c>
      <c r="D6" s="9">
        <v>0.83699999999999997</v>
      </c>
      <c r="E6" s="4">
        <v>10</v>
      </c>
      <c r="F6" s="4">
        <v>10</v>
      </c>
      <c r="G6" s="4">
        <v>10</v>
      </c>
      <c r="H6" s="4">
        <v>0.51500000000000001</v>
      </c>
      <c r="I6" s="5">
        <v>0.12</v>
      </c>
      <c r="J6" s="4">
        <v>0</v>
      </c>
      <c r="K6" s="4">
        <v>0</v>
      </c>
      <c r="L6" s="6">
        <v>2.1999999999999999E-5</v>
      </c>
      <c r="M6" s="6">
        <v>2.7999999999999998E-4</v>
      </c>
      <c r="N6" s="6">
        <v>280000000</v>
      </c>
      <c r="O6" s="6">
        <v>200000000000</v>
      </c>
      <c r="P6" s="6">
        <v>80000000000</v>
      </c>
      <c r="Q6" s="6" t="s">
        <v>48</v>
      </c>
      <c r="R6" s="35">
        <f>SQRT(tblfocDblSym[[#This Row],[rx]]^2+tblfocDblSym[[#This Row],[ry]]^2+tblfocDblSym[[#This Row],[xo]]^2+tblfocDblSym[[#This Row],[yo]]^2)</f>
        <v>0.52879580179876617</v>
      </c>
      <c r="S6" s="35">
        <f>(tblfocDblSym[[#This Row],[E]]*PI()^2)/((tblfocDblSym[[#This Row],[lex]]/tblfocDblSym[[#This Row],[rx]])^2)</f>
        <v>5235331654.5578508</v>
      </c>
      <c r="T6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450083327.09410137</v>
      </c>
      <c r="U6" s="35">
        <f>1-(tblfocDblSym[[#This Row],[xo]]/tblfocDblSym[[#This Row],[rol]])^2</f>
        <v>1</v>
      </c>
      <c r="V6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450083327.09410143</v>
      </c>
      <c r="W6" s="35">
        <f>MIN(tblfocDblSym[[#This Row],[foxz]],tblfocDblSym[[#This Row],[foz]])</f>
        <v>450083327.09410137</v>
      </c>
      <c r="X6" s="35">
        <f>SQRT(tblfocDblSym[[#This Row],[fy]]/tblfocDblSym[[#This Row],[foc]])</f>
        <v>0.78873761533410169</v>
      </c>
      <c r="Y6" s="35">
        <f>IF(tblfocDblSym[[#This Row],[λc]]&lt;=1.5,0.658^(tblfocDblSym[[#This Row],[λc]]^2),0.877/(tblfocDblSym[[#This Row],[λc]]^2))*tblfocDblSym[[#This Row],[fy]]</f>
        <v>215811748.1262562</v>
      </c>
      <c r="Z6" s="35">
        <f>0.85*tblfocDblSym[[#This Row],[An]]*tblfocDblSym[[#This Row],[kf]]*tblfocDblSym[[#This Row],[fn]]</f>
        <v>8889923.6290362049</v>
      </c>
    </row>
    <row r="7" spans="2:26" x14ac:dyDescent="0.2">
      <c r="B7" s="4" t="s">
        <v>4</v>
      </c>
      <c r="C7" s="10">
        <v>5.79E-2</v>
      </c>
      <c r="D7" s="9">
        <v>0.83699999999999997</v>
      </c>
      <c r="E7" s="4">
        <v>5</v>
      </c>
      <c r="F7" s="4">
        <v>5</v>
      </c>
      <c r="G7" s="4">
        <v>5</v>
      </c>
      <c r="H7" s="4">
        <v>0.51500000000000001</v>
      </c>
      <c r="I7" s="5">
        <v>0.12</v>
      </c>
      <c r="J7" s="4">
        <v>0</v>
      </c>
      <c r="K7" s="4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48</v>
      </c>
      <c r="R7" s="35">
        <f>SQRT(tblfocDblSym[[#This Row],[rx]]^2+tblfocDblSym[[#This Row],[ry]]^2+tblfocDblSym[[#This Row],[xo]]^2+tblfocDblSym[[#This Row],[yo]]^2)</f>
        <v>0.52879580179876617</v>
      </c>
      <c r="S7" s="35">
        <f>(tblfocDblSym[[#This Row],[E]]*PI()^2)/((tblfocDblSym[[#This Row],[lex]]/tblfocDblSym[[#This Row],[rx]])^2)</f>
        <v>20941326618.231403</v>
      </c>
      <c r="T7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1474211860.5639436</v>
      </c>
      <c r="U7" s="35">
        <f>1-(tblfocDblSym[[#This Row],[xo]]/tblfocDblSym[[#This Row],[rol]])^2</f>
        <v>1</v>
      </c>
      <c r="V7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1474211860.5639439</v>
      </c>
      <c r="W7" s="35">
        <f>MIN(tblfocDblSym[[#This Row],[foxz]],tblfocDblSym[[#This Row],[foz]])</f>
        <v>1474211860.5639436</v>
      </c>
      <c r="X7" s="35">
        <f>SQRT(tblfocDblSym[[#This Row],[fy]]/tblfocDblSym[[#This Row],[foc]])</f>
        <v>0.43581188049827102</v>
      </c>
      <c r="Y7" s="35">
        <f>IF(tblfocDblSym[[#This Row],[λc]]&lt;=1.5,0.658^(tblfocDblSym[[#This Row],[λc]]^2),0.877/(tblfocDblSym[[#This Row],[λc]]^2))*tblfocDblSym[[#This Row],[fy]]</f>
        <v>258602853.46408075</v>
      </c>
      <c r="Z7" s="35">
        <f>0.85*tblfocDblSym[[#This Row],[An]]*tblfocDblSym[[#This Row],[kf]]*tblfocDblSym[[#This Row],[fn]]</f>
        <v>10652615.705617471</v>
      </c>
    </row>
    <row r="8" spans="2:26" x14ac:dyDescent="0.2">
      <c r="B8" s="4" t="s">
        <v>4</v>
      </c>
      <c r="C8" s="10">
        <v>5.79E-2</v>
      </c>
      <c r="D8" s="9">
        <v>0.83699999999999997</v>
      </c>
      <c r="E8" s="4">
        <v>1</v>
      </c>
      <c r="F8" s="4">
        <v>1</v>
      </c>
      <c r="G8" s="4">
        <v>1</v>
      </c>
      <c r="H8" s="4">
        <v>0.51500000000000001</v>
      </c>
      <c r="I8" s="5">
        <v>0.12</v>
      </c>
      <c r="J8" s="4">
        <v>0</v>
      </c>
      <c r="K8" s="4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48</v>
      </c>
      <c r="R8" s="35">
        <f>SQRT(tblfocDblSym[[#This Row],[rx]]^2+tblfocDblSym[[#This Row],[ry]]^2+tblfocDblSym[[#This Row],[xo]]^2+tblfocDblSym[[#This Row],[yo]]^2)</f>
        <v>0.52879580179876617</v>
      </c>
      <c r="S8" s="35">
        <f>(tblfocDblSym[[#This Row],[E]]*PI()^2)/((tblfocDblSym[[#This Row],[lex]]/tblfocDblSym[[#This Row],[rx]])^2)</f>
        <v>523533165455.78497</v>
      </c>
      <c r="T8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34246324931.5989</v>
      </c>
      <c r="U8" s="35">
        <f>1-(tblfocDblSym[[#This Row],[xo]]/tblfocDblSym[[#This Row],[rol]])^2</f>
        <v>1</v>
      </c>
      <c r="V8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34246324931.598907</v>
      </c>
      <c r="W8" s="35">
        <f>MIN(tblfocDblSym[[#This Row],[foxz]],tblfocDblSym[[#This Row],[foz]])</f>
        <v>34246324931.5989</v>
      </c>
      <c r="X8" s="35">
        <f>SQRT(tblfocDblSym[[#This Row],[fy]]/tblfocDblSym[[#This Row],[foc]])</f>
        <v>9.0421567025390351E-2</v>
      </c>
      <c r="Y8" s="35">
        <f>IF(tblfocDblSym[[#This Row],[λc]]&lt;=1.5,0.658^(tblfocDblSym[[#This Row],[λc]]^2),0.877/(tblfocDblSym[[#This Row],[λc]]^2))*tblfocDblSym[[#This Row],[fy]]</f>
        <v>279043451.68583661</v>
      </c>
      <c r="Z8" s="35">
        <f>0.85*tblfocDblSym[[#This Row],[An]]*tblfocDblSym[[#This Row],[kf]]*tblfocDblSym[[#This Row],[fn]]</f>
        <v>11494624.348339342</v>
      </c>
    </row>
    <row r="9" spans="2:26" x14ac:dyDescent="0.2">
      <c r="B9" s="4" t="s">
        <v>5</v>
      </c>
      <c r="C9" s="10">
        <v>2.5100000000000001E-2</v>
      </c>
      <c r="D9" s="9">
        <v>1</v>
      </c>
      <c r="E9" s="4">
        <v>40</v>
      </c>
      <c r="F9" s="4">
        <v>40</v>
      </c>
      <c r="G9" s="4">
        <v>40</v>
      </c>
      <c r="H9" s="4">
        <v>0.13900000000000001</v>
      </c>
      <c r="I9" s="5">
        <v>8.9300000000000004E-2</v>
      </c>
      <c r="J9" s="4">
        <v>0</v>
      </c>
      <c r="K9" s="4">
        <v>0</v>
      </c>
      <c r="L9" s="6">
        <v>5.75E-6</v>
      </c>
      <c r="M9" s="6">
        <v>4.6E-6</v>
      </c>
      <c r="N9" s="6">
        <v>280000000</v>
      </c>
      <c r="O9" s="6">
        <v>200000000000</v>
      </c>
      <c r="P9" s="6">
        <v>80000000000</v>
      </c>
      <c r="Q9" s="6" t="s">
        <v>48</v>
      </c>
      <c r="R9" s="35">
        <f>SQRT(tblfocDblSym[[#This Row],[rx]]^2+tblfocDblSym[[#This Row],[ry]]^2+tblfocDblSym[[#This Row],[xo]]^2+tblfocDblSym[[#This Row],[yo]]^2)</f>
        <v>0.16521346797401235</v>
      </c>
      <c r="S9" s="35">
        <f>(tblfocDblSym[[#This Row],[E]]*PI()^2)/((tblfocDblSym[[#This Row],[lex]]/tblfocDblSym[[#This Row],[rx]])^2)</f>
        <v>23836328.329180941</v>
      </c>
      <c r="T9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679701655.55760407</v>
      </c>
      <c r="U9" s="35">
        <f>1-(tblfocDblSym[[#This Row],[xo]]/tblfocDblSym[[#This Row],[rol]])^2</f>
        <v>1</v>
      </c>
      <c r="V9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23836328.329180956</v>
      </c>
      <c r="W9" s="35">
        <f>MIN(tblfocDblSym[[#This Row],[foxz]],tblfocDblSym[[#This Row],[foz]])</f>
        <v>23836328.329180956</v>
      </c>
      <c r="X9" s="35">
        <f>SQRT(tblfocDblSym[[#This Row],[fy]]/tblfocDblSym[[#This Row],[foc]])</f>
        <v>3.4273569407848989</v>
      </c>
      <c r="Y9" s="35">
        <f>IF(tblfocDblSym[[#This Row],[λc]]&lt;=1.5,0.658^(tblfocDblSym[[#This Row],[λc]]^2),0.877/(tblfocDblSym[[#This Row],[λc]]^2))*tblfocDblSym[[#This Row],[fy]]</f>
        <v>20904459.944691699</v>
      </c>
      <c r="Z9" s="35">
        <f>0.85*tblfocDblSym[[#This Row],[An]]*tblfocDblSym[[#This Row],[kf]]*tblfocDblSym[[#This Row],[fn]]</f>
        <v>445996.6529199974</v>
      </c>
    </row>
    <row r="10" spans="2:26" x14ac:dyDescent="0.2">
      <c r="B10" s="4" t="s">
        <v>5</v>
      </c>
      <c r="C10" s="10">
        <v>2.5100000000000001E-2</v>
      </c>
      <c r="D10" s="9">
        <v>1</v>
      </c>
      <c r="E10" s="4">
        <v>20</v>
      </c>
      <c r="F10" s="4">
        <v>20</v>
      </c>
      <c r="G10" s="4">
        <v>20</v>
      </c>
      <c r="H10" s="4">
        <v>0.13900000000000001</v>
      </c>
      <c r="I10" s="5">
        <v>8.9300000000000004E-2</v>
      </c>
      <c r="J10" s="4">
        <v>0</v>
      </c>
      <c r="K10" s="4">
        <v>0</v>
      </c>
      <c r="L10" s="6">
        <v>5.75E-6</v>
      </c>
      <c r="M10" s="6">
        <v>4.6E-6</v>
      </c>
      <c r="N10" s="6">
        <v>280000000</v>
      </c>
      <c r="O10" s="6">
        <v>200000000000</v>
      </c>
      <c r="P10" s="6">
        <v>80000000000</v>
      </c>
      <c r="Q10" s="6" t="s">
        <v>48</v>
      </c>
      <c r="R10" s="35">
        <f>SQRT(tblfocDblSym[[#This Row],[rx]]^2+tblfocDblSym[[#This Row],[ry]]^2+tblfocDblSym[[#This Row],[xo]]^2+tblfocDblSym[[#This Row],[yo]]^2)</f>
        <v>0.16521346797401235</v>
      </c>
      <c r="S10" s="35">
        <f>(tblfocDblSym[[#This Row],[E]]*PI()^2)/((tblfocDblSym[[#This Row],[lex]]/tblfocDblSym[[#This Row],[rx]])^2)</f>
        <v>95345313.316723764</v>
      </c>
      <c r="T10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704551531.69073784</v>
      </c>
      <c r="U10" s="35">
        <f>1-(tblfocDblSym[[#This Row],[xo]]/tblfocDblSym[[#This Row],[rol]])^2</f>
        <v>1</v>
      </c>
      <c r="V10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95345313.316723764</v>
      </c>
      <c r="W10" s="35">
        <f>MIN(tblfocDblSym[[#This Row],[foxz]],tblfocDblSym[[#This Row],[foz]])</f>
        <v>95345313.316723764</v>
      </c>
      <c r="X10" s="35">
        <f>SQRT(tblfocDblSym[[#This Row],[fy]]/tblfocDblSym[[#This Row],[foc]])</f>
        <v>1.7136784703924501</v>
      </c>
      <c r="Y10" s="35">
        <f>IF(tblfocDblSym[[#This Row],[λc]]&lt;=1.5,0.658^(tblfocDblSym[[#This Row],[λc]]^2),0.877/(tblfocDblSym[[#This Row],[λc]]^2))*tblfocDblSym[[#This Row],[fy]]</f>
        <v>83617839.778766736</v>
      </c>
      <c r="Z10" s="35">
        <f>0.85*tblfocDblSym[[#This Row],[An]]*tblfocDblSym[[#This Row],[kf]]*tblfocDblSym[[#This Row],[fn]]</f>
        <v>1783986.6116799882</v>
      </c>
    </row>
    <row r="11" spans="2:26" x14ac:dyDescent="0.2">
      <c r="B11" s="4" t="s">
        <v>5</v>
      </c>
      <c r="C11" s="10">
        <v>2.5100000000000001E-2</v>
      </c>
      <c r="D11" s="9">
        <v>1</v>
      </c>
      <c r="E11" s="4">
        <v>10</v>
      </c>
      <c r="F11" s="4">
        <v>10</v>
      </c>
      <c r="G11" s="4">
        <v>10</v>
      </c>
      <c r="H11" s="4">
        <v>0.13900000000000001</v>
      </c>
      <c r="I11" s="5">
        <v>8.9300000000000004E-2</v>
      </c>
      <c r="J11" s="4">
        <v>0</v>
      </c>
      <c r="K11" s="4">
        <v>0</v>
      </c>
      <c r="L11" s="6">
        <v>5.75E-6</v>
      </c>
      <c r="M11" s="6">
        <v>4.6E-6</v>
      </c>
      <c r="N11" s="6">
        <v>280000000</v>
      </c>
      <c r="O11" s="6">
        <v>200000000000</v>
      </c>
      <c r="P11" s="6">
        <v>80000000000</v>
      </c>
      <c r="Q11" s="6" t="s">
        <v>48</v>
      </c>
      <c r="R11" s="35">
        <f>SQRT(tblfocDblSym[[#This Row],[rx]]^2+tblfocDblSym[[#This Row],[ry]]^2+tblfocDblSym[[#This Row],[xo]]^2+tblfocDblSym[[#This Row],[yo]]^2)</f>
        <v>0.16521346797401235</v>
      </c>
      <c r="S11" s="35">
        <f>(tblfocDblSym[[#This Row],[E]]*PI()^2)/((tblfocDblSym[[#This Row],[lex]]/tblfocDblSym[[#This Row],[rx]])^2)</f>
        <v>381381253.26689506</v>
      </c>
      <c r="T11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803951036.22327316</v>
      </c>
      <c r="U11" s="35">
        <f>1-(tblfocDblSym[[#This Row],[xo]]/tblfocDblSym[[#This Row],[rol]])^2</f>
        <v>1</v>
      </c>
      <c r="V11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381381253.26689529</v>
      </c>
      <c r="W11" s="35">
        <f>MIN(tblfocDblSym[[#This Row],[foxz]],tblfocDblSym[[#This Row],[foz]])</f>
        <v>381381253.26689529</v>
      </c>
      <c r="X11" s="35">
        <f>SQRT(tblfocDblSym[[#This Row],[fy]]/tblfocDblSym[[#This Row],[foc]])</f>
        <v>0.85683923519622474</v>
      </c>
      <c r="Y11" s="35">
        <f>IF(tblfocDblSym[[#This Row],[λc]]&lt;=1.5,0.658^(tblfocDblSym[[#This Row],[λc]]^2),0.877/(tblfocDblSym[[#This Row],[λc]]^2))*tblfocDblSym[[#This Row],[fy]]</f>
        <v>205922737.95762792</v>
      </c>
      <c r="Z11" s="35">
        <f>0.85*tblfocDblSym[[#This Row],[An]]*tblfocDblSym[[#This Row],[kf]]*tblfocDblSym[[#This Row],[fn]]</f>
        <v>4393361.6143259918</v>
      </c>
    </row>
    <row r="12" spans="2:26" x14ac:dyDescent="0.2">
      <c r="B12" s="4" t="s">
        <v>5</v>
      </c>
      <c r="C12" s="10">
        <v>2.5100000000000001E-2</v>
      </c>
      <c r="D12" s="9">
        <v>1</v>
      </c>
      <c r="E12" s="4">
        <v>5</v>
      </c>
      <c r="F12" s="4">
        <v>5</v>
      </c>
      <c r="G12" s="4">
        <v>5</v>
      </c>
      <c r="H12" s="4">
        <v>0.13900000000000001</v>
      </c>
      <c r="I12" s="5">
        <v>8.9300000000000004E-2</v>
      </c>
      <c r="J12" s="4">
        <v>0</v>
      </c>
      <c r="K12" s="4">
        <v>0</v>
      </c>
      <c r="L12" s="6">
        <v>5.75E-6</v>
      </c>
      <c r="M12" s="6">
        <v>4.6E-6</v>
      </c>
      <c r="N12" s="6">
        <v>280000000</v>
      </c>
      <c r="O12" s="6">
        <v>200000000000</v>
      </c>
      <c r="P12" s="6">
        <v>80000000000</v>
      </c>
      <c r="Q12" s="6" t="s">
        <v>48</v>
      </c>
      <c r="R12" s="35">
        <f>SQRT(tblfocDblSym[[#This Row],[rx]]^2+tblfocDblSym[[#This Row],[ry]]^2+tblfocDblSym[[#This Row],[xo]]^2+tblfocDblSym[[#This Row],[yo]]^2)</f>
        <v>0.16521346797401235</v>
      </c>
      <c r="S12" s="35">
        <f>(tblfocDblSym[[#This Row],[E]]*PI()^2)/((tblfocDblSym[[#This Row],[lex]]/tblfocDblSym[[#This Row],[rx]])^2)</f>
        <v>1525525013.0675802</v>
      </c>
      <c r="T12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1201549054.3534143</v>
      </c>
      <c r="U12" s="35">
        <f>1-(tblfocDblSym[[#This Row],[xo]]/tblfocDblSym[[#This Row],[rol]])^2</f>
        <v>1</v>
      </c>
      <c r="V12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1201549054.3534136</v>
      </c>
      <c r="W12" s="35">
        <f>MIN(tblfocDblSym[[#This Row],[foxz]],tblfocDblSym[[#This Row],[foz]])</f>
        <v>1201549054.3534136</v>
      </c>
      <c r="X12" s="35">
        <f>SQRT(tblfocDblSym[[#This Row],[fy]]/tblfocDblSym[[#This Row],[foc]])</f>
        <v>0.48273441625599106</v>
      </c>
      <c r="Y12" s="35">
        <f>IF(tblfocDblSym[[#This Row],[λc]]&lt;=1.5,0.658^(tblfocDblSym[[#This Row],[λc]]^2),0.877/(tblfocDblSym[[#This Row],[λc]]^2))*tblfocDblSym[[#This Row],[fy]]</f>
        <v>253979552.62838429</v>
      </c>
      <c r="Z12" s="35">
        <f>0.85*tblfocDblSym[[#This Row],[An]]*tblfocDblSym[[#This Row],[kf]]*tblfocDblSym[[#This Row],[fn]]</f>
        <v>5418653.7553265784</v>
      </c>
    </row>
    <row r="13" spans="2:26" x14ac:dyDescent="0.2">
      <c r="B13" s="4" t="s">
        <v>5</v>
      </c>
      <c r="C13" s="10">
        <v>2.5100000000000001E-2</v>
      </c>
      <c r="D13" s="9">
        <v>1</v>
      </c>
      <c r="E13" s="4">
        <v>1</v>
      </c>
      <c r="F13" s="4">
        <v>1</v>
      </c>
      <c r="G13" s="4">
        <v>1</v>
      </c>
      <c r="H13" s="4">
        <v>0.13900000000000001</v>
      </c>
      <c r="I13" s="5">
        <v>8.9300000000000004E-2</v>
      </c>
      <c r="J13" s="4">
        <v>0</v>
      </c>
      <c r="K13" s="4">
        <v>0</v>
      </c>
      <c r="L13" s="6">
        <v>5.75E-6</v>
      </c>
      <c r="M13" s="6">
        <v>4.6E-6</v>
      </c>
      <c r="N13" s="6">
        <v>280000000</v>
      </c>
      <c r="O13" s="6">
        <v>200000000000</v>
      </c>
      <c r="P13" s="6">
        <v>80000000000</v>
      </c>
      <c r="Q13" s="6" t="s">
        <v>48</v>
      </c>
      <c r="R13" s="35">
        <f>SQRT(tblfocDblSym[[#This Row],[rx]]^2+tblfocDblSym[[#This Row],[ry]]^2+tblfocDblSym[[#This Row],[xo]]^2+tblfocDblSym[[#This Row],[yo]]^2)</f>
        <v>0.16521346797401235</v>
      </c>
      <c r="S13" s="35">
        <f>(tblfocDblSym[[#This Row],[E]]*PI()^2)/((tblfocDblSym[[#This Row],[lex]]/tblfocDblSym[[#This Row],[rx]])^2)</f>
        <v>38138125326.689499</v>
      </c>
      <c r="T13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13924685634.517929</v>
      </c>
      <c r="U13" s="35">
        <f>1-(tblfocDblSym[[#This Row],[xo]]/tblfocDblSym[[#This Row],[rol]])^2</f>
        <v>1</v>
      </c>
      <c r="V13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13924685634.517929</v>
      </c>
      <c r="W13" s="35">
        <f>MIN(tblfocDblSym[[#This Row],[foxz]],tblfocDblSym[[#This Row],[foz]])</f>
        <v>13924685634.517929</v>
      </c>
      <c r="X13" s="35">
        <f>SQRT(tblfocDblSym[[#This Row],[fy]]/tblfocDblSym[[#This Row],[foc]])</f>
        <v>0.14180329291889177</v>
      </c>
      <c r="Y13" s="35">
        <f>IF(tblfocDblSym[[#This Row],[λc]]&lt;=1.5,0.658^(tblfocDblSym[[#This Row],[λc]]^2),0.877/(tblfocDblSym[[#This Row],[λc]]^2))*tblfocDblSym[[#This Row],[fy]]</f>
        <v>277653329.68547821</v>
      </c>
      <c r="Z13" s="35">
        <f>0.85*tblfocDblSym[[#This Row],[An]]*tblfocDblSym[[#This Row],[kf]]*tblfocDblSym[[#This Row],[fn]]</f>
        <v>5923733.7888396773</v>
      </c>
    </row>
    <row r="14" spans="2:26" x14ac:dyDescent="0.2">
      <c r="B14" s="4" t="s">
        <v>7</v>
      </c>
      <c r="C14" s="10">
        <v>1.6E-2</v>
      </c>
      <c r="D14" s="9">
        <v>0.95</v>
      </c>
      <c r="E14" s="4">
        <v>40</v>
      </c>
      <c r="F14" s="4">
        <v>40</v>
      </c>
      <c r="G14" s="4">
        <v>40</v>
      </c>
      <c r="H14" s="4">
        <v>0.249</v>
      </c>
      <c r="I14" s="5">
        <v>4.9599999999999998E-2</v>
      </c>
      <c r="J14" s="4">
        <v>0</v>
      </c>
      <c r="K14" s="4">
        <v>0</v>
      </c>
      <c r="L14" s="6">
        <v>1.5600000000000001E-6</v>
      </c>
      <c r="M14" s="6">
        <v>3.45E-6</v>
      </c>
      <c r="N14" s="6">
        <v>280000000</v>
      </c>
      <c r="O14" s="6">
        <v>200000000000</v>
      </c>
      <c r="P14" s="6">
        <v>80000000000</v>
      </c>
      <c r="Q14" s="6" t="s">
        <v>48</v>
      </c>
      <c r="R14" s="35">
        <f>SQRT(tblfocDblSym[[#This Row],[rx]]^2+tblfocDblSym[[#This Row],[ry]]^2+tblfocDblSym[[#This Row],[xo]]^2+tblfocDblSym[[#This Row],[yo]]^2)</f>
        <v>0.25389202429379304</v>
      </c>
      <c r="S14" s="35">
        <f>(tblfocDblSym[[#This Row],[E]]*PI()^2)/((tblfocDblSym[[#This Row],[lex]]/tblfocDblSym[[#This Row],[rx]])^2)</f>
        <v>76490667.808992654</v>
      </c>
      <c r="T14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125129871.71070321</v>
      </c>
      <c r="U14" s="35">
        <f>1-(tblfocDblSym[[#This Row],[xo]]/tblfocDblSym[[#This Row],[rol]])^2</f>
        <v>1</v>
      </c>
      <c r="V14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76490667.808992624</v>
      </c>
      <c r="W14" s="35">
        <f>MIN(tblfocDblSym[[#This Row],[foxz]],tblfocDblSym[[#This Row],[foz]])</f>
        <v>76490667.808992624</v>
      </c>
      <c r="X14" s="35">
        <f>SQRT(tblfocDblSym[[#This Row],[fy]]/tblfocDblSym[[#This Row],[foc]])</f>
        <v>1.9132635131289208</v>
      </c>
      <c r="Y14" s="35">
        <f>IF(tblfocDblSym[[#This Row],[λc]]&lt;=1.5,0.658^(tblfocDblSym[[#This Row],[λc]]^2),0.877/(tblfocDblSym[[#This Row],[λc]]^2))*tblfocDblSym[[#This Row],[fy]]</f>
        <v>67082315.668486536</v>
      </c>
      <c r="Z14" s="35">
        <f>0.85*tblfocDblSym[[#This Row],[An]]*tblfocDblSym[[#This Row],[kf]]*tblfocDblSym[[#This Row],[fn]]</f>
        <v>866703.51843684597</v>
      </c>
    </row>
    <row r="15" spans="2:26" x14ac:dyDescent="0.2">
      <c r="B15" s="4" t="s">
        <v>7</v>
      </c>
      <c r="C15" s="10">
        <v>1.6E-2</v>
      </c>
      <c r="D15" s="9">
        <v>0.95</v>
      </c>
      <c r="E15" s="4">
        <v>20</v>
      </c>
      <c r="F15" s="4">
        <v>20</v>
      </c>
      <c r="G15" s="4">
        <v>20</v>
      </c>
      <c r="H15" s="4">
        <v>0.249</v>
      </c>
      <c r="I15" s="5">
        <v>4.9599999999999998E-2</v>
      </c>
      <c r="J15" s="4">
        <v>0</v>
      </c>
      <c r="K15" s="4">
        <v>0</v>
      </c>
      <c r="L15" s="6">
        <v>1.5600000000000001E-6</v>
      </c>
      <c r="M15" s="6">
        <v>3.45E-6</v>
      </c>
      <c r="N15" s="6">
        <v>280000000</v>
      </c>
      <c r="O15" s="6">
        <v>200000000000</v>
      </c>
      <c r="P15" s="6">
        <v>80000000000</v>
      </c>
      <c r="Q15" s="6" t="s">
        <v>48</v>
      </c>
      <c r="R15" s="35">
        <f>SQRT(tblfocDblSym[[#This Row],[rx]]^2+tblfocDblSym[[#This Row],[ry]]^2+tblfocDblSym[[#This Row],[xo]]^2+tblfocDblSym[[#This Row],[yo]]^2)</f>
        <v>0.25389202429379304</v>
      </c>
      <c r="S15" s="35">
        <f>(tblfocDblSym[[#This Row],[E]]*PI()^2)/((tblfocDblSym[[#This Row],[lex]]/tblfocDblSym[[#This Row],[rx]])^2)</f>
        <v>305962671.23597062</v>
      </c>
      <c r="T15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137510195.66654477</v>
      </c>
      <c r="U15" s="35">
        <f>1-(tblfocDblSym[[#This Row],[xo]]/tblfocDblSym[[#This Row],[rol]])^2</f>
        <v>1</v>
      </c>
      <c r="V15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137510195.66654471</v>
      </c>
      <c r="W15" s="35">
        <f>MIN(tblfocDblSym[[#This Row],[foxz]],tblfocDblSym[[#This Row],[foz]])</f>
        <v>137510195.66654471</v>
      </c>
      <c r="X15" s="35">
        <f>SQRT(tblfocDblSym[[#This Row],[fy]]/tblfocDblSym[[#This Row],[foc]])</f>
        <v>1.4269592322769309</v>
      </c>
      <c r="Y15" s="35">
        <f>IF(tblfocDblSym[[#This Row],[λc]]&lt;=1.5,0.658^(tblfocDblSym[[#This Row],[λc]]^2),0.877/(tblfocDblSym[[#This Row],[λc]]^2))*tblfocDblSym[[#This Row],[fy]]</f>
        <v>119406315.16221128</v>
      </c>
      <c r="Z15" s="35">
        <f>0.85*tblfocDblSym[[#This Row],[An]]*tblfocDblSym[[#This Row],[kf]]*tblfocDblSym[[#This Row],[fn]]</f>
        <v>1542729.5918957696</v>
      </c>
    </row>
    <row r="16" spans="2:26" x14ac:dyDescent="0.2">
      <c r="B16" s="4" t="s">
        <v>7</v>
      </c>
      <c r="C16" s="10">
        <v>1.6E-2</v>
      </c>
      <c r="D16" s="9">
        <v>0.95</v>
      </c>
      <c r="E16" s="4">
        <v>10</v>
      </c>
      <c r="F16" s="4">
        <v>10</v>
      </c>
      <c r="G16" s="4">
        <v>10</v>
      </c>
      <c r="H16" s="4">
        <v>0.249</v>
      </c>
      <c r="I16" s="5">
        <v>4.9599999999999998E-2</v>
      </c>
      <c r="J16" s="4">
        <v>0</v>
      </c>
      <c r="K16" s="4">
        <v>0</v>
      </c>
      <c r="L16" s="6">
        <v>1.5600000000000001E-6</v>
      </c>
      <c r="M16" s="6">
        <v>3.45E-6</v>
      </c>
      <c r="N16" s="6">
        <v>280000000</v>
      </c>
      <c r="O16" s="6">
        <v>200000000000</v>
      </c>
      <c r="P16" s="6">
        <v>80000000000</v>
      </c>
      <c r="Q16" s="6" t="s">
        <v>48</v>
      </c>
      <c r="R16" s="35">
        <f>SQRT(tblfocDblSym[[#This Row],[rx]]^2+tblfocDblSym[[#This Row],[ry]]^2+tblfocDblSym[[#This Row],[xo]]^2+tblfocDblSym[[#This Row],[yo]]^2)</f>
        <v>0.25389202429379304</v>
      </c>
      <c r="S16" s="35">
        <f>(tblfocDblSym[[#This Row],[E]]*PI()^2)/((tblfocDblSym[[#This Row],[lex]]/tblfocDblSym[[#This Row],[rx]])^2)</f>
        <v>1223850684.9438825</v>
      </c>
      <c r="T16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187031491.48991096</v>
      </c>
      <c r="U16" s="35">
        <f>1-(tblfocDblSym[[#This Row],[xo]]/tblfocDblSym[[#This Row],[rol]])^2</f>
        <v>1</v>
      </c>
      <c r="V16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187031491.4899109</v>
      </c>
      <c r="W16" s="35">
        <f>MIN(tblfocDblSym[[#This Row],[foxz]],tblfocDblSym[[#This Row],[foz]])</f>
        <v>187031491.4899109</v>
      </c>
      <c r="X16" s="35">
        <f>SQRT(tblfocDblSym[[#This Row],[fy]]/tblfocDblSym[[#This Row],[foc]])</f>
        <v>1.2235497907353348</v>
      </c>
      <c r="Y16" s="35">
        <f>IF(tblfocDblSym[[#This Row],[λc]]&lt;=1.5,0.658^(tblfocDblSym[[#This Row],[λc]]^2),0.877/(tblfocDblSym[[#This Row],[λc]]^2))*tblfocDblSym[[#This Row],[fy]]</f>
        <v>149633462.77235547</v>
      </c>
      <c r="Z16" s="35">
        <f>0.85*tblfocDblSym[[#This Row],[An]]*tblfocDblSym[[#This Row],[kf]]*tblfocDblSym[[#This Row],[fn]]</f>
        <v>1933264.3390188324</v>
      </c>
    </row>
    <row r="17" spans="2:26" x14ac:dyDescent="0.2">
      <c r="B17" s="4" t="s">
        <v>7</v>
      </c>
      <c r="C17" s="10">
        <v>1.6E-2</v>
      </c>
      <c r="D17" s="9">
        <v>0.95</v>
      </c>
      <c r="E17" s="4">
        <v>5</v>
      </c>
      <c r="F17" s="4">
        <v>5</v>
      </c>
      <c r="G17" s="4">
        <v>5</v>
      </c>
      <c r="H17" s="4">
        <v>0.249</v>
      </c>
      <c r="I17" s="5">
        <v>4.9599999999999998E-2</v>
      </c>
      <c r="J17" s="4">
        <v>0</v>
      </c>
      <c r="K17" s="4">
        <v>0</v>
      </c>
      <c r="L17" s="6">
        <v>1.5600000000000001E-6</v>
      </c>
      <c r="M17" s="6">
        <v>3.45E-6</v>
      </c>
      <c r="N17" s="6">
        <v>280000000</v>
      </c>
      <c r="O17" s="6">
        <v>200000000000</v>
      </c>
      <c r="P17" s="6">
        <v>80000000000</v>
      </c>
      <c r="Q17" s="6" t="s">
        <v>48</v>
      </c>
      <c r="R17" s="35">
        <f>SQRT(tblfocDblSym[[#This Row],[rx]]^2+tblfocDblSym[[#This Row],[ry]]^2+tblfocDblSym[[#This Row],[xo]]^2+tblfocDblSym[[#This Row],[yo]]^2)</f>
        <v>0.25389202429379304</v>
      </c>
      <c r="S17" s="35">
        <f>(tblfocDblSym[[#This Row],[E]]*PI()^2)/((tblfocDblSym[[#This Row],[lex]]/tblfocDblSym[[#This Row],[rx]])^2)</f>
        <v>4895402739.7755299</v>
      </c>
      <c r="T17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385116674.78337574</v>
      </c>
      <c r="U17" s="35">
        <f>1-(tblfocDblSym[[#This Row],[xo]]/tblfocDblSym[[#This Row],[rol]])^2</f>
        <v>1</v>
      </c>
      <c r="V17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385116674.78337574</v>
      </c>
      <c r="W17" s="35">
        <f>MIN(tblfocDblSym[[#This Row],[foxz]],tblfocDblSym[[#This Row],[foz]])</f>
        <v>385116674.78337574</v>
      </c>
      <c r="X17" s="35">
        <f>SQRT(tblfocDblSym[[#This Row],[fy]]/tblfocDblSym[[#This Row],[foc]])</f>
        <v>0.85267367324068644</v>
      </c>
      <c r="Y17" s="35">
        <f>IF(tblfocDblSym[[#This Row],[λc]]&lt;=1.5,0.658^(tblfocDblSym[[#This Row],[λc]]^2),0.877/(tblfocDblSym[[#This Row],[λc]]^2))*tblfocDblSym[[#This Row],[fy]]</f>
        <v>206537412.70104975</v>
      </c>
      <c r="Z17" s="35">
        <f>0.85*tblfocDblSym[[#This Row],[An]]*tblfocDblSym[[#This Row],[kf]]*tblfocDblSym[[#This Row],[fn]]</f>
        <v>2668463.3720975625</v>
      </c>
    </row>
    <row r="18" spans="2:26" x14ac:dyDescent="0.2">
      <c r="B18" s="4" t="s">
        <v>7</v>
      </c>
      <c r="C18" s="10">
        <v>1.6E-2</v>
      </c>
      <c r="D18" s="9">
        <v>0.95</v>
      </c>
      <c r="E18" s="4">
        <v>1</v>
      </c>
      <c r="F18" s="4">
        <v>1</v>
      </c>
      <c r="G18" s="4">
        <v>1</v>
      </c>
      <c r="H18" s="4">
        <v>0.249</v>
      </c>
      <c r="I18" s="5">
        <v>4.9599999999999998E-2</v>
      </c>
      <c r="J18" s="4">
        <v>0</v>
      </c>
      <c r="K18" s="4">
        <v>0</v>
      </c>
      <c r="L18" s="6">
        <v>1.5600000000000001E-6</v>
      </c>
      <c r="M18" s="6">
        <v>3.45E-6</v>
      </c>
      <c r="N18" s="6">
        <v>280000000</v>
      </c>
      <c r="O18" s="6">
        <v>200000000000</v>
      </c>
      <c r="P18" s="6">
        <v>80000000000</v>
      </c>
      <c r="Q18" s="6" t="s">
        <v>48</v>
      </c>
      <c r="R18" s="35">
        <f>SQRT(tblfocDblSym[[#This Row],[rx]]^2+tblfocDblSym[[#This Row],[ry]]^2+tblfocDblSym[[#This Row],[xo]]^2+tblfocDblSym[[#This Row],[yo]]^2)</f>
        <v>0.25389202429379304</v>
      </c>
      <c r="S18" s="35">
        <f>(tblfocDblSym[[#This Row],[E]]*PI()^2)/((tblfocDblSym[[#This Row],[lex]]/tblfocDblSym[[#This Row],[rx]])^2)</f>
        <v>122385068494.38824</v>
      </c>
      <c r="T18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6723842540.1742487</v>
      </c>
      <c r="U18" s="35">
        <f>1-(tblfocDblSym[[#This Row],[xo]]/tblfocDblSym[[#This Row],[rol]])^2</f>
        <v>1</v>
      </c>
      <c r="V18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6723842540.1742477</v>
      </c>
      <c r="W18" s="35">
        <f>MIN(tblfocDblSym[[#This Row],[foxz]],tblfocDblSym[[#This Row],[foz]])</f>
        <v>6723842540.1742477</v>
      </c>
      <c r="X18" s="35">
        <f>SQRT(tblfocDblSym[[#This Row],[fy]]/tblfocDblSym[[#This Row],[foc]])</f>
        <v>0.20406581048385225</v>
      </c>
      <c r="Y18" s="35">
        <f>IF(tblfocDblSym[[#This Row],[λc]]&lt;=1.5,0.658^(tblfocDblSym[[#This Row],[λc]]^2),0.877/(tblfocDblSym[[#This Row],[λc]]^2))*tblfocDblSym[[#This Row],[fy]]</f>
        <v>275161988.05750769</v>
      </c>
      <c r="Z18" s="35">
        <f>0.85*tblfocDblSym[[#This Row],[An]]*tblfocDblSym[[#This Row],[kf]]*tblfocDblSym[[#This Row],[fn]]</f>
        <v>3555092.8857029993</v>
      </c>
    </row>
    <row r="19" spans="2:26" x14ac:dyDescent="0.2">
      <c r="B19" s="4" t="s">
        <v>36</v>
      </c>
      <c r="C19" s="10">
        <v>1.89E-3</v>
      </c>
      <c r="D19" s="6">
        <v>1</v>
      </c>
      <c r="E19" s="4">
        <v>10</v>
      </c>
      <c r="F19" s="4">
        <v>10</v>
      </c>
      <c r="G19" s="4">
        <v>10</v>
      </c>
      <c r="H19" s="4">
        <v>4.1099999999999998E-2</v>
      </c>
      <c r="I19" s="5">
        <v>2.4500000000000001E-2</v>
      </c>
      <c r="J19" s="4">
        <v>0</v>
      </c>
      <c r="K19" s="4">
        <v>0</v>
      </c>
      <c r="L19" s="6">
        <v>3.4900000000000001E-8</v>
      </c>
      <c r="M19" s="6">
        <v>2.2999999999999999E-9</v>
      </c>
      <c r="N19" s="6">
        <v>320000000</v>
      </c>
      <c r="O19" s="6">
        <v>200000000000</v>
      </c>
      <c r="P19" s="6">
        <v>80000000000</v>
      </c>
      <c r="Q19" s="6" t="s">
        <v>48</v>
      </c>
      <c r="R19" s="35">
        <f>SQRT(tblfocDblSym[[#This Row],[rx]]^2+tblfocDblSym[[#This Row],[ry]]^2+tblfocDblSym[[#This Row],[xo]]^2+tblfocDblSym[[#This Row],[yo]]^2)</f>
        <v>4.784830195524184E-2</v>
      </c>
      <c r="S19" s="35">
        <f>(tblfocDblSym[[#This Row],[E]]*PI()^2)/((tblfocDblSym[[#This Row],[lex]]/tblfocDblSym[[#This Row],[rx]])^2)</f>
        <v>33343668.900728308</v>
      </c>
      <c r="T19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655731018.07307041</v>
      </c>
      <c r="U19" s="35">
        <f>1-(tblfocDblSym[[#This Row],[xo]]/tblfocDblSym[[#This Row],[rol]])^2</f>
        <v>1</v>
      </c>
      <c r="V19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33343668.900728345</v>
      </c>
      <c r="W19" s="35">
        <f>MIN(tblfocDblSym[[#This Row],[foxz]],tblfocDblSym[[#This Row],[foz]])</f>
        <v>33343668.900728345</v>
      </c>
      <c r="X19" s="35">
        <f>SQRT(tblfocDblSym[[#This Row],[fy]]/tblfocDblSym[[#This Row],[foc]])</f>
        <v>3.0979064348787397</v>
      </c>
      <c r="Y19" s="35">
        <f>IF(tblfocDblSym[[#This Row],[λc]]&lt;=1.5,0.658^(tblfocDblSym[[#This Row],[λc]]^2),0.877/(tblfocDblSym[[#This Row],[λc]]^2))*tblfocDblSym[[#This Row],[fy]]</f>
        <v>29242397.625938762</v>
      </c>
      <c r="Z19" s="35">
        <f>0.85*tblfocDblSym[[#This Row],[An]]*tblfocDblSym[[#This Row],[kf]]*tblfocDblSym[[#This Row],[fn]]</f>
        <v>46977.911786070617</v>
      </c>
    </row>
    <row r="20" spans="2:26" x14ac:dyDescent="0.2">
      <c r="B20" s="4" t="s">
        <v>36</v>
      </c>
      <c r="C20" s="10">
        <v>1.89E-3</v>
      </c>
      <c r="D20" s="6">
        <v>1</v>
      </c>
      <c r="E20" s="4">
        <v>5</v>
      </c>
      <c r="F20" s="4">
        <v>5</v>
      </c>
      <c r="G20" s="4">
        <v>5</v>
      </c>
      <c r="H20" s="4">
        <v>4.1099999999999998E-2</v>
      </c>
      <c r="I20" s="5">
        <v>2.4500000000000001E-2</v>
      </c>
      <c r="J20" s="4">
        <v>0</v>
      </c>
      <c r="K20" s="4">
        <v>0</v>
      </c>
      <c r="L20" s="6">
        <v>3.4900000000000001E-8</v>
      </c>
      <c r="M20" s="6">
        <v>2.2999999999999999E-9</v>
      </c>
      <c r="N20" s="6">
        <v>320000000</v>
      </c>
      <c r="O20" s="6">
        <v>200000000000</v>
      </c>
      <c r="P20" s="6">
        <v>80000000000</v>
      </c>
      <c r="Q20" s="6" t="s">
        <v>48</v>
      </c>
      <c r="R20" s="35">
        <f>SQRT(tblfocDblSym[[#This Row],[rx]]^2+tblfocDblSym[[#This Row],[ry]]^2+tblfocDblSym[[#This Row],[xo]]^2+tblfocDblSym[[#This Row],[yo]]^2)</f>
        <v>4.784830195524184E-2</v>
      </c>
      <c r="S20" s="35">
        <f>(tblfocDblSym[[#This Row],[E]]*PI()^2)/((tblfocDblSym[[#This Row],[lex]]/tblfocDblSym[[#This Row],[rx]])^2)</f>
        <v>133374675.60291323</v>
      </c>
      <c r="T20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687207339.19974852</v>
      </c>
      <c r="U20" s="35">
        <f>1-(tblfocDblSym[[#This Row],[xo]]/tblfocDblSym[[#This Row],[rol]])^2</f>
        <v>1</v>
      </c>
      <c r="V20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133374675.60291326</v>
      </c>
      <c r="W20" s="35">
        <f>MIN(tblfocDblSym[[#This Row],[foxz]],tblfocDblSym[[#This Row],[foz]])</f>
        <v>133374675.60291326</v>
      </c>
      <c r="X20" s="35">
        <f>SQRT(tblfocDblSym[[#This Row],[fy]]/tblfocDblSym[[#This Row],[foc]])</f>
        <v>1.5489532174393705</v>
      </c>
      <c r="Y20" s="35">
        <f>IF(tblfocDblSym[[#This Row],[λc]]&lt;=1.5,0.658^(tblfocDblSym[[#This Row],[λc]]^2),0.877/(tblfocDblSym[[#This Row],[λc]]^2))*tblfocDblSym[[#This Row],[fy]]</f>
        <v>116969590.50375494</v>
      </c>
      <c r="Z20" s="35">
        <f>0.85*tblfocDblSym[[#This Row],[An]]*tblfocDblSym[[#This Row],[kf]]*tblfocDblSym[[#This Row],[fn]]</f>
        <v>187911.64714428229</v>
      </c>
    </row>
    <row r="21" spans="2:26" x14ac:dyDescent="0.2">
      <c r="B21" s="4" t="s">
        <v>36</v>
      </c>
      <c r="C21" s="10">
        <v>1.89E-3</v>
      </c>
      <c r="D21" s="6">
        <v>1</v>
      </c>
      <c r="E21" s="4">
        <v>1</v>
      </c>
      <c r="F21" s="4">
        <v>1</v>
      </c>
      <c r="G21" s="4">
        <v>1</v>
      </c>
      <c r="H21" s="4">
        <v>4.1099999999999998E-2</v>
      </c>
      <c r="I21" s="5">
        <v>2.4500000000000001E-2</v>
      </c>
      <c r="J21" s="4">
        <v>0</v>
      </c>
      <c r="K21" s="4">
        <v>0</v>
      </c>
      <c r="L21" s="6">
        <v>3.4900000000000001E-8</v>
      </c>
      <c r="M21" s="6">
        <v>2.2999999999999999E-9</v>
      </c>
      <c r="N21" s="6">
        <v>320000000</v>
      </c>
      <c r="O21" s="6">
        <v>200000000000</v>
      </c>
      <c r="P21" s="6">
        <v>80000000000</v>
      </c>
      <c r="Q21" s="6" t="s">
        <v>48</v>
      </c>
      <c r="R21" s="35">
        <f>SQRT(tblfocDblSym[[#This Row],[rx]]^2+tblfocDblSym[[#This Row],[ry]]^2+tblfocDblSym[[#This Row],[xo]]^2+tblfocDblSym[[#This Row],[yo]]^2)</f>
        <v>4.784830195524184E-2</v>
      </c>
      <c r="S21" s="35">
        <f>(tblfocDblSym[[#This Row],[E]]*PI()^2)/((tblfocDblSym[[#This Row],[lex]]/tblfocDblSym[[#This Row],[rx]])^2)</f>
        <v>3334366890.0728307</v>
      </c>
      <c r="T21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1694449615.253444</v>
      </c>
      <c r="U21" s="35">
        <f>1-(tblfocDblSym[[#This Row],[xo]]/tblfocDblSym[[#This Row],[rol]])^2</f>
        <v>1</v>
      </c>
      <c r="V21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1694449615.2534437</v>
      </c>
      <c r="W21" s="35">
        <f>MIN(tblfocDblSym[[#This Row],[foxz]],tblfocDblSym[[#This Row],[foz]])</f>
        <v>1694449615.2534437</v>
      </c>
      <c r="X21" s="35">
        <f>SQRT(tblfocDblSym[[#This Row],[fy]]/tblfocDblSym[[#This Row],[foc]])</f>
        <v>0.43457091793085978</v>
      </c>
      <c r="Y21" s="35">
        <f>IF(tblfocDblSym[[#This Row],[λc]]&lt;=1.5,0.658^(tblfocDblSym[[#This Row],[λc]]^2),0.877/(tblfocDblSym[[#This Row],[λc]]^2))*tblfocDblSym[[#This Row],[fy]]</f>
        <v>295679759.36861932</v>
      </c>
      <c r="Z21" s="35">
        <f>0.85*tblfocDblSym[[#This Row],[An]]*tblfocDblSym[[#This Row],[kf]]*tblfocDblSym[[#This Row],[fn]]</f>
        <v>475009.53342568688</v>
      </c>
    </row>
    <row r="22" spans="2:26" x14ac:dyDescent="0.2">
      <c r="B22" s="4" t="s">
        <v>36</v>
      </c>
      <c r="C22" s="10">
        <v>1.89E-3</v>
      </c>
      <c r="D22" s="6">
        <v>1</v>
      </c>
      <c r="E22" s="4">
        <v>0.5</v>
      </c>
      <c r="F22" s="4">
        <v>0.5</v>
      </c>
      <c r="G22" s="4">
        <v>0.5</v>
      </c>
      <c r="H22" s="4">
        <v>4.1099999999999998E-2</v>
      </c>
      <c r="I22" s="5">
        <v>2.4500000000000001E-2</v>
      </c>
      <c r="J22" s="4">
        <v>0</v>
      </c>
      <c r="K22" s="4">
        <v>0</v>
      </c>
      <c r="L22" s="6">
        <v>3.4900000000000001E-8</v>
      </c>
      <c r="M22" s="6">
        <v>2.2999999999999999E-9</v>
      </c>
      <c r="N22" s="6">
        <v>320000000</v>
      </c>
      <c r="O22" s="6">
        <v>200000000000</v>
      </c>
      <c r="P22" s="6">
        <v>80000000000</v>
      </c>
      <c r="Q22" s="6" t="s">
        <v>48</v>
      </c>
      <c r="R22" s="35">
        <f>SQRT(tblfocDblSym[[#This Row],[rx]]^2+tblfocDblSym[[#This Row],[ry]]^2+tblfocDblSym[[#This Row],[xo]]^2+tblfocDblSym[[#This Row],[yo]]^2)</f>
        <v>4.784830195524184E-2</v>
      </c>
      <c r="S22" s="35">
        <f>(tblfocDblSym[[#This Row],[E]]*PI()^2)/((tblfocDblSym[[#This Row],[lex]]/tblfocDblSym[[#This Row],[rx]])^2)</f>
        <v>13337467560.291323</v>
      </c>
      <c r="T22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4842081727.9212427</v>
      </c>
      <c r="U22" s="35">
        <f>1-(tblfocDblSym[[#This Row],[xo]]/tblfocDblSym[[#This Row],[rol]])^2</f>
        <v>1</v>
      </c>
      <c r="V22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4842081727.9212418</v>
      </c>
      <c r="W22" s="35">
        <f>MIN(tblfocDblSym[[#This Row],[foxz]],tblfocDblSym[[#This Row],[foz]])</f>
        <v>4842081727.9212418</v>
      </c>
      <c r="X22" s="35">
        <f>SQRT(tblfocDblSym[[#This Row],[fy]]/tblfocDblSym[[#This Row],[foc]])</f>
        <v>0.25707445952770996</v>
      </c>
      <c r="Y22" s="35">
        <f>IF(tblfocDblSym[[#This Row],[λc]]&lt;=1.5,0.658^(tblfocDblSym[[#This Row],[λc]]^2),0.877/(tblfocDblSym[[#This Row],[λc]]^2))*tblfocDblSym[[#This Row],[fy]]</f>
        <v>311269825.68161309</v>
      </c>
      <c r="Z22" s="35">
        <f>0.85*tblfocDblSym[[#This Row],[An]]*tblfocDblSym[[#This Row],[kf]]*tblfocDblSym[[#This Row],[fn]]</f>
        <v>500054.97495751135</v>
      </c>
    </row>
    <row r="24" spans="2:26" x14ac:dyDescent="0.2">
      <c r="B24" s="17" t="str">
        <f t="array" ref="B24:B48">TRANSPOSE(tblfocDblSym[#Headers])</f>
        <v>Section</v>
      </c>
      <c r="C24" s="33" t="str">
        <f t="array" aca="1" ref="C24" ca="1">_xlfn.CONCAT(INDIRECT("tblfocDblSym["&amp;B24&amp;"]")&amp;", ")</f>
        <v xml:space="preserve">1200WB455, 1200WB455, 1200WB455, 1200WB455, 1200WB455, 1200WB455, 350WC197, 350WC197, 350WC197, 350WC197, 350WC197, 610UB125, 610UB125, 610UB125, 610UB125, 610UB125, 100UC15, 100UC15, 100UC15, 100UC15, </v>
      </c>
      <c r="D24" s="17" t="str">
        <f ca="1">B24&amp;" = ["&amp;LEFT(C24,LEN(C24)-2)&amp;"]"</f>
        <v>Section = [1200WB455, 1200WB455, 1200WB455, 1200WB455, 1200WB455, 1200WB455, 350WC197, 350WC197, 350WC197, 350WC197, 350WC197, 610UB125, 610UB125, 610UB125, 610UB125, 610UB125, 100UC15, 100UC15, 100UC15, 100UC15]</v>
      </c>
    </row>
    <row r="25" spans="2:26" x14ac:dyDescent="0.2">
      <c r="B25" s="17" t="str">
        <v>An</v>
      </c>
      <c r="C25" s="33" t="str">
        <f t="array" aca="1" ref="C25" ca="1">_xlfn.CONCAT(INDIRECT("tblfocDblSym["&amp;B25&amp;"]")&amp;", ")</f>
        <v xml:space="preserve">0.0579, 0.0579, 0.0579, 0.0579, 0.0579, 0.0579, 0.0251, 0.0251, 0.0251, 0.0251, 0.0251, 0.016, 0.016, 0.016, 0.016, 0.016, 0.00189, 0.00189, 0.00189, 0.00189, </v>
      </c>
      <c r="D25" s="17" t="str">
        <f t="shared" ref="D25:D41" ca="1" si="0">B25&amp;" = ["&amp;LEFT(C25,LEN(C25)-2)&amp;"]"</f>
        <v>An = [0.0579, 0.0579, 0.0579, 0.0579, 0.0579, 0.0579, 0.0251, 0.0251, 0.0251, 0.0251, 0.0251, 0.016, 0.016, 0.016, 0.016, 0.016, 0.00189, 0.00189, 0.00189, 0.00189]</v>
      </c>
    </row>
    <row r="26" spans="2:26" x14ac:dyDescent="0.2">
      <c r="B26" s="17" t="str">
        <v>kf</v>
      </c>
      <c r="C26" s="33" t="str">
        <f t="array" aca="1" ref="C26" ca="1">_xlfn.CONCAT(INDIRECT("tblfocDblSym["&amp;B26&amp;"]")&amp;", ")</f>
        <v xml:space="preserve">0.837, 0.837, 0.837, 0.837, 0.837, 0.837, 1, 1, 1, 1, 1, 0.95, 0.95, 0.95, 0.95, 0.95, 1, 1, 1, 1, </v>
      </c>
      <c r="D26" s="17" t="str">
        <f t="shared" ca="1" si="0"/>
        <v>kf = [0.837, 0.837, 0.837, 0.837, 0.837, 0.837, 1, 1, 1, 1, 1, 0.95, 0.95, 0.95, 0.95, 0.95, 1, 1, 1, 1]</v>
      </c>
    </row>
    <row r="27" spans="2:26" x14ac:dyDescent="0.2">
      <c r="B27" s="17" t="str">
        <v>lex</v>
      </c>
      <c r="C27" s="33" t="str">
        <f t="array" aca="1" ref="C27" ca="1">_xlfn.CONCAT(INDIRECT("tblfocDblSym["&amp;B27&amp;"]")&amp;", ")</f>
        <v xml:space="preserve">80, 40, 20, 10, 5, 1, 40, 20, 10, 5, 1, 40, 20, 10, 5, 1, 10, 5, 1, 0.5, </v>
      </c>
      <c r="D27" s="17" t="str">
        <f t="shared" ca="1" si="0"/>
        <v>lex = [80, 40, 20, 10, 5, 1, 40, 20, 10, 5, 1, 40, 20, 10, 5, 1, 10, 5, 1, 0.5]</v>
      </c>
    </row>
    <row r="28" spans="2:26" x14ac:dyDescent="0.2">
      <c r="B28" s="17" t="str">
        <v>ley</v>
      </c>
      <c r="C28" s="33" t="str">
        <f t="array" aca="1" ref="C28" ca="1">_xlfn.CONCAT(INDIRECT("tblfocDblSym["&amp;B28&amp;"]")&amp;", ")</f>
        <v xml:space="preserve">80, 40, 20, 10, 5, 1, 40, 20, 10, 5, 1, 40, 20, 10, 5, 1, 10, 5, 1, 0.5, </v>
      </c>
      <c r="D28" s="17" t="str">
        <f t="shared" ca="1" si="0"/>
        <v>ley = [80, 40, 20, 10, 5, 1, 40, 20, 10, 5, 1, 40, 20, 10, 5, 1, 10, 5, 1, 0.5]</v>
      </c>
    </row>
    <row r="29" spans="2:26" x14ac:dyDescent="0.2">
      <c r="B29" s="17" t="str">
        <v>lez</v>
      </c>
      <c r="C29" s="33" t="str">
        <f t="array" aca="1" ref="C29" ca="1">_xlfn.CONCAT(INDIRECT("tblfocDblSym["&amp;B29&amp;"]")&amp;", ")</f>
        <v xml:space="preserve">80, 40, 20, 10, 5, 1, 40, 20, 10, 5, 1, 40, 20, 10, 5, 1, 10, 5, 1, 0.5, </v>
      </c>
      <c r="D29" s="17" t="str">
        <f t="shared" ca="1" si="0"/>
        <v>lez = [80, 40, 20, 10, 5, 1, 40, 20, 10, 5, 1, 40, 20, 10, 5, 1, 10, 5, 1, 0.5]</v>
      </c>
    </row>
    <row r="30" spans="2:26" x14ac:dyDescent="0.2">
      <c r="B30" s="17" t="str">
        <v>rx</v>
      </c>
      <c r="C30" s="33" t="str">
        <f t="array" aca="1" ref="C30" ca="1">_xlfn.CONCAT(INDIRECT("tblfocDblSym["&amp;B30&amp;"]")&amp;", ")</f>
        <v xml:space="preserve">0.515, 0.515, 0.515, 0.515, 0.515, 0.515, 0.139, 0.139, 0.139, 0.139, 0.139, 0.249, 0.249, 0.249, 0.249, 0.249, 0.0411, 0.0411, 0.0411, 0.0411, </v>
      </c>
      <c r="D30" s="17" t="str">
        <f t="shared" ca="1" si="0"/>
        <v>rx = [0.515, 0.515, 0.515, 0.515, 0.515, 0.515, 0.139, 0.139, 0.139, 0.139, 0.139, 0.249, 0.249, 0.249, 0.249, 0.249, 0.0411, 0.0411, 0.0411, 0.0411]</v>
      </c>
    </row>
    <row r="31" spans="2:26" x14ac:dyDescent="0.2">
      <c r="B31" s="17" t="str">
        <v>ry</v>
      </c>
      <c r="C31" s="33" t="str">
        <f t="array" aca="1" ref="C31" ca="1">_xlfn.CONCAT(INDIRECT("tblfocDblSym["&amp;B31&amp;"]")&amp;", ")</f>
        <v xml:space="preserve">0.12, 0.12, 0.12, 0.12, 0.12, 0.12, 0.0893, 0.0893, 0.0893, 0.0893, 0.0893, 0.0496, 0.0496, 0.0496, 0.0496, 0.0496, 0.0245, 0.0245, 0.0245, 0.0245, </v>
      </c>
      <c r="D31" s="17" t="str">
        <f t="shared" ca="1" si="0"/>
        <v>ry = [0.12, 0.12, 0.12, 0.12, 0.12, 0.12, 0.0893, 0.0893, 0.0893, 0.0893, 0.0893, 0.0496, 0.0496, 0.0496, 0.0496, 0.0496, 0.0245, 0.0245, 0.0245, 0.0245]</v>
      </c>
    </row>
    <row r="32" spans="2:26" x14ac:dyDescent="0.2">
      <c r="B32" s="17" t="str">
        <v>xo</v>
      </c>
      <c r="C32" s="33" t="str">
        <f t="array" aca="1" ref="C32" ca="1">_xlfn.CONCAT(INDIRECT("tblfocDblSym["&amp;B32&amp;"]")&amp;", ")</f>
        <v xml:space="preserve">0, 0, 0, 0, 0, 0, 0, 0, 0, 0, 0, 0, 0, 0, 0, 0, 0, 0, 0, 0, </v>
      </c>
      <c r="D32" s="17" t="str">
        <f t="shared" ca="1" si="0"/>
        <v>xo = [0, 0, 0, 0, 0, 0, 0, 0, 0, 0, 0, 0, 0, 0, 0, 0, 0, 0, 0, 0]</v>
      </c>
    </row>
    <row r="33" spans="2:4" x14ac:dyDescent="0.2">
      <c r="B33" s="17" t="str">
        <v>yo</v>
      </c>
      <c r="C33" s="33" t="str">
        <f t="array" aca="1" ref="C33" ca="1">_xlfn.CONCAT(INDIRECT("tblfocDblSym["&amp;B33&amp;"]")&amp;", ")</f>
        <v xml:space="preserve">0, 0, 0, 0, 0, 0, 0, 0, 0, 0, 0, 0, 0, 0, 0, 0, 0, 0, 0, 0, </v>
      </c>
      <c r="D33" s="17" t="str">
        <f t="shared" ca="1" si="0"/>
        <v>yo = [0, 0, 0, 0, 0, 0, 0, 0, 0, 0, 0, 0, 0, 0, 0, 0, 0, 0, 0, 0]</v>
      </c>
    </row>
    <row r="34" spans="2:4" x14ac:dyDescent="0.2">
      <c r="B34" s="17" t="str">
        <v>J</v>
      </c>
      <c r="C34" s="33" t="str">
        <f t="array" aca="1" ref="C34" ca="1">_xlfn.CONCAT(TEXT(INDIRECT("tblfocDblSym["&amp;B34&amp;"]"),"0.0000000E+0")&amp;", ")</f>
        <v xml:space="preserve">2.2000000E-5, 2.2000000E-5, 2.2000000E-5, 2.2000000E-5, 2.2000000E-5, 2.2000000E-5, 5.7500000E-6, 5.7500000E-6, 5.7500000E-6, 5.7500000E-6, 5.7500000E-6, 1.5600000E-6, 1.5600000E-6, 1.5600000E-6, 1.5600000E-6, 1.5600000E-6, 3.4900000E-8, 3.4900000E-8, 3.4900000E-8, 3.4900000E-8, </v>
      </c>
      <c r="D34" s="17" t="str">
        <f t="shared" ca="1" si="0"/>
        <v>J = [2.2000000E-5, 2.2000000E-5, 2.2000000E-5, 2.2000000E-5, 2.2000000E-5, 2.2000000E-5, 5.7500000E-6, 5.7500000E-6, 5.7500000E-6, 5.7500000E-6, 5.7500000E-6, 1.5600000E-6, 1.5600000E-6, 1.5600000E-6, 1.5600000E-6, 1.5600000E-6, 3.4900000E-8, 3.4900000E-8, 3.4900000E-8, 3.4900000E-8]</v>
      </c>
    </row>
    <row r="35" spans="2:4" x14ac:dyDescent="0.2">
      <c r="B35" s="17" t="str">
        <v>Iw</v>
      </c>
      <c r="C35" s="33" t="str">
        <f t="array" aca="1" ref="C35" ca="1">_xlfn.CONCAT(TEXT(INDIRECT("tblfocDblSym["&amp;B35&amp;"]"),"0.0000000E+0")&amp;", ")</f>
        <v xml:space="preserve">2.8000000E-4, 2.8000000E-4, 2.8000000E-4, 2.8000000E-4, 2.8000000E-4, 2.8000000E-4, 4.6000000E-6, 4.6000000E-6, 4.6000000E-6, 4.6000000E-6, 4.6000000E-6, 3.4500000E-6, 3.4500000E-6, 3.4500000E-6, 3.4500000E-6, 3.4500000E-6, 2.3000000E-9, 2.3000000E-9, 2.3000000E-9, 2.3000000E-9, </v>
      </c>
      <c r="D35" s="17" t="str">
        <f t="shared" ca="1" si="0"/>
        <v>Iw = [2.8000000E-4, 2.8000000E-4, 2.8000000E-4, 2.8000000E-4, 2.8000000E-4, 2.8000000E-4, 4.6000000E-6, 4.6000000E-6, 4.6000000E-6, 4.6000000E-6, 4.6000000E-6, 3.4500000E-6, 3.4500000E-6, 3.4500000E-6, 3.4500000E-6, 3.4500000E-6, 2.3000000E-9, 2.3000000E-9, 2.3000000E-9, 2.3000000E-9]</v>
      </c>
    </row>
    <row r="36" spans="2:4" x14ac:dyDescent="0.2">
      <c r="B36" s="17" t="str">
        <v>fy</v>
      </c>
      <c r="C36" s="33" t="str">
        <f t="array" aca="1" ref="C36" ca="1">_xlfn.CONCAT(TEXT(INDIRECT("tblfocDblSym["&amp;B36&amp;"]"),"0.0000000E+0")&amp;", ")</f>
        <v xml:space="preserve">2.8000000E+8, 2.8000000E+8, 2.8000000E+8, 2.8000000E+8, 2.8000000E+8, 2.8000000E+8, 2.8000000E+8, 2.8000000E+8, 2.8000000E+8, 2.8000000E+8, 2.8000000E+8, 2.8000000E+8, 2.8000000E+8, 2.8000000E+8, 2.8000000E+8, 2.8000000E+8, 3.2000000E+8, 3.2000000E+8, 3.2000000E+8, 3.2000000E+8, </v>
      </c>
      <c r="D36" s="17" t="str">
        <f t="shared" ca="1" si="0"/>
        <v>fy = [2.8000000E+8, 2.8000000E+8, 2.8000000E+8, 2.8000000E+8, 2.8000000E+8, 2.8000000E+8, 2.8000000E+8, 2.8000000E+8, 2.8000000E+8, 2.8000000E+8, 2.8000000E+8, 2.8000000E+8, 2.8000000E+8, 2.8000000E+8, 2.8000000E+8, 2.8000000E+8, 3.2000000E+8, 3.2000000E+8, 3.2000000E+8, 3.2000000E+8]</v>
      </c>
    </row>
    <row r="37" spans="2:4" x14ac:dyDescent="0.2">
      <c r="B37" s="17" t="str">
        <v>E</v>
      </c>
      <c r="C37" s="33" t="str">
        <f t="array" aca="1" ref="C37" ca="1">_xlfn.CONCAT(TEXT(INDIRECT("tblfocDblSym["&amp;B37&amp;"]"),"0.0000000E+0")&amp;",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37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38" spans="2:4" x14ac:dyDescent="0.2">
      <c r="B38" s="17" t="str">
        <v>G</v>
      </c>
      <c r="C38" s="33" t="str">
        <f t="array" aca="1" ref="C38" ca="1">_xlfn.CONCAT(TEXT(INDIRECT("tblfocDblSym["&amp;B38&amp;"]"),"0.0000000E+0")&amp;",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38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39" spans="2:4" x14ac:dyDescent="0.2">
      <c r="B39" s="17" t="str">
        <v>Axis</v>
      </c>
      <c r="C39" s="33" t="str">
        <f t="array" aca="1" ref="C39" ca="1">_xlfn.CONCAT(INDIRECT("tblfocDblSym["&amp;B39&amp;"]")&amp;", ")</f>
        <v xml:space="preserve">['x', 'y'], ['x', 'y'], ['x', 'y'], ['x', 'y'], ['x', 'y'], ['x', 'y'], ['x', 'y'], ['x', 'y'], ['x', 'y'], ['x', 'y'], ['x', 'y'], ['x', 'y'], ['x', 'y'], ['x', 'y'], ['x', 'y'], ['x', 'y'], ['x', 'y'], ['x', 'y'], ['x', 'y'], ['x', 'y'], </v>
      </c>
      <c r="D39" s="17" t="str">
        <f t="shared" ca="1" si="0"/>
        <v>Axis = [['x', 'y'], ['x', 'y'], ['x', 'y'], ['x', 'y'], ['x', 'y'], ['x', 'y'], ['x', 'y'], ['x', 'y'], ['x', 'y'], ['x', 'y'], ['x', 'y'], ['x', 'y'], ['x', 'y'], ['x', 'y'], ['x', 'y'], ['x', 'y'], ['x', 'y'], ['x', 'y'], ['x', 'y'], ['x', 'y']]</v>
      </c>
    </row>
    <row r="40" spans="2:4" x14ac:dyDescent="0.2">
      <c r="B40" s="17" t="str">
        <v>rol</v>
      </c>
      <c r="C40" s="33" t="str">
        <f t="array" aca="1" ref="C40" ca="1">_xlfn.CONCAT(TEXT(INDIRECT("tblfocDblSym["&amp;B40&amp;"]"),"0.0000000E+0")&amp;", ")</f>
        <v xml:space="preserve">5.2879580E-1, 5.2879580E-1, 5.2879580E-1, 5.2879580E-1, 5.2879580E-1, 5.2879580E-1, 1.6521347E-1, 1.6521347E-1, 1.6521347E-1, 1.6521347E-1, 1.6521347E-1, 2.5389202E-1, 2.5389202E-1, 2.5389202E-1, 2.5389202E-1, 2.5389202E-1, 4.7848302E-2, 4.7848302E-2, 4.7848302E-2, 4.7848302E-2, </v>
      </c>
      <c r="D40" s="17" t="str">
        <f t="shared" ca="1" si="0"/>
        <v>rol = [5.2879580E-1, 5.2879580E-1, 5.2879580E-1, 5.2879580E-1, 5.2879580E-1, 5.2879580E-1, 1.6521347E-1, 1.6521347E-1, 1.6521347E-1, 1.6521347E-1, 1.6521347E-1, 2.5389202E-1, 2.5389202E-1, 2.5389202E-1, 2.5389202E-1, 2.5389202E-1, 4.7848302E-2, 4.7848302E-2, 4.7848302E-2, 4.7848302E-2]</v>
      </c>
    </row>
    <row r="41" spans="2:4" x14ac:dyDescent="0.2">
      <c r="B41" s="17" t="str">
        <v>fox</v>
      </c>
      <c r="C41" s="33" t="str">
        <f t="array" aca="1" ref="C41" ca="1">_xlfn.CONCAT(TEXT(INDIRECT("tblfocDblSym["&amp;B41&amp;"]"),"0.0000000E+0")&amp;", ")</f>
        <v xml:space="preserve">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1.3337468E+10, </v>
      </c>
      <c r="D41" s="17" t="str">
        <f t="shared" ca="1" si="0"/>
        <v>fox = [8.1802057E+7,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1.3337468E+10]</v>
      </c>
    </row>
    <row r="42" spans="2:4" x14ac:dyDescent="0.2">
      <c r="B42" s="17" t="str">
        <v>foz</v>
      </c>
      <c r="C42" s="33" t="str">
        <f t="array" aca="1" ref="C42" ca="1">_xlfn.CONCAT(TEXT(INDIRECT("tblfocDblSym["&amp;B42&amp;"]"),"0.0000000E+0")&amp;", ")</f>
        <v xml:space="preserve">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4.8420817E+9, </v>
      </c>
      <c r="D42" s="17" t="str">
        <f t="shared" ref="D42:D46" ca="1" si="1">B42&amp;" = ["&amp;LEFT(C42,LEN(C42)-2)&amp;"]"</f>
        <v>foz = [1.1404115E+8,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4.8420817E+9]</v>
      </c>
    </row>
    <row r="43" spans="2:4" x14ac:dyDescent="0.2">
      <c r="B43" s="17" t="str">
        <v>β</v>
      </c>
      <c r="C43" s="33" t="str">
        <f t="array" aca="1" ref="C43" ca="1">_xlfn.CONCAT(INDIRECT("tblfocDblSym["&amp;B43&amp;"]")&amp;", ")</f>
        <v xml:space="preserve">1, 1, 1, 1, 1, 1, 1, 1, 1, 1, 1, 1, 1, 1, 1, 1, 1, 1, 1, 1, </v>
      </c>
      <c r="D43" s="17" t="str">
        <f t="shared" ca="1" si="1"/>
        <v>β = [1, 1, 1, 1, 1, 1, 1, 1, 1, 1, 1, 1, 1, 1, 1, 1, 1, 1, 1, 1]</v>
      </c>
    </row>
    <row r="44" spans="2:4" x14ac:dyDescent="0.2">
      <c r="B44" s="17" t="str">
        <v>foxz</v>
      </c>
      <c r="C44" s="33" t="str">
        <f t="array" aca="1" ref="C44" ca="1">_xlfn.CONCAT(TEXT(INDIRECT("tblfocDblSym["&amp;B44&amp;"]"),"0.0000000E+0")&amp;",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4" s="17" t="str">
        <f t="shared" ca="1" si="1"/>
        <v>foxz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5" spans="2:4" x14ac:dyDescent="0.2">
      <c r="B45" s="17" t="str">
        <v>foc</v>
      </c>
      <c r="C45" s="33" t="str">
        <f t="array" aca="1" ref="C45" ca="1">_xlfn.CONCAT(TEXT(INDIRECT("tblfocDblSym["&amp;B45&amp;"]"),"0.0000000E+0")&amp;",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5" s="17" t="str">
        <f t="shared" ca="1" si="1"/>
        <v>foc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6" spans="2:4" x14ac:dyDescent="0.2">
      <c r="B46" s="17" t="str">
        <v>λc</v>
      </c>
      <c r="C46" s="33" t="str">
        <f t="array" aca="1" ref="C46" ca="1">_xlfn.CONCAT(TEXT(INDIRECT("tblfocDblSym["&amp;B46&amp;"]"),"0.0000000E+0")&amp;", ")</f>
        <v xml:space="preserve">1.8501072E+0, 1.4673552E+0, 1.2012153E+0, 7.8873762E-1, 4.3581188E-1, 9.0421567E-2, 3.4273569E+0, 1.7136785E+0, 8.5683924E-1, 4.8273442E-1, 1.4180329E-1, 1.9132635E+0, 1.4269592E+0, 1.2235498E+0, 8.5267367E-1, 2.0406581E-1, 3.0979064E+0, 1.5489532E+0, 4.3457092E-1, 2.5707446E-1, </v>
      </c>
      <c r="D46" s="17" t="str">
        <f t="shared" ca="1" si="1"/>
        <v>λc = [1.8501072E+0, 1.4673552E+0, 1.2012153E+0, 7.8873762E-1, 4.3581188E-1, 9.0421567E-2, 3.4273569E+0, 1.7136785E+0, 8.5683924E-1, 4.8273442E-1, 1.4180329E-1, 1.9132635E+0, 1.4269592E+0, 1.2235498E+0, 8.5267367E-1, 2.0406581E-1, 3.0979064E+0, 1.5489532E+0, 4.3457092E-1, 2.5707446E-1]</v>
      </c>
    </row>
    <row r="47" spans="2:4" x14ac:dyDescent="0.2">
      <c r="B47" s="17" t="str">
        <v>fn</v>
      </c>
      <c r="C47" s="33" t="str">
        <f t="array" aca="1" ref="C47" ca="1">_xlfn.CONCAT(TEXT(INDIRECT("tblfocDblSym["&amp;B47&amp;"]"),"0.0000000E+0")&amp;", ")</f>
        <v xml:space="preserve">7.1740404E+7, 1.1370368E+8, 1.5306393E+8, 2.1581175E+8, 2.5860285E+8, 2.7904345E+8, 2.0904460E+7, 8.3617840E+7, 2.0592274E+8, 2.5397955E+8, 2.7765333E+8, 6.7082316E+7, 1.1940632E+8, 1.4963346E+8, 2.0653741E+8, 2.7516199E+8, 2.9242398E+7, 1.1696959E+8, 2.9567976E+8, 3.1126983E+8, </v>
      </c>
      <c r="D47" s="17" t="str">
        <f t="shared" ref="D47" ca="1" si="2">B47&amp;" = ["&amp;LEFT(C47,LEN(C47)-2)&amp;"]"</f>
        <v>fn = [7.1740404E+7, 1.1370368E+8, 1.5306393E+8, 2.1581175E+8, 2.5860285E+8, 2.7904345E+8, 2.0904460E+7, 8.3617840E+7, 2.0592274E+8, 2.5397955E+8, 2.7765333E+8, 6.7082316E+7, 1.1940632E+8, 1.4963346E+8, 2.0653741E+8, 2.7516199E+8, 2.9242398E+7, 1.1696959E+8, 2.9567976E+8, 3.1126983E+8]</v>
      </c>
    </row>
    <row r="48" spans="2:4" x14ac:dyDescent="0.2">
      <c r="B48" s="17" t="str">
        <v>Nc</v>
      </c>
      <c r="C48" s="33" t="str">
        <f t="array" aca="1" ref="C48" ca="1">_xlfn.CONCAT(TEXT(INDIRECT("tblfocDblSym["&amp;B48&amp;"]"),"0.0000000E+0")&amp;", ")</f>
        <v xml:space="preserve">2.9551992E+6, 4.6837905E+6, 6.3051556E+6, 8.8899236E+6, 1.0652616E+7, 1.1494624E+7, 4.4599665E+5, 1.7839866E+6, 4.3933616E+6, 5.4186538E+6, 5.9237338E+6, 8.6670352E+5, 1.5427296E+6, 1.9332643E+6, 2.6684634E+6, 3.5550929E+6, 4.6977912E+4, 1.8791165E+5, 4.7500953E+5, 5.0005497E+5, </v>
      </c>
      <c r="D48" s="17" t="str">
        <f t="shared" ref="D48" ca="1" si="3">B48&amp;" = ["&amp;LEFT(C48,LEN(C48)-2)&amp;"]"</f>
        <v>Nc = [2.9551992E+6, 4.6837905E+6, 6.3051556E+6, 8.8899236E+6, 1.0652616E+7, 1.1494624E+7, 4.4599665E+5, 1.7839866E+6, 4.3933616E+6, 5.4186538E+6, 5.9237338E+6, 8.6670352E+5, 1.5427296E+6, 1.9332643E+6, 2.6684634E+6, 3.5550929E+6, 4.6977912E+4, 1.8791165E+5, 4.7500953E+5, 5.0005497E+5]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0"/>
  <sheetViews>
    <sheetView workbookViewId="0">
      <selection activeCell="S31" sqref="S31"/>
    </sheetView>
  </sheetViews>
  <sheetFormatPr defaultColWidth="9" defaultRowHeight="11.25" x14ac:dyDescent="0.2"/>
  <cols>
    <col min="1" max="1" width="3.42578125" style="17" customWidth="1"/>
    <col min="2" max="3" width="7.5703125" style="17" customWidth="1"/>
    <col min="4" max="4" width="6.28515625" style="17" customWidth="1"/>
    <col min="5" max="5" width="6.42578125" style="17" bestFit="1" customWidth="1"/>
    <col min="6" max="6" width="4.28515625" style="17" bestFit="1" customWidth="1"/>
    <col min="7" max="7" width="6.42578125" style="17" bestFit="1" customWidth="1"/>
    <col min="8" max="8" width="6.140625" style="17" bestFit="1" customWidth="1"/>
    <col min="9" max="9" width="5" style="17" bestFit="1" customWidth="1"/>
    <col min="10" max="10" width="5.42578125" style="17" bestFit="1" customWidth="1"/>
    <col min="11" max="13" width="6.28515625" style="17" bestFit="1" customWidth="1"/>
    <col min="14" max="16" width="6.42578125" style="17" bestFit="1" customWidth="1"/>
    <col min="17" max="17" width="4" style="17" customWidth="1"/>
    <col min="18" max="18" width="6.28515625" style="17" bestFit="1" customWidth="1"/>
    <col min="19" max="23" width="6.42578125" style="17" bestFit="1" customWidth="1"/>
    <col min="24" max="25" width="6.42578125" style="17" customWidth="1"/>
    <col min="26" max="29" width="6.42578125" style="17" bestFit="1" customWidth="1"/>
    <col min="30" max="16384" width="9" style="17"/>
  </cols>
  <sheetData>
    <row r="2" spans="2:29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2" t="s">
        <v>63</v>
      </c>
      <c r="T2" s="38" t="s">
        <v>68</v>
      </c>
      <c r="U2" s="39" t="s">
        <v>69</v>
      </c>
      <c r="V2" s="38" t="s">
        <v>70</v>
      </c>
      <c r="W2" s="40" t="s">
        <v>71</v>
      </c>
      <c r="X2" s="41" t="s">
        <v>72</v>
      </c>
      <c r="Y2" s="40" t="s">
        <v>73</v>
      </c>
      <c r="Z2" s="17" t="s">
        <v>67</v>
      </c>
      <c r="AA2" s="34" t="s">
        <v>65</v>
      </c>
      <c r="AB2" s="17" t="s">
        <v>66</v>
      </c>
      <c r="AC2" s="17" t="s">
        <v>30</v>
      </c>
    </row>
    <row r="3" spans="2:29" x14ac:dyDescent="0.2">
      <c r="B3" s="4" t="s">
        <v>8</v>
      </c>
      <c r="C3" s="10">
        <v>2.7899999999999999E-3</v>
      </c>
      <c r="D3" s="9">
        <v>0.95799999999999996</v>
      </c>
      <c r="E3" s="4">
        <v>20</v>
      </c>
      <c r="F3" s="4">
        <v>20</v>
      </c>
      <c r="G3" s="4">
        <v>20</v>
      </c>
      <c r="H3" s="4">
        <v>5.8700000000000002E-2</v>
      </c>
      <c r="I3" s="5">
        <v>2.98E-2</v>
      </c>
      <c r="J3" s="4">
        <v>0</v>
      </c>
      <c r="K3" s="4">
        <v>0</v>
      </c>
      <c r="L3" s="6">
        <v>8.8899999999999995E-8</v>
      </c>
      <c r="M3" s="6">
        <v>0</v>
      </c>
      <c r="N3" s="6">
        <v>320000000</v>
      </c>
      <c r="O3" s="6">
        <v>200000000000</v>
      </c>
      <c r="P3" s="6">
        <v>80000000000</v>
      </c>
      <c r="Q3" s="22" t="s">
        <v>49</v>
      </c>
      <c r="R3" s="42">
        <f>SQRT(tblfocSglSym[[#This Row],[rx]]^2+tblfocSglSym[[#This Row],[ry]]^2+tblfocSglSym[[#This Row],[xo]]^2+tblfocSglSym[[#This Row],[yo]]^2)</f>
        <v>6.5831071691109508E-2</v>
      </c>
      <c r="S3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3" s="44">
        <f>(tblfocSglSym[[#This Row],[E]]*PI()^2)/((tblfocSglSym[[#This Row],[lex]]/tblfocSglSym[[#This Row],[rx]])^2)</f>
        <v>17003798.594394796</v>
      </c>
      <c r="U3" s="44">
        <f>1-(tblfocSglSym[[#This Row],[xo]]/tblfocSglSym[[#This Row],[rol]])^2</f>
        <v>1</v>
      </c>
      <c r="V3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17003798.594394803</v>
      </c>
      <c r="W3" s="45">
        <f>(tblfocSglSym[[#This Row],[E]]*PI()^2)/((tblfocSglSym[[#This Row],[ley]]/tblfocSglSym[[#This Row],[ry]])^2)</f>
        <v>4382301.746171697</v>
      </c>
      <c r="X3" s="45">
        <f>1-(tblfocSglSym[[#This Row],[yo]]/tblfocSglSym[[#This Row],[rol]])^2</f>
        <v>1</v>
      </c>
      <c r="Y3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4382301.7461717129</v>
      </c>
      <c r="Z3" s="42">
        <f>IF(tblfocSglSym[[#This Row],[Axis]]="['x']",tblfocSglSym[[#This Row],[foxz_x]],tblfocSglSym[[#This Row],[foxz_y]])</f>
        <v>17003798.594394803</v>
      </c>
      <c r="AA3" s="42">
        <f>SQRT(tblfocSglSym[[#This Row],[fy]]/tblfocSglSym[[#This Row],[foc]])</f>
        <v>4.3381245135780659</v>
      </c>
      <c r="AB3" s="42">
        <f>IF(tblfocSglSym[[#This Row],[λc]]&lt;=1.5,0.658^(tblfocSglSym[[#This Row],[λc]]^2),0.877/(tblfocSglSym[[#This Row],[λc]]^2))*tblfocSglSym[[#This Row],[fy]]</f>
        <v>14912331.367284244</v>
      </c>
      <c r="AC3" s="42">
        <f>0.85*tblfocSglSym[[#This Row],[An]]*tblfocSglSym[[#This Row],[kf]]*tblfocSglSym[[#This Row],[fn]]</f>
        <v>33879.280896338969</v>
      </c>
    </row>
    <row r="4" spans="2:29" x14ac:dyDescent="0.2">
      <c r="B4" s="4" t="s">
        <v>8</v>
      </c>
      <c r="C4" s="10">
        <v>2.7899999999999999E-3</v>
      </c>
      <c r="D4" s="9">
        <v>0.95799999999999996</v>
      </c>
      <c r="E4" s="4">
        <v>10</v>
      </c>
      <c r="F4" s="4">
        <v>10</v>
      </c>
      <c r="G4" s="4">
        <v>10</v>
      </c>
      <c r="H4" s="4">
        <v>5.8700000000000002E-2</v>
      </c>
      <c r="I4" s="5">
        <v>2.98E-2</v>
      </c>
      <c r="J4" s="4">
        <v>0</v>
      </c>
      <c r="K4" s="4">
        <v>0</v>
      </c>
      <c r="L4" s="6">
        <v>8.8899999999999995E-8</v>
      </c>
      <c r="M4" s="6">
        <v>0</v>
      </c>
      <c r="N4" s="6">
        <v>320000000</v>
      </c>
      <c r="O4" s="6">
        <v>200000000000</v>
      </c>
      <c r="P4" s="6">
        <v>80000000000</v>
      </c>
      <c r="Q4" s="22" t="s">
        <v>49</v>
      </c>
      <c r="R4" s="42">
        <f>SQRT(tblfocSglSym[[#This Row],[rx]]^2+tblfocSglSym[[#This Row],[ry]]^2+tblfocSglSym[[#This Row],[xo]]^2+tblfocSglSym[[#This Row],[yo]]^2)</f>
        <v>6.5831071691109508E-2</v>
      </c>
      <c r="S4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4" s="44">
        <f>(tblfocSglSym[[#This Row],[E]]*PI()^2)/((tblfocSglSym[[#This Row],[lex]]/tblfocSglSym[[#This Row],[rx]])^2)</f>
        <v>68015194.377579182</v>
      </c>
      <c r="U4" s="44">
        <f>1-(tblfocSglSym[[#This Row],[xo]]/tblfocSglSym[[#This Row],[rol]])^2</f>
        <v>1</v>
      </c>
      <c r="V4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68015194.377579153</v>
      </c>
      <c r="W4" s="45">
        <f>(tblfocSglSym[[#This Row],[E]]*PI()^2)/((tblfocSglSym[[#This Row],[ley]]/tblfocSglSym[[#This Row],[ry]])^2)</f>
        <v>17529206.984686788</v>
      </c>
      <c r="X4" s="45">
        <f>1-(tblfocSglSym[[#This Row],[yo]]/tblfocSglSym[[#This Row],[rol]])^2</f>
        <v>1</v>
      </c>
      <c r="Y4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17529206.984686792</v>
      </c>
      <c r="Z4" s="42">
        <f>IF(tblfocSglSym[[#This Row],[Axis]]="['x']",tblfocSglSym[[#This Row],[foxz_x]],tblfocSglSym[[#This Row],[foxz_y]])</f>
        <v>68015194.377579153</v>
      </c>
      <c r="AA4" s="42">
        <f>SQRT(tblfocSglSym[[#This Row],[fy]]/tblfocSglSym[[#This Row],[foc]])</f>
        <v>2.1690622567890339</v>
      </c>
      <c r="AB4" s="42">
        <f>IF(tblfocSglSym[[#This Row],[λc]]&lt;=1.5,0.658^(tblfocSglSym[[#This Row],[λc]]^2),0.877/(tblfocSglSym[[#This Row],[λc]]^2))*tblfocSglSym[[#This Row],[fy]]</f>
        <v>59649325.469136931</v>
      </c>
      <c r="AC4" s="42">
        <f>0.85*tblfocSglSym[[#This Row],[An]]*tblfocSglSym[[#This Row],[kf]]*tblfocSglSym[[#This Row],[fn]]</f>
        <v>135517.12358535576</v>
      </c>
    </row>
    <row r="5" spans="2:29" x14ac:dyDescent="0.2">
      <c r="B5" s="4" t="s">
        <v>8</v>
      </c>
      <c r="C5" s="10">
        <v>2.7899999999999999E-3</v>
      </c>
      <c r="D5" s="9">
        <v>0.95799999999999996</v>
      </c>
      <c r="E5" s="4">
        <v>5</v>
      </c>
      <c r="F5" s="4">
        <v>5</v>
      </c>
      <c r="G5" s="4">
        <v>5</v>
      </c>
      <c r="H5" s="4">
        <v>5.8700000000000002E-2</v>
      </c>
      <c r="I5" s="5">
        <v>2.98E-2</v>
      </c>
      <c r="J5" s="4">
        <v>0</v>
      </c>
      <c r="K5" s="4">
        <v>0</v>
      </c>
      <c r="L5" s="6">
        <v>8.8899999999999995E-8</v>
      </c>
      <c r="M5" s="6">
        <v>0</v>
      </c>
      <c r="N5" s="6">
        <v>320000000</v>
      </c>
      <c r="O5" s="6">
        <v>200000000000</v>
      </c>
      <c r="P5" s="6">
        <v>80000000000</v>
      </c>
      <c r="Q5" s="22" t="s">
        <v>49</v>
      </c>
      <c r="R5" s="42">
        <f>SQRT(tblfocSglSym[[#This Row],[rx]]^2+tblfocSglSym[[#This Row],[ry]]^2+tblfocSglSym[[#This Row],[xo]]^2+tblfocSglSym[[#This Row],[yo]]^2)</f>
        <v>6.5831071691109508E-2</v>
      </c>
      <c r="S5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5" s="44">
        <f>(tblfocSglSym[[#This Row],[E]]*PI()^2)/((tblfocSglSym[[#This Row],[lex]]/tblfocSglSym[[#This Row],[rx]])^2)</f>
        <v>272060777.51031673</v>
      </c>
      <c r="U5" s="44">
        <f>1-(tblfocSglSym[[#This Row],[xo]]/tblfocSglSym[[#This Row],[rol]])^2</f>
        <v>1</v>
      </c>
      <c r="V5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272060777.51031667</v>
      </c>
      <c r="W5" s="45">
        <f>(tblfocSglSym[[#This Row],[E]]*PI()^2)/((tblfocSglSym[[#This Row],[ley]]/tblfocSglSym[[#This Row],[ry]])^2)</f>
        <v>70116827.938747153</v>
      </c>
      <c r="X5" s="45">
        <f>1-(tblfocSglSym[[#This Row],[yo]]/tblfocSglSym[[#This Row],[rol]])^2</f>
        <v>1</v>
      </c>
      <c r="Y5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70116827.938747138</v>
      </c>
      <c r="Z5" s="42">
        <f>IF(tblfocSglSym[[#This Row],[Axis]]="['x']",tblfocSglSym[[#This Row],[foxz_x]],tblfocSglSym[[#This Row],[foxz_y]])</f>
        <v>272060777.51031667</v>
      </c>
      <c r="AA5" s="42">
        <f>SQRT(tblfocSglSym[[#This Row],[fy]]/tblfocSglSym[[#This Row],[foc]])</f>
        <v>1.0845311283945169</v>
      </c>
      <c r="AB5" s="42">
        <f>IF(tblfocSglSym[[#This Row],[λc]]&lt;=1.5,0.658^(tblfocSglSym[[#This Row],[λc]]^2),0.877/(tblfocSglSym[[#This Row],[λc]]^2))*tblfocSglSym[[#This Row],[fy]]</f>
        <v>195589646.73351368</v>
      </c>
      <c r="AC5" s="42">
        <f>0.85*tblfocSglSym[[#This Row],[An]]*tblfocSglSym[[#This Row],[kf]]*tblfocSglSym[[#This Row],[fn]]</f>
        <v>444359.53164492949</v>
      </c>
    </row>
    <row r="6" spans="2:29" x14ac:dyDescent="0.2">
      <c r="B6" s="4" t="s">
        <v>8</v>
      </c>
      <c r="C6" s="10">
        <v>2.7899999999999999E-3</v>
      </c>
      <c r="D6" s="9">
        <v>0.95799999999999996</v>
      </c>
      <c r="E6" s="4">
        <v>1</v>
      </c>
      <c r="F6" s="4">
        <v>1</v>
      </c>
      <c r="G6" s="4">
        <v>1</v>
      </c>
      <c r="H6" s="4">
        <v>5.8700000000000002E-2</v>
      </c>
      <c r="I6" s="5">
        <v>2.98E-2</v>
      </c>
      <c r="J6" s="4">
        <v>0</v>
      </c>
      <c r="K6" s="4">
        <v>0</v>
      </c>
      <c r="L6" s="6">
        <v>8.8899999999999995E-8</v>
      </c>
      <c r="M6" s="6">
        <v>0</v>
      </c>
      <c r="N6" s="6">
        <v>320000000</v>
      </c>
      <c r="O6" s="6">
        <v>200000000000</v>
      </c>
      <c r="P6" s="6">
        <v>80000000000</v>
      </c>
      <c r="Q6" s="22" t="s">
        <v>49</v>
      </c>
      <c r="R6" s="42">
        <f>SQRT(tblfocSglSym[[#This Row],[rx]]^2+tblfocSglSym[[#This Row],[ry]]^2+tblfocSglSym[[#This Row],[xo]]^2+tblfocSglSym[[#This Row],[yo]]^2)</f>
        <v>6.5831071691109508E-2</v>
      </c>
      <c r="S6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6" s="44">
        <f>(tblfocSglSym[[#This Row],[E]]*PI()^2)/((tblfocSglSym[[#This Row],[lex]]/tblfocSglSym[[#This Row],[rx]])^2)</f>
        <v>6801519437.7579174</v>
      </c>
      <c r="U6" s="44">
        <f>1-(tblfocSglSym[[#This Row],[xo]]/tblfocSglSym[[#This Row],[rol]])^2</f>
        <v>1</v>
      </c>
      <c r="V6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588200912.99004078</v>
      </c>
      <c r="W6" s="45">
        <f>(tblfocSglSym[[#This Row],[E]]*PI()^2)/((tblfocSglSym[[#This Row],[ley]]/tblfocSglSym[[#This Row],[ry]])^2)</f>
        <v>1752920698.4686785</v>
      </c>
      <c r="X6" s="45">
        <f>1-(tblfocSglSym[[#This Row],[yo]]/tblfocSglSym[[#This Row],[rol]])^2</f>
        <v>1</v>
      </c>
      <c r="Y6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588200912.9900409</v>
      </c>
      <c r="Z6" s="42">
        <f>IF(tblfocSglSym[[#This Row],[Axis]]="['x']",tblfocSglSym[[#This Row],[foxz_x]],tblfocSglSym[[#This Row],[foxz_y]])</f>
        <v>588200912.99004078</v>
      </c>
      <c r="AA6" s="42">
        <f>SQRT(tblfocSglSym[[#This Row],[fy]]/tblfocSglSym[[#This Row],[foc]])</f>
        <v>0.73758511205508304</v>
      </c>
      <c r="AB6" s="42">
        <f>IF(tblfocSglSym[[#This Row],[λc]]&lt;=1.5,0.658^(tblfocSglSym[[#This Row],[λc]]^2),0.877/(tblfocSglSym[[#This Row],[λc]]^2))*tblfocSglSym[[#This Row],[fy]]</f>
        <v>254835005.32635781</v>
      </c>
      <c r="AC6" s="42">
        <f>0.85*tblfocSglSym[[#This Row],[An]]*tblfocSglSym[[#This Row],[kf]]*tblfocSglSym[[#This Row],[fn]]</f>
        <v>578958.88409593632</v>
      </c>
    </row>
    <row r="7" spans="2:29" x14ac:dyDescent="0.2">
      <c r="B7" s="4" t="s">
        <v>8</v>
      </c>
      <c r="C7" s="10">
        <v>2.7899999999999999E-3</v>
      </c>
      <c r="D7" s="9">
        <v>0.95799999999999996</v>
      </c>
      <c r="E7" s="4">
        <v>0.5</v>
      </c>
      <c r="F7" s="4">
        <v>0.5</v>
      </c>
      <c r="G7" s="4">
        <v>0.5</v>
      </c>
      <c r="H7" s="4">
        <v>5.8700000000000002E-2</v>
      </c>
      <c r="I7" s="5">
        <v>2.98E-2</v>
      </c>
      <c r="J7" s="4">
        <v>0</v>
      </c>
      <c r="K7" s="4">
        <v>0</v>
      </c>
      <c r="L7" s="6">
        <v>8.8899999999999995E-8</v>
      </c>
      <c r="M7" s="6">
        <v>0</v>
      </c>
      <c r="N7" s="6">
        <v>320000000</v>
      </c>
      <c r="O7" s="6">
        <v>200000000000</v>
      </c>
      <c r="P7" s="6">
        <v>80000000000</v>
      </c>
      <c r="Q7" s="22" t="s">
        <v>49</v>
      </c>
      <c r="R7" s="42">
        <f>SQRT(tblfocSglSym[[#This Row],[rx]]^2+tblfocSglSym[[#This Row],[ry]]^2+tblfocSglSym[[#This Row],[xo]]^2+tblfocSglSym[[#This Row],[yo]]^2)</f>
        <v>6.5831071691109508E-2</v>
      </c>
      <c r="S7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7" s="44">
        <f>(tblfocSglSym[[#This Row],[E]]*PI()^2)/((tblfocSglSym[[#This Row],[lex]]/tblfocSglSym[[#This Row],[rx]])^2)</f>
        <v>27206077751.03167</v>
      </c>
      <c r="U7" s="44">
        <f>1-(tblfocSglSym[[#This Row],[xo]]/tblfocSglSym[[#This Row],[rol]])^2</f>
        <v>1</v>
      </c>
      <c r="V7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588200912.99003983</v>
      </c>
      <c r="W7" s="45">
        <f>(tblfocSglSym[[#This Row],[E]]*PI()^2)/((tblfocSglSym[[#This Row],[ley]]/tblfocSglSym[[#This Row],[ry]])^2)</f>
        <v>7011682793.8747139</v>
      </c>
      <c r="X7" s="45">
        <f>1-(tblfocSglSym[[#This Row],[yo]]/tblfocSglSym[[#This Row],[rol]])^2</f>
        <v>1</v>
      </c>
      <c r="Y7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588200912.99004078</v>
      </c>
      <c r="Z7" s="42">
        <f>IF(tblfocSglSym[[#This Row],[Axis]]="['x']",tblfocSglSym[[#This Row],[foxz_x]],tblfocSglSym[[#This Row],[foxz_y]])</f>
        <v>588200912.99003983</v>
      </c>
      <c r="AA7" s="42">
        <f>SQRT(tblfocSglSym[[#This Row],[fy]]/tblfocSglSym[[#This Row],[foc]])</f>
        <v>0.73758511205508359</v>
      </c>
      <c r="AB7" s="42">
        <f>IF(tblfocSglSym[[#This Row],[λc]]&lt;=1.5,0.658^(tblfocSglSym[[#This Row],[λc]]^2),0.877/(tblfocSglSym[[#This Row],[λc]]^2))*tblfocSglSym[[#This Row],[fy]]</f>
        <v>254835005.32635769</v>
      </c>
      <c r="AC7" s="42">
        <f>0.85*tblfocSglSym[[#This Row],[An]]*tblfocSglSym[[#This Row],[kf]]*tblfocSglSym[[#This Row],[fn]]</f>
        <v>578958.88409593597</v>
      </c>
    </row>
    <row r="8" spans="2:29" x14ac:dyDescent="0.2">
      <c r="B8" s="4" t="s">
        <v>8</v>
      </c>
      <c r="C8" s="10">
        <v>2.7899999999999999E-3</v>
      </c>
      <c r="D8" s="9">
        <v>0.95799999999999996</v>
      </c>
      <c r="E8" s="4">
        <v>0.1</v>
      </c>
      <c r="F8" s="4">
        <v>0.1</v>
      </c>
      <c r="G8" s="4">
        <v>0.1</v>
      </c>
      <c r="H8" s="4">
        <v>5.8700000000000002E-2</v>
      </c>
      <c r="I8" s="5">
        <v>2.98E-2</v>
      </c>
      <c r="J8" s="4">
        <v>0</v>
      </c>
      <c r="K8" s="4">
        <v>0</v>
      </c>
      <c r="L8" s="6">
        <v>8.8899999999999995E-8</v>
      </c>
      <c r="M8" s="6">
        <v>0</v>
      </c>
      <c r="N8" s="6">
        <v>320000000</v>
      </c>
      <c r="O8" s="6">
        <v>200000000000</v>
      </c>
      <c r="P8" s="6">
        <v>80000000000</v>
      </c>
      <c r="Q8" s="22" t="s">
        <v>49</v>
      </c>
      <c r="R8" s="42">
        <f>SQRT(tblfocSglSym[[#This Row],[rx]]^2+tblfocSglSym[[#This Row],[ry]]^2+tblfocSglSym[[#This Row],[xo]]^2+tblfocSglSym[[#This Row],[yo]]^2)</f>
        <v>6.5831071691109508E-2</v>
      </c>
      <c r="S8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8" s="44">
        <f>(tblfocSglSym[[#This Row],[E]]*PI()^2)/((tblfocSglSym[[#This Row],[lex]]/tblfocSglSym[[#This Row],[rx]])^2)</f>
        <v>680151943775.79187</v>
      </c>
      <c r="U8" s="44">
        <f>1-(tblfocSglSym[[#This Row],[xo]]/tblfocSglSym[[#This Row],[rol]])^2</f>
        <v>1</v>
      </c>
      <c r="V8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588200912.99005127</v>
      </c>
      <c r="W8" s="45">
        <f>(tblfocSglSym[[#This Row],[E]]*PI()^2)/((tblfocSglSym[[#This Row],[ley]]/tblfocSglSym[[#This Row],[ry]])^2)</f>
        <v>175292069846.86786</v>
      </c>
      <c r="X8" s="45">
        <f>1-(tblfocSglSym[[#This Row],[yo]]/tblfocSglSym[[#This Row],[rol]])^2</f>
        <v>1</v>
      </c>
      <c r="Y8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588200912.99003601</v>
      </c>
      <c r="Z8" s="42">
        <f>IF(tblfocSglSym[[#This Row],[Axis]]="['x']",tblfocSglSym[[#This Row],[foxz_x]],tblfocSglSym[[#This Row],[foxz_y]])</f>
        <v>588200912.99005127</v>
      </c>
      <c r="AA8" s="42">
        <f>SQRT(tblfocSglSym[[#This Row],[fy]]/tblfocSglSym[[#This Row],[foc]])</f>
        <v>0.73758511205507649</v>
      </c>
      <c r="AB8" s="42">
        <f>IF(tblfocSglSym[[#This Row],[λc]]&lt;=1.5,0.658^(tblfocSglSym[[#This Row],[λc]]^2),0.877/(tblfocSglSym[[#This Row],[λc]]^2))*tblfocSglSym[[#This Row],[fy]]</f>
        <v>254835005.32635882</v>
      </c>
      <c r="AC8" s="42">
        <f>0.85*tblfocSglSym[[#This Row],[An]]*tblfocSglSym[[#This Row],[kf]]*tblfocSglSym[[#This Row],[fn]]</f>
        <v>578958.88409593853</v>
      </c>
    </row>
    <row r="9" spans="2:29" x14ac:dyDescent="0.2">
      <c r="B9" s="4" t="s">
        <v>38</v>
      </c>
      <c r="C9" s="10">
        <v>1.4300000000000001E-4</v>
      </c>
      <c r="D9" s="22">
        <v>1</v>
      </c>
      <c r="E9" s="4">
        <v>10</v>
      </c>
      <c r="F9" s="4">
        <v>10</v>
      </c>
      <c r="G9" s="4">
        <v>10</v>
      </c>
      <c r="H9" s="4">
        <v>9.2200000000000008E-3</v>
      </c>
      <c r="I9" s="5">
        <v>4.7299999999999998E-3</v>
      </c>
      <c r="J9" s="4">
        <v>0</v>
      </c>
      <c r="K9" s="4">
        <v>0</v>
      </c>
      <c r="L9" s="6">
        <v>5.1499999999999998E-10</v>
      </c>
      <c r="M9" s="6">
        <v>0</v>
      </c>
      <c r="N9" s="6">
        <v>320000000</v>
      </c>
      <c r="O9" s="6">
        <v>200000000000</v>
      </c>
      <c r="P9" s="6">
        <v>80000000000</v>
      </c>
      <c r="Q9" s="22" t="s">
        <v>49</v>
      </c>
      <c r="R9" s="42">
        <f>SQRT(tblfocSglSym[[#This Row],[rx]]^2+tblfocSglSym[[#This Row],[ry]]^2+tblfocSglSym[[#This Row],[xo]]^2+tblfocSglSym[[#This Row],[yo]]^2)</f>
        <v>1.0362494873340107E-2</v>
      </c>
      <c r="S9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9" s="44">
        <f>(tblfocSglSym[[#This Row],[E]]*PI()^2)/((tblfocSglSym[[#This Row],[lex]]/tblfocSglSym[[#This Row],[rx]])^2)</f>
        <v>1677998.5575391292</v>
      </c>
      <c r="U9" s="44">
        <f>1-(tblfocSglSym[[#This Row],[xo]]/tblfocSglSym[[#This Row],[rol]])^2</f>
        <v>1</v>
      </c>
      <c r="V9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1677998.5575392246</v>
      </c>
      <c r="W9" s="45">
        <f>(tblfocSglSym[[#This Row],[E]]*PI()^2)/((tblfocSglSym[[#This Row],[ley]]/tblfocSglSym[[#This Row],[ry]])^2)</f>
        <v>441623.34461026412</v>
      </c>
      <c r="X9" s="45">
        <f>1-(tblfocSglSym[[#This Row],[yo]]/tblfocSglSym[[#This Row],[rol]])^2</f>
        <v>1</v>
      </c>
      <c r="Y9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441623.34461021423</v>
      </c>
      <c r="Z9" s="42">
        <f>IF(tblfocSglSym[[#This Row],[Axis]]="['x']",tblfocSglSym[[#This Row],[foxz_x]],tblfocSglSym[[#This Row],[foxz_y]])</f>
        <v>1677998.5575392246</v>
      </c>
      <c r="AA9" s="42">
        <f>SQRT(tblfocSglSym[[#This Row],[fy]]/tblfocSglSym[[#This Row],[foc]])</f>
        <v>13.809539530749745</v>
      </c>
      <c r="AB9" s="42">
        <f>IF(tblfocSglSym[[#This Row],[λc]]&lt;=1.5,0.658^(tblfocSglSym[[#This Row],[λc]]^2),0.877/(tblfocSglSym[[#This Row],[λc]]^2))*tblfocSglSym[[#This Row],[fy]]</f>
        <v>1471604.7349618999</v>
      </c>
      <c r="AC9" s="42">
        <f>0.85*tblfocSglSym[[#This Row],[An]]*tblfocSglSym[[#This Row],[kf]]*tblfocSglSym[[#This Row],[fn]]</f>
        <v>178.87355553461893</v>
      </c>
    </row>
    <row r="10" spans="2:29" x14ac:dyDescent="0.2">
      <c r="B10" s="4" t="s">
        <v>38</v>
      </c>
      <c r="C10" s="10">
        <v>1.4300000000000001E-4</v>
      </c>
      <c r="D10" s="22">
        <v>1</v>
      </c>
      <c r="E10" s="4">
        <v>5</v>
      </c>
      <c r="F10" s="4">
        <v>5</v>
      </c>
      <c r="G10" s="4">
        <v>5</v>
      </c>
      <c r="H10" s="4">
        <v>9.2200000000000008E-3</v>
      </c>
      <c r="I10" s="5">
        <v>4.7299999999999998E-3</v>
      </c>
      <c r="J10" s="4">
        <v>0</v>
      </c>
      <c r="K10" s="4">
        <v>0</v>
      </c>
      <c r="L10" s="6">
        <v>5.1499999999999998E-10</v>
      </c>
      <c r="M10" s="6">
        <v>0</v>
      </c>
      <c r="N10" s="6">
        <v>320000000</v>
      </c>
      <c r="O10" s="6">
        <v>200000000000</v>
      </c>
      <c r="P10" s="6">
        <v>80000000000</v>
      </c>
      <c r="Q10" s="22" t="s">
        <v>49</v>
      </c>
      <c r="R10" s="42">
        <f>SQRT(tblfocSglSym[[#This Row],[rx]]^2+tblfocSglSym[[#This Row],[ry]]^2+tblfocSglSym[[#This Row],[xo]]^2+tblfocSglSym[[#This Row],[yo]]^2)</f>
        <v>1.0362494873340107E-2</v>
      </c>
      <c r="S10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0" s="44">
        <f>(tblfocSglSym[[#This Row],[E]]*PI()^2)/((tblfocSglSym[[#This Row],[lex]]/tblfocSglSym[[#This Row],[rx]])^2)</f>
        <v>6711994.2301565167</v>
      </c>
      <c r="U10" s="44">
        <f>1-(tblfocSglSym[[#This Row],[xo]]/tblfocSglSym[[#This Row],[rol]])^2</f>
        <v>1</v>
      </c>
      <c r="V10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6711994.2301566601</v>
      </c>
      <c r="W10" s="45">
        <f>(tblfocSglSym[[#This Row],[E]]*PI()^2)/((tblfocSglSym[[#This Row],[ley]]/tblfocSglSym[[#This Row],[ry]])^2)</f>
        <v>1766493.3784410565</v>
      </c>
      <c r="X10" s="45">
        <f>1-(tblfocSglSym[[#This Row],[yo]]/tblfocSglSym[[#This Row],[rol]])^2</f>
        <v>1</v>
      </c>
      <c r="Y10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1766493.3784410954</v>
      </c>
      <c r="Z10" s="42">
        <f>IF(tblfocSglSym[[#This Row],[Axis]]="['x']",tblfocSglSym[[#This Row],[foxz_x]],tblfocSglSym[[#This Row],[foxz_y]])</f>
        <v>6711994.2301566601</v>
      </c>
      <c r="AA10" s="42">
        <f>SQRT(tblfocSglSym[[#This Row],[fy]]/tblfocSglSym[[#This Row],[foc]])</f>
        <v>6.9047697653749953</v>
      </c>
      <c r="AB10" s="42">
        <f>IF(tblfocSglSym[[#This Row],[λc]]&lt;=1.5,0.658^(tblfocSglSym[[#This Row],[λc]]^2),0.877/(tblfocSglSym[[#This Row],[λc]]^2))*tblfocSglSym[[#This Row],[fy]]</f>
        <v>5886418.9398473911</v>
      </c>
      <c r="AC10" s="42">
        <f>0.85*tblfocSglSym[[#This Row],[An]]*tblfocSglSym[[#This Row],[kf]]*tblfocSglSym[[#This Row],[fn]]</f>
        <v>715.49422213845037</v>
      </c>
    </row>
    <row r="11" spans="2:29" x14ac:dyDescent="0.2">
      <c r="B11" s="4" t="s">
        <v>38</v>
      </c>
      <c r="C11" s="10">
        <v>1.4300000000000001E-4</v>
      </c>
      <c r="D11" s="22">
        <v>1</v>
      </c>
      <c r="E11" s="4">
        <v>1</v>
      </c>
      <c r="F11" s="4">
        <v>1</v>
      </c>
      <c r="G11" s="4">
        <v>1</v>
      </c>
      <c r="H11" s="4">
        <v>9.2200000000000008E-3</v>
      </c>
      <c r="I11" s="5">
        <v>4.7299999999999998E-3</v>
      </c>
      <c r="J11" s="4">
        <v>0</v>
      </c>
      <c r="K11" s="4">
        <v>0</v>
      </c>
      <c r="L11" s="6">
        <v>5.1499999999999998E-10</v>
      </c>
      <c r="M11" s="6">
        <v>0</v>
      </c>
      <c r="N11" s="6">
        <v>320000000</v>
      </c>
      <c r="O11" s="6">
        <v>200000000000</v>
      </c>
      <c r="P11" s="6">
        <v>80000000000</v>
      </c>
      <c r="Q11" s="22" t="s">
        <v>49</v>
      </c>
      <c r="R11" s="42">
        <f>SQRT(tblfocSglSym[[#This Row],[rx]]^2+tblfocSglSym[[#This Row],[ry]]^2+tblfocSglSym[[#This Row],[xo]]^2+tblfocSglSym[[#This Row],[yo]]^2)</f>
        <v>1.0362494873340107E-2</v>
      </c>
      <c r="S11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1" s="44">
        <f>(tblfocSglSym[[#This Row],[E]]*PI()^2)/((tblfocSglSym[[#This Row],[lex]]/tblfocSglSym[[#This Row],[rx]])^2)</f>
        <v>167799855.75391296</v>
      </c>
      <c r="U11" s="44">
        <f>1-(tblfocSglSym[[#This Row],[xo]]/tblfocSglSym[[#This Row],[rol]])^2</f>
        <v>1</v>
      </c>
      <c r="V11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167799855.75391293</v>
      </c>
      <c r="W11" s="45">
        <f>(tblfocSglSym[[#This Row],[E]]*PI()^2)/((tblfocSglSym[[#This Row],[ley]]/tblfocSglSym[[#This Row],[ry]])^2)</f>
        <v>44162334.461026415</v>
      </c>
      <c r="X11" s="45">
        <f>1-(tblfocSglSym[[#This Row],[yo]]/tblfocSglSym[[#This Row],[rol]])^2</f>
        <v>1</v>
      </c>
      <c r="Y11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44162334.46102643</v>
      </c>
      <c r="Z11" s="42">
        <f>IF(tblfocSglSym[[#This Row],[Axis]]="['x']",tblfocSglSym[[#This Row],[foxz_x]],tblfocSglSym[[#This Row],[foxz_y]])</f>
        <v>167799855.75391293</v>
      </c>
      <c r="AA11" s="42">
        <f>SQRT(tblfocSglSym[[#This Row],[fy]]/tblfocSglSym[[#This Row],[foc]])</f>
        <v>1.3809539530750137</v>
      </c>
      <c r="AB11" s="42">
        <f>IF(tblfocSglSym[[#This Row],[λc]]&lt;=1.5,0.658^(tblfocSglSym[[#This Row],[λc]]^2),0.877/(tblfocSglSym[[#This Row],[λc]]^2))*tblfocSglSym[[#This Row],[fy]]</f>
        <v>144045803.2643545</v>
      </c>
      <c r="AC11" s="42">
        <f>0.85*tblfocSglSym[[#This Row],[An]]*tblfocSglSym[[#This Row],[kf]]*tblfocSglSym[[#This Row],[fn]]</f>
        <v>17508.767386782289</v>
      </c>
    </row>
    <row r="12" spans="2:29" x14ac:dyDescent="0.2">
      <c r="B12" s="4" t="s">
        <v>38</v>
      </c>
      <c r="C12" s="10">
        <v>1.4300000000000001E-4</v>
      </c>
      <c r="D12" s="22">
        <v>1</v>
      </c>
      <c r="E12" s="4">
        <v>0.5</v>
      </c>
      <c r="F12" s="4">
        <v>0.5</v>
      </c>
      <c r="G12" s="4">
        <v>0.5</v>
      </c>
      <c r="H12" s="4">
        <v>9.2200000000000008E-3</v>
      </c>
      <c r="I12" s="5">
        <v>4.7299999999999998E-3</v>
      </c>
      <c r="J12" s="4">
        <v>0</v>
      </c>
      <c r="K12" s="4">
        <v>0</v>
      </c>
      <c r="L12" s="6">
        <v>5.1499999999999998E-10</v>
      </c>
      <c r="M12" s="6">
        <v>0</v>
      </c>
      <c r="N12" s="6">
        <v>320000000</v>
      </c>
      <c r="O12" s="6">
        <v>200000000000</v>
      </c>
      <c r="P12" s="6">
        <v>80000000000</v>
      </c>
      <c r="Q12" s="22" t="s">
        <v>49</v>
      </c>
      <c r="R12" s="42">
        <f>SQRT(tblfocSglSym[[#This Row],[rx]]^2+tblfocSglSym[[#This Row],[ry]]^2+tblfocSglSym[[#This Row],[xo]]^2+tblfocSglSym[[#This Row],[yo]]^2)</f>
        <v>1.0362494873340107E-2</v>
      </c>
      <c r="S12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2" s="44">
        <f>(tblfocSglSym[[#This Row],[E]]*PI()^2)/((tblfocSglSym[[#This Row],[lex]]/tblfocSglSym[[#This Row],[rx]])^2)</f>
        <v>671199423.01565182</v>
      </c>
      <c r="U12" s="44">
        <f>1-(tblfocSglSym[[#This Row],[xo]]/tblfocSglSym[[#This Row],[rol]])^2</f>
        <v>1</v>
      </c>
      <c r="V12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671199423.0156517</v>
      </c>
      <c r="W12" s="45">
        <f>(tblfocSglSym[[#This Row],[E]]*PI()^2)/((tblfocSglSym[[#This Row],[ley]]/tblfocSglSym[[#This Row],[ry]])^2)</f>
        <v>176649337.84410566</v>
      </c>
      <c r="X12" s="45">
        <f>1-(tblfocSglSym[[#This Row],[yo]]/tblfocSglSym[[#This Row],[rol]])^2</f>
        <v>1</v>
      </c>
      <c r="Y12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176649337.84410572</v>
      </c>
      <c r="Z12" s="42">
        <f>IF(tblfocSglSym[[#This Row],[Axis]]="['x']",tblfocSglSym[[#This Row],[foxz_x]],tblfocSglSym[[#This Row],[foxz_y]])</f>
        <v>671199423.0156517</v>
      </c>
      <c r="AA12" s="42">
        <f>SQRT(tblfocSglSym[[#This Row],[fy]]/tblfocSglSym[[#This Row],[foc]])</f>
        <v>0.69047697653750684</v>
      </c>
      <c r="AB12" s="42">
        <f>IF(tblfocSglSym[[#This Row],[λc]]&lt;=1.5,0.658^(tblfocSglSym[[#This Row],[λc]]^2),0.877/(tblfocSglSym[[#This Row],[λc]]^2))*tblfocSglSym[[#This Row],[fy]]</f>
        <v>262112441.7425147</v>
      </c>
      <c r="AC12" s="42">
        <f>0.85*tblfocSglSym[[#This Row],[An]]*tblfocSglSym[[#This Row],[kf]]*tblfocSglSym[[#This Row],[fn]]</f>
        <v>31859.767293802663</v>
      </c>
    </row>
    <row r="13" spans="2:29" x14ac:dyDescent="0.2">
      <c r="B13" s="4" t="s">
        <v>38</v>
      </c>
      <c r="C13" s="10">
        <v>1.4300000000000001E-4</v>
      </c>
      <c r="D13" s="22">
        <v>1</v>
      </c>
      <c r="E13" s="4">
        <v>0.1</v>
      </c>
      <c r="F13" s="4">
        <v>0.1</v>
      </c>
      <c r="G13" s="4">
        <v>0.1</v>
      </c>
      <c r="H13" s="4">
        <v>9.2200000000000008E-3</v>
      </c>
      <c r="I13" s="5">
        <v>4.7299999999999998E-3</v>
      </c>
      <c r="J13" s="4">
        <v>0</v>
      </c>
      <c r="K13" s="4">
        <v>0</v>
      </c>
      <c r="L13" s="6">
        <v>5.1499999999999998E-10</v>
      </c>
      <c r="M13" s="6">
        <v>0</v>
      </c>
      <c r="N13" s="6">
        <v>320000000</v>
      </c>
      <c r="O13" s="6">
        <v>200000000000</v>
      </c>
      <c r="P13" s="6">
        <v>80000000000</v>
      </c>
      <c r="Q13" s="22" t="s">
        <v>49</v>
      </c>
      <c r="R13" s="42">
        <f>SQRT(tblfocSglSym[[#This Row],[rx]]^2+tblfocSglSym[[#This Row],[ry]]^2+tblfocSglSym[[#This Row],[xo]]^2+tblfocSglSym[[#This Row],[yo]]^2)</f>
        <v>1.0362494873340107E-2</v>
      </c>
      <c r="S13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3" s="44">
        <f>(tblfocSglSym[[#This Row],[E]]*PI()^2)/((tblfocSglSym[[#This Row],[lex]]/tblfocSglSym[[#This Row],[rx]])^2)</f>
        <v>16779985575.391294</v>
      </c>
      <c r="U13" s="44">
        <f>1-(tblfocSglSym[[#This Row],[xo]]/tblfocSglSym[[#This Row],[rol]])^2</f>
        <v>1</v>
      </c>
      <c r="V13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2683073199.0755196</v>
      </c>
      <c r="W13" s="45">
        <f>(tblfocSglSym[[#This Row],[E]]*PI()^2)/((tblfocSglSym[[#This Row],[ley]]/tblfocSglSym[[#This Row],[ry]])^2)</f>
        <v>4416233446.1026411</v>
      </c>
      <c r="X13" s="45">
        <f>1-(tblfocSglSym[[#This Row],[yo]]/tblfocSglSym[[#This Row],[rol]])^2</f>
        <v>1</v>
      </c>
      <c r="Y13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2683073199.07552</v>
      </c>
      <c r="Z13" s="42">
        <f>IF(tblfocSglSym[[#This Row],[Axis]]="['x']",tblfocSglSym[[#This Row],[foxz_x]],tblfocSglSym[[#This Row],[foxz_y]])</f>
        <v>2683073199.0755196</v>
      </c>
      <c r="AA13" s="42">
        <f>SQRT(tblfocSglSym[[#This Row],[fy]]/tblfocSglSym[[#This Row],[foc]])</f>
        <v>0.3453494181007466</v>
      </c>
      <c r="AB13" s="42">
        <f>IF(tblfocSglSym[[#This Row],[λc]]&lt;=1.5,0.658^(tblfocSglSym[[#This Row],[λc]]^2),0.877/(tblfocSglSym[[#This Row],[λc]]^2))*tblfocSglSym[[#This Row],[fy]]</f>
        <v>304418097.6408338</v>
      </c>
      <c r="AC13" s="42">
        <f>0.85*tblfocSglSym[[#This Row],[An]]*tblfocSglSym[[#This Row],[kf]]*tblfocSglSym[[#This Row],[fn]]</f>
        <v>37002.01976824335</v>
      </c>
    </row>
    <row r="14" spans="2:29" x14ac:dyDescent="0.2">
      <c r="B14" s="4" t="s">
        <v>37</v>
      </c>
      <c r="C14" s="10">
        <v>7.0299999999999998E-3</v>
      </c>
      <c r="D14" s="22">
        <v>1</v>
      </c>
      <c r="E14" s="4">
        <v>20</v>
      </c>
      <c r="F14" s="4">
        <v>20</v>
      </c>
      <c r="G14" s="4">
        <v>20</v>
      </c>
      <c r="H14" s="4">
        <v>0.14699999999999999</v>
      </c>
      <c r="I14" s="5">
        <v>3.04E-2</v>
      </c>
      <c r="J14" s="4">
        <v>5.67E-2</v>
      </c>
      <c r="K14" s="4">
        <v>0</v>
      </c>
      <c r="L14" s="6">
        <v>4.7199999999999999E-7</v>
      </c>
      <c r="M14" s="6">
        <v>1.5099999999999999E-7</v>
      </c>
      <c r="N14" s="6">
        <v>280000000</v>
      </c>
      <c r="O14" s="6">
        <v>200000000000</v>
      </c>
      <c r="P14" s="6">
        <v>80000000000</v>
      </c>
      <c r="Q14" s="22" t="s">
        <v>49</v>
      </c>
      <c r="R14" s="42">
        <f>SQRT(tblfocSglSym[[#This Row],[rx]]^2+tblfocSglSym[[#This Row],[ry]]^2+tblfocSglSym[[#This Row],[xo]]^2+tblfocSglSym[[#This Row],[yo]]^2)</f>
        <v>0.16046198926848687</v>
      </c>
      <c r="S14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212725331.25708571</v>
      </c>
      <c r="T14" s="44">
        <f>(tblfocSglSym[[#This Row],[E]]*PI()^2)/((tblfocSglSym[[#This Row],[lex]]/tblfocSglSym[[#This Row],[rx]])^2)</f>
        <v>106636140.75156994</v>
      </c>
      <c r="U14" s="44">
        <f>1-(tblfocSglSym[[#This Row],[xo]]/tblfocSglSym[[#This Row],[rol]])^2</f>
        <v>0.87514044752903608</v>
      </c>
      <c r="V14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96602101.135298222</v>
      </c>
      <c r="W14" s="45">
        <f>(tblfocSglSym[[#This Row],[E]]*PI()^2)/((tblfocSglSym[[#This Row],[ley]]/tblfocSglSym[[#This Row],[ry]])^2)</f>
        <v>4560546.8016553698</v>
      </c>
      <c r="X14" s="45">
        <f>1-(tblfocSglSym[[#This Row],[yo]]/tblfocSglSym[[#This Row],[rol]])^2</f>
        <v>1</v>
      </c>
      <c r="Y14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4560546.801655367</v>
      </c>
      <c r="Z14" s="42">
        <f>IF(tblfocSglSym[[#This Row],[Axis]]="['x']",tblfocSglSym[[#This Row],[foxz_x]],tblfocSglSym[[#This Row],[foxz_y]])</f>
        <v>96602101.135298222</v>
      </c>
      <c r="AA14" s="42">
        <f>SQRT(tblfocSglSym[[#This Row],[fy]]/tblfocSglSym[[#This Row],[foc]])</f>
        <v>1.7024945462383321</v>
      </c>
      <c r="AB14" s="42">
        <f>IF(tblfocSglSym[[#This Row],[λc]]&lt;=1.5,0.658^(tblfocSglSym[[#This Row],[λc]]^2),0.877/(tblfocSglSym[[#This Row],[λc]]^2))*tblfocSglSym[[#This Row],[fy]]</f>
        <v>84720042.695656553</v>
      </c>
      <c r="AC14" s="42">
        <f>0.85*tblfocSglSym[[#This Row],[An]]*tblfocSglSym[[#This Row],[kf]]*tblfocSglSym[[#This Row],[fn]]</f>
        <v>506244.61512789573</v>
      </c>
    </row>
    <row r="15" spans="2:29" x14ac:dyDescent="0.2">
      <c r="B15" s="4" t="s">
        <v>37</v>
      </c>
      <c r="C15" s="10">
        <v>7.0299999999999998E-3</v>
      </c>
      <c r="D15" s="22">
        <v>1</v>
      </c>
      <c r="E15" s="4">
        <v>10</v>
      </c>
      <c r="F15" s="4">
        <v>10</v>
      </c>
      <c r="G15" s="4">
        <v>10</v>
      </c>
      <c r="H15" s="4">
        <v>0.14699999999999999</v>
      </c>
      <c r="I15" s="5">
        <v>3.04E-2</v>
      </c>
      <c r="J15" s="4">
        <v>5.67E-2</v>
      </c>
      <c r="K15" s="4">
        <v>0</v>
      </c>
      <c r="L15" s="6">
        <v>4.7199999999999999E-7</v>
      </c>
      <c r="M15" s="6">
        <v>1.5099999999999999E-7</v>
      </c>
      <c r="N15" s="6">
        <v>280000000</v>
      </c>
      <c r="O15" s="6">
        <v>200000000000</v>
      </c>
      <c r="P15" s="6">
        <v>80000000000</v>
      </c>
      <c r="Q15" s="22" t="s">
        <v>49</v>
      </c>
      <c r="R15" s="42">
        <f>SQRT(tblfocSglSym[[#This Row],[rx]]^2+tblfocSglSym[[#This Row],[ry]]^2+tblfocSglSym[[#This Row],[xo]]^2+tblfocSglSym[[#This Row],[yo]]^2)</f>
        <v>0.16046198926848687</v>
      </c>
      <c r="S15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225075368.94487798</v>
      </c>
      <c r="T15" s="44">
        <f>(tblfocSglSym[[#This Row],[E]]*PI()^2)/((tblfocSglSym[[#This Row],[lex]]/tblfocSglSym[[#This Row],[rx]])^2)</f>
        <v>426544563.00627977</v>
      </c>
      <c r="U15" s="44">
        <f>1-(tblfocSglSym[[#This Row],[xo]]/tblfocSglSym[[#This Row],[rol]])^2</f>
        <v>0.87514044752903608</v>
      </c>
      <c r="V15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202291057.72419748</v>
      </c>
      <c r="W15" s="45">
        <f>(tblfocSglSym[[#This Row],[E]]*PI()^2)/((tblfocSglSym[[#This Row],[ley]]/tblfocSglSym[[#This Row],[ry]])^2)</f>
        <v>18242187.206621479</v>
      </c>
      <c r="X15" s="45">
        <f>1-(tblfocSglSym[[#This Row],[yo]]/tblfocSglSym[[#This Row],[rol]])^2</f>
        <v>1</v>
      </c>
      <c r="Y15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18242187.206621483</v>
      </c>
      <c r="Z15" s="42">
        <f>IF(tblfocSglSym[[#This Row],[Axis]]="['x']",tblfocSglSym[[#This Row],[foxz_x]],tblfocSglSym[[#This Row],[foxz_y]])</f>
        <v>202291057.72419748</v>
      </c>
      <c r="AA15" s="42">
        <f>SQRT(tblfocSglSym[[#This Row],[fy]]/tblfocSglSym[[#This Row],[foc]])</f>
        <v>1.1764965908879368</v>
      </c>
      <c r="AB15" s="42">
        <f>IF(tblfocSglSym[[#This Row],[λc]]&lt;=1.5,0.658^(tblfocSglSym[[#This Row],[λc]]^2),0.877/(tblfocSglSym[[#This Row],[λc]]^2))*tblfocSglSym[[#This Row],[fy]]</f>
        <v>156875979.73314223</v>
      </c>
      <c r="AC15" s="42">
        <f>0.85*tblfocSglSym[[#This Row],[An]]*tblfocSglSym[[#This Row],[kf]]*tblfocSglSym[[#This Row],[fn]]</f>
        <v>937412.41689539142</v>
      </c>
    </row>
    <row r="16" spans="2:29" x14ac:dyDescent="0.2">
      <c r="B16" s="4" t="s">
        <v>37</v>
      </c>
      <c r="C16" s="10">
        <v>7.0299999999999998E-3</v>
      </c>
      <c r="D16" s="22">
        <v>1</v>
      </c>
      <c r="E16" s="4">
        <v>5</v>
      </c>
      <c r="F16" s="4">
        <v>5</v>
      </c>
      <c r="G16" s="4">
        <v>5</v>
      </c>
      <c r="H16" s="4">
        <v>0.14699999999999999</v>
      </c>
      <c r="I16" s="5">
        <v>3.04E-2</v>
      </c>
      <c r="J16" s="4">
        <v>5.67E-2</v>
      </c>
      <c r="K16" s="4">
        <v>0</v>
      </c>
      <c r="L16" s="6">
        <v>4.7199999999999999E-7</v>
      </c>
      <c r="M16" s="6">
        <v>1.5099999999999999E-7</v>
      </c>
      <c r="N16" s="6">
        <v>280000000</v>
      </c>
      <c r="O16" s="6">
        <v>200000000000</v>
      </c>
      <c r="P16" s="6">
        <v>80000000000</v>
      </c>
      <c r="Q16" s="22" t="s">
        <v>49</v>
      </c>
      <c r="R16" s="42">
        <f>SQRT(tblfocSglSym[[#This Row],[rx]]^2+tblfocSglSym[[#This Row],[ry]]^2+tblfocSglSym[[#This Row],[xo]]^2+tblfocSglSym[[#This Row],[yo]]^2)</f>
        <v>0.16046198926848687</v>
      </c>
      <c r="S16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274475519.69604725</v>
      </c>
      <c r="T16" s="44">
        <f>(tblfocSglSym[[#This Row],[E]]*PI()^2)/((tblfocSglSym[[#This Row],[lex]]/tblfocSglSym[[#This Row],[rx]])^2)</f>
        <v>1706178252.0251191</v>
      </c>
      <c r="U16" s="44">
        <f>1-(tblfocSglSym[[#This Row],[xo]]/tblfocSglSym[[#This Row],[rol]])^2</f>
        <v>0.87514044752903608</v>
      </c>
      <c r="V16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268228294.272122</v>
      </c>
      <c r="W16" s="45">
        <f>(tblfocSglSym[[#This Row],[E]]*PI()^2)/((tblfocSglSym[[#This Row],[ley]]/tblfocSglSym[[#This Row],[ry]])^2)</f>
        <v>72968748.826485917</v>
      </c>
      <c r="X16" s="45">
        <f>1-(tblfocSglSym[[#This Row],[yo]]/tblfocSglSym[[#This Row],[rol]])^2</f>
        <v>1</v>
      </c>
      <c r="Y16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72968748.826485902</v>
      </c>
      <c r="Z16" s="42">
        <f>IF(tblfocSglSym[[#This Row],[Axis]]="['x']",tblfocSglSym[[#This Row],[foxz_x]],tblfocSglSym[[#This Row],[foxz_y]])</f>
        <v>268228294.272122</v>
      </c>
      <c r="AA16" s="42">
        <f>SQRT(tblfocSglSym[[#This Row],[fy]]/tblfocSglSym[[#This Row],[foc]])</f>
        <v>1.0217078302072053</v>
      </c>
      <c r="AB16" s="42">
        <f>IF(tblfocSglSym[[#This Row],[λc]]&lt;=1.5,0.658^(tblfocSglSym[[#This Row],[λc]]^2),0.877/(tblfocSglSym[[#This Row],[λc]]^2))*tblfocSglSym[[#This Row],[fy]]</f>
        <v>180886612.07118216</v>
      </c>
      <c r="AC16" s="42">
        <f>0.85*tblfocSglSym[[#This Row],[An]]*tblfocSglSym[[#This Row],[kf]]*tblfocSglSym[[#This Row],[fn]]</f>
        <v>1080887.950431349</v>
      </c>
    </row>
    <row r="17" spans="2:29" x14ac:dyDescent="0.2">
      <c r="B17" s="4" t="s">
        <v>37</v>
      </c>
      <c r="C17" s="10">
        <v>7.0299999999999998E-3</v>
      </c>
      <c r="D17" s="22">
        <v>1</v>
      </c>
      <c r="E17" s="4">
        <v>1</v>
      </c>
      <c r="F17" s="4">
        <v>1</v>
      </c>
      <c r="G17" s="4">
        <v>1</v>
      </c>
      <c r="H17" s="4">
        <v>0.14699999999999999</v>
      </c>
      <c r="I17" s="5">
        <v>3.04E-2</v>
      </c>
      <c r="J17" s="4">
        <v>5.67E-2</v>
      </c>
      <c r="K17" s="4">
        <v>0</v>
      </c>
      <c r="L17" s="6">
        <v>4.7199999999999999E-7</v>
      </c>
      <c r="M17" s="6">
        <v>1.5099999999999999E-7</v>
      </c>
      <c r="N17" s="6">
        <v>280000000</v>
      </c>
      <c r="O17" s="6">
        <v>200000000000</v>
      </c>
      <c r="P17" s="6">
        <v>80000000000</v>
      </c>
      <c r="Q17" s="22" t="s">
        <v>49</v>
      </c>
      <c r="R17" s="42">
        <f>SQRT(tblfocSglSym[[#This Row],[rx]]^2+tblfocSglSym[[#This Row],[ry]]^2+tblfocSglSym[[#This Row],[xo]]^2+tblfocSglSym[[#This Row],[yo]]^2)</f>
        <v>0.16046198926848687</v>
      </c>
      <c r="S17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1855280343.733463</v>
      </c>
      <c r="T17" s="44">
        <f>(tblfocSglSym[[#This Row],[E]]*PI()^2)/((tblfocSglSym[[#This Row],[lex]]/tblfocSglSym[[#This Row],[rx]])^2)</f>
        <v>42654456300.627983</v>
      </c>
      <c r="U17" s="44">
        <f>1-(tblfocSglSym[[#This Row],[xo]]/tblfocSglSym[[#This Row],[rol]])^2</f>
        <v>0.87514044752903608</v>
      </c>
      <c r="V17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1844867012.5487895</v>
      </c>
      <c r="W17" s="45">
        <f>(tblfocSglSym[[#This Row],[E]]*PI()^2)/((tblfocSglSym[[#This Row],[ley]]/tblfocSglSym[[#This Row],[ry]])^2)</f>
        <v>1824218720.6621485</v>
      </c>
      <c r="X17" s="45">
        <f>1-(tblfocSglSym[[#This Row],[yo]]/tblfocSglSym[[#This Row],[rol]])^2</f>
        <v>1</v>
      </c>
      <c r="Y17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1824218720.6621263</v>
      </c>
      <c r="Z17" s="42">
        <f>IF(tblfocSglSym[[#This Row],[Axis]]="['x']",tblfocSglSym[[#This Row],[foxz_x]],tblfocSglSym[[#This Row],[foxz_y]])</f>
        <v>1844867012.5487895</v>
      </c>
      <c r="AA17" s="42">
        <f>SQRT(tblfocSglSym[[#This Row],[fy]]/tblfocSglSym[[#This Row],[foc]])</f>
        <v>0.38957984722218775</v>
      </c>
      <c r="AB17" s="42">
        <f>IF(tblfocSglSym[[#This Row],[λc]]&lt;=1.5,0.658^(tblfocSglSym[[#This Row],[λc]]^2),0.877/(tblfocSglSym[[#This Row],[λc]]^2))*tblfocSglSym[[#This Row],[fy]]</f>
        <v>262766337.94000268</v>
      </c>
      <c r="AC17" s="42">
        <f>0.85*tblfocSglSym[[#This Row],[An]]*tblfocSglSym[[#This Row],[kf]]*tblfocSglSym[[#This Row],[fn]]</f>
        <v>1570160.252360486</v>
      </c>
    </row>
    <row r="18" spans="2:29" x14ac:dyDescent="0.2">
      <c r="B18" s="4" t="s">
        <v>37</v>
      </c>
      <c r="C18" s="10">
        <v>7.0299999999999998E-3</v>
      </c>
      <c r="D18" s="22">
        <v>1</v>
      </c>
      <c r="E18" s="4">
        <v>0.5</v>
      </c>
      <c r="F18" s="4">
        <v>0.5</v>
      </c>
      <c r="G18" s="4">
        <v>0.5</v>
      </c>
      <c r="H18" s="4">
        <v>0.14699999999999999</v>
      </c>
      <c r="I18" s="5">
        <v>3.04E-2</v>
      </c>
      <c r="J18" s="4">
        <v>5.67E-2</v>
      </c>
      <c r="K18" s="4">
        <v>0</v>
      </c>
      <c r="L18" s="6">
        <v>4.7199999999999999E-7</v>
      </c>
      <c r="M18" s="6">
        <v>1.5099999999999999E-7</v>
      </c>
      <c r="N18" s="6">
        <v>280000000</v>
      </c>
      <c r="O18" s="6">
        <v>200000000000</v>
      </c>
      <c r="P18" s="6">
        <v>80000000000</v>
      </c>
      <c r="Q18" s="22" t="s">
        <v>49</v>
      </c>
      <c r="R18" s="42">
        <f>SQRT(tblfocSglSym[[#This Row],[rx]]^2+tblfocSglSym[[#This Row],[ry]]^2+tblfocSglSym[[#This Row],[xo]]^2+tblfocSglSym[[#This Row],[yo]]^2)</f>
        <v>0.16046198926848687</v>
      </c>
      <c r="S18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6795295418.8503876</v>
      </c>
      <c r="T18" s="44">
        <f>(tblfocSglSym[[#This Row],[E]]*PI()^2)/((tblfocSglSym[[#This Row],[lex]]/tblfocSglSym[[#This Row],[rx]])^2)</f>
        <v>170617825202.51193</v>
      </c>
      <c r="U18" s="44">
        <f>1-(tblfocSglSym[[#This Row],[xo]]/tblfocSglSym[[#This Row],[rol]])^2</f>
        <v>0.87514044752903608</v>
      </c>
      <c r="V18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6760468947.3785906</v>
      </c>
      <c r="W18" s="45">
        <f>(tblfocSglSym[[#This Row],[E]]*PI()^2)/((tblfocSglSym[[#This Row],[ley]]/tblfocSglSym[[#This Row],[ry]])^2)</f>
        <v>7296874882.6485939</v>
      </c>
      <c r="X18" s="45">
        <f>1-(tblfocSglSym[[#This Row],[yo]]/tblfocSglSym[[#This Row],[rol]])^2</f>
        <v>1</v>
      </c>
      <c r="Y18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6795295418.8503752</v>
      </c>
      <c r="Z18" s="42">
        <f>IF(tblfocSglSym[[#This Row],[Axis]]="['x']",tblfocSglSym[[#This Row],[foxz_x]],tblfocSglSym[[#This Row],[foxz_y]])</f>
        <v>6760468947.3785906</v>
      </c>
      <c r="AA18" s="42">
        <f>SQRT(tblfocSglSym[[#This Row],[fy]]/tblfocSglSym[[#This Row],[foc]])</f>
        <v>0.20351227282658238</v>
      </c>
      <c r="AB18" s="42">
        <f>IF(tblfocSglSym[[#This Row],[λc]]&lt;=1.5,0.658^(tblfocSglSym[[#This Row],[λc]]^2),0.877/(tblfocSglSym[[#This Row],[λc]]^2))*tblfocSglSym[[#This Row],[fy]]</f>
        <v>275187972.5742799</v>
      </c>
      <c r="AC18" s="42">
        <f>0.85*tblfocSglSym[[#This Row],[An]]*tblfocSglSym[[#This Row],[kf]]*tblfocSglSym[[#This Row],[fn]]</f>
        <v>1644385.7301176095</v>
      </c>
    </row>
    <row r="19" spans="2:29" x14ac:dyDescent="0.2">
      <c r="B19" s="4" t="s">
        <v>6</v>
      </c>
      <c r="C19" s="10">
        <v>7.54E-4</v>
      </c>
      <c r="D19" s="22">
        <v>1</v>
      </c>
      <c r="E19" s="4">
        <v>10</v>
      </c>
      <c r="F19" s="4">
        <v>10</v>
      </c>
      <c r="G19" s="4">
        <v>10</v>
      </c>
      <c r="H19" s="4">
        <v>3.0099999999999998E-2</v>
      </c>
      <c r="I19" s="5">
        <v>1.26E-2</v>
      </c>
      <c r="J19" s="4">
        <v>2.7199999999999998E-2</v>
      </c>
      <c r="K19" s="4">
        <v>0</v>
      </c>
      <c r="L19" s="6">
        <v>8.1300000000000007E-9</v>
      </c>
      <c r="M19" s="6">
        <v>1.06E-10</v>
      </c>
      <c r="N19" s="6">
        <v>320000000</v>
      </c>
      <c r="O19" s="6">
        <v>200000000000</v>
      </c>
      <c r="P19" s="6">
        <v>80000000000</v>
      </c>
      <c r="Q19" s="22" t="s">
        <v>49</v>
      </c>
      <c r="R19" s="42">
        <f>SQRT(tblfocSglSym[[#This Row],[rx]]^2+tblfocSglSym[[#This Row],[ry]]^2+tblfocSglSym[[#This Row],[xo]]^2+tblfocSglSym[[#This Row],[yo]]^2)</f>
        <v>4.2480701500799162E-2</v>
      </c>
      <c r="S19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479535455.10111028</v>
      </c>
      <c r="T19" s="44">
        <f>(tblfocSglSym[[#This Row],[E]]*PI()^2)/((tblfocSglSym[[#This Row],[lex]]/tblfocSglSym[[#This Row],[rx]])^2)</f>
        <v>17883920.566861939</v>
      </c>
      <c r="U19" s="44">
        <f>1-(tblfocSglSym[[#This Row],[xo]]/tblfocSglSym[[#This Row],[rol]])^2</f>
        <v>0.5900277622311747</v>
      </c>
      <c r="V19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17608727.614309058</v>
      </c>
      <c r="W19" s="45">
        <f>(tblfocSglSym[[#This Row],[E]]*PI()^2)/((tblfocSglSym[[#This Row],[ley]]/tblfocSglSym[[#This Row],[ry]])^2)</f>
        <v>3133796.7894338933</v>
      </c>
      <c r="X19" s="45">
        <f>1-(tblfocSglSym[[#This Row],[yo]]/tblfocSglSym[[#This Row],[rol]])^2</f>
        <v>1</v>
      </c>
      <c r="Y19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3133796.7894338965</v>
      </c>
      <c r="Z19" s="42">
        <f>IF(tblfocSglSym[[#This Row],[Axis]]="['x']",tblfocSglSym[[#This Row],[foxz_x]],tblfocSglSym[[#This Row],[foxz_y]])</f>
        <v>17608727.614309058</v>
      </c>
      <c r="AA19" s="42">
        <f>SQRT(tblfocSglSym[[#This Row],[fy]]/tblfocSglSym[[#This Row],[foc]])</f>
        <v>4.2629574851388217</v>
      </c>
      <c r="AB19" s="42">
        <f>IF(tblfocSglSym[[#This Row],[λc]]&lt;=1.5,0.658^(tblfocSglSym[[#This Row],[λc]]^2),0.877/(tblfocSglSym[[#This Row],[λc]]^2))*tblfocSglSym[[#This Row],[fy]]</f>
        <v>15442854.117749041</v>
      </c>
      <c r="AC19" s="42">
        <f>0.85*tblfocSglSym[[#This Row],[An]]*tblfocSglSym[[#This Row],[kf]]*tblfocSglSym[[#This Row],[fn]]</f>
        <v>9897.3252040653606</v>
      </c>
    </row>
    <row r="20" spans="2:29" x14ac:dyDescent="0.2">
      <c r="B20" s="4" t="s">
        <v>6</v>
      </c>
      <c r="C20" s="10">
        <v>7.54E-4</v>
      </c>
      <c r="D20" s="22">
        <v>1</v>
      </c>
      <c r="E20" s="4">
        <v>5</v>
      </c>
      <c r="F20" s="4">
        <v>5</v>
      </c>
      <c r="G20" s="4">
        <v>5</v>
      </c>
      <c r="H20" s="4">
        <v>3.0099999999999998E-2</v>
      </c>
      <c r="I20" s="5">
        <v>1.26E-2</v>
      </c>
      <c r="J20" s="4">
        <v>2.7199999999999998E-2</v>
      </c>
      <c r="K20" s="4">
        <v>0</v>
      </c>
      <c r="L20" s="6">
        <v>8.1300000000000007E-9</v>
      </c>
      <c r="M20" s="6">
        <v>1.06E-10</v>
      </c>
      <c r="N20" s="6">
        <v>320000000</v>
      </c>
      <c r="O20" s="6">
        <v>200000000000</v>
      </c>
      <c r="P20" s="6">
        <v>80000000000</v>
      </c>
      <c r="Q20" s="22" t="s">
        <v>49</v>
      </c>
      <c r="R20" s="42">
        <f>SQRT(tblfocSglSym[[#This Row],[rx]]^2+tblfocSglSym[[#This Row],[ry]]^2+tblfocSglSym[[#This Row],[xo]]^2+tblfocSglSym[[#This Row],[yo]]^2)</f>
        <v>4.2480701500799162E-2</v>
      </c>
      <c r="S20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484148653.74346507</v>
      </c>
      <c r="T20" s="44">
        <f>(tblfocSglSym[[#This Row],[E]]*PI()^2)/((tblfocSglSym[[#This Row],[lex]]/tblfocSglSym[[#This Row],[rx]])^2)</f>
        <v>71535682.267447755</v>
      </c>
      <c r="U20" s="44">
        <f>1-(tblfocSglSym[[#This Row],[xo]]/tblfocSglSym[[#This Row],[rol]])^2</f>
        <v>0.5900277622311747</v>
      </c>
      <c r="V20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67108462.193456925</v>
      </c>
      <c r="W20" s="45">
        <f>(tblfocSglSym[[#This Row],[E]]*PI()^2)/((tblfocSglSym[[#This Row],[ley]]/tblfocSglSym[[#This Row],[ry]])^2)</f>
        <v>12535187.157735573</v>
      </c>
      <c r="X20" s="45">
        <f>1-(tblfocSglSym[[#This Row],[yo]]/tblfocSglSym[[#This Row],[rol]])^2</f>
        <v>1</v>
      </c>
      <c r="Y20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12535187.157735556</v>
      </c>
      <c r="Z20" s="42">
        <f>IF(tblfocSglSym[[#This Row],[Axis]]="['x']",tblfocSglSym[[#This Row],[foxz_x]],tblfocSglSym[[#This Row],[foxz_y]])</f>
        <v>67108462.193456925</v>
      </c>
      <c r="AA20" s="42">
        <f>SQRT(tblfocSglSym[[#This Row],[fy]]/tblfocSglSym[[#This Row],[foc]])</f>
        <v>2.1836666715124422</v>
      </c>
      <c r="AB20" s="42">
        <f>IF(tblfocSglSym[[#This Row],[λc]]&lt;=1.5,0.658^(tblfocSglSym[[#This Row],[λc]]^2),0.877/(tblfocSglSym[[#This Row],[λc]]^2))*tblfocSglSym[[#This Row],[fy]]</f>
        <v>58854121.343661718</v>
      </c>
      <c r="AC20" s="42">
        <f>0.85*tblfocSglSym[[#This Row],[An]]*tblfocSglSym[[#This Row],[kf]]*tblfocSglSym[[#This Row],[fn]]</f>
        <v>37719.606369152796</v>
      </c>
    </row>
    <row r="21" spans="2:29" x14ac:dyDescent="0.2">
      <c r="B21" s="4" t="s">
        <v>6</v>
      </c>
      <c r="C21" s="10">
        <v>7.54E-4</v>
      </c>
      <c r="D21" s="22">
        <v>1</v>
      </c>
      <c r="E21" s="4">
        <v>1</v>
      </c>
      <c r="F21" s="4">
        <v>1</v>
      </c>
      <c r="G21" s="4">
        <v>1</v>
      </c>
      <c r="H21" s="4">
        <v>3.0099999999999998E-2</v>
      </c>
      <c r="I21" s="5">
        <v>1.26E-2</v>
      </c>
      <c r="J21" s="4">
        <v>2.7199999999999998E-2</v>
      </c>
      <c r="K21" s="4">
        <v>0</v>
      </c>
      <c r="L21" s="6">
        <v>8.1300000000000007E-9</v>
      </c>
      <c r="M21" s="6">
        <v>1.06E-10</v>
      </c>
      <c r="N21" s="6">
        <v>320000000</v>
      </c>
      <c r="O21" s="6">
        <v>200000000000</v>
      </c>
      <c r="P21" s="6">
        <v>80000000000</v>
      </c>
      <c r="Q21" s="22" t="s">
        <v>49</v>
      </c>
      <c r="R21" s="42">
        <f>SQRT(tblfocSglSym[[#This Row],[rx]]^2+tblfocSglSym[[#This Row],[ry]]^2+tblfocSglSym[[#This Row],[xo]]^2+tblfocSglSym[[#This Row],[yo]]^2)</f>
        <v>4.2480701500799162E-2</v>
      </c>
      <c r="S21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631771010.29881835</v>
      </c>
      <c r="T21" s="44">
        <f>(tblfocSglSym[[#This Row],[E]]*PI()^2)/((tblfocSglSym[[#This Row],[lex]]/tblfocSglSym[[#This Row],[rx]])^2)</f>
        <v>1788392056.6861939</v>
      </c>
      <c r="U21" s="44">
        <f>1-(tblfocSglSym[[#This Row],[xo]]/tblfocSglSym[[#This Row],[rol]])^2</f>
        <v>0.5900277622311747</v>
      </c>
      <c r="V21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537208472.70002687</v>
      </c>
      <c r="W21" s="45">
        <f>(tblfocSglSym[[#This Row],[E]]*PI()^2)/((tblfocSglSym[[#This Row],[ley]]/tblfocSglSym[[#This Row],[ry]])^2)</f>
        <v>313379678.94338924</v>
      </c>
      <c r="X21" s="45">
        <f>1-(tblfocSglSym[[#This Row],[yo]]/tblfocSglSym[[#This Row],[rol]])^2</f>
        <v>1</v>
      </c>
      <c r="Y21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313379678.9433893</v>
      </c>
      <c r="Z21" s="42">
        <f>IF(tblfocSglSym[[#This Row],[Axis]]="['x']",tblfocSglSym[[#This Row],[foxz_x]],tblfocSglSym[[#This Row],[foxz_y]])</f>
        <v>537208472.70002687</v>
      </c>
      <c r="AA21" s="42">
        <f>SQRT(tblfocSglSym[[#This Row],[fy]]/tblfocSglSym[[#This Row],[foc]])</f>
        <v>0.77179784631845372</v>
      </c>
      <c r="AB21" s="42">
        <f>IF(tblfocSglSym[[#This Row],[λc]]&lt;=1.5,0.658^(tblfocSglSym[[#This Row],[λc]]^2),0.877/(tblfocSglSym[[#This Row],[λc]]^2))*tblfocSglSym[[#This Row],[fy]]</f>
        <v>249386102.62002012</v>
      </c>
      <c r="AC21" s="42">
        <f>0.85*tblfocSglSym[[#This Row],[An]]*tblfocSglSym[[#This Row],[kf]]*tblfocSglSym[[#This Row],[fn]]</f>
        <v>159831.55316917089</v>
      </c>
    </row>
    <row r="22" spans="2:29" x14ac:dyDescent="0.2">
      <c r="B22" s="4" t="s">
        <v>6</v>
      </c>
      <c r="C22" s="10">
        <v>7.54E-4</v>
      </c>
      <c r="D22" s="22">
        <v>1</v>
      </c>
      <c r="E22" s="4">
        <v>0.5</v>
      </c>
      <c r="F22" s="4">
        <v>0.5</v>
      </c>
      <c r="G22" s="4">
        <v>0.5</v>
      </c>
      <c r="H22" s="4">
        <v>3.0099999999999998E-2</v>
      </c>
      <c r="I22" s="5">
        <v>1.26E-2</v>
      </c>
      <c r="J22" s="4">
        <v>2.7199999999999998E-2</v>
      </c>
      <c r="K22" s="4">
        <v>0</v>
      </c>
      <c r="L22" s="6">
        <v>8.1300000000000007E-9</v>
      </c>
      <c r="M22" s="6">
        <v>1.06E-10</v>
      </c>
      <c r="N22" s="6">
        <v>320000000</v>
      </c>
      <c r="O22" s="6">
        <v>200000000000</v>
      </c>
      <c r="P22" s="6">
        <v>80000000000</v>
      </c>
      <c r="Q22" s="22" t="s">
        <v>49</v>
      </c>
      <c r="R22" s="42">
        <f>SQRT(tblfocSglSym[[#This Row],[rx]]^2+tblfocSglSym[[#This Row],[ry]]^2+tblfocSglSym[[#This Row],[xo]]^2+tblfocSglSym[[#This Row],[yo]]^2)</f>
        <v>4.2480701500799162E-2</v>
      </c>
      <c r="S22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1093090874.5342977</v>
      </c>
      <c r="T22" s="44">
        <f>(tblfocSglSym[[#This Row],[E]]*PI()^2)/((tblfocSglSym[[#This Row],[lex]]/tblfocSglSym[[#This Row],[rx]])^2)</f>
        <v>7153568226.7447758</v>
      </c>
      <c r="U22" s="44">
        <f>1-(tblfocSglSym[[#This Row],[xo]]/tblfocSglSym[[#This Row],[rol]])^2</f>
        <v>0.5900277622311747</v>
      </c>
      <c r="V22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1023092202.6957648</v>
      </c>
      <c r="W22" s="45">
        <f>(tblfocSglSym[[#This Row],[E]]*PI()^2)/((tblfocSglSym[[#This Row],[ley]]/tblfocSglSym[[#This Row],[ry]])^2)</f>
        <v>1253518715.7735569</v>
      </c>
      <c r="X22" s="45">
        <f>1-(tblfocSglSym[[#This Row],[yo]]/tblfocSglSym[[#This Row],[rol]])^2</f>
        <v>1</v>
      </c>
      <c r="Y22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1093090874.5342963</v>
      </c>
      <c r="Z22" s="42">
        <f>IF(tblfocSglSym[[#This Row],[Axis]]="['x']",tblfocSglSym[[#This Row],[foxz_x]],tblfocSglSym[[#This Row],[foxz_y]])</f>
        <v>1023092202.6957648</v>
      </c>
      <c r="AA22" s="42">
        <f>SQRT(tblfocSglSym[[#This Row],[fy]]/tblfocSglSym[[#This Row],[foc]])</f>
        <v>0.55926494934797188</v>
      </c>
      <c r="AB22" s="42">
        <f>IF(tblfocSglSym[[#This Row],[λc]]&lt;=1.5,0.658^(tblfocSglSym[[#This Row],[λc]]^2),0.877/(tblfocSglSym[[#This Row],[λc]]^2))*tblfocSglSym[[#This Row],[fy]]</f>
        <v>280734099.16284382</v>
      </c>
      <c r="AC22" s="42">
        <f>0.85*tblfocSglSym[[#This Row],[An]]*tblfocSglSym[[#This Row],[kf]]*tblfocSglSym[[#This Row],[fn]]</f>
        <v>179922.48415346662</v>
      </c>
    </row>
    <row r="23" spans="2:29" x14ac:dyDescent="0.2">
      <c r="B23" s="4" t="s">
        <v>6</v>
      </c>
      <c r="C23" s="10">
        <v>7.54E-4</v>
      </c>
      <c r="D23" s="22">
        <v>1</v>
      </c>
      <c r="E23" s="4">
        <v>0.1</v>
      </c>
      <c r="F23" s="4">
        <v>0.1</v>
      </c>
      <c r="G23" s="4">
        <v>0.1</v>
      </c>
      <c r="H23" s="4">
        <v>3.0099999999999998E-2</v>
      </c>
      <c r="I23" s="5">
        <v>1.26E-2</v>
      </c>
      <c r="J23" s="4">
        <v>2.7199999999999998E-2</v>
      </c>
      <c r="K23" s="4">
        <v>0</v>
      </c>
      <c r="L23" s="6">
        <v>8.1300000000000007E-9</v>
      </c>
      <c r="M23" s="6">
        <v>1.06E-10</v>
      </c>
      <c r="N23" s="6">
        <v>320000000</v>
      </c>
      <c r="O23" s="6">
        <v>200000000000</v>
      </c>
      <c r="P23" s="6">
        <v>80000000000</v>
      </c>
      <c r="Q23" s="22" t="s">
        <v>49</v>
      </c>
      <c r="R23" s="42">
        <f>SQRT(tblfocSglSym[[#This Row],[rx]]^2+tblfocSglSym[[#This Row],[ry]]^2+tblfocSglSym[[#This Row],[xo]]^2+tblfocSglSym[[#This Row],[yo]]^2)</f>
        <v>4.2480701500799162E-2</v>
      </c>
      <c r="S23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15855326530.069632</v>
      </c>
      <c r="T23" s="44">
        <f>(tblfocSglSym[[#This Row],[E]]*PI()^2)/((tblfocSglSym[[#This Row],[lex]]/tblfocSglSym[[#This Row],[rx]])^2)</f>
        <v>178839205668.61932</v>
      </c>
      <c r="U23" s="44">
        <f>1-(tblfocSglSym[[#This Row],[xo]]/tblfocSglSym[[#This Row],[rol]])^2</f>
        <v>0.5900277622311747</v>
      </c>
      <c r="V23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15270831924.824717</v>
      </c>
      <c r="W23" s="45">
        <f>(tblfocSglSym[[#This Row],[E]]*PI()^2)/((tblfocSglSym[[#This Row],[ley]]/tblfocSglSym[[#This Row],[ry]])^2)</f>
        <v>31337967894.338928</v>
      </c>
      <c r="X23" s="45">
        <f>1-(tblfocSglSym[[#This Row],[yo]]/tblfocSglSym[[#This Row],[rol]])^2</f>
        <v>1</v>
      </c>
      <c r="Y23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15855326530.06963</v>
      </c>
      <c r="Z23" s="42">
        <f>IF(tblfocSglSym[[#This Row],[Axis]]="['x']",tblfocSglSym[[#This Row],[foxz_x]],tblfocSglSym[[#This Row],[foxz_y]])</f>
        <v>15270831924.824717</v>
      </c>
      <c r="AA23" s="42">
        <f>SQRT(tblfocSglSym[[#This Row],[fy]]/tblfocSglSym[[#This Row],[foc]])</f>
        <v>0.14475835543739798</v>
      </c>
      <c r="AB23" s="42">
        <f>IF(tblfocSglSym[[#This Row],[λc]]&lt;=1.5,0.658^(tblfocSglSym[[#This Row],[λc]]^2),0.877/(tblfocSglSym[[#This Row],[λc]]^2))*tblfocSglSym[[#This Row],[fy]]</f>
        <v>317205643.43600613</v>
      </c>
      <c r="AC23" s="42">
        <f>0.85*tblfocSglSym[[#This Row],[An]]*tblfocSglSym[[#This Row],[kf]]*tblfocSglSym[[#This Row],[fn]]</f>
        <v>203297.09687813633</v>
      </c>
    </row>
    <row r="24" spans="2:29" x14ac:dyDescent="0.2">
      <c r="B24" s="4" t="s">
        <v>47</v>
      </c>
      <c r="C24" s="10">
        <v>1.0999999999999999E-2</v>
      </c>
      <c r="D24" s="22">
        <v>1</v>
      </c>
      <c r="E24" s="4">
        <v>10</v>
      </c>
      <c r="F24" s="4">
        <v>10</v>
      </c>
      <c r="G24" s="4">
        <v>10</v>
      </c>
      <c r="H24" s="4">
        <v>0.21</v>
      </c>
      <c r="I24" s="5">
        <v>3.6978999999999998E-2</v>
      </c>
      <c r="J24" s="4">
        <v>0</v>
      </c>
      <c r="K24" s="4">
        <v>0.15428504787</v>
      </c>
      <c r="L24" s="6">
        <v>9.1838800792000005E-7</v>
      </c>
      <c r="M24" s="6">
        <v>4.0290907437000001E-7</v>
      </c>
      <c r="N24" s="37">
        <v>300000000</v>
      </c>
      <c r="O24" s="6">
        <v>200000000000</v>
      </c>
      <c r="P24" s="6">
        <v>80000000000</v>
      </c>
      <c r="Q24" s="22" t="s">
        <v>50</v>
      </c>
      <c r="R24" s="42">
        <f>SQRT(tblfocSglSym[[#This Row],[rx]]^2+tblfocSglSym[[#This Row],[ry]]^2+tblfocSglSym[[#This Row],[xo]]^2+tblfocSglSym[[#This Row],[yo]]^2)</f>
        <v>0.26319445745921055</v>
      </c>
      <c r="S24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106858002.98941475</v>
      </c>
      <c r="T24" s="44">
        <f>(tblfocSglSym[[#This Row],[E]]*PI()^2)/((tblfocSglSym[[#This Row],[lex]]/tblfocSglSym[[#This Row],[rx]])^2)</f>
        <v>870499108.1760813</v>
      </c>
      <c r="U24" s="44">
        <f>1-(tblfocSglSym[[#This Row],[xo]]/tblfocSglSym[[#This Row],[rol]])^2</f>
        <v>1</v>
      </c>
      <c r="V24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106858002.98941475</v>
      </c>
      <c r="W24" s="45">
        <f>(tblfocSglSym[[#This Row],[E]]*PI()^2)/((tblfocSglSym[[#This Row],[ley]]/tblfocSglSym[[#This Row],[ry]])^2)</f>
        <v>26992310.824695159</v>
      </c>
      <c r="X24" s="45">
        <f>1-(tblfocSglSym[[#This Row],[yo]]/tblfocSglSym[[#This Row],[rol]])^2</f>
        <v>0.65636752470242277</v>
      </c>
      <c r="Y24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24490130.752852865</v>
      </c>
      <c r="Z24" s="42">
        <f>IF(tblfocSglSym[[#This Row],[Axis]]="['x']",tblfocSglSym[[#This Row],[foxz_x]],tblfocSglSym[[#This Row],[foxz_y]])</f>
        <v>24490130.752852865</v>
      </c>
      <c r="AA24" s="42">
        <f>SQRT(tblfocSglSym[[#This Row],[fy]]/tblfocSglSym[[#This Row],[foc]])</f>
        <v>3.4999760735310712</v>
      </c>
      <c r="AB24" s="42">
        <f>IF(tblfocSglSym[[#This Row],[λc]]&lt;=1.5,0.658^(tblfocSglSym[[#This Row],[λc]]^2),0.877/(tblfocSglSym[[#This Row],[λc]]^2))*tblfocSglSym[[#This Row],[fy]]</f>
        <v>21477844.670251969</v>
      </c>
      <c r="AC24" s="42">
        <f>0.85*tblfocSglSym[[#This Row],[An]]*tblfocSglSym[[#This Row],[kf]]*tblfocSglSym[[#This Row],[fn]]</f>
        <v>200817.8476668559</v>
      </c>
    </row>
    <row r="25" spans="2:29" x14ac:dyDescent="0.2">
      <c r="B25" s="4" t="s">
        <v>47</v>
      </c>
      <c r="C25" s="10">
        <v>1.0999999999999999E-2</v>
      </c>
      <c r="D25" s="22">
        <v>1</v>
      </c>
      <c r="E25" s="4">
        <v>5</v>
      </c>
      <c r="F25" s="4">
        <v>5</v>
      </c>
      <c r="G25" s="4">
        <v>5</v>
      </c>
      <c r="H25" s="4">
        <v>0.21</v>
      </c>
      <c r="I25" s="5">
        <v>3.6978999999999998E-2</v>
      </c>
      <c r="J25" s="4">
        <v>0</v>
      </c>
      <c r="K25" s="4">
        <v>0.15428504787</v>
      </c>
      <c r="L25" s="6">
        <v>9.1838800792000005E-7</v>
      </c>
      <c r="M25" s="6">
        <v>4.0290907437000001E-7</v>
      </c>
      <c r="N25" s="37">
        <v>300000000</v>
      </c>
      <c r="O25" s="6">
        <v>200000000000</v>
      </c>
      <c r="P25" s="6">
        <v>80000000000</v>
      </c>
      <c r="Q25" s="22" t="s">
        <v>50</v>
      </c>
      <c r="R25" s="42">
        <f>SQRT(tblfocSglSym[[#This Row],[rx]]^2+tblfocSglSym[[#This Row],[ry]]^2+tblfocSglSym[[#This Row],[xo]]^2+tblfocSglSym[[#This Row],[yo]]^2)</f>
        <v>0.26319445745921055</v>
      </c>
      <c r="S25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138170080.30350193</v>
      </c>
      <c r="T25" s="44">
        <f>(tblfocSglSym[[#This Row],[E]]*PI()^2)/((tblfocSglSym[[#This Row],[lex]]/tblfocSglSym[[#This Row],[rx]])^2)</f>
        <v>3481996432.7043252</v>
      </c>
      <c r="U25" s="44">
        <f>1-(tblfocSglSym[[#This Row],[xo]]/tblfocSglSym[[#This Row],[rol]])^2</f>
        <v>1</v>
      </c>
      <c r="V25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138170080.30350184</v>
      </c>
      <c r="W25" s="45">
        <f>(tblfocSglSym[[#This Row],[E]]*PI()^2)/((tblfocSglSym[[#This Row],[ley]]/tblfocSglSym[[#This Row],[ry]])^2)</f>
        <v>107969243.29878063</v>
      </c>
      <c r="X25" s="45">
        <f>1-(tblfocSglSym[[#This Row],[yo]]/tblfocSglSym[[#This Row],[rol]])^2</f>
        <v>0.65636752470242277</v>
      </c>
      <c r="Y25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76018510.922269359</v>
      </c>
      <c r="Z25" s="42">
        <f>IF(tblfocSglSym[[#This Row],[Axis]]="['x']",tblfocSglSym[[#This Row],[foxz_x]],tblfocSglSym[[#This Row],[foxz_y]])</f>
        <v>76018510.922269359</v>
      </c>
      <c r="AA25" s="42">
        <f>SQRT(tblfocSglSym[[#This Row],[fy]]/tblfocSglSym[[#This Row],[foc]])</f>
        <v>1.9865566227268543</v>
      </c>
      <c r="AB25" s="42">
        <f>IF(tblfocSglSym[[#This Row],[λc]]&lt;=1.5,0.658^(tblfocSglSym[[#This Row],[λc]]^2),0.877/(tblfocSglSym[[#This Row],[λc]]^2))*tblfocSglSym[[#This Row],[fy]]</f>
        <v>66668234.078830235</v>
      </c>
      <c r="AC25" s="42">
        <f>0.85*tblfocSglSym[[#This Row],[An]]*tblfocSglSym[[#This Row],[kf]]*tblfocSglSym[[#This Row],[fn]]</f>
        <v>623347.9886370626</v>
      </c>
    </row>
    <row r="26" spans="2:29" x14ac:dyDescent="0.2">
      <c r="B26" s="4" t="s">
        <v>47</v>
      </c>
      <c r="C26" s="10">
        <v>1.0999999999999999E-2</v>
      </c>
      <c r="D26" s="22">
        <v>1</v>
      </c>
      <c r="E26" s="4">
        <v>1</v>
      </c>
      <c r="F26" s="4">
        <v>1</v>
      </c>
      <c r="G26" s="4">
        <v>1</v>
      </c>
      <c r="H26" s="4">
        <v>0.21</v>
      </c>
      <c r="I26" s="5">
        <v>3.6978999999999998E-2</v>
      </c>
      <c r="J26" s="4">
        <v>0</v>
      </c>
      <c r="K26" s="4">
        <v>0.15428504787</v>
      </c>
      <c r="L26" s="6">
        <v>9.1838800792000005E-7</v>
      </c>
      <c r="M26" s="6">
        <v>4.0290907437000001E-7</v>
      </c>
      <c r="N26" s="37">
        <v>300000000</v>
      </c>
      <c r="O26" s="6">
        <v>200000000000</v>
      </c>
      <c r="P26" s="6">
        <v>80000000000</v>
      </c>
      <c r="Q26" s="22" t="s">
        <v>50</v>
      </c>
      <c r="R26" s="42">
        <f>SQRT(tblfocSglSym[[#This Row],[rx]]^2+tblfocSglSym[[#This Row],[ry]]^2+tblfocSglSym[[#This Row],[xo]]^2+tblfocSglSym[[#This Row],[yo]]^2)</f>
        <v>0.26319445745921055</v>
      </c>
      <c r="S26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1140156554.3542917</v>
      </c>
      <c r="T26" s="44">
        <f>(tblfocSglSym[[#This Row],[E]]*PI()^2)/((tblfocSglSym[[#This Row],[lex]]/tblfocSglSym[[#This Row],[rx]])^2)</f>
        <v>87049910817.608139</v>
      </c>
      <c r="U26" s="44">
        <f>1-(tblfocSglSym[[#This Row],[xo]]/tblfocSglSym[[#This Row],[rol]])^2</f>
        <v>1</v>
      </c>
      <c r="V26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1140156554.3542938</v>
      </c>
      <c r="W26" s="45">
        <f>(tblfocSglSym[[#This Row],[E]]*PI()^2)/((tblfocSglSym[[#This Row],[ley]]/tblfocSglSym[[#This Row],[ry]])^2)</f>
        <v>2699231082.4695158</v>
      </c>
      <c r="X26" s="45">
        <f>1-(tblfocSglSym[[#This Row],[yo]]/tblfocSglSym[[#This Row],[rol]])^2</f>
        <v>0.65636752470242277</v>
      </c>
      <c r="Y26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958698531.36963689</v>
      </c>
      <c r="Z26" s="42">
        <f>IF(tblfocSglSym[[#This Row],[Axis]]="['x']",tblfocSglSym[[#This Row],[foxz_x]],tblfocSglSym[[#This Row],[foxz_y]])</f>
        <v>958698531.36963689</v>
      </c>
      <c r="AA26" s="42">
        <f>SQRT(tblfocSglSym[[#This Row],[fy]]/tblfocSglSym[[#This Row],[foc]])</f>
        <v>0.55939630878350932</v>
      </c>
      <c r="AB26" s="42">
        <f>IF(tblfocSglSym[[#This Row],[λc]]&lt;=1.5,0.658^(tblfocSglSym[[#This Row],[λc]]^2),0.877/(tblfocSglSym[[#This Row],[λc]]^2))*tblfocSglSym[[#This Row],[fy]]</f>
        <v>263172031.17763039</v>
      </c>
      <c r="AC26" s="42">
        <f>0.85*tblfocSglSym[[#This Row],[An]]*tblfocSglSym[[#This Row],[kf]]*tblfocSglSym[[#This Row],[fn]]</f>
        <v>2460658.4915108439</v>
      </c>
    </row>
    <row r="27" spans="2:29" x14ac:dyDescent="0.2">
      <c r="B27" s="4" t="s">
        <v>47</v>
      </c>
      <c r="C27" s="10">
        <v>1.0999999999999999E-2</v>
      </c>
      <c r="D27" s="22">
        <v>1</v>
      </c>
      <c r="E27" s="4">
        <v>0.5</v>
      </c>
      <c r="F27" s="4">
        <v>0.5</v>
      </c>
      <c r="G27" s="4">
        <v>0.5</v>
      </c>
      <c r="H27" s="4">
        <v>0.21</v>
      </c>
      <c r="I27" s="5">
        <v>3.6978999999999998E-2</v>
      </c>
      <c r="J27" s="4">
        <v>0</v>
      </c>
      <c r="K27" s="4">
        <v>0.15428504787</v>
      </c>
      <c r="L27" s="6">
        <v>9.1838800792000005E-7</v>
      </c>
      <c r="M27" s="6">
        <v>4.0290907437000001E-7</v>
      </c>
      <c r="N27" s="37">
        <v>300000000</v>
      </c>
      <c r="O27" s="6">
        <v>200000000000</v>
      </c>
      <c r="P27" s="6">
        <v>80000000000</v>
      </c>
      <c r="Q27" s="22" t="s">
        <v>50</v>
      </c>
      <c r="R27" s="42">
        <f>SQRT(tblfocSglSym[[#This Row],[rx]]^2+tblfocSglSym[[#This Row],[ry]]^2+tblfocSglSym[[#This Row],[xo]]^2+tblfocSglSym[[#This Row],[yo]]^2)</f>
        <v>0.26319445745921055</v>
      </c>
      <c r="S27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4271364285.7630091</v>
      </c>
      <c r="T27" s="44">
        <f>(tblfocSglSym[[#This Row],[E]]*PI()^2)/((tblfocSglSym[[#This Row],[lex]]/tblfocSglSym[[#This Row],[rx]])^2)</f>
        <v>348199643270.43256</v>
      </c>
      <c r="U27" s="44">
        <f>1-(tblfocSglSym[[#This Row],[xo]]/tblfocSglSym[[#This Row],[rol]])^2</f>
        <v>1</v>
      </c>
      <c r="V27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4271364285.7630005</v>
      </c>
      <c r="W27" s="45">
        <f>(tblfocSglSym[[#This Row],[E]]*PI()^2)/((tblfocSglSym[[#This Row],[ley]]/tblfocSglSym[[#This Row],[ry]])^2)</f>
        <v>10796924329.878063</v>
      </c>
      <c r="X27" s="45">
        <f>1-(tblfocSglSym[[#This Row],[yo]]/tblfocSglSym[[#This Row],[rol]])^2</f>
        <v>0.65636752470242277</v>
      </c>
      <c r="Y27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3636660900.652638</v>
      </c>
      <c r="Z27" s="42">
        <f>IF(tblfocSglSym[[#This Row],[Axis]]="['x']",tblfocSglSym[[#This Row],[foxz_x]],tblfocSglSym[[#This Row],[foxz_y]])</f>
        <v>3636660900.652638</v>
      </c>
      <c r="AA27" s="42">
        <f>SQRT(tblfocSglSym[[#This Row],[fy]]/tblfocSglSym[[#This Row],[foc]])</f>
        <v>0.28721639292999895</v>
      </c>
      <c r="AB27" s="42">
        <f>IF(tblfocSglSym[[#This Row],[λc]]&lt;=1.5,0.658^(tblfocSglSym[[#This Row],[λc]]^2),0.877/(tblfocSglSym[[#This Row],[λc]]^2))*tblfocSglSym[[#This Row],[fy]]</f>
        <v>289818508.27316338</v>
      </c>
      <c r="AC27" s="42">
        <f>0.85*tblfocSglSym[[#This Row],[An]]*tblfocSglSym[[#This Row],[kf]]*tblfocSglSym[[#This Row],[fn]]</f>
        <v>2709803.0523540773</v>
      </c>
    </row>
    <row r="28" spans="2:29" x14ac:dyDescent="0.2">
      <c r="B28" s="4" t="s">
        <v>46</v>
      </c>
      <c r="C28" s="10">
        <v>1.2999999999999999E-2</v>
      </c>
      <c r="D28" s="22">
        <v>1</v>
      </c>
      <c r="E28" s="4">
        <v>10</v>
      </c>
      <c r="F28" s="4">
        <v>10</v>
      </c>
      <c r="G28" s="4">
        <v>10</v>
      </c>
      <c r="H28" s="4">
        <v>0.12710030359999999</v>
      </c>
      <c r="I28" s="5">
        <v>4.5328083000300001E-2</v>
      </c>
      <c r="J28" s="4">
        <v>2.20614080619E-2</v>
      </c>
      <c r="K28" s="4">
        <v>0</v>
      </c>
      <c r="L28" s="6">
        <v>1.5847556188E-6</v>
      </c>
      <c r="M28" s="6">
        <v>3.0634423938800001E-8</v>
      </c>
      <c r="N28" s="37">
        <v>300000000</v>
      </c>
      <c r="O28" s="6">
        <v>200000000000</v>
      </c>
      <c r="P28" s="6">
        <v>80000000000</v>
      </c>
      <c r="Q28" s="22" t="s">
        <v>49</v>
      </c>
      <c r="R28" s="42">
        <f>SQRT(tblfocSglSym[[#This Row],[rx]]^2+tblfocSglSym[[#This Row],[ry]]^2+tblfocSglSym[[#This Row],[xo]]^2+tblfocSglSym[[#This Row],[yo]]^2)</f>
        <v>0.13673268815235048</v>
      </c>
      <c r="S28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524120011.94488424</v>
      </c>
      <c r="T28" s="44">
        <f>(tblfocSglSym[[#This Row],[E]]*PI()^2)/((tblfocSglSym[[#This Row],[lex]]/tblfocSglSym[[#This Row],[rx]])^2)</f>
        <v>318876795.44363129</v>
      </c>
      <c r="U28" s="44">
        <f>1-(tblfocSglSym[[#This Row],[xo]]/tblfocSglSym[[#This Row],[rol]])^2</f>
        <v>0.9739671478882993</v>
      </c>
      <c r="V28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307511773.54452974</v>
      </c>
      <c r="W28" s="45">
        <f>(tblfocSglSym[[#This Row],[E]]*PI()^2)/((tblfocSglSym[[#This Row],[ley]]/tblfocSglSym[[#This Row],[ry]])^2)</f>
        <v>40556871.418615013</v>
      </c>
      <c r="X28" s="45">
        <f>1-(tblfocSglSym[[#This Row],[yo]]/tblfocSglSym[[#This Row],[rol]])^2</f>
        <v>1</v>
      </c>
      <c r="Y28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40556871.418615013</v>
      </c>
      <c r="Z28" s="42">
        <f>IF(tblfocSglSym[[#This Row],[Axis]]="['x']",tblfocSglSym[[#This Row],[foxz_x]],tblfocSglSym[[#This Row],[foxz_y]])</f>
        <v>307511773.54452974</v>
      </c>
      <c r="AA28" s="42">
        <f>SQRT(tblfocSglSym[[#This Row],[fy]]/tblfocSglSym[[#This Row],[foc]])</f>
        <v>0.98771068812201246</v>
      </c>
      <c r="AB28" s="42">
        <f>IF(tblfocSglSym[[#This Row],[λc]]&lt;=1.5,0.658^(tblfocSglSym[[#This Row],[λc]]^2),0.877/(tblfocSglSym[[#This Row],[λc]]^2))*tblfocSglSym[[#This Row],[fy]]</f>
        <v>199428605.68421638</v>
      </c>
      <c r="AC28" s="42">
        <f>0.85*tblfocSglSym[[#This Row],[An]]*tblfocSglSym[[#This Row],[kf]]*tblfocSglSym[[#This Row],[fn]]</f>
        <v>2203686.0928105908</v>
      </c>
    </row>
    <row r="29" spans="2:29" x14ac:dyDescent="0.2">
      <c r="B29" s="4" t="s">
        <v>46</v>
      </c>
      <c r="C29" s="10">
        <v>1.2999999999999999E-2</v>
      </c>
      <c r="D29" s="22">
        <v>1</v>
      </c>
      <c r="E29" s="4">
        <v>5</v>
      </c>
      <c r="F29" s="4">
        <v>5</v>
      </c>
      <c r="G29" s="4">
        <v>5</v>
      </c>
      <c r="H29" s="4">
        <v>0.12710030359999999</v>
      </c>
      <c r="I29" s="5">
        <v>4.5328083000300001E-2</v>
      </c>
      <c r="J29" s="4">
        <v>2.20614080619E-2</v>
      </c>
      <c r="K29" s="4">
        <v>0</v>
      </c>
      <c r="L29" s="6">
        <v>1.5847556188E-6</v>
      </c>
      <c r="M29" s="6">
        <v>3.0634423938800001E-8</v>
      </c>
      <c r="N29" s="37">
        <v>300000000</v>
      </c>
      <c r="O29" s="6">
        <v>200000000000</v>
      </c>
      <c r="P29" s="6">
        <v>80000000000</v>
      </c>
      <c r="Q29" s="22" t="s">
        <v>49</v>
      </c>
      <c r="R29" s="42">
        <f>SQRT(tblfocSglSym[[#This Row],[rx]]^2+tblfocSglSym[[#This Row],[ry]]^2+tblfocSglSym[[#This Row],[xo]]^2+tblfocSglSym[[#This Row],[yo]]^2)</f>
        <v>0.13673268815235048</v>
      </c>
      <c r="S29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531584029.59004796</v>
      </c>
      <c r="T29" s="44">
        <f>(tblfocSglSym[[#This Row],[E]]*PI()^2)/((tblfocSglSym[[#This Row],[lex]]/tblfocSglSym[[#This Row],[rx]])^2)</f>
        <v>1275507181.7745252</v>
      </c>
      <c r="U29" s="44">
        <f>1-(tblfocSglSym[[#This Row],[xo]]/tblfocSglSym[[#This Row],[rol]])^2</f>
        <v>0.9739671478882993</v>
      </c>
      <c r="V29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522162128.3011418</v>
      </c>
      <c r="W29" s="45">
        <f>(tblfocSglSym[[#This Row],[E]]*PI()^2)/((tblfocSglSym[[#This Row],[ley]]/tblfocSglSym[[#This Row],[ry]])^2)</f>
        <v>162227485.67446005</v>
      </c>
      <c r="X29" s="45">
        <f>1-(tblfocSglSym[[#This Row],[yo]]/tblfocSglSym[[#This Row],[rol]])^2</f>
        <v>1</v>
      </c>
      <c r="Y29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162227485.67446002</v>
      </c>
      <c r="Z29" s="42">
        <f>IF(tblfocSglSym[[#This Row],[Axis]]="['x']",tblfocSglSym[[#This Row],[foxz_x]],tblfocSglSym[[#This Row],[foxz_y]])</f>
        <v>522162128.3011418</v>
      </c>
      <c r="AA29" s="42">
        <f>SQRT(tblfocSglSym[[#This Row],[fy]]/tblfocSglSym[[#This Row],[foc]])</f>
        <v>0.75798034192709129</v>
      </c>
      <c r="AB29" s="42">
        <f>IF(tblfocSglSym[[#This Row],[λc]]&lt;=1.5,0.658^(tblfocSglSym[[#This Row],[λc]]^2),0.877/(tblfocSglSym[[#This Row],[λc]]^2))*tblfocSglSym[[#This Row],[fy]]</f>
        <v>235877118.71915561</v>
      </c>
      <c r="AC29" s="42">
        <f>0.85*tblfocSglSym[[#This Row],[An]]*tblfocSglSym[[#This Row],[kf]]*tblfocSglSym[[#This Row],[fn]]</f>
        <v>2606442.1618466694</v>
      </c>
    </row>
    <row r="30" spans="2:29" x14ac:dyDescent="0.2">
      <c r="B30" s="4" t="s">
        <v>46</v>
      </c>
      <c r="C30" s="10">
        <v>1.2999999999999999E-2</v>
      </c>
      <c r="D30" s="22">
        <v>1</v>
      </c>
      <c r="E30" s="4">
        <v>1</v>
      </c>
      <c r="F30" s="4">
        <v>1</v>
      </c>
      <c r="G30" s="4">
        <v>1</v>
      </c>
      <c r="H30" s="4">
        <v>0.12710030359999999</v>
      </c>
      <c r="I30" s="5">
        <v>4.5328083000300001E-2</v>
      </c>
      <c r="J30" s="4">
        <v>2.20614080619E-2</v>
      </c>
      <c r="K30" s="4">
        <v>0</v>
      </c>
      <c r="L30" s="6">
        <v>1.5847556188E-6</v>
      </c>
      <c r="M30" s="6">
        <v>3.0634423938800001E-8</v>
      </c>
      <c r="N30" s="37">
        <v>300000000</v>
      </c>
      <c r="O30" s="6">
        <v>200000000000</v>
      </c>
      <c r="P30" s="6">
        <v>80000000000</v>
      </c>
      <c r="Q30" s="22" t="s">
        <v>49</v>
      </c>
      <c r="R30" s="42">
        <f>SQRT(tblfocSglSym[[#This Row],[rx]]^2+tblfocSglSym[[#This Row],[ry]]^2+tblfocSglSym[[#This Row],[xo]]^2+tblfocSglSym[[#This Row],[yo]]^2)</f>
        <v>0.13673268815235048</v>
      </c>
      <c r="S30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770432594.23528934</v>
      </c>
      <c r="T30" s="44">
        <f>(tblfocSglSym[[#This Row],[E]]*PI()^2)/((tblfocSglSym[[#This Row],[lex]]/tblfocSglSym[[#This Row],[rx]])^2)</f>
        <v>31887679544.363125</v>
      </c>
      <c r="U30" s="44">
        <f>1-(tblfocSglSym[[#This Row],[xo]]/tblfocSglSym[[#This Row],[rol]])^2</f>
        <v>0.9739671478882993</v>
      </c>
      <c r="V30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769936660.48904824</v>
      </c>
      <c r="W30" s="45">
        <f>(tblfocSglSym[[#This Row],[E]]*PI()^2)/((tblfocSglSym[[#This Row],[ley]]/tblfocSglSym[[#This Row],[ry]])^2)</f>
        <v>4055687141.8615003</v>
      </c>
      <c r="X30" s="45">
        <f>1-(tblfocSglSym[[#This Row],[yo]]/tblfocSglSym[[#This Row],[rol]])^2</f>
        <v>1</v>
      </c>
      <c r="Y30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770432594.23528934</v>
      </c>
      <c r="Z30" s="42">
        <f>IF(tblfocSglSym[[#This Row],[Axis]]="['x']",tblfocSglSym[[#This Row],[foxz_x]],tblfocSglSym[[#This Row],[foxz_y]])</f>
        <v>769936660.48904824</v>
      </c>
      <c r="AA30" s="42">
        <f>SQRT(tblfocSglSym[[#This Row],[fy]]/tblfocSglSym[[#This Row],[foc]])</f>
        <v>0.62421345808058981</v>
      </c>
      <c r="AB30" s="42">
        <f>IF(tblfocSglSym[[#This Row],[λc]]&lt;=1.5,0.658^(tblfocSglSym[[#This Row],[λc]]^2),0.877/(tblfocSglSym[[#This Row],[λc]]^2))*tblfocSglSym[[#This Row],[fy]]</f>
        <v>254855698.1589154</v>
      </c>
      <c r="AC30" s="42">
        <f>0.85*tblfocSglSym[[#This Row],[An]]*tblfocSglSym[[#This Row],[kf]]*tblfocSglSym[[#This Row],[fn]]</f>
        <v>2816155.4646560149</v>
      </c>
    </row>
    <row r="31" spans="2:29" x14ac:dyDescent="0.2">
      <c r="B31" s="4" t="s">
        <v>46</v>
      </c>
      <c r="C31" s="10">
        <v>1.2999999999999999E-2</v>
      </c>
      <c r="D31" s="22">
        <v>1</v>
      </c>
      <c r="E31" s="4">
        <v>0.5</v>
      </c>
      <c r="F31" s="4">
        <v>0.5</v>
      </c>
      <c r="G31" s="4">
        <v>0.5</v>
      </c>
      <c r="H31" s="4">
        <v>0.12710030359999999</v>
      </c>
      <c r="I31" s="5">
        <v>4.5328083000300001E-2</v>
      </c>
      <c r="J31" s="4">
        <v>2.20614080619E-2</v>
      </c>
      <c r="K31" s="4">
        <v>0</v>
      </c>
      <c r="L31" s="6">
        <v>1.5847556188E-6</v>
      </c>
      <c r="M31" s="6">
        <v>3.0634423938800001E-8</v>
      </c>
      <c r="N31" s="37">
        <v>300000000</v>
      </c>
      <c r="O31" s="6">
        <v>200000000000</v>
      </c>
      <c r="P31" s="6">
        <v>80000000000</v>
      </c>
      <c r="Q31" s="22" t="s">
        <v>49</v>
      </c>
      <c r="R31" s="42">
        <f>SQRT(tblfocSglSym[[#This Row],[rx]]^2+tblfocSglSym[[#This Row],[ry]]^2+tblfocSglSym[[#This Row],[xo]]^2+tblfocSglSym[[#This Row],[yo]]^2)</f>
        <v>0.13673268815235048</v>
      </c>
      <c r="S31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1516834358.7516687</v>
      </c>
      <c r="T31" s="44">
        <f>(tblfocSglSym[[#This Row],[E]]*PI()^2)/((tblfocSglSym[[#This Row],[lex]]/tblfocSglSym[[#This Row],[rx]])^2)</f>
        <v>127550718177.4525</v>
      </c>
      <c r="U31" s="44">
        <f>1-(tblfocSglSym[[#This Row],[xo]]/tblfocSglSym[[#This Row],[rol]])^2</f>
        <v>0.9739671478882993</v>
      </c>
      <c r="V31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1516359420.5510182</v>
      </c>
      <c r="W31" s="45">
        <f>(tblfocSglSym[[#This Row],[E]]*PI()^2)/((tblfocSglSym[[#This Row],[ley]]/tblfocSglSym[[#This Row],[ry]])^2)</f>
        <v>16222748567.446001</v>
      </c>
      <c r="X31" s="45">
        <f>1-(tblfocSglSym[[#This Row],[yo]]/tblfocSglSym[[#This Row],[rol]])^2</f>
        <v>1</v>
      </c>
      <c r="Y31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1516834358.751668</v>
      </c>
      <c r="Z31" s="42">
        <f>IF(tblfocSglSym[[#This Row],[Axis]]="['x']",tblfocSglSym[[#This Row],[foxz_x]],tblfocSglSym[[#This Row],[foxz_y]])</f>
        <v>1516359420.5510182</v>
      </c>
      <c r="AA31" s="42">
        <f>SQRT(tblfocSglSym[[#This Row],[fy]]/tblfocSglSym[[#This Row],[foc]])</f>
        <v>0.44479464549633241</v>
      </c>
      <c r="AB31" s="42">
        <f>IF(tblfocSglSym[[#This Row],[λc]]&lt;=1.5,0.658^(tblfocSglSym[[#This Row],[λc]]^2),0.877/(tblfocSglSym[[#This Row],[λc]]^2))*tblfocSglSym[[#This Row],[fy]]</f>
        <v>276158650.4322862</v>
      </c>
      <c r="AC31" s="42">
        <f>0.85*tblfocSglSym[[#This Row],[An]]*tblfocSglSym[[#This Row],[kf]]*tblfocSglSym[[#This Row],[fn]]</f>
        <v>3051553.0872767624</v>
      </c>
    </row>
    <row r="33" spans="2:4" x14ac:dyDescent="0.2">
      <c r="B33" s="17" t="str">
        <f t="array" ref="B33:B60">TRANSPOSE(tblfocSglSym[#Headers])</f>
        <v>Section</v>
      </c>
      <c r="C33" s="33" t="str">
        <f t="array" aca="1" ref="C33" ca="1">_xlfn.CONCAT(INDIRECT("tblfocSglSym["&amp;B33&amp;"]")&amp;", ")</f>
        <v xml:space="preserve">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33" s="17" t="str">
        <f ca="1">B33&amp;" = ["&amp;LEFT(C33,LEN(C33)-2)&amp;"]"</f>
        <v>Section = [150x10EA,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34" spans="2:4" x14ac:dyDescent="0.2">
      <c r="B34" s="17" t="str">
        <v>An</v>
      </c>
      <c r="C34" s="33" t="str">
        <f t="array" aca="1" ref="C34" ca="1">_xlfn.CONCAT(INDIRECT("tblfocSglSym["&amp;B34&amp;"]")&amp;", ")</f>
        <v xml:space="preserve">0.00279, 0.00279, 0.00279, 0.00279, 0.00279, 0.00279, 0.000143, 0.000143, 0.000143, 0.000143, 0.000143, 0.00703, 0.00703, 0.00703, 0.00703, 0.00703, 0.000754, 0.000754, 0.000754, 0.000754, 0.000754, 0.011, 0.011, 0.011, 0.011, 0.013, 0.013, 0.013, 0.013, </v>
      </c>
      <c r="D34" s="17" t="str">
        <f t="shared" ref="D34:D51" ca="1" si="0">B34&amp;" = ["&amp;LEFT(C34,LEN(C34)-2)&amp;"]"</f>
        <v>An = [0.00279, 0.00279, 0.00279, 0.00279, 0.00279, 0.00279, 0.000143, 0.000143, 0.000143, 0.000143, 0.000143, 0.00703, 0.00703, 0.00703, 0.00703, 0.00703, 0.000754, 0.000754, 0.000754, 0.000754, 0.000754, 0.011, 0.011, 0.011, 0.011, 0.013, 0.013, 0.013, 0.013]</v>
      </c>
    </row>
    <row r="35" spans="2:4" x14ac:dyDescent="0.2">
      <c r="B35" s="17" t="str">
        <v>kf</v>
      </c>
      <c r="C35" s="33" t="str">
        <f t="array" aca="1" ref="C35" ca="1">_xlfn.CONCAT(INDIRECT("tblfocSglSym["&amp;B35&amp;"]")&amp;", ")</f>
        <v xml:space="preserve">0.958, 0.958, 0.958, 0.958, 0.958, 0.958, 1, 1, 1, 1, 1, 1, 1, 1, 1, 1, 1, 1, 1, 1, 1, 1, 1, 1, 1, 1, 1, 1, 1, </v>
      </c>
      <c r="D35" s="17" t="str">
        <f t="shared" ca="1" si="0"/>
        <v>kf = [0.958, 0.958, 0.958, 0.958, 0.958, 0.958, 1, 1, 1, 1, 1, 1, 1, 1, 1, 1, 1, 1, 1, 1, 1, 1, 1, 1, 1, 1, 1, 1, 1]</v>
      </c>
    </row>
    <row r="36" spans="2:4" x14ac:dyDescent="0.2">
      <c r="B36" s="17" t="str">
        <v>lex</v>
      </c>
      <c r="C36" s="33" t="str">
        <f t="array" aca="1" ref="C36" ca="1">_xlfn.CONCAT(INDIRECT("tblfocSglSym["&amp;B36&amp;"]")&amp;", ")</f>
        <v xml:space="preserve">20, 10, 5, 1, 0.5, 0.1, 10, 5, 1, 0.5, 0.1, 20, 10, 5, 1, 0.5, 10, 5, 1, 0.5, 0.1, 10, 5, 1, 0.5, 10, 5, 1, 0.5, </v>
      </c>
      <c r="D36" s="17" t="str">
        <f t="shared" ca="1" si="0"/>
        <v>lex = [20, 10, 5, 1, 0.5, 0.1, 10, 5, 1, 0.5, 0.1, 20, 10, 5, 1, 0.5, 10, 5, 1, 0.5, 0.1, 10, 5, 1, 0.5, 10, 5, 1, 0.5]</v>
      </c>
    </row>
    <row r="37" spans="2:4" x14ac:dyDescent="0.2">
      <c r="B37" s="17" t="str">
        <v>ley</v>
      </c>
      <c r="C37" s="33" t="str">
        <f t="array" aca="1" ref="C37" ca="1">_xlfn.CONCAT(INDIRECT("tblfocSglSym["&amp;B37&amp;"]")&amp;", ")</f>
        <v xml:space="preserve">20, 10, 5, 1, 0.5, 0.1, 10, 5, 1, 0.5, 0.1, 20, 10, 5, 1, 0.5, 10, 5, 1, 0.5, 0.1, 10, 5, 1, 0.5, 10, 5, 1, 0.5, </v>
      </c>
      <c r="D37" s="17" t="str">
        <f t="shared" ca="1" si="0"/>
        <v>ley = [20, 10, 5, 1, 0.5, 0.1, 10, 5, 1, 0.5, 0.1, 20, 10, 5, 1, 0.5, 10, 5, 1, 0.5, 0.1, 10, 5, 1, 0.5, 10, 5, 1, 0.5]</v>
      </c>
    </row>
    <row r="38" spans="2:4" x14ac:dyDescent="0.2">
      <c r="B38" s="17" t="str">
        <v>lez</v>
      </c>
      <c r="C38" s="33" t="str">
        <f t="array" aca="1" ref="C38" ca="1">_xlfn.CONCAT(INDIRECT("tblfocSglSym["&amp;B38&amp;"]")&amp;", ")</f>
        <v xml:space="preserve">20, 10, 5, 1, 0.5, 0.1, 10, 5, 1, 0.5, 0.1, 20, 10, 5, 1, 0.5, 10, 5, 1, 0.5, 0.1, 10, 5, 1, 0.5, 10, 5, 1, 0.5, </v>
      </c>
      <c r="D38" s="17" t="str">
        <f t="shared" ca="1" si="0"/>
        <v>lez = [20, 10, 5, 1, 0.5, 0.1, 10, 5, 1, 0.5, 0.1, 20, 10, 5, 1, 0.5, 10, 5, 1, 0.5, 0.1, 10, 5, 1, 0.5, 10, 5, 1, 0.5]</v>
      </c>
    </row>
    <row r="39" spans="2:4" x14ac:dyDescent="0.2">
      <c r="B39" s="17" t="str">
        <v>rx</v>
      </c>
      <c r="C39" s="33" t="str">
        <f t="array" aca="1" ref="C39" ca="1">_xlfn.CONCAT(INDIRECT("tblfocSglSym["&amp;B39&amp;"]")&amp;", ")</f>
        <v xml:space="preserve">0.0587, 0.0587, 0.0587, 0.0587, 0.0587, 0.0587, 0.00922, 0.00922, 0.00922, 0.00922, 0.00922, 0.147, 0.147, 0.147, 0.147, 0.147, 0.0301, 0.0301, 0.0301, 0.0301, 0.0301, 0.21, 0.21, 0.21, 0.21, 0.1271003036, 0.1271003036, 0.1271003036, 0.1271003036, </v>
      </c>
      <c r="D39" s="17" t="str">
        <f t="shared" ca="1" si="0"/>
        <v>rx = [0.0587, 0.0587, 0.0587, 0.0587, 0.0587, 0.0587, 0.00922, 0.00922, 0.00922, 0.00922, 0.00922, 0.147, 0.147, 0.147, 0.147, 0.147, 0.0301, 0.0301, 0.0301, 0.0301, 0.0301, 0.21, 0.21, 0.21, 0.21, 0.1271003036, 0.1271003036, 0.1271003036, 0.1271003036]</v>
      </c>
    </row>
    <row r="40" spans="2:4" x14ac:dyDescent="0.2">
      <c r="B40" s="17" t="str">
        <v>ry</v>
      </c>
      <c r="C40" s="33" t="str">
        <f t="array" aca="1" ref="C40" ca="1">_xlfn.CONCAT(INDIRECT("tblfocSglSym["&amp;B40&amp;"]")&amp;", ")</f>
        <v xml:space="preserve">0.0298, 0.0298, 0.0298, 0.0298, 0.0298, 0.0298, 0.00473, 0.00473, 0.00473, 0.00473, 0.00473, 0.0304, 0.0304, 0.0304, 0.0304, 0.0304, 0.0126, 0.0126, 0.0126, 0.0126, 0.0126, 0.036979, 0.036979, 0.036979, 0.036979, 0.0453280830003, 0.0453280830003, 0.0453280830003, 0.0453280830003, </v>
      </c>
      <c r="D40" s="17" t="str">
        <f t="shared" ca="1" si="0"/>
        <v>ry = [0.0298, 0.0298, 0.0298, 0.0298, 0.0298, 0.0298, 0.00473, 0.00473, 0.00473, 0.00473, 0.00473, 0.0304, 0.0304, 0.0304, 0.0304, 0.0304, 0.0126, 0.0126, 0.0126, 0.0126, 0.0126, 0.036979, 0.036979, 0.036979, 0.036979, 0.0453280830003, 0.0453280830003, 0.0453280830003, 0.0453280830003]</v>
      </c>
    </row>
    <row r="41" spans="2:4" x14ac:dyDescent="0.2">
      <c r="B41" s="17" t="str">
        <v>xo</v>
      </c>
      <c r="C41" s="33" t="str">
        <f t="array" aca="1" ref="C41" ca="1">_xlfn.CONCAT(INDIRECT("tblfocSglSym["&amp;B41&amp;"]")&amp;", ")</f>
        <v xml:space="preserve">0, 0, 0, 0, 0, 0, 0, 0, 0, 0, 0, 0.0567, 0.0567, 0.0567, 0.0567, 0.0567, 0.0272, 0.0272, 0.0272, 0.0272, 0.0272, 0, 0, 0, 0, 0.0220614080619, 0.0220614080619, 0.0220614080619, 0.0220614080619, </v>
      </c>
      <c r="D41" s="17" t="str">
        <f t="shared" ca="1" si="0"/>
        <v>xo = [0, 0, 0, 0, 0, 0, 0, 0, 0, 0, 0, 0.0567, 0.0567, 0.0567, 0.0567, 0.0567, 0.0272, 0.0272, 0.0272, 0.0272, 0.0272, 0, 0, 0, 0, 0.0220614080619, 0.0220614080619, 0.0220614080619, 0.0220614080619]</v>
      </c>
    </row>
    <row r="42" spans="2:4" x14ac:dyDescent="0.2">
      <c r="B42" s="17" t="str">
        <v>yo</v>
      </c>
      <c r="C42" s="33" t="str">
        <f t="array" aca="1" ref="C42" ca="1">_xlfn.CONCAT(INDIRECT("tblfocSglSym["&amp;B42&amp;"]")&amp;", ")</f>
        <v xml:space="preserve">0, 0, 0, 0, 0, 0, 0, 0, 0, 0, 0, 0, 0, 0, 0, 0, 0, 0, 0, 0, 0, 0.15428504787, 0.15428504787, 0.15428504787, 0.15428504787, 0, 0, 0, 0, </v>
      </c>
      <c r="D42" s="17" t="str">
        <f t="shared" ca="1" si="0"/>
        <v>yo = [0, 0, 0, 0, 0, 0, 0, 0, 0, 0, 0, 0, 0, 0, 0, 0, 0, 0, 0, 0, 0, 0.15428504787, 0.15428504787, 0.15428504787, 0.15428504787, 0, 0, 0, 0]</v>
      </c>
    </row>
    <row r="43" spans="2:4" x14ac:dyDescent="0.2">
      <c r="B43" s="17" t="str">
        <v>J</v>
      </c>
      <c r="C43" s="33" t="str">
        <f t="array" aca="1" ref="C43" ca="1">_xlfn.CONCAT(TEXT(INDIRECT("tblfocSglSym["&amp;B43&amp;"]"),"0.0000000E+0")&amp;", ")</f>
        <v xml:space="preserve">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1.5847556E-6, </v>
      </c>
      <c r="D43" s="17" t="str">
        <f t="shared" ca="1" si="0"/>
        <v>J = [8.8900000E-8,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1.5847556E-6]</v>
      </c>
    </row>
    <row r="44" spans="2:4" x14ac:dyDescent="0.2">
      <c r="B44" s="17" t="str">
        <v>Iw</v>
      </c>
      <c r="C44" s="33" t="str">
        <f t="array" aca="1" ref="C44" ca="1">_xlfn.CONCAT(TEXT(INDIRECT("tblfocSglSym["&amp;B44&amp;"]"),"0.0000000E+0")&amp;", ")</f>
        <v xml:space="preserve">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3.0634424E-8, </v>
      </c>
      <c r="D44" s="17" t="str">
        <f t="shared" ca="1" si="0"/>
        <v>Iw = [0.0000000E+0,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3.0634424E-8]</v>
      </c>
    </row>
    <row r="45" spans="2:4" x14ac:dyDescent="0.2">
      <c r="B45" s="17" t="str">
        <v>fy</v>
      </c>
      <c r="C45" s="33" t="str">
        <f t="array" aca="1" ref="C45" ca="1">_xlfn.CONCAT(TEXT(INDIRECT("tblfocSglSym["&amp;B45&amp;"]"),"0.0000000E+0")&amp;", ")</f>
        <v xml:space="preserve">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3.0000000E+8, </v>
      </c>
      <c r="D45" s="17" t="str">
        <f t="shared" ca="1" si="0"/>
        <v>fy = [3.2000000E+8,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3.0000000E+8]</v>
      </c>
    </row>
    <row r="46" spans="2:4" x14ac:dyDescent="0.2">
      <c r="B46" s="17" t="str">
        <v>E</v>
      </c>
      <c r="C46" s="33" t="str">
        <f t="array" aca="1" ref="C46" ca="1">_xlfn.CONCAT(TEXT(INDIRECT("tblfocSglSym["&amp;B46&amp;"]"),"0.0000000E+0")&amp;",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46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47" spans="2:4" x14ac:dyDescent="0.2">
      <c r="B47" s="17" t="str">
        <v>G</v>
      </c>
      <c r="C47" s="33" t="str">
        <f t="array" aca="1" ref="C47" ca="1">_xlfn.CONCAT(TEXT(INDIRECT("tblfocSglSym["&amp;B47&amp;"]"),"0.0000000E+0")&amp;",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47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48" spans="2:4" x14ac:dyDescent="0.2">
      <c r="B48" s="17" t="str">
        <v>Axis</v>
      </c>
      <c r="C48" s="33" t="str">
        <f t="array" aca="1" ref="C48" ca="1">_xlfn.CONCAT(INDIRECT("tblfocSglSym["&amp;B48&amp;"]")&amp;", ")</f>
        <v xml:space="preserve">['x'], ['x'], ['x'], ['x'], ['x'], ['x'], ['x'], ['x'], ['x'], ['x'], ['x'], ['x'], ['x'], ['x'], ['x'], ['x'], ['x'], ['x'], ['x'], ['x'], ['x'], ['y'], ['y'], ['y'], ['y'], ['x'], ['x'], ['x'], ['x'], </v>
      </c>
      <c r="D48" s="17" t="str">
        <f t="shared" ca="1" si="0"/>
        <v>Axis = [['x'], ['x'], ['x'], ['x'], ['x'], ['x'], ['x'], ['x'], ['x'], ['x'], ['x'], ['x'], ['x'], ['x'], ['x'], ['x'], ['x'], ['x'], ['x'], ['x'], ['x'], ['y'], ['y'], ['y'], ['y'], ['x'], ['x'], ['x'], ['x']]</v>
      </c>
    </row>
    <row r="49" spans="2:4" x14ac:dyDescent="0.2">
      <c r="B49" s="17" t="str">
        <v>rol</v>
      </c>
      <c r="C49" s="33" t="str">
        <f t="array" aca="1" ref="C49" ca="1">_xlfn.CONCAT(TEXT(INDIRECT("tblfocSglSym["&amp;B49&amp;"]"),"0.0000000E+0")&amp;", ")</f>
        <v xml:space="preserve">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1.3673269E-1, </v>
      </c>
      <c r="D49" s="17" t="str">
        <f t="shared" ca="1" si="0"/>
        <v>rol = [6.5831072E-2,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1.3673269E-1]</v>
      </c>
    </row>
    <row r="50" spans="2:4" x14ac:dyDescent="0.2">
      <c r="B50" s="17" t="str">
        <v>foz</v>
      </c>
      <c r="C50" s="33" t="str">
        <f t="array" aca="1" ref="C50" ca="1">_xlfn.CONCAT(TEXT(INDIRECT("tblfocSglSym["&amp;B50&amp;"]"),"0.0000000E+0")&amp;", ")</f>
        <v xml:space="preserve">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1.5168344E+9, </v>
      </c>
      <c r="D50" s="17" t="str">
        <f t="shared" ca="1" si="0"/>
        <v>foz = [5.8820091E+8,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1.5168344E+9]</v>
      </c>
    </row>
    <row r="51" spans="2:4" x14ac:dyDescent="0.2">
      <c r="B51" s="17" t="str">
        <v>fox_x</v>
      </c>
      <c r="C51" s="33" t="str">
        <f t="array" aca="1" ref="C51" ca="1">_xlfn.CONCAT(TEXT(INDIRECT("tblfocSglSym["&amp;B51&amp;"]"),"0.0000000E+0")&amp;", ")</f>
        <v xml:space="preserve">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1.2755072E+11, </v>
      </c>
      <c r="D51" s="17" t="str">
        <f t="shared" ca="1" si="0"/>
        <v>fox_x = [1.7003799E+7,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1.2755072E+11]</v>
      </c>
    </row>
    <row r="52" spans="2:4" x14ac:dyDescent="0.2">
      <c r="B52" s="17" t="str">
        <v>βx</v>
      </c>
      <c r="C52" s="33" t="str">
        <f t="array" aca="1" ref="C52" ca="1">_xlfn.CONCAT(INDIRECT("tblfocSglSym["&amp;B52&amp;"]")&amp;", ")</f>
        <v xml:space="preserve">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0.973967147888299, </v>
      </c>
      <c r="D52" s="17" t="str">
        <f t="shared" ref="D52" ca="1" si="1">B52&amp;" = ["&amp;LEFT(C52,LEN(C52)-2)&amp;"]"</f>
        <v>βx = [1,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0.973967147888299]</v>
      </c>
    </row>
    <row r="53" spans="2:4" x14ac:dyDescent="0.2">
      <c r="B53" s="17" t="str">
        <v>foxz_x</v>
      </c>
      <c r="C53" s="33" t="str">
        <f t="array" aca="1" ref="C53" ca="1">_xlfn.CONCAT(TEXT(INDIRECT("tblfocSglSym["&amp;B53&amp;"]"),"0.0000000E+0")&amp;",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1.5163594E+9, </v>
      </c>
      <c r="D53" s="17" t="str">
        <f t="shared" ref="D53:D57" ca="1" si="2">B53&amp;" = ["&amp;LEFT(C53,LEN(C53)-2)&amp;"]"</f>
        <v>foxz_x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1.5163594E+9]</v>
      </c>
    </row>
    <row r="54" spans="2:4" x14ac:dyDescent="0.2">
      <c r="B54" s="17" t="str">
        <v>fox_y</v>
      </c>
      <c r="C54" s="33" t="str">
        <f t="array" aca="1" ref="C54" ca="1">_xlfn.CONCAT(TEXT(INDIRECT("tblfocSglSym["&amp;B54&amp;"]"),"0.0000000E+0")&amp;", ")</f>
        <v xml:space="preserve">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1.6222749E+10, </v>
      </c>
      <c r="D54" s="17" t="str">
        <f t="shared" ca="1" si="2"/>
        <v>fox_y = [4.3823017E+6,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1.6222749E+10]</v>
      </c>
    </row>
    <row r="55" spans="2:4" x14ac:dyDescent="0.2">
      <c r="B55" s="17" t="str">
        <v>βy</v>
      </c>
      <c r="C55" s="33" t="str">
        <f t="array" aca="1" ref="C55" ca="1">_xlfn.CONCAT(INDIRECT("tblfocSglSym["&amp;B55&amp;"]")&amp;", ")</f>
        <v xml:space="preserve">1, 1, 1, 1, 1, 1, 1, 1, 1, 1, 1, 1, 1, 1, 1, 1, 1, 1, 1, 1, 1, 0.656367524702423, 0.656367524702423, 0.656367524702423, 0.656367524702423, 1, 1, 1, 1, </v>
      </c>
      <c r="D55" s="17" t="str">
        <f t="shared" ca="1" si="2"/>
        <v>βy = [1, 1, 1, 1, 1, 1, 1, 1, 1, 1, 1, 1, 1, 1, 1, 1, 1, 1, 1, 1, 1, 0.656367524702423, 0.656367524702423, 0.656367524702423, 0.656367524702423, 1, 1, 1, 1]</v>
      </c>
    </row>
    <row r="56" spans="2:4" x14ac:dyDescent="0.2">
      <c r="B56" s="17" t="str">
        <v>foxz_y</v>
      </c>
      <c r="C56" s="33" t="str">
        <f t="array" aca="1" ref="C56" ca="1">_xlfn.CONCAT(TEXT(INDIRECT("tblfocSglSym["&amp;B56&amp;"]"),"0.0000000E+0")&amp;", ")</f>
        <v xml:space="preserve">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1.5168344E+9, </v>
      </c>
      <c r="D56" s="17" t="str">
        <f t="shared" ca="1" si="2"/>
        <v>foxz_y = [4.3823017E+6,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1.5168344E+9]</v>
      </c>
    </row>
    <row r="57" spans="2:4" x14ac:dyDescent="0.2">
      <c r="B57" s="17" t="str">
        <v>foc</v>
      </c>
      <c r="C57" s="33" t="str">
        <f t="array" aca="1" ref="C57" ca="1">_xlfn.CONCAT(TEXT(INDIRECT("tblfocSglSym["&amp;B57&amp;"]"),"0.0000000E+0")&amp;",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1.5163594E+9, </v>
      </c>
      <c r="D57" s="17" t="str">
        <f t="shared" ca="1" si="2"/>
        <v>foc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1.5163594E+9]</v>
      </c>
    </row>
    <row r="58" spans="2:4" x14ac:dyDescent="0.2">
      <c r="B58" s="17" t="str">
        <v>λc</v>
      </c>
      <c r="C58" s="33" t="str">
        <f t="array" aca="1" ref="C58" ca="1">_xlfn.CONCAT(TEXT(INDIRECT("tblfocSglSym["&amp;B58&amp;"]"),"0.0000000E+0")&amp;", ")</f>
        <v xml:space="preserve">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4.4479465E-1, </v>
      </c>
      <c r="D58" s="17" t="str">
        <f t="shared" ref="D58:D60" ca="1" si="3">B58&amp;" = ["&amp;LEFT(C58,LEN(C58)-2)&amp;"]"</f>
        <v>λc = [4.3381245E+0,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4.4479465E-1]</v>
      </c>
    </row>
    <row r="59" spans="2:4" x14ac:dyDescent="0.2">
      <c r="B59" s="17" t="str">
        <v>fn</v>
      </c>
      <c r="C59" s="33" t="str">
        <f t="array" aca="1" ref="C59" ca="1">_xlfn.CONCAT(TEXT(INDIRECT("tblfocSglSym["&amp;B59&amp;"]"),"0.0000000E+0")&amp;", ")</f>
        <v xml:space="preserve">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2.7615865E+8, </v>
      </c>
      <c r="D59" s="17" t="str">
        <f t="shared" ca="1" si="3"/>
        <v>fn = [1.4912331E+7,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2.7615865E+8]</v>
      </c>
    </row>
    <row r="60" spans="2:4" x14ac:dyDescent="0.2">
      <c r="B60" s="17" t="str">
        <v>Nc</v>
      </c>
      <c r="C60" s="33" t="str">
        <f t="array" aca="1" ref="C60" ca="1">_xlfn.CONCAT(TEXT(INDIRECT("tblfocSglSym["&amp;B60&amp;"]"),"0.0000000E+0")&amp;", ")</f>
        <v xml:space="preserve">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3.0515531E+6, </v>
      </c>
      <c r="D60" s="17" t="str">
        <f t="shared" ca="1" si="3"/>
        <v>Nc = [3.3879281E+4,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opLeftCell="A19" workbookViewId="0">
      <selection activeCell="T30" sqref="T30"/>
    </sheetView>
  </sheetViews>
  <sheetFormatPr defaultColWidth="9" defaultRowHeight="11.25" x14ac:dyDescent="0.2"/>
  <cols>
    <col min="1" max="1" width="3.42578125" style="17" customWidth="1"/>
    <col min="2" max="2" width="6.85546875" style="17" customWidth="1"/>
    <col min="3" max="3" width="7.5703125" style="17" customWidth="1"/>
    <col min="4" max="4" width="6.28515625" style="17" customWidth="1"/>
    <col min="5" max="6" width="5" style="17" bestFit="1" customWidth="1"/>
    <col min="7" max="7" width="5" style="17" customWidth="1"/>
    <col min="8" max="9" width="5" style="17" bestFit="1" customWidth="1"/>
    <col min="10" max="11" width="5.85546875" style="17" bestFit="1" customWidth="1"/>
    <col min="12" max="13" width="6.42578125" style="17" bestFit="1" customWidth="1"/>
    <col min="14" max="16" width="6.5703125" style="17" bestFit="1" customWidth="1"/>
    <col min="17" max="17" width="5.42578125" style="17" bestFit="1" customWidth="1"/>
    <col min="18" max="18" width="7.85546875" style="17" bestFit="1" customWidth="1"/>
    <col min="19" max="23" width="8.140625" style="17" bestFit="1" customWidth="1"/>
    <col min="24" max="16384" width="9" style="17"/>
  </cols>
  <sheetData>
    <row r="2" spans="2:23" ht="12.75" x14ac:dyDescent="0.25">
      <c r="B2" s="17" t="s">
        <v>3</v>
      </c>
      <c r="C2" s="17" t="s">
        <v>59</v>
      </c>
      <c r="D2" s="17" t="s">
        <v>10</v>
      </c>
      <c r="E2" s="12" t="s">
        <v>53</v>
      </c>
      <c r="F2" s="12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63</v>
      </c>
      <c r="T2" s="17" t="s">
        <v>67</v>
      </c>
      <c r="U2" s="34" t="s">
        <v>65</v>
      </c>
      <c r="V2" s="17" t="s">
        <v>66</v>
      </c>
      <c r="W2" s="17" t="s">
        <v>30</v>
      </c>
    </row>
    <row r="3" spans="2:23" x14ac:dyDescent="0.2">
      <c r="B3" s="4" t="s">
        <v>36</v>
      </c>
      <c r="C3" s="10">
        <v>1.89E-3</v>
      </c>
      <c r="D3" s="9">
        <v>1</v>
      </c>
      <c r="E3" s="4">
        <v>10</v>
      </c>
      <c r="F3" s="4">
        <v>10</v>
      </c>
      <c r="G3" s="4">
        <v>10</v>
      </c>
      <c r="H3" s="5">
        <v>4.1099999999999998E-2</v>
      </c>
      <c r="I3" s="5">
        <v>2.4500000000000001E-2</v>
      </c>
      <c r="J3" s="19">
        <v>0</v>
      </c>
      <c r="K3" s="19">
        <v>0</v>
      </c>
      <c r="L3" s="6">
        <v>3.4900000000000001E-8</v>
      </c>
      <c r="M3" s="6">
        <v>2.2999999999999999E-9</v>
      </c>
      <c r="N3" s="6">
        <v>320000000</v>
      </c>
      <c r="O3" s="6">
        <v>200000000000</v>
      </c>
      <c r="P3" s="6">
        <v>80000000000</v>
      </c>
      <c r="Q3" s="6" t="s">
        <v>52</v>
      </c>
      <c r="R3" s="35">
        <f>SQRT(tblfocpntsym[[#This Row],[rx]]^2+tblfocpntsym[[#This Row],[ry]]^2+tblfocpntsym[[#This Row],[xo]]^2+tblfocpntsym[[#This Row],[yo]]^2)</f>
        <v>4.784830195524184E-2</v>
      </c>
      <c r="S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655731018.07307041</v>
      </c>
      <c r="T3" s="36">
        <f>tblfocpntsym[[#This Row],[foz]]</f>
        <v>655731018.07307041</v>
      </c>
      <c r="U3" s="36">
        <f>SQRT(tblfocpntsym[[#This Row],[fy]]/tblfocpntsym[[#This Row],[foc]])</f>
        <v>0.69857352970232678</v>
      </c>
      <c r="V3" s="36">
        <f>IF(tblfocpntsym[[#This Row],[λc]]&lt;=1.5,0.658^(tblfocpntsym[[#This Row],[λc]]^2),0.877/(tblfocpntsym[[#This Row],[λc]]^2))*tblfocpntsym[[#This Row],[fy]]</f>
        <v>260881516.18207029</v>
      </c>
      <c r="W3" s="36">
        <f>0.85*tblfocpntsym[[#This Row],[An]]*tblfocpntsym[[#This Row],[kf]]*tblfocpntsym[[#This Row],[fn]]</f>
        <v>419106.15574649588</v>
      </c>
    </row>
    <row r="4" spans="2:23" x14ac:dyDescent="0.2">
      <c r="B4" s="4" t="s">
        <v>36</v>
      </c>
      <c r="C4" s="10">
        <v>1.89E-3</v>
      </c>
      <c r="D4" s="9">
        <v>1</v>
      </c>
      <c r="E4" s="4">
        <v>5</v>
      </c>
      <c r="F4" s="4">
        <v>5</v>
      </c>
      <c r="G4" s="4">
        <v>5</v>
      </c>
      <c r="H4" s="5">
        <v>4.1099999999999998E-2</v>
      </c>
      <c r="I4" s="5">
        <v>2.4500000000000001E-2</v>
      </c>
      <c r="J4" s="19">
        <v>0</v>
      </c>
      <c r="K4" s="19">
        <v>0</v>
      </c>
      <c r="L4" s="6">
        <v>3.4900000000000001E-8</v>
      </c>
      <c r="M4" s="6">
        <v>2.2999999999999999E-9</v>
      </c>
      <c r="N4" s="6">
        <v>320000000</v>
      </c>
      <c r="O4" s="6">
        <v>200000000000</v>
      </c>
      <c r="P4" s="6">
        <v>80000000000</v>
      </c>
      <c r="Q4" s="6" t="s">
        <v>52</v>
      </c>
      <c r="R4" s="35">
        <f>SQRT(tblfocpntsym[[#This Row],[rx]]^2+tblfocpntsym[[#This Row],[ry]]^2+tblfocpntsym[[#This Row],[xo]]^2+tblfocpntsym[[#This Row],[yo]]^2)</f>
        <v>4.784830195524184E-2</v>
      </c>
      <c r="S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687207339.19974852</v>
      </c>
      <c r="T4" s="36">
        <f>tblfocpntsym[[#This Row],[foz]]</f>
        <v>687207339.19974852</v>
      </c>
      <c r="U4" s="36">
        <f>SQRT(tblfocpntsym[[#This Row],[fy]]/tblfocpntsym[[#This Row],[foc]])</f>
        <v>0.68238755004294094</v>
      </c>
      <c r="V4" s="36">
        <f>IF(tblfocpntsym[[#This Row],[λc]]&lt;=1.5,0.658^(tblfocpntsym[[#This Row],[λc]]^2),0.877/(tblfocpntsym[[#This Row],[λc]]^2))*tblfocpntsym[[#This Row],[fy]]</f>
        <v>263333652.19785488</v>
      </c>
      <c r="W4" s="36">
        <f>0.85*tblfocpntsym[[#This Row],[An]]*tblfocpntsym[[#This Row],[kf]]*tblfocpntsym[[#This Row],[fn]]</f>
        <v>423045.5122558538</v>
      </c>
    </row>
    <row r="5" spans="2:23" x14ac:dyDescent="0.2">
      <c r="B5" s="4" t="s">
        <v>36</v>
      </c>
      <c r="C5" s="10">
        <v>1.89E-3</v>
      </c>
      <c r="D5" s="9">
        <v>1</v>
      </c>
      <c r="E5" s="4">
        <v>1</v>
      </c>
      <c r="F5" s="4">
        <v>1</v>
      </c>
      <c r="G5" s="4">
        <v>1</v>
      </c>
      <c r="H5" s="5">
        <v>4.1099999999999998E-2</v>
      </c>
      <c r="I5" s="5">
        <v>2.4500000000000001E-2</v>
      </c>
      <c r="J5" s="19">
        <v>0</v>
      </c>
      <c r="K5" s="19">
        <v>0</v>
      </c>
      <c r="L5" s="6">
        <v>3.4900000000000001E-8</v>
      </c>
      <c r="M5" s="6">
        <v>2.2999999999999999E-9</v>
      </c>
      <c r="N5" s="6">
        <v>320000000</v>
      </c>
      <c r="O5" s="6">
        <v>200000000000</v>
      </c>
      <c r="P5" s="6">
        <v>80000000000</v>
      </c>
      <c r="Q5" s="6" t="s">
        <v>52</v>
      </c>
      <c r="R5" s="35">
        <f>SQRT(tblfocpntsym[[#This Row],[rx]]^2+tblfocpntsym[[#This Row],[ry]]^2+tblfocpntsym[[#This Row],[xo]]^2+tblfocpntsym[[#This Row],[yo]]^2)</f>
        <v>4.784830195524184E-2</v>
      </c>
      <c r="S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1694449615.253444</v>
      </c>
      <c r="T5" s="36">
        <f>tblfocpntsym[[#This Row],[foz]]</f>
        <v>1694449615.253444</v>
      </c>
      <c r="U5" s="36">
        <f>SQRT(tblfocpntsym[[#This Row],[fy]]/tblfocpntsym[[#This Row],[foc]])</f>
        <v>0.43457091793085972</v>
      </c>
      <c r="V5" s="36">
        <f>IF(tblfocpntsym[[#This Row],[λc]]&lt;=1.5,0.658^(tblfocpntsym[[#This Row],[λc]]^2),0.877/(tblfocpntsym[[#This Row],[λc]]^2))*tblfocpntsym[[#This Row],[fy]]</f>
        <v>295679759.36861932</v>
      </c>
      <c r="W5" s="36">
        <f>0.85*tblfocpntsym[[#This Row],[An]]*tblfocpntsym[[#This Row],[kf]]*tblfocpntsym[[#This Row],[fn]]</f>
        <v>475009.53342568688</v>
      </c>
    </row>
    <row r="6" spans="2:23" x14ac:dyDescent="0.2">
      <c r="B6" s="4" t="s">
        <v>36</v>
      </c>
      <c r="C6" s="10">
        <v>1.89E-3</v>
      </c>
      <c r="D6" s="9">
        <v>1</v>
      </c>
      <c r="E6" s="4">
        <v>0.5</v>
      </c>
      <c r="F6" s="4">
        <v>0.5</v>
      </c>
      <c r="G6" s="4">
        <v>0.5</v>
      </c>
      <c r="H6" s="5">
        <v>4.1099999999999998E-2</v>
      </c>
      <c r="I6" s="5">
        <v>2.4500000000000001E-2</v>
      </c>
      <c r="J6" s="19">
        <v>0</v>
      </c>
      <c r="K6" s="19">
        <v>0</v>
      </c>
      <c r="L6" s="6">
        <v>3.4900000000000001E-8</v>
      </c>
      <c r="M6" s="6">
        <v>2.2999999999999999E-9</v>
      </c>
      <c r="N6" s="6">
        <v>320000000</v>
      </c>
      <c r="O6" s="6">
        <v>200000000000</v>
      </c>
      <c r="P6" s="6">
        <v>80000000000</v>
      </c>
      <c r="Q6" s="6" t="s">
        <v>52</v>
      </c>
      <c r="R6" s="35">
        <f>SQRT(tblfocpntsym[[#This Row],[rx]]^2+tblfocpntsym[[#This Row],[ry]]^2+tblfocpntsym[[#This Row],[xo]]^2+tblfocpntsym[[#This Row],[yo]]^2)</f>
        <v>4.784830195524184E-2</v>
      </c>
      <c r="S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4842081727.9212427</v>
      </c>
      <c r="T6" s="36">
        <f>tblfocpntsym[[#This Row],[foz]]</f>
        <v>4842081727.9212427</v>
      </c>
      <c r="U6" s="36">
        <f>SQRT(tblfocpntsym[[#This Row],[fy]]/tblfocpntsym[[#This Row],[foc]])</f>
        <v>0.25707445952770996</v>
      </c>
      <c r="V6" s="36">
        <f>IF(tblfocpntsym[[#This Row],[λc]]&lt;=1.5,0.658^(tblfocpntsym[[#This Row],[λc]]^2),0.877/(tblfocpntsym[[#This Row],[λc]]^2))*tblfocpntsym[[#This Row],[fy]]</f>
        <v>311269825.68161309</v>
      </c>
      <c r="W6" s="36">
        <f>0.85*tblfocpntsym[[#This Row],[An]]*tblfocpntsym[[#This Row],[kf]]*tblfocpntsym[[#This Row],[fn]]</f>
        <v>500054.97495751135</v>
      </c>
    </row>
    <row r="7" spans="2:23" x14ac:dyDescent="0.2">
      <c r="B7" s="4" t="s">
        <v>4</v>
      </c>
      <c r="C7" s="10">
        <v>5.79E-2</v>
      </c>
      <c r="D7" s="9">
        <v>0.83699999999999997</v>
      </c>
      <c r="E7" s="4">
        <v>80</v>
      </c>
      <c r="F7" s="4">
        <v>80</v>
      </c>
      <c r="G7" s="4">
        <v>80</v>
      </c>
      <c r="H7" s="5">
        <v>0.51500000000000001</v>
      </c>
      <c r="I7" s="5">
        <v>0.12</v>
      </c>
      <c r="J7" s="19">
        <v>0</v>
      </c>
      <c r="K7" s="19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52</v>
      </c>
      <c r="R7" s="35">
        <f>SQRT(tblfocpntsym[[#This Row],[rx]]^2+tblfocpntsym[[#This Row],[ry]]^2+tblfocpntsym[[#This Row],[xo]]^2+tblfocpntsym[[#This Row],[yo]]^2)</f>
        <v>0.52879580179876617</v>
      </c>
      <c r="S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114041152.0493093</v>
      </c>
      <c r="T7" s="36">
        <f>tblfocpntsym[[#This Row],[foz]]</f>
        <v>114041152.0493093</v>
      </c>
      <c r="U7" s="36">
        <f>SQRT(tblfocpntsym[[#This Row],[fy]]/tblfocpntsym[[#This Row],[foc]])</f>
        <v>1.5669250288955003</v>
      </c>
      <c r="V7" s="36">
        <f>IF(tblfocpntsym[[#This Row],[λc]]&lt;=1.5,0.658^(tblfocpntsym[[#This Row],[λc]]^2),0.877/(tblfocpntsym[[#This Row],[λc]]^2))*tblfocpntsym[[#This Row],[fy]]</f>
        <v>100014090.34724426</v>
      </c>
      <c r="W7" s="36">
        <f>0.85*tblfocpntsym[[#This Row],[An]]*tblfocpntsym[[#This Row],[kf]]*tblfocpntsym[[#This Row],[fn]]</f>
        <v>4119875.9230399667</v>
      </c>
    </row>
    <row r="8" spans="2:23" x14ac:dyDescent="0.2">
      <c r="B8" s="4" t="s">
        <v>4</v>
      </c>
      <c r="C8" s="10">
        <v>5.79E-2</v>
      </c>
      <c r="D8" s="9">
        <v>0.83699999999999997</v>
      </c>
      <c r="E8" s="4">
        <v>40</v>
      </c>
      <c r="F8" s="4">
        <v>40</v>
      </c>
      <c r="G8" s="4">
        <v>40</v>
      </c>
      <c r="H8" s="5">
        <v>0.51500000000000001</v>
      </c>
      <c r="I8" s="5">
        <v>0.12</v>
      </c>
      <c r="J8" s="19">
        <v>0</v>
      </c>
      <c r="K8" s="19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52</v>
      </c>
      <c r="R8" s="35">
        <f>SQRT(tblfocpntsym[[#This Row],[rx]]^2+tblfocpntsym[[#This Row],[ry]]^2+tblfocpntsym[[#This Row],[xo]]^2+tblfocpntsym[[#This Row],[yo]]^2)</f>
        <v>0.52879580179876617</v>
      </c>
      <c r="S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130043160.38477561</v>
      </c>
      <c r="T8" s="36">
        <f>tblfocpntsym[[#This Row],[foz]]</f>
        <v>130043160.38477561</v>
      </c>
      <c r="U8" s="36">
        <f>SQRT(tblfocpntsym[[#This Row],[fy]]/tblfocpntsym[[#This Row],[foc]])</f>
        <v>1.4673552084887536</v>
      </c>
      <c r="V8" s="36">
        <f>IF(tblfocpntsym[[#This Row],[λc]]&lt;=1.5,0.658^(tblfocpntsym[[#This Row],[λc]]^2),0.877/(tblfocpntsym[[#This Row],[λc]]^2))*tblfocpntsym[[#This Row],[fy]]</f>
        <v>113703677.68019977</v>
      </c>
      <c r="W8" s="36">
        <f>0.85*tblfocpntsym[[#This Row],[An]]*tblfocpntsym[[#This Row],[kf]]*tblfocpntsym[[#This Row],[fn]]</f>
        <v>4683790.478014973</v>
      </c>
    </row>
    <row r="9" spans="2:23" x14ac:dyDescent="0.2">
      <c r="B9" s="4" t="s">
        <v>4</v>
      </c>
      <c r="C9" s="10">
        <v>5.79E-2</v>
      </c>
      <c r="D9" s="9">
        <v>0.83699999999999997</v>
      </c>
      <c r="E9" s="4">
        <v>20</v>
      </c>
      <c r="F9" s="4">
        <v>20</v>
      </c>
      <c r="G9" s="4">
        <v>20</v>
      </c>
      <c r="H9" s="5">
        <v>0.51500000000000001</v>
      </c>
      <c r="I9" s="5">
        <v>0.12</v>
      </c>
      <c r="J9" s="19">
        <v>0</v>
      </c>
      <c r="K9" s="19">
        <v>0</v>
      </c>
      <c r="L9" s="6">
        <v>2.1999999999999999E-5</v>
      </c>
      <c r="M9" s="6">
        <v>2.7999999999999998E-4</v>
      </c>
      <c r="N9" s="6">
        <v>280000000</v>
      </c>
      <c r="O9" s="6">
        <v>200000000000</v>
      </c>
      <c r="P9" s="6">
        <v>80000000000</v>
      </c>
      <c r="Q9" s="6" t="s">
        <v>52</v>
      </c>
      <c r="R9" s="35">
        <f>SQRT(tblfocpntsym[[#This Row],[rx]]^2+tblfocpntsym[[#This Row],[ry]]^2+tblfocpntsym[[#This Row],[xo]]^2+tblfocpntsym[[#This Row],[yo]]^2)</f>
        <v>0.52879580179876617</v>
      </c>
      <c r="S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194051193.72664073</v>
      </c>
      <c r="T9" s="36">
        <f>tblfocpntsym[[#This Row],[foz]]</f>
        <v>194051193.72664073</v>
      </c>
      <c r="U9" s="36">
        <f>SQRT(tblfocpntsym[[#This Row],[fy]]/tblfocpntsym[[#This Row],[foc]])</f>
        <v>1.2012153030698918</v>
      </c>
      <c r="V9" s="36">
        <f>IF(tblfocpntsym[[#This Row],[λc]]&lt;=1.5,0.658^(tblfocpntsym[[#This Row],[λc]]^2),0.877/(tblfocpntsym[[#This Row],[λc]]^2))*tblfocpntsym[[#This Row],[fy]]</f>
        <v>153063931.50757471</v>
      </c>
      <c r="W9" s="36">
        <f>0.85*tblfocpntsym[[#This Row],[An]]*tblfocpntsym[[#This Row],[kf]]*tblfocpntsym[[#This Row],[fn]]</f>
        <v>6305155.6427146066</v>
      </c>
    </row>
    <row r="10" spans="2:23" x14ac:dyDescent="0.2">
      <c r="B10" s="4" t="s">
        <v>4</v>
      </c>
      <c r="C10" s="10">
        <v>5.79E-2</v>
      </c>
      <c r="D10" s="9">
        <v>0.83699999999999997</v>
      </c>
      <c r="E10" s="4">
        <v>10</v>
      </c>
      <c r="F10" s="4">
        <v>10</v>
      </c>
      <c r="G10" s="4">
        <v>10</v>
      </c>
      <c r="H10" s="5">
        <v>0.51500000000000001</v>
      </c>
      <c r="I10" s="5">
        <v>0.12</v>
      </c>
      <c r="J10" s="19">
        <v>0</v>
      </c>
      <c r="K10" s="19">
        <v>0</v>
      </c>
      <c r="L10" s="6">
        <v>2.1999999999999999E-5</v>
      </c>
      <c r="M10" s="6">
        <v>2.7999999999999998E-4</v>
      </c>
      <c r="N10" s="6">
        <v>280000000</v>
      </c>
      <c r="O10" s="6">
        <v>200000000000</v>
      </c>
      <c r="P10" s="6">
        <v>80000000000</v>
      </c>
      <c r="Q10" s="6" t="s">
        <v>52</v>
      </c>
      <c r="R10" s="35">
        <f>SQRT(tblfocpntsym[[#This Row],[rx]]^2+tblfocpntsym[[#This Row],[ry]]^2+tblfocpntsym[[#This Row],[xo]]^2+tblfocpntsym[[#This Row],[yo]]^2)</f>
        <v>0.52879580179876617</v>
      </c>
      <c r="S1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450083327.09410137</v>
      </c>
      <c r="T10" s="36">
        <f>tblfocpntsym[[#This Row],[foz]]</f>
        <v>450083327.09410137</v>
      </c>
      <c r="U10" s="36">
        <f>SQRT(tblfocpntsym[[#This Row],[fy]]/tblfocpntsym[[#This Row],[foc]])</f>
        <v>0.78873761533410169</v>
      </c>
      <c r="V10" s="36">
        <f>IF(tblfocpntsym[[#This Row],[λc]]&lt;=1.5,0.658^(tblfocpntsym[[#This Row],[λc]]^2),0.877/(tblfocpntsym[[#This Row],[λc]]^2))*tblfocpntsym[[#This Row],[fy]]</f>
        <v>215811748.1262562</v>
      </c>
      <c r="W10" s="36">
        <f>0.85*tblfocpntsym[[#This Row],[An]]*tblfocpntsym[[#This Row],[kf]]*tblfocpntsym[[#This Row],[fn]]</f>
        <v>8889923.6290362049</v>
      </c>
    </row>
    <row r="11" spans="2:23" x14ac:dyDescent="0.2">
      <c r="B11" s="4" t="s">
        <v>4</v>
      </c>
      <c r="C11" s="10">
        <v>5.79E-2</v>
      </c>
      <c r="D11" s="9">
        <v>0.83699999999999997</v>
      </c>
      <c r="E11" s="4">
        <v>5</v>
      </c>
      <c r="F11" s="4">
        <v>5</v>
      </c>
      <c r="G11" s="4">
        <v>5</v>
      </c>
      <c r="H11" s="5">
        <v>0.51500000000000001</v>
      </c>
      <c r="I11" s="5">
        <v>0.12</v>
      </c>
      <c r="J11" s="19">
        <v>0</v>
      </c>
      <c r="K11" s="19">
        <v>0</v>
      </c>
      <c r="L11" s="6">
        <v>2.1999999999999999E-5</v>
      </c>
      <c r="M11" s="6">
        <v>2.7999999999999998E-4</v>
      </c>
      <c r="N11" s="6">
        <v>280000000</v>
      </c>
      <c r="O11" s="6">
        <v>200000000000</v>
      </c>
      <c r="P11" s="6">
        <v>80000000000</v>
      </c>
      <c r="Q11" s="6" t="s">
        <v>52</v>
      </c>
      <c r="R11" s="35">
        <f>SQRT(tblfocpntsym[[#This Row],[rx]]^2+tblfocpntsym[[#This Row],[ry]]^2+tblfocpntsym[[#This Row],[xo]]^2+tblfocpntsym[[#This Row],[yo]]^2)</f>
        <v>0.52879580179876617</v>
      </c>
      <c r="S1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1474211860.5639436</v>
      </c>
      <c r="T11" s="36">
        <f>tblfocpntsym[[#This Row],[foz]]</f>
        <v>1474211860.5639436</v>
      </c>
      <c r="U11" s="36">
        <f>SQRT(tblfocpntsym[[#This Row],[fy]]/tblfocpntsym[[#This Row],[foc]])</f>
        <v>0.43581188049827102</v>
      </c>
      <c r="V11" s="36">
        <f>IF(tblfocpntsym[[#This Row],[λc]]&lt;=1.5,0.658^(tblfocpntsym[[#This Row],[λc]]^2),0.877/(tblfocpntsym[[#This Row],[λc]]^2))*tblfocpntsym[[#This Row],[fy]]</f>
        <v>258602853.46408075</v>
      </c>
      <c r="W11" s="36">
        <f>0.85*tblfocpntsym[[#This Row],[An]]*tblfocpntsym[[#This Row],[kf]]*tblfocpntsym[[#This Row],[fn]]</f>
        <v>10652615.705617471</v>
      </c>
    </row>
    <row r="12" spans="2:23" x14ac:dyDescent="0.2">
      <c r="B12" s="4" t="s">
        <v>4</v>
      </c>
      <c r="C12" s="10">
        <v>5.79E-2</v>
      </c>
      <c r="D12" s="9">
        <v>0.83699999999999997</v>
      </c>
      <c r="E12" s="4">
        <v>1</v>
      </c>
      <c r="F12" s="4">
        <v>1</v>
      </c>
      <c r="G12" s="4">
        <v>1</v>
      </c>
      <c r="H12" s="5">
        <v>0.51500000000000001</v>
      </c>
      <c r="I12" s="5">
        <v>0.12</v>
      </c>
      <c r="J12" s="19">
        <v>0</v>
      </c>
      <c r="K12" s="19">
        <v>0</v>
      </c>
      <c r="L12" s="6">
        <v>2.1999999999999999E-5</v>
      </c>
      <c r="M12" s="6">
        <v>2.7999999999999998E-4</v>
      </c>
      <c r="N12" s="6">
        <v>280000000</v>
      </c>
      <c r="O12" s="6">
        <v>200000000000</v>
      </c>
      <c r="P12" s="6">
        <v>80000000000</v>
      </c>
      <c r="Q12" s="6" t="s">
        <v>52</v>
      </c>
      <c r="R12" s="35">
        <f>SQRT(tblfocpntsym[[#This Row],[rx]]^2+tblfocpntsym[[#This Row],[ry]]^2+tblfocpntsym[[#This Row],[xo]]^2+tblfocpntsym[[#This Row],[yo]]^2)</f>
        <v>0.52879580179876617</v>
      </c>
      <c r="S1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34246324931.5989</v>
      </c>
      <c r="T12" s="36">
        <f>tblfocpntsym[[#This Row],[foz]]</f>
        <v>34246324931.5989</v>
      </c>
      <c r="U12" s="36">
        <f>SQRT(tblfocpntsym[[#This Row],[fy]]/tblfocpntsym[[#This Row],[foc]])</f>
        <v>9.0421567025390351E-2</v>
      </c>
      <c r="V12" s="36">
        <f>IF(tblfocpntsym[[#This Row],[λc]]&lt;=1.5,0.658^(tblfocpntsym[[#This Row],[λc]]^2),0.877/(tblfocpntsym[[#This Row],[λc]]^2))*tblfocpntsym[[#This Row],[fy]]</f>
        <v>279043451.68583661</v>
      </c>
      <c r="W12" s="36">
        <f>0.85*tblfocpntsym[[#This Row],[An]]*tblfocpntsym[[#This Row],[kf]]*tblfocpntsym[[#This Row],[fn]]</f>
        <v>11494624.348339342</v>
      </c>
    </row>
    <row r="13" spans="2:23" x14ac:dyDescent="0.2">
      <c r="B13" s="4" t="s">
        <v>8</v>
      </c>
      <c r="C13" s="10">
        <v>2.7899999999999999E-3</v>
      </c>
      <c r="D13" s="9">
        <v>0.95799999999999996</v>
      </c>
      <c r="E13" s="4">
        <v>20</v>
      </c>
      <c r="F13" s="4">
        <v>20</v>
      </c>
      <c r="G13" s="4">
        <v>20</v>
      </c>
      <c r="H13" s="5">
        <v>5.8700000000000002E-2</v>
      </c>
      <c r="I13" s="5">
        <v>2.98E-2</v>
      </c>
      <c r="J13" s="19">
        <v>0</v>
      </c>
      <c r="K13" s="19">
        <v>0</v>
      </c>
      <c r="L13" s="6">
        <v>8.8899999999999995E-8</v>
      </c>
      <c r="M13" s="6">
        <v>0</v>
      </c>
      <c r="N13" s="6">
        <v>320000000</v>
      </c>
      <c r="O13" s="6">
        <v>200000000000</v>
      </c>
      <c r="P13" s="6">
        <v>80000000000</v>
      </c>
      <c r="Q13" s="6" t="s">
        <v>52</v>
      </c>
      <c r="R13" s="35">
        <f>SQRT(tblfocpntsym[[#This Row],[rx]]^2+tblfocpntsym[[#This Row],[ry]]^2+tblfocpntsym[[#This Row],[xo]]^2+tblfocpntsym[[#This Row],[yo]]^2)</f>
        <v>6.5831071691109508E-2</v>
      </c>
      <c r="S1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3" s="36">
        <f>tblfocpntsym[[#This Row],[foz]]</f>
        <v>588200912.9900409</v>
      </c>
      <c r="U13" s="36">
        <f>SQRT(tblfocpntsym[[#This Row],[fy]]/tblfocpntsym[[#This Row],[foc]])</f>
        <v>0.73758511205508293</v>
      </c>
      <c r="V13" s="36">
        <f>IF(tblfocpntsym[[#This Row],[λc]]&lt;=1.5,0.658^(tblfocpntsym[[#This Row],[λc]]^2),0.877/(tblfocpntsym[[#This Row],[λc]]^2))*tblfocpntsym[[#This Row],[fy]]</f>
        <v>254835005.32635781</v>
      </c>
      <c r="W13" s="36">
        <f>0.85*tblfocpntsym[[#This Row],[An]]*tblfocpntsym[[#This Row],[kf]]*tblfocpntsym[[#This Row],[fn]]</f>
        <v>578958.88409593632</v>
      </c>
    </row>
    <row r="14" spans="2:23" x14ac:dyDescent="0.2">
      <c r="B14" s="4" t="s">
        <v>8</v>
      </c>
      <c r="C14" s="10">
        <v>2.7899999999999999E-3</v>
      </c>
      <c r="D14" s="9">
        <v>0.95799999999999996</v>
      </c>
      <c r="E14" s="4">
        <v>10</v>
      </c>
      <c r="F14" s="4">
        <v>10</v>
      </c>
      <c r="G14" s="4">
        <v>10</v>
      </c>
      <c r="H14" s="5">
        <v>5.8700000000000002E-2</v>
      </c>
      <c r="I14" s="5">
        <v>2.98E-2</v>
      </c>
      <c r="J14" s="19">
        <v>0</v>
      </c>
      <c r="K14" s="19">
        <v>0</v>
      </c>
      <c r="L14" s="6">
        <v>8.8899999999999995E-8</v>
      </c>
      <c r="M14" s="6">
        <v>0</v>
      </c>
      <c r="N14" s="6">
        <v>320000000</v>
      </c>
      <c r="O14" s="6">
        <v>200000000000</v>
      </c>
      <c r="P14" s="6">
        <v>80000000000</v>
      </c>
      <c r="Q14" s="6" t="s">
        <v>52</v>
      </c>
      <c r="R14" s="35">
        <f>SQRT(tblfocpntsym[[#This Row],[rx]]^2+tblfocpntsym[[#This Row],[ry]]^2+tblfocpntsym[[#This Row],[xo]]^2+tblfocpntsym[[#This Row],[yo]]^2)</f>
        <v>6.5831071691109508E-2</v>
      </c>
      <c r="S1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4" s="36">
        <f>tblfocpntsym[[#This Row],[foz]]</f>
        <v>588200912.9900409</v>
      </c>
      <c r="U14" s="36">
        <f>SQRT(tblfocpntsym[[#This Row],[fy]]/tblfocpntsym[[#This Row],[foc]])</f>
        <v>0.73758511205508293</v>
      </c>
      <c r="V14" s="36">
        <f>IF(tblfocpntsym[[#This Row],[λc]]&lt;=1.5,0.658^(tblfocpntsym[[#This Row],[λc]]^2),0.877/(tblfocpntsym[[#This Row],[λc]]^2))*tblfocpntsym[[#This Row],[fy]]</f>
        <v>254835005.32635781</v>
      </c>
      <c r="W14" s="36">
        <f>0.85*tblfocpntsym[[#This Row],[An]]*tblfocpntsym[[#This Row],[kf]]*tblfocpntsym[[#This Row],[fn]]</f>
        <v>578958.88409593632</v>
      </c>
    </row>
    <row r="15" spans="2:23" x14ac:dyDescent="0.2">
      <c r="B15" s="4" t="s">
        <v>8</v>
      </c>
      <c r="C15" s="10">
        <v>2.7899999999999999E-3</v>
      </c>
      <c r="D15" s="9">
        <v>0.95799999999999996</v>
      </c>
      <c r="E15" s="4">
        <v>5</v>
      </c>
      <c r="F15" s="4">
        <v>5</v>
      </c>
      <c r="G15" s="4">
        <v>5</v>
      </c>
      <c r="H15" s="5">
        <v>5.8700000000000002E-2</v>
      </c>
      <c r="I15" s="5">
        <v>2.98E-2</v>
      </c>
      <c r="J15" s="19">
        <v>0</v>
      </c>
      <c r="K15" s="19">
        <v>0</v>
      </c>
      <c r="L15" s="6">
        <v>8.8899999999999995E-8</v>
      </c>
      <c r="M15" s="6">
        <v>0</v>
      </c>
      <c r="N15" s="6">
        <v>320000000</v>
      </c>
      <c r="O15" s="6">
        <v>200000000000</v>
      </c>
      <c r="P15" s="6">
        <v>80000000000</v>
      </c>
      <c r="Q15" s="6" t="s">
        <v>52</v>
      </c>
      <c r="R15" s="35">
        <f>SQRT(tblfocpntsym[[#This Row],[rx]]^2+tblfocpntsym[[#This Row],[ry]]^2+tblfocpntsym[[#This Row],[xo]]^2+tblfocpntsym[[#This Row],[yo]]^2)</f>
        <v>6.5831071691109508E-2</v>
      </c>
      <c r="S1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5" s="36">
        <f>tblfocpntsym[[#This Row],[foz]]</f>
        <v>588200912.9900409</v>
      </c>
      <c r="U15" s="36">
        <f>SQRT(tblfocpntsym[[#This Row],[fy]]/tblfocpntsym[[#This Row],[foc]])</f>
        <v>0.73758511205508293</v>
      </c>
      <c r="V15" s="36">
        <f>IF(tblfocpntsym[[#This Row],[λc]]&lt;=1.5,0.658^(tblfocpntsym[[#This Row],[λc]]^2),0.877/(tblfocpntsym[[#This Row],[λc]]^2))*tblfocpntsym[[#This Row],[fy]]</f>
        <v>254835005.32635781</v>
      </c>
      <c r="W15" s="36">
        <f>0.85*tblfocpntsym[[#This Row],[An]]*tblfocpntsym[[#This Row],[kf]]*tblfocpntsym[[#This Row],[fn]]</f>
        <v>578958.88409593632</v>
      </c>
    </row>
    <row r="16" spans="2:23" x14ac:dyDescent="0.2">
      <c r="B16" s="4" t="s">
        <v>8</v>
      </c>
      <c r="C16" s="10">
        <v>2.7899999999999999E-3</v>
      </c>
      <c r="D16" s="9">
        <v>0.95799999999999996</v>
      </c>
      <c r="E16" s="4">
        <v>1</v>
      </c>
      <c r="F16" s="4">
        <v>1</v>
      </c>
      <c r="G16" s="4">
        <v>1</v>
      </c>
      <c r="H16" s="5">
        <v>5.8700000000000002E-2</v>
      </c>
      <c r="I16" s="5">
        <v>2.98E-2</v>
      </c>
      <c r="J16" s="19">
        <v>0</v>
      </c>
      <c r="K16" s="19">
        <v>0</v>
      </c>
      <c r="L16" s="6">
        <v>8.8899999999999995E-8</v>
      </c>
      <c r="M16" s="6">
        <v>0</v>
      </c>
      <c r="N16" s="6">
        <v>320000000</v>
      </c>
      <c r="O16" s="6">
        <v>200000000000</v>
      </c>
      <c r="P16" s="6">
        <v>80000000000</v>
      </c>
      <c r="Q16" s="6" t="s">
        <v>52</v>
      </c>
      <c r="R16" s="35">
        <f>SQRT(tblfocpntsym[[#This Row],[rx]]^2+tblfocpntsym[[#This Row],[ry]]^2+tblfocpntsym[[#This Row],[xo]]^2+tblfocpntsym[[#This Row],[yo]]^2)</f>
        <v>6.5831071691109508E-2</v>
      </c>
      <c r="S1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6" s="36">
        <f>tblfocpntsym[[#This Row],[foz]]</f>
        <v>588200912.9900409</v>
      </c>
      <c r="U16" s="36">
        <f>SQRT(tblfocpntsym[[#This Row],[fy]]/tblfocpntsym[[#This Row],[foc]])</f>
        <v>0.73758511205508293</v>
      </c>
      <c r="V16" s="36">
        <f>IF(tblfocpntsym[[#This Row],[λc]]&lt;=1.5,0.658^(tblfocpntsym[[#This Row],[λc]]^2),0.877/(tblfocpntsym[[#This Row],[λc]]^2))*tblfocpntsym[[#This Row],[fy]]</f>
        <v>254835005.32635781</v>
      </c>
      <c r="W16" s="36">
        <f>0.85*tblfocpntsym[[#This Row],[An]]*tblfocpntsym[[#This Row],[kf]]*tblfocpntsym[[#This Row],[fn]]</f>
        <v>578958.88409593632</v>
      </c>
    </row>
    <row r="17" spans="2:23" x14ac:dyDescent="0.2">
      <c r="B17" s="4" t="s">
        <v>8</v>
      </c>
      <c r="C17" s="10">
        <v>2.7899999999999999E-3</v>
      </c>
      <c r="D17" s="9">
        <v>0.95799999999999996</v>
      </c>
      <c r="E17" s="4">
        <v>0.5</v>
      </c>
      <c r="F17" s="4">
        <v>0.5</v>
      </c>
      <c r="G17" s="4">
        <v>0.5</v>
      </c>
      <c r="H17" s="5">
        <v>5.8700000000000002E-2</v>
      </c>
      <c r="I17" s="5">
        <v>2.98E-2</v>
      </c>
      <c r="J17" s="19">
        <v>0</v>
      </c>
      <c r="K17" s="19">
        <v>0</v>
      </c>
      <c r="L17" s="6">
        <v>8.8899999999999995E-8</v>
      </c>
      <c r="M17" s="6">
        <v>0</v>
      </c>
      <c r="N17" s="6">
        <v>320000000</v>
      </c>
      <c r="O17" s="6">
        <v>200000000000</v>
      </c>
      <c r="P17" s="6">
        <v>80000000000</v>
      </c>
      <c r="Q17" s="6" t="s">
        <v>52</v>
      </c>
      <c r="R17" s="35">
        <f>SQRT(tblfocpntsym[[#This Row],[rx]]^2+tblfocpntsym[[#This Row],[ry]]^2+tblfocpntsym[[#This Row],[xo]]^2+tblfocpntsym[[#This Row],[yo]]^2)</f>
        <v>6.5831071691109508E-2</v>
      </c>
      <c r="S1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7" s="36">
        <f>tblfocpntsym[[#This Row],[foz]]</f>
        <v>588200912.9900409</v>
      </c>
      <c r="U17" s="36">
        <f>SQRT(tblfocpntsym[[#This Row],[fy]]/tblfocpntsym[[#This Row],[foc]])</f>
        <v>0.73758511205508293</v>
      </c>
      <c r="V17" s="36">
        <f>IF(tblfocpntsym[[#This Row],[λc]]&lt;=1.5,0.658^(tblfocpntsym[[#This Row],[λc]]^2),0.877/(tblfocpntsym[[#This Row],[λc]]^2))*tblfocpntsym[[#This Row],[fy]]</f>
        <v>254835005.32635781</v>
      </c>
      <c r="W17" s="36">
        <f>0.85*tblfocpntsym[[#This Row],[An]]*tblfocpntsym[[#This Row],[kf]]*tblfocpntsym[[#This Row],[fn]]</f>
        <v>578958.88409593632</v>
      </c>
    </row>
    <row r="18" spans="2:23" x14ac:dyDescent="0.2">
      <c r="B18" s="4" t="s">
        <v>8</v>
      </c>
      <c r="C18" s="10">
        <v>2.7899999999999999E-3</v>
      </c>
      <c r="D18" s="9">
        <v>0.95799999999999996</v>
      </c>
      <c r="E18" s="4">
        <v>0.1</v>
      </c>
      <c r="F18" s="4">
        <v>0.1</v>
      </c>
      <c r="G18" s="4">
        <v>0.1</v>
      </c>
      <c r="H18" s="5">
        <v>5.8700000000000002E-2</v>
      </c>
      <c r="I18" s="5">
        <v>2.98E-2</v>
      </c>
      <c r="J18" s="19">
        <v>0</v>
      </c>
      <c r="K18" s="19">
        <v>0</v>
      </c>
      <c r="L18" s="6">
        <v>8.8899999999999995E-8</v>
      </c>
      <c r="M18" s="6">
        <v>0</v>
      </c>
      <c r="N18" s="6">
        <v>320000000</v>
      </c>
      <c r="O18" s="6">
        <v>200000000000</v>
      </c>
      <c r="P18" s="6">
        <v>80000000000</v>
      </c>
      <c r="Q18" s="6" t="s">
        <v>52</v>
      </c>
      <c r="R18" s="35">
        <f>SQRT(tblfocpntsym[[#This Row],[rx]]^2+tblfocpntsym[[#This Row],[ry]]^2+tblfocpntsym[[#This Row],[xo]]^2+tblfocpntsym[[#This Row],[yo]]^2)</f>
        <v>6.5831071691109508E-2</v>
      </c>
      <c r="S1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8" s="36">
        <f>tblfocpntsym[[#This Row],[foz]]</f>
        <v>588200912.9900409</v>
      </c>
      <c r="U18" s="36">
        <f>SQRT(tblfocpntsym[[#This Row],[fy]]/tblfocpntsym[[#This Row],[foc]])</f>
        <v>0.73758511205508293</v>
      </c>
      <c r="V18" s="36">
        <f>IF(tblfocpntsym[[#This Row],[λc]]&lt;=1.5,0.658^(tblfocpntsym[[#This Row],[λc]]^2),0.877/(tblfocpntsym[[#This Row],[λc]]^2))*tblfocpntsym[[#This Row],[fy]]</f>
        <v>254835005.32635781</v>
      </c>
      <c r="W18" s="36">
        <f>0.85*tblfocpntsym[[#This Row],[An]]*tblfocpntsym[[#This Row],[kf]]*tblfocpntsym[[#This Row],[fn]]</f>
        <v>578958.88409593632</v>
      </c>
    </row>
    <row r="19" spans="2:23" x14ac:dyDescent="0.2">
      <c r="B19" s="4" t="s">
        <v>38</v>
      </c>
      <c r="C19" s="10">
        <v>1.4300000000000001E-4</v>
      </c>
      <c r="D19" s="9">
        <v>1</v>
      </c>
      <c r="E19" s="4">
        <v>10</v>
      </c>
      <c r="F19" s="4">
        <v>10</v>
      </c>
      <c r="G19" s="4">
        <v>10</v>
      </c>
      <c r="H19" s="5">
        <v>9.2200000000000008E-3</v>
      </c>
      <c r="I19" s="5">
        <v>4.7299999999999998E-3</v>
      </c>
      <c r="J19" s="19">
        <v>0</v>
      </c>
      <c r="K19" s="19">
        <v>0</v>
      </c>
      <c r="L19" s="6">
        <v>5.1499999999999998E-10</v>
      </c>
      <c r="M19" s="6">
        <v>0</v>
      </c>
      <c r="N19" s="6">
        <v>320000000</v>
      </c>
      <c r="O19" s="6">
        <v>200000000000</v>
      </c>
      <c r="P19" s="6">
        <v>80000000000</v>
      </c>
      <c r="Q19" s="6" t="s">
        <v>52</v>
      </c>
      <c r="R19" s="35">
        <f>SQRT(tblfocpntsym[[#This Row],[rx]]^2+tblfocpntsym[[#This Row],[ry]]^2+tblfocpntsym[[#This Row],[xo]]^2+tblfocpntsym[[#This Row],[yo]]^2)</f>
        <v>1.0362494873340107E-2</v>
      </c>
      <c r="S1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19" s="36">
        <f>tblfocpntsym[[#This Row],[foz]]</f>
        <v>2683073199.07552</v>
      </c>
      <c r="U19" s="36">
        <f>SQRT(tblfocpntsym[[#This Row],[fy]]/tblfocpntsym[[#This Row],[foc]])</f>
        <v>0.34534941810074654</v>
      </c>
      <c r="V19" s="36">
        <f>IF(tblfocpntsym[[#This Row],[λc]]&lt;=1.5,0.658^(tblfocpntsym[[#This Row],[λc]]^2),0.877/(tblfocpntsym[[#This Row],[λc]]^2))*tblfocpntsym[[#This Row],[fy]]</f>
        <v>304418097.6408338</v>
      </c>
      <c r="W19" s="36">
        <f>0.85*tblfocpntsym[[#This Row],[An]]*tblfocpntsym[[#This Row],[kf]]*tblfocpntsym[[#This Row],[fn]]</f>
        <v>37002.01976824335</v>
      </c>
    </row>
    <row r="20" spans="2:23" x14ac:dyDescent="0.2">
      <c r="B20" s="4" t="s">
        <v>38</v>
      </c>
      <c r="C20" s="10">
        <v>1.4300000000000001E-4</v>
      </c>
      <c r="D20" s="9">
        <v>1</v>
      </c>
      <c r="E20" s="4">
        <v>5</v>
      </c>
      <c r="F20" s="4">
        <v>5</v>
      </c>
      <c r="G20" s="4">
        <v>5</v>
      </c>
      <c r="H20" s="5">
        <v>9.2200000000000008E-3</v>
      </c>
      <c r="I20" s="5">
        <v>4.7299999999999998E-3</v>
      </c>
      <c r="J20" s="19">
        <v>0</v>
      </c>
      <c r="K20" s="19">
        <v>0</v>
      </c>
      <c r="L20" s="6">
        <v>5.1499999999999998E-10</v>
      </c>
      <c r="M20" s="6">
        <v>0</v>
      </c>
      <c r="N20" s="6">
        <v>320000000</v>
      </c>
      <c r="O20" s="6">
        <v>200000000000</v>
      </c>
      <c r="P20" s="6">
        <v>80000000000</v>
      </c>
      <c r="Q20" s="6" t="s">
        <v>52</v>
      </c>
      <c r="R20" s="35">
        <f>SQRT(tblfocpntsym[[#This Row],[rx]]^2+tblfocpntsym[[#This Row],[ry]]^2+tblfocpntsym[[#This Row],[xo]]^2+tblfocpntsym[[#This Row],[yo]]^2)</f>
        <v>1.0362494873340107E-2</v>
      </c>
      <c r="S2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0" s="36">
        <f>tblfocpntsym[[#This Row],[foz]]</f>
        <v>2683073199.07552</v>
      </c>
      <c r="U20" s="36">
        <f>SQRT(tblfocpntsym[[#This Row],[fy]]/tblfocpntsym[[#This Row],[foc]])</f>
        <v>0.34534941810074654</v>
      </c>
      <c r="V20" s="36">
        <f>IF(tblfocpntsym[[#This Row],[λc]]&lt;=1.5,0.658^(tblfocpntsym[[#This Row],[λc]]^2),0.877/(tblfocpntsym[[#This Row],[λc]]^2))*tblfocpntsym[[#This Row],[fy]]</f>
        <v>304418097.6408338</v>
      </c>
      <c r="W20" s="36">
        <f>0.85*tblfocpntsym[[#This Row],[An]]*tblfocpntsym[[#This Row],[kf]]*tblfocpntsym[[#This Row],[fn]]</f>
        <v>37002.01976824335</v>
      </c>
    </row>
    <row r="21" spans="2:23" x14ac:dyDescent="0.2">
      <c r="B21" s="4" t="s">
        <v>38</v>
      </c>
      <c r="C21" s="10">
        <v>1.4300000000000001E-4</v>
      </c>
      <c r="D21" s="9">
        <v>1</v>
      </c>
      <c r="E21" s="4">
        <v>1</v>
      </c>
      <c r="F21" s="4">
        <v>1</v>
      </c>
      <c r="G21" s="4">
        <v>1</v>
      </c>
      <c r="H21" s="5">
        <v>9.2200000000000008E-3</v>
      </c>
      <c r="I21" s="5">
        <v>4.7299999999999998E-3</v>
      </c>
      <c r="J21" s="19">
        <v>0</v>
      </c>
      <c r="K21" s="19">
        <v>0</v>
      </c>
      <c r="L21" s="6">
        <v>5.1499999999999998E-10</v>
      </c>
      <c r="M21" s="6">
        <v>0</v>
      </c>
      <c r="N21" s="6">
        <v>320000000</v>
      </c>
      <c r="O21" s="6">
        <v>200000000000</v>
      </c>
      <c r="P21" s="6">
        <v>80000000000</v>
      </c>
      <c r="Q21" s="6" t="s">
        <v>52</v>
      </c>
      <c r="R21" s="35">
        <f>SQRT(tblfocpntsym[[#This Row],[rx]]^2+tblfocpntsym[[#This Row],[ry]]^2+tblfocpntsym[[#This Row],[xo]]^2+tblfocpntsym[[#This Row],[yo]]^2)</f>
        <v>1.0362494873340107E-2</v>
      </c>
      <c r="S2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1" s="36">
        <f>tblfocpntsym[[#This Row],[foz]]</f>
        <v>2683073199.07552</v>
      </c>
      <c r="U21" s="36">
        <f>SQRT(tblfocpntsym[[#This Row],[fy]]/tblfocpntsym[[#This Row],[foc]])</f>
        <v>0.34534941810074654</v>
      </c>
      <c r="V21" s="36">
        <f>IF(tblfocpntsym[[#This Row],[λc]]&lt;=1.5,0.658^(tblfocpntsym[[#This Row],[λc]]^2),0.877/(tblfocpntsym[[#This Row],[λc]]^2))*tblfocpntsym[[#This Row],[fy]]</f>
        <v>304418097.6408338</v>
      </c>
      <c r="W21" s="36">
        <f>0.85*tblfocpntsym[[#This Row],[An]]*tblfocpntsym[[#This Row],[kf]]*tblfocpntsym[[#This Row],[fn]]</f>
        <v>37002.01976824335</v>
      </c>
    </row>
    <row r="22" spans="2:23" x14ac:dyDescent="0.2">
      <c r="B22" s="4" t="s">
        <v>38</v>
      </c>
      <c r="C22" s="10">
        <v>1.4300000000000001E-4</v>
      </c>
      <c r="D22" s="9">
        <v>1</v>
      </c>
      <c r="E22" s="4">
        <v>0.5</v>
      </c>
      <c r="F22" s="4">
        <v>0.5</v>
      </c>
      <c r="G22" s="4">
        <v>0.5</v>
      </c>
      <c r="H22" s="5">
        <v>9.2200000000000008E-3</v>
      </c>
      <c r="I22" s="5">
        <v>4.7299999999999998E-3</v>
      </c>
      <c r="J22" s="19">
        <v>0</v>
      </c>
      <c r="K22" s="19">
        <v>0</v>
      </c>
      <c r="L22" s="6">
        <v>5.1499999999999998E-10</v>
      </c>
      <c r="M22" s="6">
        <v>0</v>
      </c>
      <c r="N22" s="6">
        <v>320000000</v>
      </c>
      <c r="O22" s="6">
        <v>200000000000</v>
      </c>
      <c r="P22" s="6">
        <v>80000000000</v>
      </c>
      <c r="Q22" s="6" t="s">
        <v>52</v>
      </c>
      <c r="R22" s="35">
        <f>SQRT(tblfocpntsym[[#This Row],[rx]]^2+tblfocpntsym[[#This Row],[ry]]^2+tblfocpntsym[[#This Row],[xo]]^2+tblfocpntsym[[#This Row],[yo]]^2)</f>
        <v>1.0362494873340107E-2</v>
      </c>
      <c r="S2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2" s="36">
        <f>tblfocpntsym[[#This Row],[foz]]</f>
        <v>2683073199.07552</v>
      </c>
      <c r="U22" s="36">
        <f>SQRT(tblfocpntsym[[#This Row],[fy]]/tblfocpntsym[[#This Row],[foc]])</f>
        <v>0.34534941810074654</v>
      </c>
      <c r="V22" s="36">
        <f>IF(tblfocpntsym[[#This Row],[λc]]&lt;=1.5,0.658^(tblfocpntsym[[#This Row],[λc]]^2),0.877/(tblfocpntsym[[#This Row],[λc]]^2))*tblfocpntsym[[#This Row],[fy]]</f>
        <v>304418097.6408338</v>
      </c>
      <c r="W22" s="36">
        <f>0.85*tblfocpntsym[[#This Row],[An]]*tblfocpntsym[[#This Row],[kf]]*tblfocpntsym[[#This Row],[fn]]</f>
        <v>37002.01976824335</v>
      </c>
    </row>
    <row r="23" spans="2:23" x14ac:dyDescent="0.2">
      <c r="B23" s="4" t="s">
        <v>38</v>
      </c>
      <c r="C23" s="10">
        <v>1.4300000000000001E-4</v>
      </c>
      <c r="D23" s="9">
        <v>1</v>
      </c>
      <c r="E23" s="4">
        <v>0.1</v>
      </c>
      <c r="F23" s="4">
        <v>0.1</v>
      </c>
      <c r="G23" s="4">
        <v>0.1</v>
      </c>
      <c r="H23" s="5">
        <v>9.2200000000000008E-3</v>
      </c>
      <c r="I23" s="5">
        <v>4.7299999999999998E-3</v>
      </c>
      <c r="J23" s="19">
        <v>0</v>
      </c>
      <c r="K23" s="19">
        <v>0</v>
      </c>
      <c r="L23" s="6">
        <v>5.1499999999999998E-10</v>
      </c>
      <c r="M23" s="6">
        <v>0</v>
      </c>
      <c r="N23" s="6">
        <v>320000000</v>
      </c>
      <c r="O23" s="6">
        <v>200000000000</v>
      </c>
      <c r="P23" s="6">
        <v>80000000000</v>
      </c>
      <c r="Q23" s="6" t="s">
        <v>52</v>
      </c>
      <c r="R23" s="35">
        <f>SQRT(tblfocpntsym[[#This Row],[rx]]^2+tblfocpntsym[[#This Row],[ry]]^2+tblfocpntsym[[#This Row],[xo]]^2+tblfocpntsym[[#This Row],[yo]]^2)</f>
        <v>1.0362494873340107E-2</v>
      </c>
      <c r="S2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3" s="36">
        <f>tblfocpntsym[[#This Row],[foz]]</f>
        <v>2683073199.07552</v>
      </c>
      <c r="U23" s="36">
        <f>SQRT(tblfocpntsym[[#This Row],[fy]]/tblfocpntsym[[#This Row],[foc]])</f>
        <v>0.34534941810074654</v>
      </c>
      <c r="V23" s="36">
        <f>IF(tblfocpntsym[[#This Row],[λc]]&lt;=1.5,0.658^(tblfocpntsym[[#This Row],[λc]]^2),0.877/(tblfocpntsym[[#This Row],[λc]]^2))*tblfocpntsym[[#This Row],[fy]]</f>
        <v>304418097.6408338</v>
      </c>
      <c r="W23" s="36">
        <f>0.85*tblfocpntsym[[#This Row],[An]]*tblfocpntsym[[#This Row],[kf]]*tblfocpntsym[[#This Row],[fn]]</f>
        <v>37002.01976824335</v>
      </c>
    </row>
    <row r="24" spans="2:23" x14ac:dyDescent="0.2">
      <c r="B24" s="4" t="s">
        <v>5</v>
      </c>
      <c r="C24" s="10">
        <v>2.5100000000000001E-2</v>
      </c>
      <c r="D24" s="9">
        <v>1</v>
      </c>
      <c r="E24" s="4">
        <v>40</v>
      </c>
      <c r="F24" s="4">
        <v>40</v>
      </c>
      <c r="G24" s="4">
        <v>40</v>
      </c>
      <c r="H24" s="5">
        <v>0.13900000000000001</v>
      </c>
      <c r="I24" s="5">
        <v>8.9300000000000004E-2</v>
      </c>
      <c r="J24" s="19">
        <v>0</v>
      </c>
      <c r="K24" s="19">
        <v>0</v>
      </c>
      <c r="L24" s="6">
        <v>5.75E-6</v>
      </c>
      <c r="M24" s="6">
        <v>4.6E-6</v>
      </c>
      <c r="N24" s="6">
        <v>280000000</v>
      </c>
      <c r="O24" s="6">
        <v>200000000000</v>
      </c>
      <c r="P24" s="6">
        <v>80000000000</v>
      </c>
      <c r="Q24" s="6" t="s">
        <v>52</v>
      </c>
      <c r="R24" s="35">
        <f>SQRT(tblfocpntsym[[#This Row],[rx]]^2+tblfocpntsym[[#This Row],[ry]]^2+tblfocpntsym[[#This Row],[xo]]^2+tblfocpntsym[[#This Row],[yo]]^2)</f>
        <v>0.16521346797401235</v>
      </c>
      <c r="S2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679701655.55760407</v>
      </c>
      <c r="T24" s="36">
        <f>tblfocpntsym[[#This Row],[foz]]</f>
        <v>679701655.55760407</v>
      </c>
      <c r="U24" s="36">
        <f>SQRT(tblfocpntsym[[#This Row],[fy]]/tblfocpntsym[[#This Row],[foc]])</f>
        <v>0.64182976214796617</v>
      </c>
      <c r="V24" s="36">
        <f>IF(tblfocpntsym[[#This Row],[λc]]&lt;=1.5,0.658^(tblfocpntsym[[#This Row],[λc]]^2),0.877/(tblfocpntsym[[#This Row],[λc]]^2))*tblfocpntsym[[#This Row],[fy]]</f>
        <v>235655194.05987379</v>
      </c>
      <c r="W24" s="36">
        <f>0.85*tblfocpntsym[[#This Row],[An]]*tblfocpntsym[[#This Row],[kf]]*tblfocpntsym[[#This Row],[fn]]</f>
        <v>5027703.5652674073</v>
      </c>
    </row>
    <row r="25" spans="2:23" x14ac:dyDescent="0.2">
      <c r="B25" s="4" t="s">
        <v>5</v>
      </c>
      <c r="C25" s="10">
        <v>2.5100000000000001E-2</v>
      </c>
      <c r="D25" s="9">
        <v>1</v>
      </c>
      <c r="E25" s="4">
        <v>20</v>
      </c>
      <c r="F25" s="4">
        <v>20</v>
      </c>
      <c r="G25" s="4">
        <v>20</v>
      </c>
      <c r="H25" s="5">
        <v>0.13900000000000001</v>
      </c>
      <c r="I25" s="5">
        <v>8.9300000000000004E-2</v>
      </c>
      <c r="J25" s="19">
        <v>0</v>
      </c>
      <c r="K25" s="19">
        <v>0</v>
      </c>
      <c r="L25" s="6">
        <v>5.75E-6</v>
      </c>
      <c r="M25" s="6">
        <v>4.6E-6</v>
      </c>
      <c r="N25" s="6">
        <v>280000000</v>
      </c>
      <c r="O25" s="6">
        <v>200000000000</v>
      </c>
      <c r="P25" s="6">
        <v>80000000000</v>
      </c>
      <c r="Q25" s="6" t="s">
        <v>52</v>
      </c>
      <c r="R25" s="35">
        <f>SQRT(tblfocpntsym[[#This Row],[rx]]^2+tblfocpntsym[[#This Row],[ry]]^2+tblfocpntsym[[#This Row],[xo]]^2+tblfocpntsym[[#This Row],[yo]]^2)</f>
        <v>0.16521346797401235</v>
      </c>
      <c r="S2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704551531.69073784</v>
      </c>
      <c r="T25" s="36">
        <f>tblfocpntsym[[#This Row],[foz]]</f>
        <v>704551531.69073784</v>
      </c>
      <c r="U25" s="36">
        <f>SQRT(tblfocpntsym[[#This Row],[fy]]/tblfocpntsym[[#This Row],[foc]])</f>
        <v>0.63040933279713707</v>
      </c>
      <c r="V25" s="36">
        <f>IF(tblfocpntsym[[#This Row],[λc]]&lt;=1.5,0.658^(tblfocpntsym[[#This Row],[λc]]^2),0.877/(tblfocpntsym[[#This Row],[λc]]^2))*tblfocpntsym[[#This Row],[fy]]</f>
        <v>237092658.48734608</v>
      </c>
      <c r="W25" s="36">
        <f>0.85*tblfocpntsym[[#This Row],[An]]*tblfocpntsym[[#This Row],[kf]]*tblfocpntsym[[#This Row],[fn]]</f>
        <v>5058371.8688275283</v>
      </c>
    </row>
    <row r="26" spans="2:23" x14ac:dyDescent="0.2">
      <c r="B26" s="4" t="s">
        <v>5</v>
      </c>
      <c r="C26" s="10">
        <v>2.5100000000000001E-2</v>
      </c>
      <c r="D26" s="9">
        <v>1</v>
      </c>
      <c r="E26" s="4">
        <v>10</v>
      </c>
      <c r="F26" s="4">
        <v>10</v>
      </c>
      <c r="G26" s="4">
        <v>10</v>
      </c>
      <c r="H26" s="5">
        <v>0.13900000000000001</v>
      </c>
      <c r="I26" s="5">
        <v>8.9300000000000004E-2</v>
      </c>
      <c r="J26" s="19">
        <v>0</v>
      </c>
      <c r="K26" s="19">
        <v>0</v>
      </c>
      <c r="L26" s="6">
        <v>5.75E-6</v>
      </c>
      <c r="M26" s="6">
        <v>4.6E-6</v>
      </c>
      <c r="N26" s="6">
        <v>280000000</v>
      </c>
      <c r="O26" s="6">
        <v>200000000000</v>
      </c>
      <c r="P26" s="6">
        <v>80000000000</v>
      </c>
      <c r="Q26" s="6" t="s">
        <v>52</v>
      </c>
      <c r="R26" s="35">
        <f>SQRT(tblfocpntsym[[#This Row],[rx]]^2+tblfocpntsym[[#This Row],[ry]]^2+tblfocpntsym[[#This Row],[xo]]^2+tblfocpntsym[[#This Row],[yo]]^2)</f>
        <v>0.16521346797401235</v>
      </c>
      <c r="S2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803951036.22327316</v>
      </c>
      <c r="T26" s="36">
        <f>tblfocpntsym[[#This Row],[foz]]</f>
        <v>803951036.22327316</v>
      </c>
      <c r="U26" s="36">
        <f>SQRT(tblfocpntsym[[#This Row],[fy]]/tblfocpntsym[[#This Row],[foc]])</f>
        <v>0.59015245216058321</v>
      </c>
      <c r="V26" s="36">
        <f>IF(tblfocpntsym[[#This Row],[λc]]&lt;=1.5,0.658^(tblfocpntsym[[#This Row],[λc]]^2),0.877/(tblfocpntsym[[#This Row],[λc]]^2))*tblfocpntsym[[#This Row],[fy]]</f>
        <v>242019166.37432027</v>
      </c>
      <c r="W26" s="36">
        <f>0.85*tblfocpntsym[[#This Row],[An]]*tblfocpntsym[[#This Row],[kf]]*tblfocpntsym[[#This Row],[fn]]</f>
        <v>5163478.9145961227</v>
      </c>
    </row>
    <row r="27" spans="2:23" x14ac:dyDescent="0.2">
      <c r="B27" s="4" t="s">
        <v>5</v>
      </c>
      <c r="C27" s="10">
        <v>2.5100000000000001E-2</v>
      </c>
      <c r="D27" s="9">
        <v>1</v>
      </c>
      <c r="E27" s="4">
        <v>5</v>
      </c>
      <c r="F27" s="4">
        <v>5</v>
      </c>
      <c r="G27" s="4">
        <v>5</v>
      </c>
      <c r="H27" s="5">
        <v>0.13900000000000001</v>
      </c>
      <c r="I27" s="5">
        <v>8.9300000000000004E-2</v>
      </c>
      <c r="J27" s="19">
        <v>0</v>
      </c>
      <c r="K27" s="19">
        <v>0</v>
      </c>
      <c r="L27" s="6">
        <v>5.75E-6</v>
      </c>
      <c r="M27" s="6">
        <v>4.6E-6</v>
      </c>
      <c r="N27" s="6">
        <v>280000000</v>
      </c>
      <c r="O27" s="6">
        <v>200000000000</v>
      </c>
      <c r="P27" s="6">
        <v>80000000000</v>
      </c>
      <c r="Q27" s="6" t="s">
        <v>52</v>
      </c>
      <c r="R27" s="35">
        <f>SQRT(tblfocpntsym[[#This Row],[rx]]^2+tblfocpntsym[[#This Row],[ry]]^2+tblfocpntsym[[#This Row],[xo]]^2+tblfocpntsym[[#This Row],[yo]]^2)</f>
        <v>0.16521346797401235</v>
      </c>
      <c r="S2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1201549054.3534143</v>
      </c>
      <c r="T27" s="36">
        <f>tblfocpntsym[[#This Row],[foz]]</f>
        <v>1201549054.3534143</v>
      </c>
      <c r="U27" s="36">
        <f>SQRT(tblfocpntsym[[#This Row],[fy]]/tblfocpntsym[[#This Row],[foc]])</f>
        <v>0.48273441625599095</v>
      </c>
      <c r="V27" s="36">
        <f>IF(tblfocpntsym[[#This Row],[λc]]&lt;=1.5,0.658^(tblfocpntsym[[#This Row],[λc]]^2),0.877/(tblfocpntsym[[#This Row],[λc]]^2))*tblfocpntsym[[#This Row],[fy]]</f>
        <v>253979552.62838429</v>
      </c>
      <c r="W27" s="36">
        <f>0.85*tblfocpntsym[[#This Row],[An]]*tblfocpntsym[[#This Row],[kf]]*tblfocpntsym[[#This Row],[fn]]</f>
        <v>5418653.7553265784</v>
      </c>
    </row>
    <row r="28" spans="2:23" x14ac:dyDescent="0.2">
      <c r="B28" s="4" t="s">
        <v>5</v>
      </c>
      <c r="C28" s="10">
        <v>2.5100000000000001E-2</v>
      </c>
      <c r="D28" s="9">
        <v>1</v>
      </c>
      <c r="E28" s="4">
        <v>1</v>
      </c>
      <c r="F28" s="4">
        <v>1</v>
      </c>
      <c r="G28" s="4">
        <v>1</v>
      </c>
      <c r="H28" s="5">
        <v>0.13900000000000001</v>
      </c>
      <c r="I28" s="5">
        <v>8.9300000000000004E-2</v>
      </c>
      <c r="J28" s="19">
        <v>0</v>
      </c>
      <c r="K28" s="19">
        <v>0</v>
      </c>
      <c r="L28" s="6">
        <v>5.75E-6</v>
      </c>
      <c r="M28" s="6">
        <v>4.6E-6</v>
      </c>
      <c r="N28" s="6">
        <v>280000000</v>
      </c>
      <c r="O28" s="6">
        <v>200000000000</v>
      </c>
      <c r="P28" s="6">
        <v>80000000000</v>
      </c>
      <c r="Q28" s="6" t="s">
        <v>52</v>
      </c>
      <c r="R28" s="35">
        <f>SQRT(tblfocpntsym[[#This Row],[rx]]^2+tblfocpntsym[[#This Row],[ry]]^2+tblfocpntsym[[#This Row],[xo]]^2+tblfocpntsym[[#This Row],[yo]]^2)</f>
        <v>0.16521346797401235</v>
      </c>
      <c r="S2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13924685634.517929</v>
      </c>
      <c r="T28" s="36">
        <f>tblfocpntsym[[#This Row],[foz]]</f>
        <v>13924685634.517929</v>
      </c>
      <c r="U28" s="36">
        <f>SQRT(tblfocpntsym[[#This Row],[fy]]/tblfocpntsym[[#This Row],[foc]])</f>
        <v>0.14180329291889177</v>
      </c>
      <c r="V28" s="36">
        <f>IF(tblfocpntsym[[#This Row],[λc]]&lt;=1.5,0.658^(tblfocpntsym[[#This Row],[λc]]^2),0.877/(tblfocpntsym[[#This Row],[λc]]^2))*tblfocpntsym[[#This Row],[fy]]</f>
        <v>277653329.68547821</v>
      </c>
      <c r="W28" s="36">
        <f>0.85*tblfocpntsym[[#This Row],[An]]*tblfocpntsym[[#This Row],[kf]]*tblfocpntsym[[#This Row],[fn]]</f>
        <v>5923733.7888396773</v>
      </c>
    </row>
    <row r="29" spans="2:23" x14ac:dyDescent="0.2">
      <c r="B29" s="4" t="s">
        <v>37</v>
      </c>
      <c r="C29" s="10">
        <v>7.0299999999999998E-3</v>
      </c>
      <c r="D29" s="9">
        <v>1</v>
      </c>
      <c r="E29" s="4">
        <v>20</v>
      </c>
      <c r="F29" s="4">
        <v>20</v>
      </c>
      <c r="G29" s="4">
        <v>20</v>
      </c>
      <c r="H29" s="5">
        <v>0.14699999999999999</v>
      </c>
      <c r="I29" s="5">
        <v>3.04E-2</v>
      </c>
      <c r="J29" s="19">
        <v>5.67E-2</v>
      </c>
      <c r="K29" s="19">
        <v>0</v>
      </c>
      <c r="L29" s="6">
        <v>4.7199999999999999E-7</v>
      </c>
      <c r="M29" s="6">
        <v>1.5099999999999999E-7</v>
      </c>
      <c r="N29" s="6">
        <v>280000000</v>
      </c>
      <c r="O29" s="6">
        <v>200000000000</v>
      </c>
      <c r="P29" s="6">
        <v>80000000000</v>
      </c>
      <c r="Q29" s="6" t="s">
        <v>52</v>
      </c>
      <c r="R29" s="35">
        <f>SQRT(tblfocpntsym[[#This Row],[rx]]^2+tblfocpntsym[[#This Row],[ry]]^2+tblfocpntsym[[#This Row],[xo]]^2+tblfocpntsym[[#This Row],[yo]]^2)</f>
        <v>0.16046198926848687</v>
      </c>
      <c r="S2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212725331.25708571</v>
      </c>
      <c r="T29" s="36">
        <f>tblfocpntsym[[#This Row],[foz]]</f>
        <v>212725331.25708571</v>
      </c>
      <c r="U29" s="36">
        <f>SQRT(tblfocpntsym[[#This Row],[fy]]/tblfocpntsym[[#This Row],[foc]])</f>
        <v>1.1472799697973588</v>
      </c>
      <c r="V29" s="36">
        <f>IF(tblfocpntsym[[#This Row],[λc]]&lt;=1.5,0.658^(tblfocpntsym[[#This Row],[λc]]^2),0.877/(tblfocpntsym[[#This Row],[λc]]^2))*tblfocpntsym[[#This Row],[fy]]</f>
        <v>161397804.31893876</v>
      </c>
      <c r="W29" s="36">
        <f>0.85*tblfocpntsym[[#This Row],[An]]*tblfocpntsym[[#This Row],[kf]]*tblfocpntsym[[#This Row],[fn]]</f>
        <v>964432.57970781857</v>
      </c>
    </row>
    <row r="30" spans="2:23" x14ac:dyDescent="0.2">
      <c r="B30" s="4" t="s">
        <v>37</v>
      </c>
      <c r="C30" s="10">
        <v>7.0299999999999998E-3</v>
      </c>
      <c r="D30" s="9">
        <v>1</v>
      </c>
      <c r="E30" s="4">
        <v>10</v>
      </c>
      <c r="F30" s="4">
        <v>10</v>
      </c>
      <c r="G30" s="4">
        <v>10</v>
      </c>
      <c r="H30" s="5">
        <v>0.14699999999999999</v>
      </c>
      <c r="I30" s="5">
        <v>3.04E-2</v>
      </c>
      <c r="J30" s="19">
        <v>5.67E-2</v>
      </c>
      <c r="K30" s="19">
        <v>0</v>
      </c>
      <c r="L30" s="6">
        <v>4.7199999999999999E-7</v>
      </c>
      <c r="M30" s="6">
        <v>1.5099999999999999E-7</v>
      </c>
      <c r="N30" s="6">
        <v>280000000</v>
      </c>
      <c r="O30" s="6">
        <v>200000000000</v>
      </c>
      <c r="P30" s="6">
        <v>80000000000</v>
      </c>
      <c r="Q30" s="6" t="s">
        <v>52</v>
      </c>
      <c r="R30" s="35">
        <f>SQRT(tblfocpntsym[[#This Row],[rx]]^2+tblfocpntsym[[#This Row],[ry]]^2+tblfocpntsym[[#This Row],[xo]]^2+tblfocpntsym[[#This Row],[yo]]^2)</f>
        <v>0.16046198926848687</v>
      </c>
      <c r="S3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225075368.94487798</v>
      </c>
      <c r="T30" s="36">
        <f>tblfocpntsym[[#This Row],[foz]]</f>
        <v>225075368.94487798</v>
      </c>
      <c r="U30" s="36">
        <f>SQRT(tblfocpntsym[[#This Row],[fy]]/tblfocpntsym[[#This Row],[foc]])</f>
        <v>1.1153599099098888</v>
      </c>
      <c r="V30" s="36">
        <f>IF(tblfocpntsym[[#This Row],[λc]]&lt;=1.5,0.658^(tblfocpntsym[[#This Row],[λc]]^2),0.877/(tblfocpntsym[[#This Row],[λc]]^2))*tblfocpntsym[[#This Row],[fy]]</f>
        <v>166351224.73811784</v>
      </c>
      <c r="W30" s="36">
        <f>0.85*tblfocpntsym[[#This Row],[An]]*tblfocpntsym[[#This Row],[kf]]*tblfocpntsym[[#This Row],[fn]]</f>
        <v>994031.74342262314</v>
      </c>
    </row>
    <row r="31" spans="2:23" x14ac:dyDescent="0.2">
      <c r="B31" s="4" t="s">
        <v>37</v>
      </c>
      <c r="C31" s="10">
        <v>7.0299999999999998E-3</v>
      </c>
      <c r="D31" s="9">
        <v>1</v>
      </c>
      <c r="E31" s="4">
        <v>5</v>
      </c>
      <c r="F31" s="4">
        <v>5</v>
      </c>
      <c r="G31" s="4">
        <v>5</v>
      </c>
      <c r="H31" s="5">
        <v>0.14699999999999999</v>
      </c>
      <c r="I31" s="5">
        <v>3.04E-2</v>
      </c>
      <c r="J31" s="19">
        <v>5.67E-2</v>
      </c>
      <c r="K31" s="19">
        <v>0</v>
      </c>
      <c r="L31" s="6">
        <v>4.7199999999999999E-7</v>
      </c>
      <c r="M31" s="6">
        <v>1.5099999999999999E-7</v>
      </c>
      <c r="N31" s="6">
        <v>280000000</v>
      </c>
      <c r="O31" s="6">
        <v>200000000000</v>
      </c>
      <c r="P31" s="6">
        <v>80000000000</v>
      </c>
      <c r="Q31" s="6" t="s">
        <v>52</v>
      </c>
      <c r="R31" s="35">
        <f>SQRT(tblfocpntsym[[#This Row],[rx]]^2+tblfocpntsym[[#This Row],[ry]]^2+tblfocpntsym[[#This Row],[xo]]^2+tblfocpntsym[[#This Row],[yo]]^2)</f>
        <v>0.16046198926848687</v>
      </c>
      <c r="S3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274475519.69604725</v>
      </c>
      <c r="T31" s="36">
        <f>tblfocpntsym[[#This Row],[foz]]</f>
        <v>274475519.69604725</v>
      </c>
      <c r="U31" s="36">
        <f>SQRT(tblfocpntsym[[#This Row],[fy]]/tblfocpntsym[[#This Row],[foc]])</f>
        <v>1.0100135673834485</v>
      </c>
      <c r="V31" s="36">
        <f>IF(tblfocpntsym[[#This Row],[λc]]&lt;=1.5,0.658^(tblfocpntsym[[#This Row],[λc]]^2),0.877/(tblfocpntsym[[#This Row],[λc]]^2))*tblfocpntsym[[#This Row],[fy]]</f>
        <v>182694420.28556538</v>
      </c>
      <c r="W31" s="36">
        <f>0.85*tblfocpntsym[[#This Row],[An]]*tblfocpntsym[[#This Row],[kf]]*tblfocpntsym[[#This Row],[fn]]</f>
        <v>1091690.5084163959</v>
      </c>
    </row>
    <row r="32" spans="2:23" x14ac:dyDescent="0.2">
      <c r="B32" s="4" t="s">
        <v>37</v>
      </c>
      <c r="C32" s="10">
        <v>7.0299999999999998E-3</v>
      </c>
      <c r="D32" s="9">
        <v>1</v>
      </c>
      <c r="E32" s="4">
        <v>1</v>
      </c>
      <c r="F32" s="4">
        <v>1</v>
      </c>
      <c r="G32" s="4">
        <v>1</v>
      </c>
      <c r="H32" s="5">
        <v>0.14699999999999999</v>
      </c>
      <c r="I32" s="5">
        <v>3.04E-2</v>
      </c>
      <c r="J32" s="19">
        <v>5.67E-2</v>
      </c>
      <c r="K32" s="19">
        <v>0</v>
      </c>
      <c r="L32" s="6">
        <v>4.7199999999999999E-7</v>
      </c>
      <c r="M32" s="6">
        <v>1.5099999999999999E-7</v>
      </c>
      <c r="N32" s="6">
        <v>280000000</v>
      </c>
      <c r="O32" s="6">
        <v>200000000000</v>
      </c>
      <c r="P32" s="6">
        <v>80000000000</v>
      </c>
      <c r="Q32" s="6" t="s">
        <v>52</v>
      </c>
      <c r="R32" s="35">
        <f>SQRT(tblfocpntsym[[#This Row],[rx]]^2+tblfocpntsym[[#This Row],[ry]]^2+tblfocpntsym[[#This Row],[xo]]^2+tblfocpntsym[[#This Row],[yo]]^2)</f>
        <v>0.16046198926848687</v>
      </c>
      <c r="S3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1855280343.733463</v>
      </c>
      <c r="T32" s="36">
        <f>tblfocpntsym[[#This Row],[foz]]</f>
        <v>1855280343.733463</v>
      </c>
      <c r="U32" s="36">
        <f>SQRT(tblfocpntsym[[#This Row],[fy]]/tblfocpntsym[[#This Row],[foc]])</f>
        <v>0.38848499043668117</v>
      </c>
      <c r="V32" s="36">
        <f>IF(tblfocpntsym[[#This Row],[λc]]&lt;=1.5,0.658^(tblfocpntsym[[#This Row],[λc]]^2),0.877/(tblfocpntsym[[#This Row],[λc]]^2))*tblfocpntsym[[#This Row],[fy]]</f>
        <v>262860044.06201398</v>
      </c>
      <c r="W32" s="36">
        <f>0.85*tblfocpntsym[[#This Row],[An]]*tblfocpntsym[[#This Row],[kf]]*tblfocpntsym[[#This Row],[fn]]</f>
        <v>1570720.1932925645</v>
      </c>
    </row>
    <row r="33" spans="2:23" x14ac:dyDescent="0.2">
      <c r="B33" s="4" t="s">
        <v>37</v>
      </c>
      <c r="C33" s="10">
        <v>7.0299999999999998E-3</v>
      </c>
      <c r="D33" s="9">
        <v>1</v>
      </c>
      <c r="E33" s="4">
        <v>0.5</v>
      </c>
      <c r="F33" s="4">
        <v>0.5</v>
      </c>
      <c r="G33" s="4">
        <v>0.5</v>
      </c>
      <c r="H33" s="5">
        <v>0.14699999999999999</v>
      </c>
      <c r="I33" s="5">
        <v>3.04E-2</v>
      </c>
      <c r="J33" s="19">
        <v>5.67E-2</v>
      </c>
      <c r="K33" s="19">
        <v>0</v>
      </c>
      <c r="L33" s="6">
        <v>4.7199999999999999E-7</v>
      </c>
      <c r="M33" s="6">
        <v>1.5099999999999999E-7</v>
      </c>
      <c r="N33" s="6">
        <v>280000000</v>
      </c>
      <c r="O33" s="6">
        <v>200000000000</v>
      </c>
      <c r="P33" s="6">
        <v>80000000000</v>
      </c>
      <c r="Q33" s="6" t="s">
        <v>52</v>
      </c>
      <c r="R33" s="35">
        <f>SQRT(tblfocpntsym[[#This Row],[rx]]^2+tblfocpntsym[[#This Row],[ry]]^2+tblfocpntsym[[#This Row],[xo]]^2+tblfocpntsym[[#This Row],[yo]]^2)</f>
        <v>0.16046198926848687</v>
      </c>
      <c r="S3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6795295418.8503876</v>
      </c>
      <c r="T33" s="36">
        <f>tblfocpntsym[[#This Row],[foz]]</f>
        <v>6795295418.8503876</v>
      </c>
      <c r="U33" s="36">
        <f>SQRT(tblfocpntsym[[#This Row],[fy]]/tblfocpntsym[[#This Row],[foc]])</f>
        <v>0.20299009399330353</v>
      </c>
      <c r="V33" s="36">
        <f>IF(tblfocpntsym[[#This Row],[λc]]&lt;=1.5,0.658^(tblfocpntsym[[#This Row],[λc]]^2),0.877/(tblfocpntsym[[#This Row],[λc]]^2))*tblfocpntsym[[#This Row],[fy]]</f>
        <v>275212422.57015496</v>
      </c>
      <c r="W33" s="36">
        <f>0.85*tblfocpntsym[[#This Row],[An]]*tblfocpntsym[[#This Row],[kf]]*tblfocpntsym[[#This Row],[fn]]</f>
        <v>1644531.8310679609</v>
      </c>
    </row>
    <row r="34" spans="2:23" x14ac:dyDescent="0.2">
      <c r="B34" s="4" t="s">
        <v>7</v>
      </c>
      <c r="C34" s="10">
        <v>1.6E-2</v>
      </c>
      <c r="D34" s="9">
        <v>0.95</v>
      </c>
      <c r="E34" s="4">
        <v>40</v>
      </c>
      <c r="F34" s="4">
        <v>40</v>
      </c>
      <c r="G34" s="4">
        <v>40</v>
      </c>
      <c r="H34" s="5">
        <v>0.249</v>
      </c>
      <c r="I34" s="5">
        <v>4.9599999999999998E-2</v>
      </c>
      <c r="J34" s="19">
        <v>0</v>
      </c>
      <c r="K34" s="19">
        <v>0</v>
      </c>
      <c r="L34" s="6">
        <v>1.5600000000000001E-6</v>
      </c>
      <c r="M34" s="6">
        <v>3.45E-6</v>
      </c>
      <c r="N34" s="6">
        <v>280000000</v>
      </c>
      <c r="O34" s="6">
        <v>200000000000</v>
      </c>
      <c r="P34" s="6">
        <v>80000000000</v>
      </c>
      <c r="Q34" s="6" t="s">
        <v>52</v>
      </c>
      <c r="R34" s="35">
        <f>SQRT(tblfocpntsym[[#This Row],[rx]]^2+tblfocpntsym[[#This Row],[ry]]^2+tblfocpntsym[[#This Row],[xo]]^2+tblfocpntsym[[#This Row],[yo]]^2)</f>
        <v>0.25389202429379304</v>
      </c>
      <c r="S3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125129871.71070321</v>
      </c>
      <c r="T34" s="36">
        <f>tblfocpntsym[[#This Row],[foz]]</f>
        <v>125129871.71070321</v>
      </c>
      <c r="U34" s="36">
        <f>SQRT(tblfocpntsym[[#This Row],[fy]]/tblfocpntsym[[#This Row],[foc]])</f>
        <v>1.4958860633213742</v>
      </c>
      <c r="V34" s="36">
        <f>IF(tblfocpntsym[[#This Row],[λc]]&lt;=1.5,0.658^(tblfocpntsym[[#This Row],[λc]]^2),0.877/(tblfocpntsym[[#This Row],[λc]]^2))*tblfocpntsym[[#This Row],[fy]]</f>
        <v>109750532.74123318</v>
      </c>
      <c r="W34" s="36">
        <f>0.85*tblfocpntsym[[#This Row],[An]]*tblfocpntsym[[#This Row],[kf]]*tblfocpntsym[[#This Row],[fn]]</f>
        <v>1417976.8830167328</v>
      </c>
    </row>
    <row r="35" spans="2:23" x14ac:dyDescent="0.2">
      <c r="B35" s="4" t="s">
        <v>7</v>
      </c>
      <c r="C35" s="10">
        <v>1.6E-2</v>
      </c>
      <c r="D35" s="9">
        <v>0.95</v>
      </c>
      <c r="E35" s="4">
        <v>20</v>
      </c>
      <c r="F35" s="4">
        <v>20</v>
      </c>
      <c r="G35" s="4">
        <v>20</v>
      </c>
      <c r="H35" s="5">
        <v>0.249</v>
      </c>
      <c r="I35" s="5">
        <v>4.9599999999999998E-2</v>
      </c>
      <c r="J35" s="19">
        <v>0</v>
      </c>
      <c r="K35" s="19">
        <v>0</v>
      </c>
      <c r="L35" s="6">
        <v>1.5600000000000001E-6</v>
      </c>
      <c r="M35" s="6">
        <v>3.45E-6</v>
      </c>
      <c r="N35" s="6">
        <v>280000000</v>
      </c>
      <c r="O35" s="6">
        <v>200000000000</v>
      </c>
      <c r="P35" s="6">
        <v>80000000000</v>
      </c>
      <c r="Q35" s="6" t="s">
        <v>52</v>
      </c>
      <c r="R35" s="35">
        <f>SQRT(tblfocpntsym[[#This Row],[rx]]^2+tblfocpntsym[[#This Row],[ry]]^2+tblfocpntsym[[#This Row],[xo]]^2+tblfocpntsym[[#This Row],[yo]]^2)</f>
        <v>0.25389202429379304</v>
      </c>
      <c r="S3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137510195.66654477</v>
      </c>
      <c r="T35" s="36">
        <f>tblfocpntsym[[#This Row],[foz]]</f>
        <v>137510195.66654477</v>
      </c>
      <c r="U35" s="36">
        <f>SQRT(tblfocpntsym[[#This Row],[fy]]/tblfocpntsym[[#This Row],[foc]])</f>
        <v>1.4269592322769304</v>
      </c>
      <c r="V35" s="36">
        <f>IF(tblfocpntsym[[#This Row],[λc]]&lt;=1.5,0.658^(tblfocpntsym[[#This Row],[λc]]^2),0.877/(tblfocpntsym[[#This Row],[λc]]^2))*tblfocpntsym[[#This Row],[fy]]</f>
        <v>119406315.16221134</v>
      </c>
      <c r="W35" s="36">
        <f>0.85*tblfocpntsym[[#This Row],[An]]*tblfocpntsym[[#This Row],[kf]]*tblfocpntsym[[#This Row],[fn]]</f>
        <v>1542729.5918957705</v>
      </c>
    </row>
    <row r="36" spans="2:23" x14ac:dyDescent="0.2">
      <c r="B36" s="4" t="s">
        <v>7</v>
      </c>
      <c r="C36" s="10">
        <v>1.6E-2</v>
      </c>
      <c r="D36" s="9">
        <v>0.95</v>
      </c>
      <c r="E36" s="4">
        <v>10</v>
      </c>
      <c r="F36" s="4">
        <v>10</v>
      </c>
      <c r="G36" s="4">
        <v>10</v>
      </c>
      <c r="H36" s="5">
        <v>0.249</v>
      </c>
      <c r="I36" s="5">
        <v>4.9599999999999998E-2</v>
      </c>
      <c r="J36" s="19">
        <v>0</v>
      </c>
      <c r="K36" s="19">
        <v>0</v>
      </c>
      <c r="L36" s="6">
        <v>1.5600000000000001E-6</v>
      </c>
      <c r="M36" s="6">
        <v>3.45E-6</v>
      </c>
      <c r="N36" s="6">
        <v>280000000</v>
      </c>
      <c r="O36" s="6">
        <v>200000000000</v>
      </c>
      <c r="P36" s="6">
        <v>80000000000</v>
      </c>
      <c r="Q36" s="6" t="s">
        <v>52</v>
      </c>
      <c r="R36" s="35">
        <f>SQRT(tblfocpntsym[[#This Row],[rx]]^2+tblfocpntsym[[#This Row],[ry]]^2+tblfocpntsym[[#This Row],[xo]]^2+tblfocpntsym[[#This Row],[yo]]^2)</f>
        <v>0.25389202429379304</v>
      </c>
      <c r="S3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187031491.48991096</v>
      </c>
      <c r="T36" s="36">
        <f>tblfocpntsym[[#This Row],[foz]]</f>
        <v>187031491.48991096</v>
      </c>
      <c r="U36" s="36">
        <f>SQRT(tblfocpntsym[[#This Row],[fy]]/tblfocpntsym[[#This Row],[foc]])</f>
        <v>1.2235497907353345</v>
      </c>
      <c r="V36" s="36">
        <f>IF(tblfocpntsym[[#This Row],[λc]]&lt;=1.5,0.658^(tblfocpntsym[[#This Row],[λc]]^2),0.877/(tblfocpntsym[[#This Row],[λc]]^2))*tblfocpntsym[[#This Row],[fy]]</f>
        <v>149633462.77235553</v>
      </c>
      <c r="W36" s="36">
        <f>0.85*tblfocpntsym[[#This Row],[An]]*tblfocpntsym[[#This Row],[kf]]*tblfocpntsym[[#This Row],[fn]]</f>
        <v>1933264.3390188334</v>
      </c>
    </row>
    <row r="37" spans="2:23" x14ac:dyDescent="0.2">
      <c r="B37" s="4" t="s">
        <v>7</v>
      </c>
      <c r="C37" s="10">
        <v>1.6E-2</v>
      </c>
      <c r="D37" s="9">
        <v>0.95</v>
      </c>
      <c r="E37" s="4">
        <v>5</v>
      </c>
      <c r="F37" s="4">
        <v>5</v>
      </c>
      <c r="G37" s="4">
        <v>5</v>
      </c>
      <c r="H37" s="5">
        <v>0.249</v>
      </c>
      <c r="I37" s="5">
        <v>4.9599999999999998E-2</v>
      </c>
      <c r="J37" s="19">
        <v>0</v>
      </c>
      <c r="K37" s="19">
        <v>0</v>
      </c>
      <c r="L37" s="6">
        <v>1.5600000000000001E-6</v>
      </c>
      <c r="M37" s="6">
        <v>3.45E-6</v>
      </c>
      <c r="N37" s="6">
        <v>280000000</v>
      </c>
      <c r="O37" s="6">
        <v>200000000000</v>
      </c>
      <c r="P37" s="6">
        <v>80000000000</v>
      </c>
      <c r="Q37" s="6" t="s">
        <v>52</v>
      </c>
      <c r="R37" s="35">
        <f>SQRT(tblfocpntsym[[#This Row],[rx]]^2+tblfocpntsym[[#This Row],[ry]]^2+tblfocpntsym[[#This Row],[xo]]^2+tblfocpntsym[[#This Row],[yo]]^2)</f>
        <v>0.25389202429379304</v>
      </c>
      <c r="S3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385116674.78337574</v>
      </c>
      <c r="T37" s="36">
        <f>tblfocpntsym[[#This Row],[foz]]</f>
        <v>385116674.78337574</v>
      </c>
      <c r="U37" s="36">
        <f>SQRT(tblfocpntsym[[#This Row],[fy]]/tblfocpntsym[[#This Row],[foc]])</f>
        <v>0.85267367324068644</v>
      </c>
      <c r="V37" s="36">
        <f>IF(tblfocpntsym[[#This Row],[λc]]&lt;=1.5,0.658^(tblfocpntsym[[#This Row],[λc]]^2),0.877/(tblfocpntsym[[#This Row],[λc]]^2))*tblfocpntsym[[#This Row],[fy]]</f>
        <v>206537412.70104975</v>
      </c>
      <c r="W37" s="36">
        <f>0.85*tblfocpntsym[[#This Row],[An]]*tblfocpntsym[[#This Row],[kf]]*tblfocpntsym[[#This Row],[fn]]</f>
        <v>2668463.3720975625</v>
      </c>
    </row>
    <row r="38" spans="2:23" x14ac:dyDescent="0.2">
      <c r="B38" s="4" t="s">
        <v>7</v>
      </c>
      <c r="C38" s="10">
        <v>1.6E-2</v>
      </c>
      <c r="D38" s="9">
        <v>0.95</v>
      </c>
      <c r="E38" s="4">
        <v>1</v>
      </c>
      <c r="F38" s="4">
        <v>1</v>
      </c>
      <c r="G38" s="4">
        <v>1</v>
      </c>
      <c r="H38" s="5">
        <v>0.249</v>
      </c>
      <c r="I38" s="5">
        <v>4.9599999999999998E-2</v>
      </c>
      <c r="J38" s="19">
        <v>0</v>
      </c>
      <c r="K38" s="19">
        <v>0</v>
      </c>
      <c r="L38" s="6">
        <v>1.5600000000000001E-6</v>
      </c>
      <c r="M38" s="6">
        <v>3.45E-6</v>
      </c>
      <c r="N38" s="6">
        <v>280000000</v>
      </c>
      <c r="O38" s="6">
        <v>200000000000</v>
      </c>
      <c r="P38" s="6">
        <v>80000000000</v>
      </c>
      <c r="Q38" s="6" t="s">
        <v>52</v>
      </c>
      <c r="R38" s="35">
        <f>SQRT(tblfocpntsym[[#This Row],[rx]]^2+tblfocpntsym[[#This Row],[ry]]^2+tblfocpntsym[[#This Row],[xo]]^2+tblfocpntsym[[#This Row],[yo]]^2)</f>
        <v>0.25389202429379304</v>
      </c>
      <c r="S3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6723842540.1742487</v>
      </c>
      <c r="T38" s="36">
        <f>tblfocpntsym[[#This Row],[foz]]</f>
        <v>6723842540.1742487</v>
      </c>
      <c r="U38" s="36">
        <f>SQRT(tblfocpntsym[[#This Row],[fy]]/tblfocpntsym[[#This Row],[foc]])</f>
        <v>0.20406581048385225</v>
      </c>
      <c r="V38" s="36">
        <f>IF(tblfocpntsym[[#This Row],[λc]]&lt;=1.5,0.658^(tblfocpntsym[[#This Row],[λc]]^2),0.877/(tblfocpntsym[[#This Row],[λc]]^2))*tblfocpntsym[[#This Row],[fy]]</f>
        <v>275161988.05750769</v>
      </c>
      <c r="W38" s="36">
        <f>0.85*tblfocpntsym[[#This Row],[An]]*tblfocpntsym[[#This Row],[kf]]*tblfocpntsym[[#This Row],[fn]]</f>
        <v>3555092.8857029993</v>
      </c>
    </row>
    <row r="39" spans="2:23" x14ac:dyDescent="0.2">
      <c r="B39" s="4" t="s">
        <v>6</v>
      </c>
      <c r="C39" s="10">
        <v>7.54E-4</v>
      </c>
      <c r="D39" s="32">
        <v>1</v>
      </c>
      <c r="E39" s="4">
        <v>10</v>
      </c>
      <c r="F39" s="4">
        <v>10</v>
      </c>
      <c r="G39" s="4">
        <v>10</v>
      </c>
      <c r="H39" s="5">
        <v>3.0099999999999998E-2</v>
      </c>
      <c r="I39" s="5">
        <v>1.26E-2</v>
      </c>
      <c r="J39" s="19">
        <v>2.7199999999999998E-2</v>
      </c>
      <c r="K39" s="19">
        <v>0</v>
      </c>
      <c r="L39" s="6">
        <v>8.1300000000000007E-9</v>
      </c>
      <c r="M39" s="6">
        <v>1.06E-10</v>
      </c>
      <c r="N39" s="6">
        <v>320000000</v>
      </c>
      <c r="O39" s="6">
        <v>200000000000</v>
      </c>
      <c r="P39" s="6">
        <v>80000000000</v>
      </c>
      <c r="Q39" s="6" t="s">
        <v>52</v>
      </c>
      <c r="R39" s="35">
        <f>SQRT(tblfocpntsym[[#This Row],[rx]]^2+tblfocpntsym[[#This Row],[ry]]^2+tblfocpntsym[[#This Row],[xo]]^2+tblfocpntsym[[#This Row],[yo]]^2)</f>
        <v>4.2480701500799162E-2</v>
      </c>
      <c r="S3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479535455.10111028</v>
      </c>
      <c r="T39" s="36">
        <f>tblfocpntsym[[#This Row],[foz]]</f>
        <v>479535455.10111028</v>
      </c>
      <c r="U39" s="36">
        <f>SQRT(tblfocpntsym[[#This Row],[fy]]/tblfocpntsym[[#This Row],[foc]])</f>
        <v>0.81689197140564929</v>
      </c>
      <c r="V39" s="36">
        <f>IF(tblfocpntsym[[#This Row],[λc]]&lt;=1.5,0.658^(tblfocpntsym[[#This Row],[λc]]^2),0.877/(tblfocpntsym[[#This Row],[λc]]^2))*tblfocpntsym[[#This Row],[fy]]</f>
        <v>242019214.04257417</v>
      </c>
      <c r="W39" s="36">
        <f>0.85*tblfocpntsym[[#This Row],[An]]*tblfocpntsym[[#This Row],[kf]]*tblfocpntsym[[#This Row],[fn]]</f>
        <v>155110.11427988578</v>
      </c>
    </row>
    <row r="40" spans="2:23" x14ac:dyDescent="0.2">
      <c r="B40" s="4" t="s">
        <v>6</v>
      </c>
      <c r="C40" s="10">
        <v>7.54E-4</v>
      </c>
      <c r="D40" s="32">
        <v>1</v>
      </c>
      <c r="E40" s="4">
        <v>5</v>
      </c>
      <c r="F40" s="4">
        <v>5</v>
      </c>
      <c r="G40" s="4">
        <v>5</v>
      </c>
      <c r="H40" s="5">
        <v>3.0099999999999998E-2</v>
      </c>
      <c r="I40" s="5">
        <v>1.26E-2</v>
      </c>
      <c r="J40" s="19">
        <v>2.7199999999999998E-2</v>
      </c>
      <c r="K40" s="19">
        <v>0</v>
      </c>
      <c r="L40" s="6">
        <v>8.1300000000000007E-9</v>
      </c>
      <c r="M40" s="6">
        <v>1.06E-10</v>
      </c>
      <c r="N40" s="6">
        <v>320000000</v>
      </c>
      <c r="O40" s="6">
        <v>200000000000</v>
      </c>
      <c r="P40" s="6">
        <v>80000000000</v>
      </c>
      <c r="Q40" s="6" t="s">
        <v>52</v>
      </c>
      <c r="R40" s="35">
        <f>SQRT(tblfocpntsym[[#This Row],[rx]]^2+tblfocpntsym[[#This Row],[ry]]^2+tblfocpntsym[[#This Row],[xo]]^2+tblfocpntsym[[#This Row],[yo]]^2)</f>
        <v>4.2480701500799162E-2</v>
      </c>
      <c r="S4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484148653.74346507</v>
      </c>
      <c r="T40" s="36">
        <f>tblfocpntsym[[#This Row],[foz]]</f>
        <v>484148653.74346507</v>
      </c>
      <c r="U40" s="36">
        <f>SQRT(tblfocpntsym[[#This Row],[fy]]/tblfocpntsym[[#This Row],[foc]])</f>
        <v>0.812990788464929</v>
      </c>
      <c r="V40" s="36">
        <f>IF(tblfocpntsym[[#This Row],[λc]]&lt;=1.5,0.658^(tblfocpntsym[[#This Row],[λc]]^2),0.877/(tblfocpntsym[[#This Row],[λc]]^2))*tblfocpntsym[[#This Row],[fy]]</f>
        <v>242664167.33857277</v>
      </c>
      <c r="W40" s="36">
        <f>0.85*tblfocpntsym[[#This Row],[An]]*tblfocpntsym[[#This Row],[kf]]*tblfocpntsym[[#This Row],[fn]]</f>
        <v>155523.4648472913</v>
      </c>
    </row>
    <row r="41" spans="2:23" x14ac:dyDescent="0.2">
      <c r="B41" s="4" t="s">
        <v>6</v>
      </c>
      <c r="C41" s="10">
        <v>7.54E-4</v>
      </c>
      <c r="D41" s="32">
        <v>1</v>
      </c>
      <c r="E41" s="4">
        <v>1</v>
      </c>
      <c r="F41" s="4">
        <v>1</v>
      </c>
      <c r="G41" s="4">
        <v>1</v>
      </c>
      <c r="H41" s="5">
        <v>3.0099999999999998E-2</v>
      </c>
      <c r="I41" s="5">
        <v>1.26E-2</v>
      </c>
      <c r="J41" s="19">
        <v>2.7199999999999998E-2</v>
      </c>
      <c r="K41" s="19">
        <v>0</v>
      </c>
      <c r="L41" s="6">
        <v>8.1300000000000007E-9</v>
      </c>
      <c r="M41" s="6">
        <v>1.06E-10</v>
      </c>
      <c r="N41" s="6">
        <v>320000000</v>
      </c>
      <c r="O41" s="6">
        <v>200000000000</v>
      </c>
      <c r="P41" s="6">
        <v>80000000000</v>
      </c>
      <c r="Q41" s="6" t="s">
        <v>52</v>
      </c>
      <c r="R41" s="35">
        <f>SQRT(tblfocpntsym[[#This Row],[rx]]^2+tblfocpntsym[[#This Row],[ry]]^2+tblfocpntsym[[#This Row],[xo]]^2+tblfocpntsym[[#This Row],[yo]]^2)</f>
        <v>4.2480701500799162E-2</v>
      </c>
      <c r="S4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631771010.29881835</v>
      </c>
      <c r="T41" s="36">
        <f>tblfocpntsym[[#This Row],[foz]]</f>
        <v>631771010.29881835</v>
      </c>
      <c r="U41" s="36">
        <f>SQRT(tblfocpntsym[[#This Row],[fy]]/tblfocpntsym[[#This Row],[foc]])</f>
        <v>0.71169701162531152</v>
      </c>
      <c r="V41" s="36">
        <f>IF(tblfocpntsym[[#This Row],[λc]]&lt;=1.5,0.658^(tblfocpntsym[[#This Row],[λc]]^2),0.877/(tblfocpntsym[[#This Row],[λc]]^2))*tblfocpntsym[[#This Row],[fy]]</f>
        <v>258868433.98773217</v>
      </c>
      <c r="W41" s="36">
        <f>0.85*tblfocpntsym[[#This Row],[An]]*tblfocpntsym[[#This Row],[kf]]*tblfocpntsym[[#This Row],[fn]]</f>
        <v>165908.77934273754</v>
      </c>
    </row>
    <row r="42" spans="2:23" x14ac:dyDescent="0.2">
      <c r="B42" s="4" t="s">
        <v>6</v>
      </c>
      <c r="C42" s="10">
        <v>7.54E-4</v>
      </c>
      <c r="D42" s="32">
        <v>1</v>
      </c>
      <c r="E42" s="4">
        <v>0.5</v>
      </c>
      <c r="F42" s="4">
        <v>0.5</v>
      </c>
      <c r="G42" s="4">
        <v>0.5</v>
      </c>
      <c r="H42" s="5">
        <v>3.0099999999999998E-2</v>
      </c>
      <c r="I42" s="5">
        <v>1.26E-2</v>
      </c>
      <c r="J42" s="19">
        <v>2.7199999999999998E-2</v>
      </c>
      <c r="K42" s="19">
        <v>0</v>
      </c>
      <c r="L42" s="6">
        <v>8.1300000000000007E-9</v>
      </c>
      <c r="M42" s="6">
        <v>1.06E-10</v>
      </c>
      <c r="N42" s="6">
        <v>320000000</v>
      </c>
      <c r="O42" s="6">
        <v>200000000000</v>
      </c>
      <c r="P42" s="6">
        <v>80000000000</v>
      </c>
      <c r="Q42" s="6" t="s">
        <v>52</v>
      </c>
      <c r="R42" s="35">
        <f>SQRT(tblfocpntsym[[#This Row],[rx]]^2+tblfocpntsym[[#This Row],[ry]]^2+tblfocpntsym[[#This Row],[xo]]^2+tblfocpntsym[[#This Row],[yo]]^2)</f>
        <v>4.2480701500799162E-2</v>
      </c>
      <c r="S4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1093090874.5342977</v>
      </c>
      <c r="T42" s="36">
        <f>tblfocpntsym[[#This Row],[foz]]</f>
        <v>1093090874.5342977</v>
      </c>
      <c r="U42" s="36">
        <f>SQRT(tblfocpntsym[[#This Row],[fy]]/tblfocpntsym[[#This Row],[foc]])</f>
        <v>0.54106177735342764</v>
      </c>
      <c r="V42" s="36">
        <f>IF(tblfocpntsym[[#This Row],[λc]]&lt;=1.5,0.658^(tblfocpntsym[[#This Row],[λc]]^2),0.877/(tblfocpntsym[[#This Row],[λc]]^2))*tblfocpntsym[[#This Row],[fy]]</f>
        <v>283097477.75295031</v>
      </c>
      <c r="W42" s="36">
        <f>0.85*tblfocpntsym[[#This Row],[An]]*tblfocpntsym[[#This Row],[kf]]*tblfocpntsym[[#This Row],[fn]]</f>
        <v>181437.17349186586</v>
      </c>
    </row>
    <row r="43" spans="2:23" x14ac:dyDescent="0.2">
      <c r="B43" s="4" t="s">
        <v>6</v>
      </c>
      <c r="C43" s="10">
        <v>7.54E-4</v>
      </c>
      <c r="D43" s="32">
        <v>1</v>
      </c>
      <c r="E43" s="4">
        <v>0.1</v>
      </c>
      <c r="F43" s="4">
        <v>0.1</v>
      </c>
      <c r="G43" s="4">
        <v>0.1</v>
      </c>
      <c r="H43" s="5">
        <v>3.0099999999999998E-2</v>
      </c>
      <c r="I43" s="5">
        <v>1.26E-2</v>
      </c>
      <c r="J43" s="19">
        <v>2.7199999999999998E-2</v>
      </c>
      <c r="K43" s="19">
        <v>0</v>
      </c>
      <c r="L43" s="6">
        <v>8.1300000000000007E-9</v>
      </c>
      <c r="M43" s="6">
        <v>1.06E-10</v>
      </c>
      <c r="N43" s="6">
        <v>320000000</v>
      </c>
      <c r="O43" s="6">
        <v>200000000000</v>
      </c>
      <c r="P43" s="6">
        <v>80000000000</v>
      </c>
      <c r="Q43" s="6" t="s">
        <v>52</v>
      </c>
      <c r="R43" s="35">
        <f>SQRT(tblfocpntsym[[#This Row],[rx]]^2+tblfocpntsym[[#This Row],[ry]]^2+tblfocpntsym[[#This Row],[xo]]^2+tblfocpntsym[[#This Row],[yo]]^2)</f>
        <v>4.2480701500799162E-2</v>
      </c>
      <c r="S4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15855326530.069632</v>
      </c>
      <c r="T43" s="36">
        <f>tblfocpntsym[[#This Row],[foz]]</f>
        <v>15855326530.069632</v>
      </c>
      <c r="U43" s="36">
        <f>SQRT(tblfocpntsym[[#This Row],[fy]]/tblfocpntsym[[#This Row],[foc]])</f>
        <v>0.14206509756572014</v>
      </c>
      <c r="V43" s="36">
        <f>IF(tblfocpntsym[[#This Row],[λc]]&lt;=1.5,0.658^(tblfocpntsym[[#This Row],[λc]]^2),0.877/(tblfocpntsym[[#This Row],[λc]]^2))*tblfocpntsym[[#This Row],[fy]]</f>
        <v>317308220.77324158</v>
      </c>
      <c r="W43" s="36">
        <f>0.85*tblfocpntsym[[#This Row],[An]]*tblfocpntsym[[#This Row],[kf]]*tblfocpntsym[[#This Row],[fn]]</f>
        <v>203362.83869357052</v>
      </c>
    </row>
    <row r="44" spans="2:23" x14ac:dyDescent="0.2">
      <c r="B44" s="4" t="s">
        <v>47</v>
      </c>
      <c r="C44" s="10">
        <v>1.0999999999999999E-2</v>
      </c>
      <c r="D44" s="32">
        <v>1</v>
      </c>
      <c r="E44" s="9">
        <v>10</v>
      </c>
      <c r="F44" s="9">
        <v>10</v>
      </c>
      <c r="G44" s="9">
        <v>10</v>
      </c>
      <c r="H44" s="5">
        <v>0.21</v>
      </c>
      <c r="I44" s="5">
        <v>3.6978999999999998E-2</v>
      </c>
      <c r="J44" s="19">
        <v>0</v>
      </c>
      <c r="K44" s="19">
        <v>0.15428504787</v>
      </c>
      <c r="L44" s="6">
        <v>9.1838800792000005E-7</v>
      </c>
      <c r="M44" s="6">
        <v>4.0290907437000001E-7</v>
      </c>
      <c r="N44" s="37">
        <v>300000000</v>
      </c>
      <c r="O44" s="6">
        <v>200000000000</v>
      </c>
      <c r="P44" s="6">
        <v>80000000000</v>
      </c>
      <c r="Q44" s="6" t="s">
        <v>52</v>
      </c>
      <c r="R44" s="35">
        <f>SQRT(tblfocpntsym[[#This Row],[rx]]^2+tblfocpntsym[[#This Row],[ry]]^2+tblfocpntsym[[#This Row],[xo]]^2+tblfocpntsym[[#This Row],[yo]]^2)</f>
        <v>0.26319445745921055</v>
      </c>
      <c r="S4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106858002.98941475</v>
      </c>
      <c r="T44" s="36">
        <f>tblfocpntsym[[#This Row],[foz]]</f>
        <v>106858002.98941475</v>
      </c>
      <c r="U44" s="36">
        <f>SQRT(tblfocpntsym[[#This Row],[fy]]/tblfocpntsym[[#This Row],[foc]])</f>
        <v>1.6755488750585594</v>
      </c>
      <c r="V44" s="36">
        <f>IF(tblfocpntsym[[#This Row],[λc]]&lt;=1.5,0.658^(tblfocpntsym[[#This Row],[λc]]^2),0.877/(tblfocpntsym[[#This Row],[λc]]^2))*tblfocpntsym[[#This Row],[fy]]</f>
        <v>93714468.621716723</v>
      </c>
      <c r="W44" s="36">
        <f>0.85*tblfocpntsym[[#This Row],[An]]*tblfocpntsym[[#This Row],[kf]]*tblfocpntsym[[#This Row],[fn]]</f>
        <v>876230.28161305131</v>
      </c>
    </row>
    <row r="45" spans="2:23" x14ac:dyDescent="0.2">
      <c r="B45" s="4" t="s">
        <v>47</v>
      </c>
      <c r="C45" s="10">
        <v>1.0999999999999999E-2</v>
      </c>
      <c r="D45" s="32">
        <v>1</v>
      </c>
      <c r="E45" s="9">
        <v>5</v>
      </c>
      <c r="F45" s="9">
        <v>5</v>
      </c>
      <c r="G45" s="9">
        <v>5</v>
      </c>
      <c r="H45" s="5">
        <v>0.21</v>
      </c>
      <c r="I45" s="5">
        <v>3.6978999999999998E-2</v>
      </c>
      <c r="J45" s="19">
        <v>0</v>
      </c>
      <c r="K45" s="19">
        <v>0.15428504787</v>
      </c>
      <c r="L45" s="6">
        <v>9.1838800792000005E-7</v>
      </c>
      <c r="M45" s="6">
        <v>4.0290907437000001E-7</v>
      </c>
      <c r="N45" s="37">
        <v>300000000</v>
      </c>
      <c r="O45" s="6">
        <v>200000000000</v>
      </c>
      <c r="P45" s="6">
        <v>80000000000</v>
      </c>
      <c r="Q45" s="6" t="s">
        <v>52</v>
      </c>
      <c r="R45" s="35">
        <f>SQRT(tblfocpntsym[[#This Row],[rx]]^2+tblfocpntsym[[#This Row],[ry]]^2+tblfocpntsym[[#This Row],[xo]]^2+tblfocpntsym[[#This Row],[yo]]^2)</f>
        <v>0.26319445745921055</v>
      </c>
      <c r="S4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138170080.30350193</v>
      </c>
      <c r="T45" s="36">
        <f>tblfocpntsym[[#This Row],[foz]]</f>
        <v>138170080.30350193</v>
      </c>
      <c r="U45" s="36">
        <f>SQRT(tblfocpntsym[[#This Row],[fy]]/tblfocpntsym[[#This Row],[foc]])</f>
        <v>1.4735118145726454</v>
      </c>
      <c r="V45" s="36">
        <f>IF(tblfocpntsym[[#This Row],[λc]]&lt;=1.5,0.658^(tblfocpntsym[[#This Row],[λc]]^2),0.877/(tblfocpntsym[[#This Row],[λc]]^2))*tblfocpntsym[[#This Row],[fy]]</f>
        <v>120905644.65178001</v>
      </c>
      <c r="W45" s="36">
        <f>0.85*tblfocpntsym[[#This Row],[An]]*tblfocpntsym[[#This Row],[kf]]*tblfocpntsym[[#This Row],[fn]]</f>
        <v>1130467.777494143</v>
      </c>
    </row>
    <row r="46" spans="2:23" x14ac:dyDescent="0.2">
      <c r="B46" s="4" t="s">
        <v>47</v>
      </c>
      <c r="C46" s="10">
        <v>1.0999999999999999E-2</v>
      </c>
      <c r="D46" s="32">
        <v>1</v>
      </c>
      <c r="E46" s="9">
        <v>1</v>
      </c>
      <c r="F46" s="9">
        <v>1</v>
      </c>
      <c r="G46" s="9">
        <v>1</v>
      </c>
      <c r="H46" s="5">
        <v>0.21</v>
      </c>
      <c r="I46" s="5">
        <v>3.6978999999999998E-2</v>
      </c>
      <c r="J46" s="19">
        <v>0</v>
      </c>
      <c r="K46" s="19">
        <v>0.15428504787</v>
      </c>
      <c r="L46" s="6">
        <v>9.1838800792000005E-7</v>
      </c>
      <c r="M46" s="6">
        <v>4.0290907437000001E-7</v>
      </c>
      <c r="N46" s="37">
        <v>300000000</v>
      </c>
      <c r="O46" s="6">
        <v>200000000000</v>
      </c>
      <c r="P46" s="6">
        <v>80000000000</v>
      </c>
      <c r="Q46" s="6" t="s">
        <v>52</v>
      </c>
      <c r="R46" s="35">
        <f>SQRT(tblfocpntsym[[#This Row],[rx]]^2+tblfocpntsym[[#This Row],[ry]]^2+tblfocpntsym[[#This Row],[xo]]^2+tblfocpntsym[[#This Row],[yo]]^2)</f>
        <v>0.26319445745921055</v>
      </c>
      <c r="S4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1140156554.3542917</v>
      </c>
      <c r="T46" s="36">
        <f>tblfocpntsym[[#This Row],[foz]]</f>
        <v>1140156554.3542917</v>
      </c>
      <c r="U46" s="36">
        <f>SQRT(tblfocpntsym[[#This Row],[fy]]/tblfocpntsym[[#This Row],[foc]])</f>
        <v>0.51295395568360436</v>
      </c>
      <c r="V46" s="36">
        <f>IF(tblfocpntsym[[#This Row],[λc]]&lt;=1.5,0.658^(tblfocpntsym[[#This Row],[λc]]^2),0.877/(tblfocpntsym[[#This Row],[λc]]^2))*tblfocpntsym[[#This Row],[fy]]</f>
        <v>268715384.7616545</v>
      </c>
      <c r="W46" s="36">
        <f>0.85*tblfocpntsym[[#This Row],[An]]*tblfocpntsym[[#This Row],[kf]]*tblfocpntsym[[#This Row],[fn]]</f>
        <v>2512488.8475214695</v>
      </c>
    </row>
    <row r="47" spans="2:23" x14ac:dyDescent="0.2">
      <c r="B47" s="4" t="s">
        <v>47</v>
      </c>
      <c r="C47" s="10">
        <v>1.0999999999999999E-2</v>
      </c>
      <c r="D47" s="32">
        <v>1</v>
      </c>
      <c r="E47" s="9">
        <v>0.5</v>
      </c>
      <c r="F47" s="9">
        <v>0.5</v>
      </c>
      <c r="G47" s="9">
        <v>0.5</v>
      </c>
      <c r="H47" s="5">
        <v>0.21</v>
      </c>
      <c r="I47" s="5">
        <v>3.6978999999999998E-2</v>
      </c>
      <c r="J47" s="19">
        <v>0</v>
      </c>
      <c r="K47" s="19">
        <v>0.15428504787</v>
      </c>
      <c r="L47" s="6">
        <v>9.1838800792000005E-7</v>
      </c>
      <c r="M47" s="6">
        <v>4.0290907437000001E-7</v>
      </c>
      <c r="N47" s="37">
        <v>300000000</v>
      </c>
      <c r="O47" s="6">
        <v>200000000000</v>
      </c>
      <c r="P47" s="6">
        <v>80000000000</v>
      </c>
      <c r="Q47" s="6" t="s">
        <v>52</v>
      </c>
      <c r="R47" s="35">
        <f>SQRT(tblfocpntsym[[#This Row],[rx]]^2+tblfocpntsym[[#This Row],[ry]]^2+tblfocpntsym[[#This Row],[xo]]^2+tblfocpntsym[[#This Row],[yo]]^2)</f>
        <v>0.26319445745921055</v>
      </c>
      <c r="S4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4271364285.7630091</v>
      </c>
      <c r="T47" s="36">
        <f>tblfocpntsym[[#This Row],[foz]]</f>
        <v>4271364285.7630091</v>
      </c>
      <c r="U47" s="36">
        <f>SQRT(tblfocpntsym[[#This Row],[fy]]/tblfocpntsym[[#This Row],[foc]])</f>
        <v>0.26501918942340458</v>
      </c>
      <c r="V47" s="36">
        <f>IF(tblfocpntsym[[#This Row],[λc]]&lt;=1.5,0.658^(tblfocpntsym[[#This Row],[λc]]^2),0.877/(tblfocpntsym[[#This Row],[λc]]^2))*tblfocpntsym[[#This Row],[fy]]</f>
        <v>291309279.66962755</v>
      </c>
      <c r="W47" s="36">
        <f>0.85*tblfocpntsym[[#This Row],[An]]*tblfocpntsym[[#This Row],[kf]]*tblfocpntsym[[#This Row],[fn]]</f>
        <v>2723741.7649110174</v>
      </c>
    </row>
    <row r="48" spans="2:23" x14ac:dyDescent="0.2">
      <c r="B48" s="4" t="s">
        <v>46</v>
      </c>
      <c r="C48" s="10">
        <v>1.2999999999999999E-2</v>
      </c>
      <c r="D48" s="32">
        <v>1</v>
      </c>
      <c r="E48" s="9">
        <v>10</v>
      </c>
      <c r="F48" s="9">
        <v>10</v>
      </c>
      <c r="G48" s="9">
        <v>10</v>
      </c>
      <c r="H48" s="5">
        <v>0.12710030359999999</v>
      </c>
      <c r="I48" s="5">
        <v>4.5328083000300001E-2</v>
      </c>
      <c r="J48" s="19">
        <v>2.20614080619E-2</v>
      </c>
      <c r="K48" s="19">
        <v>0</v>
      </c>
      <c r="L48" s="6">
        <v>1.5847556188E-6</v>
      </c>
      <c r="M48" s="6">
        <v>3.0634423938800001E-8</v>
      </c>
      <c r="N48" s="37">
        <v>300000000</v>
      </c>
      <c r="O48" s="6">
        <v>200000000000</v>
      </c>
      <c r="P48" s="6">
        <v>80000000000</v>
      </c>
      <c r="Q48" s="6" t="s">
        <v>52</v>
      </c>
      <c r="R48" s="35">
        <f>SQRT(tblfocpntsym[[#This Row],[rx]]^2+tblfocpntsym[[#This Row],[ry]]^2+tblfocpntsym[[#This Row],[xo]]^2+tblfocpntsym[[#This Row],[yo]]^2)</f>
        <v>0.13673268815235048</v>
      </c>
      <c r="S4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524120011.94488424</v>
      </c>
      <c r="T48" s="36">
        <f>tblfocpntsym[[#This Row],[foz]]</f>
        <v>524120011.94488424</v>
      </c>
      <c r="U48" s="36">
        <f>SQRT(tblfocpntsym[[#This Row],[fy]]/tblfocpntsym[[#This Row],[foc]])</f>
        <v>0.75656327541226398</v>
      </c>
      <c r="V48" s="36">
        <f>IF(tblfocpntsym[[#This Row],[λc]]&lt;=1.5,0.658^(tblfocpntsym[[#This Row],[λc]]^2),0.877/(tblfocpntsym[[#This Row],[λc]]^2))*tblfocpntsym[[#This Row],[fy]]</f>
        <v>236089101.5167107</v>
      </c>
      <c r="W48" s="36">
        <f>0.85*tblfocpntsym[[#This Row],[An]]*tblfocpntsym[[#This Row],[kf]]*tblfocpntsym[[#This Row],[fn]]</f>
        <v>2608784.5717596528</v>
      </c>
    </row>
    <row r="49" spans="2:23" x14ac:dyDescent="0.2">
      <c r="B49" s="4" t="s">
        <v>46</v>
      </c>
      <c r="C49" s="10">
        <v>1.2999999999999999E-2</v>
      </c>
      <c r="D49" s="32">
        <v>1</v>
      </c>
      <c r="E49" s="9">
        <v>5</v>
      </c>
      <c r="F49" s="9">
        <v>5</v>
      </c>
      <c r="G49" s="9">
        <v>5</v>
      </c>
      <c r="H49" s="5">
        <v>0.12710030359999999</v>
      </c>
      <c r="I49" s="5">
        <v>4.5328083000300001E-2</v>
      </c>
      <c r="J49" s="19">
        <v>2.20614080619E-2</v>
      </c>
      <c r="K49" s="19">
        <v>0</v>
      </c>
      <c r="L49" s="6">
        <v>1.5847556188E-6</v>
      </c>
      <c r="M49" s="6">
        <v>3.0634423938800001E-8</v>
      </c>
      <c r="N49" s="37">
        <v>300000000</v>
      </c>
      <c r="O49" s="6">
        <v>200000000000</v>
      </c>
      <c r="P49" s="6">
        <v>80000000000</v>
      </c>
      <c r="Q49" s="6" t="s">
        <v>52</v>
      </c>
      <c r="R49" s="35">
        <f>SQRT(tblfocpntsym[[#This Row],[rx]]^2+tblfocpntsym[[#This Row],[ry]]^2+tblfocpntsym[[#This Row],[xo]]^2+tblfocpntsym[[#This Row],[yo]]^2)</f>
        <v>0.13673268815235048</v>
      </c>
      <c r="S4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531584029.59004796</v>
      </c>
      <c r="T49" s="36">
        <f>tblfocpntsym[[#This Row],[foz]]</f>
        <v>531584029.59004796</v>
      </c>
      <c r="U49" s="36">
        <f>SQRT(tblfocpntsym[[#This Row],[fy]]/tblfocpntsym[[#This Row],[foc]])</f>
        <v>0.75123301318604074</v>
      </c>
      <c r="V49" s="36">
        <f>IF(tblfocpntsym[[#This Row],[λc]]&lt;=1.5,0.658^(tblfocpntsym[[#This Row],[λc]]^2),0.877/(tblfocpntsym[[#This Row],[λc]]^2))*tblfocpntsym[[#This Row],[fy]]</f>
        <v>236884611.34716707</v>
      </c>
      <c r="W49" s="36">
        <f>0.85*tblfocpntsym[[#This Row],[An]]*tblfocpntsym[[#This Row],[kf]]*tblfocpntsym[[#This Row],[fn]]</f>
        <v>2617574.9553861958</v>
      </c>
    </row>
    <row r="50" spans="2:23" x14ac:dyDescent="0.2">
      <c r="B50" s="4" t="s">
        <v>46</v>
      </c>
      <c r="C50" s="10">
        <v>1.2999999999999999E-2</v>
      </c>
      <c r="D50" s="32">
        <v>1</v>
      </c>
      <c r="E50" s="9">
        <v>1</v>
      </c>
      <c r="F50" s="9">
        <v>1</v>
      </c>
      <c r="G50" s="9">
        <v>1</v>
      </c>
      <c r="H50" s="5">
        <v>0.12710030359999999</v>
      </c>
      <c r="I50" s="5">
        <v>4.5328083000300001E-2</v>
      </c>
      <c r="J50" s="19">
        <v>2.20614080619E-2</v>
      </c>
      <c r="K50" s="19">
        <v>0</v>
      </c>
      <c r="L50" s="6">
        <v>1.5847556188E-6</v>
      </c>
      <c r="M50" s="6">
        <v>3.0634423938800001E-8</v>
      </c>
      <c r="N50" s="37">
        <v>300000000</v>
      </c>
      <c r="O50" s="6">
        <v>200000000000</v>
      </c>
      <c r="P50" s="6">
        <v>80000000000</v>
      </c>
      <c r="Q50" s="6" t="s">
        <v>52</v>
      </c>
      <c r="R50" s="35">
        <f>SQRT(tblfocpntsym[[#This Row],[rx]]^2+tblfocpntsym[[#This Row],[ry]]^2+tblfocpntsym[[#This Row],[xo]]^2+tblfocpntsym[[#This Row],[yo]]^2)</f>
        <v>0.13673268815235048</v>
      </c>
      <c r="S5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770432594.23528934</v>
      </c>
      <c r="T50" s="36">
        <f>tblfocpntsym[[#This Row],[foz]]</f>
        <v>770432594.23528934</v>
      </c>
      <c r="U50" s="36">
        <f>SQRT(tblfocpntsym[[#This Row],[fy]]/tblfocpntsym[[#This Row],[foc]])</f>
        <v>0.6240125200913208</v>
      </c>
      <c r="V50" s="36">
        <f>IF(tblfocpntsym[[#This Row],[λc]]&lt;=1.5,0.658^(tblfocpntsym[[#This Row],[λc]]^2),0.877/(tblfocpntsym[[#This Row],[λc]]^2))*tblfocpntsym[[#This Row],[fy]]</f>
        <v>254882454.09317896</v>
      </c>
      <c r="W50" s="36">
        <f>0.85*tblfocpntsym[[#This Row],[An]]*tblfocpntsym[[#This Row],[kf]]*tblfocpntsym[[#This Row],[fn]]</f>
        <v>2816451.1177296271</v>
      </c>
    </row>
    <row r="51" spans="2:23" x14ac:dyDescent="0.2">
      <c r="B51" s="4" t="s">
        <v>46</v>
      </c>
      <c r="C51" s="10">
        <v>1.2999999999999999E-2</v>
      </c>
      <c r="D51" s="32">
        <v>1</v>
      </c>
      <c r="E51" s="9">
        <v>0.5</v>
      </c>
      <c r="F51" s="9">
        <v>0.5</v>
      </c>
      <c r="G51" s="9">
        <v>0.5</v>
      </c>
      <c r="H51" s="5">
        <v>0.12710030359999999</v>
      </c>
      <c r="I51" s="5">
        <v>4.5328083000300001E-2</v>
      </c>
      <c r="J51" s="19">
        <v>2.20614080619E-2</v>
      </c>
      <c r="K51" s="19">
        <v>0</v>
      </c>
      <c r="L51" s="6">
        <v>1.5847556188E-6</v>
      </c>
      <c r="M51" s="6">
        <v>3.0634423938800001E-8</v>
      </c>
      <c r="N51" s="37">
        <v>300000000</v>
      </c>
      <c r="O51" s="6">
        <v>200000000000</v>
      </c>
      <c r="P51" s="6">
        <v>80000000000</v>
      </c>
      <c r="Q51" s="6" t="s">
        <v>52</v>
      </c>
      <c r="R51" s="35">
        <f>SQRT(tblfocpntsym[[#This Row],[rx]]^2+tblfocpntsym[[#This Row],[ry]]^2+tblfocpntsym[[#This Row],[xo]]^2+tblfocpntsym[[#This Row],[yo]]^2)</f>
        <v>0.13673268815235048</v>
      </c>
      <c r="S5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1516834358.7516687</v>
      </c>
      <c r="T51" s="36">
        <f>tblfocpntsym[[#This Row],[foz]]</f>
        <v>1516834358.7516687</v>
      </c>
      <c r="U51" s="36">
        <f>SQRT(tblfocpntsym[[#This Row],[fy]]/tblfocpntsym[[#This Row],[foc]])</f>
        <v>0.44472500489709454</v>
      </c>
      <c r="V51" s="36">
        <f>IF(tblfocpntsym[[#This Row],[λc]]&lt;=1.5,0.658^(tblfocpntsym[[#This Row],[λc]]^2),0.877/(tblfocpntsym[[#This Row],[λc]]^2))*tblfocpntsym[[#This Row],[fy]]</f>
        <v>276165810.7127685</v>
      </c>
      <c r="W51" s="36">
        <f>0.85*tblfocpntsym[[#This Row],[An]]*tblfocpntsym[[#This Row],[kf]]*tblfocpntsym[[#This Row],[fn]]</f>
        <v>3051632.2083760914</v>
      </c>
    </row>
    <row r="53" spans="2:23" x14ac:dyDescent="0.2">
      <c r="B53" s="17" t="str">
        <f t="array" ref="B53:B74">TRANSPOSE(tblfocpntsym[#Headers])</f>
        <v>Section</v>
      </c>
      <c r="C53" s="33" t="str">
        <f t="array" aca="1" ref="C53" ca="1">_xlfn.CONCAT(INDIRECT("tblfocpntsym["&amp;B53&amp;"]")&amp;", ")</f>
        <v xml:space="preserve">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3" s="17" t="str">
        <f ca="1">B53&amp;" = ["&amp;LEFT(C53,LEN(C53)-2)&amp;"]"</f>
        <v>Section = [100UC15,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54" spans="2:23" x14ac:dyDescent="0.2">
      <c r="B54" s="17" t="str">
        <v>An</v>
      </c>
      <c r="C54" s="33" t="str">
        <f t="array" aca="1" ref="C54" ca="1">_xlfn.CONCAT(INDIRECT("tblfocpntsym["&amp;B54&amp;"]")&amp;", ")</f>
        <v xml:space="preserve">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54" s="17" t="str">
        <f t="shared" ref="D54:D66" ca="1" si="0">B54&amp;" = ["&amp;LEFT(C54,LEN(C54)-2)&amp;"]"</f>
        <v>An = [0.00189,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55" spans="2:23" x14ac:dyDescent="0.2">
      <c r="B55" s="17" t="str">
        <v>kf</v>
      </c>
      <c r="C55" s="33" t="str">
        <f t="array" aca="1" ref="C55" ca="1">_xlfn.CONCAT(INDIRECT("tblfocpntsym["&amp;B55&amp;"]")&amp;", ")</f>
        <v xml:space="preserve">1, 1, 1, 1, 0.837, 0.837, 0.837, 0.837, 0.837, 0.837, 0.958, 0.958, 0.958, 0.958, 0.958, 0.958, 1, 1, 1, 1, 1, 1, 1, 1, 1, 1, 1, 1, 1, 1, 1, 0.95, 0.95, 0.95, 0.95, 0.95, 1, 1, 1, 1, 1, 1, 1, 1, 1, 1, 1, 1, 1, </v>
      </c>
      <c r="D55" s="17" t="str">
        <f t="shared" ca="1" si="0"/>
        <v>kf = [1, 1, 1, 1, 0.837, 0.837, 0.837, 0.837, 0.837, 0.837, 0.958, 0.958, 0.958, 0.958, 0.958, 0.958, 1, 1, 1, 1, 1, 1, 1, 1, 1, 1, 1, 1, 1, 1, 1, 0.95, 0.95, 0.95, 0.95, 0.95, 1, 1, 1, 1, 1, 1, 1, 1, 1, 1, 1, 1, 1]</v>
      </c>
    </row>
    <row r="56" spans="2:23" x14ac:dyDescent="0.2">
      <c r="B56" s="17" t="str">
        <v>lex</v>
      </c>
      <c r="C56" s="33" t="str">
        <f t="array" aca="1" ref="C56" ca="1">_xlfn.CONCAT(INDIRECT("tblfocpntsym["&amp;B56&amp;"]")&amp;", ")</f>
        <v xml:space="preserve">10, 5, 1, 0.5, 80, 40, 20, 10, 5, 1, 20, 10, 5, 1, 0.5, 0.1, 10, 5, 1, 0.5, 0.1, 40, 20, 10, 5, 1, 20, 10, 5, 1, 0.5, 40, 20, 10, 5, 1, 10, 5, 1, 0.5, 0.1, 10, 5, 1, 0.5, 10, 5, 1, 0.5, </v>
      </c>
      <c r="D56" s="17" t="str">
        <f t="shared" ca="1" si="0"/>
        <v>lex = [10, 5, 1, 0.5, 80, 40, 20, 10, 5, 1, 20, 10, 5, 1, 0.5, 0.1, 10, 5, 1, 0.5, 0.1, 40, 20, 10, 5, 1, 20, 10, 5, 1, 0.5, 40, 20, 10, 5, 1, 10, 5, 1, 0.5, 0.1, 10, 5, 1, 0.5, 10, 5, 1, 0.5]</v>
      </c>
    </row>
    <row r="57" spans="2:23" x14ac:dyDescent="0.2">
      <c r="B57" s="17" t="str">
        <v>ley</v>
      </c>
      <c r="C57" s="33" t="str">
        <f t="array" aca="1" ref="C57" ca="1">_xlfn.CONCAT(INDIRECT("tblfocpntsym["&amp;B57&amp;"]")&amp;", ")</f>
        <v xml:space="preserve">10, 5, 1, 0.5, 80, 40, 20, 10, 5, 1, 20, 10, 5, 1, 0.5, 0.1, 10, 5, 1, 0.5, 0.1, 40, 20, 10, 5, 1, 20, 10, 5, 1, 0.5, 40, 20, 10, 5, 1, 10, 5, 1, 0.5, 0.1, 10, 5, 1, 0.5, 10, 5, 1, 0.5, </v>
      </c>
      <c r="D57" s="17" t="str">
        <f t="shared" ca="1" si="0"/>
        <v>ley = [10, 5, 1, 0.5, 80, 40, 20, 10, 5, 1, 20, 10, 5, 1, 0.5, 0.1, 10, 5, 1, 0.5, 0.1, 40, 20, 10, 5, 1, 20, 10, 5, 1, 0.5, 40, 20, 10, 5, 1, 10, 5, 1, 0.5, 0.1, 10, 5, 1, 0.5, 10, 5, 1, 0.5]</v>
      </c>
    </row>
    <row r="58" spans="2:23" x14ac:dyDescent="0.2">
      <c r="B58" s="17" t="str">
        <v>lez</v>
      </c>
      <c r="C58" s="33" t="str">
        <f t="array" aca="1" ref="C58" ca="1">_xlfn.CONCAT(INDIRECT("tblfocpntsym["&amp;B58&amp;"]")&amp;", ")</f>
        <v xml:space="preserve">10, 5, 1, 0.5, 80, 40, 20, 10, 5, 1, 20, 10, 5, 1, 0.5, 0.1, 10, 5, 1, 0.5, 0.1, 40, 20, 10, 5, 1, 20, 10, 5, 1, 0.5, 40, 20, 10, 5, 1, 10, 5, 1, 0.5, 0.1, 10, 5, 1, 0.5, 10, 5, 1, 0.5, </v>
      </c>
      <c r="D58" s="17" t="str">
        <f t="shared" ca="1" si="0"/>
        <v>lez = [10, 5, 1, 0.5, 80, 40, 20, 10, 5, 1, 20, 10, 5, 1, 0.5, 0.1, 10, 5, 1, 0.5, 0.1, 40, 20, 10, 5, 1, 20, 10, 5, 1, 0.5, 40, 20, 10, 5, 1, 10, 5, 1, 0.5, 0.1, 10, 5, 1, 0.5, 10, 5, 1, 0.5]</v>
      </c>
    </row>
    <row r="59" spans="2:23" x14ac:dyDescent="0.2">
      <c r="B59" s="17" t="str">
        <v>rx</v>
      </c>
      <c r="C59" s="33" t="str">
        <f t="array" aca="1" ref="C59" ca="1">_xlfn.CONCAT(INDIRECT("tblfocpntsym["&amp;B59&amp;"]")&amp;", ")</f>
        <v xml:space="preserve">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59" s="17" t="str">
        <f t="shared" ca="1" si="0"/>
        <v>rx = [0.0411,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0" spans="2:23" x14ac:dyDescent="0.2">
      <c r="B60" s="17" t="str">
        <v>ry</v>
      </c>
      <c r="C60" s="33" t="str">
        <f t="array" aca="1" ref="C60" ca="1">_xlfn.CONCAT(INDIRECT("tblfocpntsym["&amp;B60&amp;"]")&amp;", ")</f>
        <v xml:space="preserve">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0" s="17" t="str">
        <f t="shared" ca="1" si="0"/>
        <v>ry = [0.0245,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1" spans="2:23" x14ac:dyDescent="0.2">
      <c r="B61" s="17" t="str">
        <v>xo</v>
      </c>
      <c r="C61" s="33" t="str">
        <f t="array" aca="1" ref="C61" ca="1">_xlfn.CONCAT(INDIRECT("tblfocpntsym["&amp;B61&amp;"]")&amp;", ")</f>
        <v xml:space="preserve">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1" s="17" t="str">
        <f t="shared" ca="1" si="0"/>
        <v>xo = [0,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2" spans="2:23" x14ac:dyDescent="0.2">
      <c r="B62" s="17" t="str">
        <v>yo</v>
      </c>
      <c r="C62" s="33" t="str">
        <f t="array" aca="1" ref="C62" ca="1">_xlfn.CONCAT(INDIRECT("tblfocpntsym["&amp;B62&amp;"]")&amp;", ")</f>
        <v xml:space="preserve">0, 0, 0, 0, 0, 0, 0, 0, 0, 0, 0, 0, 0, 0, 0, 0, 0, 0, 0, 0, 0, 0, 0, 0, 0, 0, 0, 0, 0, 0, 0, 0, 0, 0, 0, 0, 0, 0, 0, 0, 0, 0.15428504787, 0.15428504787, 0.15428504787, 0.15428504787, 0, 0, 0, 0, </v>
      </c>
      <c r="D62" s="17" t="str">
        <f t="shared" ca="1" si="0"/>
        <v>yo = [0, 0, 0, 0, 0, 0, 0, 0, 0, 0, 0, 0, 0, 0, 0, 0, 0, 0, 0, 0, 0, 0, 0, 0, 0, 0, 0, 0, 0, 0, 0, 0, 0, 0, 0, 0, 0, 0, 0, 0, 0, 0.15428504787, 0.15428504787, 0.15428504787, 0.15428504787, 0, 0, 0, 0]</v>
      </c>
    </row>
    <row r="63" spans="2:23" x14ac:dyDescent="0.2">
      <c r="B63" s="17" t="str">
        <v>J</v>
      </c>
      <c r="C63" s="33" t="str">
        <f t="array" aca="1" ref="C63" ca="1">_xlfn.CONCAT(INDIRECT("tblfocpntsym["&amp;B63&amp;"]")&amp;", ")</f>
        <v xml:space="preserve">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3" s="17" t="str">
        <f t="shared" ca="1" si="0"/>
        <v>J = [0.0000000349,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64" spans="2:23" x14ac:dyDescent="0.2">
      <c r="B64" s="17" t="str">
        <v>Iw</v>
      </c>
      <c r="C64" s="33" t="str">
        <f t="array" aca="1" ref="C64" ca="1">_xlfn.CONCAT(INDIRECT("tblfocpntsym["&amp;B64&amp;"]")&amp;", ")</f>
        <v xml:space="preserve">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64" s="17" t="str">
        <f t="shared" ca="1" si="0"/>
        <v>Iw = [0.0000000023,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65" spans="2:4" x14ac:dyDescent="0.2">
      <c r="B65" s="17" t="str">
        <v>fy</v>
      </c>
      <c r="C65" s="33" t="str">
        <f t="array" aca="1" ref="C65" ca="1">_xlfn.CONCAT(INDIRECT("tblfocpntsym["&amp;B65&amp;"]")&amp;",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65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66" spans="2:4" x14ac:dyDescent="0.2">
      <c r="B66" s="17" t="str">
        <v>E</v>
      </c>
      <c r="C66" s="33" t="str">
        <f t="array" aca="1" ref="C66" ca="1">_xlfn.CONCAT(INDIRECT("tblfocpntsym["&amp;B66&amp;"]")&amp;",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66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67" spans="2:4" x14ac:dyDescent="0.2">
      <c r="B67" s="17" t="str">
        <v>G</v>
      </c>
      <c r="C67" s="33" t="str">
        <f t="array" aca="1" ref="C67" ca="1">_xlfn.CONCAT(INDIRECT("tblfocpntsym["&amp;B67&amp;"]")&amp;",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67" s="17" t="str">
        <f t="shared" ref="D67:D71" ca="1" si="1">B67&amp;" = ["&amp;LEFT(C67,LEN(C67)-2)&amp;"]"</f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68" spans="2:4" x14ac:dyDescent="0.2">
      <c r="B68" s="17" t="str">
        <v>Axis</v>
      </c>
      <c r="C68" s="33" t="str">
        <f t="array" aca="1" ref="C68" ca="1">_xlfn.CONCAT(INDIRECT("tblfocpntsym["&amp;B68&amp;"]")&amp;", ")</f>
        <v xml:space="preserve">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</v>
      </c>
      <c r="D68" s="17" t="str">
        <f t="shared" ca="1" si="1"/>
        <v>Axis = [['point'],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['point']]</v>
      </c>
    </row>
    <row r="69" spans="2:4" x14ac:dyDescent="0.2">
      <c r="B69" s="17" t="str">
        <v>rol</v>
      </c>
      <c r="C69" s="33" t="str">
        <f t="array" aca="1" ref="C69" ca="1">_xlfn.CONCAT(INDIRECT("tblfocpntsym["&amp;B69&amp;"]")&amp;", ")</f>
        <v xml:space="preserve">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0.13673268815235, </v>
      </c>
      <c r="D69" s="17" t="str">
        <f t="shared" ca="1" si="1"/>
        <v>rol = [0.0478483019552418,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0.13673268815235]</v>
      </c>
    </row>
    <row r="70" spans="2:4" x14ac:dyDescent="0.2">
      <c r="B70" s="17" t="str">
        <v>foz</v>
      </c>
      <c r="C70" s="33" t="str">
        <f t="array" aca="1" ref="C70" ca="1">_xlfn.CONCAT(INDIRECT("tblfocpntsym["&amp;B70&amp;"]")&amp;",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0" s="17" t="str">
        <f t="shared" ca="1" si="1"/>
        <v>foz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1" spans="2:4" x14ac:dyDescent="0.2">
      <c r="B71" s="17" t="str">
        <v>foc</v>
      </c>
      <c r="C71" s="33" t="str">
        <f t="array" aca="1" ref="C71" ca="1">_xlfn.CONCAT(INDIRECT("tblfocpntsym["&amp;B71&amp;"]")&amp;",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1" s="17" t="str">
        <f t="shared" ca="1" si="1"/>
        <v>foc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2" spans="2:4" x14ac:dyDescent="0.2">
      <c r="B72" s="17" t="str">
        <v>λc</v>
      </c>
      <c r="C72" s="33" t="str">
        <f t="array" aca="1" ref="C72" ca="1">_xlfn.CONCAT(INDIRECT("tblfocpntsym["&amp;B72&amp;"]")&amp;", ")</f>
        <v xml:space="preserve">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0.444725004897095, </v>
      </c>
      <c r="D72" s="17" t="str">
        <f t="shared" ref="D72:D73" ca="1" si="2">B72&amp;" = ["&amp;LEFT(C72,LEN(C72)-2)&amp;"]"</f>
        <v>λc = [0.698573529702327,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0.444725004897095]</v>
      </c>
    </row>
    <row r="73" spans="2:4" x14ac:dyDescent="0.2">
      <c r="B73" s="17" t="str">
        <v>fn</v>
      </c>
      <c r="C73" s="33" t="str">
        <f t="array" aca="1" ref="C73" ca="1">_xlfn.CONCAT(INDIRECT("tblfocpntsym["&amp;B73&amp;"]")&amp;", ")</f>
        <v xml:space="preserve">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276165810.712768, </v>
      </c>
      <c r="D73" s="17" t="str">
        <f t="shared" ca="1" si="2"/>
        <v>fn = [260881516.18207,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276165810.712768]</v>
      </c>
    </row>
    <row r="74" spans="2:4" x14ac:dyDescent="0.2">
      <c r="B74" s="17" t="str">
        <v>Nc</v>
      </c>
      <c r="C74" s="33" t="str">
        <f t="array" aca="1" ref="C74" ca="1">_xlfn.CONCAT(INDIRECT("tblfocpntsym["&amp;B74&amp;"]")&amp;", ")</f>
        <v xml:space="preserve">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3051632.20837609, </v>
      </c>
      <c r="D74" s="17" t="str">
        <f t="shared" ref="D74" ca="1" si="3">B74&amp;" = ["&amp;LEFT(C74,LEN(C74)-2)&amp;"]"</f>
        <v>Nc = [419106.155746496,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7"/>
  <sheetViews>
    <sheetView topLeftCell="A46" zoomScaleNormal="100" workbookViewId="0">
      <selection activeCell="V52" sqref="V52"/>
    </sheetView>
  </sheetViews>
  <sheetFormatPr defaultColWidth="9" defaultRowHeight="11.25" x14ac:dyDescent="0.2"/>
  <cols>
    <col min="1" max="1" width="3.42578125" style="17" customWidth="1"/>
    <col min="2" max="2" width="7.28515625" style="17" customWidth="1"/>
    <col min="3" max="4" width="6.42578125" style="17" bestFit="1" customWidth="1"/>
    <col min="5" max="5" width="4.140625" style="17" bestFit="1" customWidth="1"/>
    <col min="6" max="6" width="4.28515625" style="17" bestFit="1" customWidth="1"/>
    <col min="7" max="7" width="4.140625" style="17" bestFit="1" customWidth="1"/>
    <col min="8" max="9" width="5" style="17" bestFit="1" customWidth="1"/>
    <col min="10" max="11" width="5.7109375" style="17" bestFit="1" customWidth="1"/>
    <col min="12" max="13" width="6.28515625" style="17" bestFit="1" customWidth="1"/>
    <col min="14" max="16" width="6.42578125" style="17" bestFit="1" customWidth="1"/>
    <col min="17" max="17" width="5.28515625" style="17" bestFit="1" customWidth="1"/>
    <col min="18" max="18" width="8.42578125" style="17" bestFit="1" customWidth="1"/>
    <col min="19" max="21" width="8.7109375" style="17" bestFit="1" customWidth="1"/>
    <col min="22" max="22" width="8.42578125" style="17" bestFit="1" customWidth="1"/>
    <col min="23" max="26" width="8.7109375" style="17" bestFit="1" customWidth="1"/>
    <col min="27" max="27" width="10.28515625" style="17" customWidth="1"/>
    <col min="28" max="16384" width="9" style="17"/>
  </cols>
  <sheetData>
    <row r="1" spans="2:30" x14ac:dyDescent="0.2">
      <c r="AA1" s="17" t="s">
        <v>44</v>
      </c>
    </row>
    <row r="2" spans="2:30" ht="12.75" x14ac:dyDescent="0.25">
      <c r="B2" s="17" t="s">
        <v>3</v>
      </c>
      <c r="C2" s="12" t="s">
        <v>59</v>
      </c>
      <c r="D2" s="17" t="s">
        <v>10</v>
      </c>
      <c r="E2" s="12" t="s">
        <v>53</v>
      </c>
      <c r="F2" s="12" t="s">
        <v>54</v>
      </c>
      <c r="G2" s="12" t="s">
        <v>55</v>
      </c>
      <c r="H2" s="12" t="s">
        <v>32</v>
      </c>
      <c r="I2" s="12" t="s">
        <v>33</v>
      </c>
      <c r="J2" s="12" t="s">
        <v>56</v>
      </c>
      <c r="K2" s="12" t="s">
        <v>57</v>
      </c>
      <c r="L2" s="12" t="s">
        <v>2</v>
      </c>
      <c r="M2" s="12" t="s">
        <v>58</v>
      </c>
      <c r="N2" s="17" t="s">
        <v>11</v>
      </c>
      <c r="O2" s="12" t="s">
        <v>1</v>
      </c>
      <c r="P2" s="12" t="s">
        <v>0</v>
      </c>
      <c r="Q2" s="24" t="s">
        <v>45</v>
      </c>
      <c r="R2" s="25" t="s">
        <v>60</v>
      </c>
      <c r="S2" s="25" t="s">
        <v>61</v>
      </c>
      <c r="T2" s="25" t="s">
        <v>62</v>
      </c>
      <c r="U2" s="25" t="s">
        <v>63</v>
      </c>
      <c r="V2" s="25" t="s">
        <v>39</v>
      </c>
      <c r="W2" s="25" t="s">
        <v>40</v>
      </c>
      <c r="X2" s="25" t="s">
        <v>41</v>
      </c>
      <c r="Y2" s="25" t="s">
        <v>42</v>
      </c>
      <c r="Z2" s="25" t="s">
        <v>43</v>
      </c>
      <c r="AA2" s="25" t="s">
        <v>64</v>
      </c>
      <c r="AB2" s="25" t="s">
        <v>65</v>
      </c>
      <c r="AC2" s="25" t="s">
        <v>66</v>
      </c>
      <c r="AD2" s="25" t="s">
        <v>30</v>
      </c>
    </row>
    <row r="3" spans="2:30" x14ac:dyDescent="0.2">
      <c r="B3" s="13" t="s">
        <v>36</v>
      </c>
      <c r="C3" s="14">
        <v>1.89E-3</v>
      </c>
      <c r="D3" s="11">
        <v>1</v>
      </c>
      <c r="E3" s="7">
        <v>10</v>
      </c>
      <c r="F3" s="7">
        <v>10</v>
      </c>
      <c r="G3" s="7">
        <v>10</v>
      </c>
      <c r="H3" s="15">
        <v>4.1099999999999998E-2</v>
      </c>
      <c r="I3" s="15">
        <v>2.4500000000000001E-2</v>
      </c>
      <c r="J3" s="18">
        <v>0</v>
      </c>
      <c r="K3" s="18">
        <v>0</v>
      </c>
      <c r="L3" s="16">
        <v>3.4900000000000001E-8</v>
      </c>
      <c r="M3" s="16">
        <v>2.2999999999999999E-9</v>
      </c>
      <c r="N3" s="6">
        <v>320000000</v>
      </c>
      <c r="O3" s="16">
        <v>200000000000</v>
      </c>
      <c r="P3" s="16">
        <v>80000000000</v>
      </c>
      <c r="Q3" s="6" t="s">
        <v>51</v>
      </c>
      <c r="R3" s="26">
        <f>SQRT(tblfocunsym[[#This Row],[rx]]^2+tblfocunsym[[#This Row],[ry]]^2+tblfocunsym[[#This Row],[xo]]^2+tblfocunsym[[#This Row],[yo]]^2)</f>
        <v>4.784830195524184E-2</v>
      </c>
      <c r="S3" s="26">
        <f>(tblfocunsym[[#This Row],[E]]*PI()^2)/((tblfocunsym[[#This Row],[lex]]/tblfocunsym[[#This Row],[rx]])^2)</f>
        <v>33343668.900728308</v>
      </c>
      <c r="T3" s="26">
        <f>(tblfocunsym[[#This Row],[E]]*PI()^2)/((tblfocunsym[[#This Row],[ley]]/tblfocunsym[[#This Row],[ry]])^2)</f>
        <v>11848460.083507776</v>
      </c>
      <c r="U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655731018.07307041</v>
      </c>
      <c r="V3" s="26">
        <f>((tblfocunsym[[#This Row],[rol]]^2)-((tblfocunsym[[#This Row],[xo]]^2)*(tblfocunsym[[#This Row],[yo]]^2)))</f>
        <v>2.2894600000000001E-3</v>
      </c>
      <c r="W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1604735.508261821</v>
      </c>
      <c r="X3" s="26">
        <f>((tblfocunsym[[#This Row],[fox]]*tblfocunsym[[#This Row],[foy]])+(tblfocunsym[[#This Row],[foy]]*tblfocunsym[[#This Row],[foz]])+(tblfocunsym[[#This Row],[fox]]*tblfocunsym[[#This Row],[foz]]))*(tblfocunsym[[#This Row],[rol]]^2)</f>
        <v>68750084165989.141</v>
      </c>
      <c r="Y3" s="26">
        <f>tblfocunsym[[#This Row],[fox]]*tblfocunsym[[#This Row],[foy]]*tblfocunsym[[#This Row],[foz]]*tblfocunsym[[#This Row],[rol]]*tblfocunsym[[#This Row],[rol]]</f>
        <v>5.9310841031441239E+20</v>
      </c>
      <c r="Z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" s="28">
        <v>11848460.083507778</v>
      </c>
      <c r="AB3" s="26">
        <f>SQRT(tblfocunsym[[#This Row],[fy]]/tblfocunsym[[#This Row],[foc]])</f>
        <v>5.1968961009598473</v>
      </c>
      <c r="AC3" s="26">
        <f>IF(tblfocunsym[[#This Row],[λc]]&lt;=1.5,0.658^(tblfocunsym[[#This Row],[λc]]^2),0.877/(tblfocunsym[[#This Row],[λc]]^2))*tblfocunsym[[#This Row],[fy]]</f>
        <v>10391099.49323632</v>
      </c>
      <c r="AD3" s="26">
        <f>0.85*tblfocunsym[[#This Row],[An]]*tblfocunsym[[#This Row],[kf]]*tblfocunsym[[#This Row],[fn]]</f>
        <v>16693.301335884145</v>
      </c>
    </row>
    <row r="4" spans="2:30" x14ac:dyDescent="0.2">
      <c r="B4" s="13" t="s">
        <v>36</v>
      </c>
      <c r="C4" s="14">
        <v>1.89E-3</v>
      </c>
      <c r="D4" s="11">
        <v>1</v>
      </c>
      <c r="E4" s="7">
        <v>5</v>
      </c>
      <c r="F4" s="7">
        <v>5</v>
      </c>
      <c r="G4" s="7">
        <v>5</v>
      </c>
      <c r="H4" s="15">
        <v>4.1099999999999998E-2</v>
      </c>
      <c r="I4" s="15">
        <v>2.4500000000000001E-2</v>
      </c>
      <c r="J4" s="18">
        <v>0</v>
      </c>
      <c r="K4" s="18">
        <v>0</v>
      </c>
      <c r="L4" s="16">
        <v>3.4900000000000001E-8</v>
      </c>
      <c r="M4" s="16">
        <v>2.2999999999999999E-9</v>
      </c>
      <c r="N4" s="6">
        <v>320000000</v>
      </c>
      <c r="O4" s="16">
        <v>200000000000</v>
      </c>
      <c r="P4" s="16">
        <v>80000000000</v>
      </c>
      <c r="Q4" s="6" t="s">
        <v>51</v>
      </c>
      <c r="R4" s="26">
        <f>SQRT(tblfocunsym[[#This Row],[rx]]^2+tblfocunsym[[#This Row],[ry]]^2+tblfocunsym[[#This Row],[xo]]^2+tblfocunsym[[#This Row],[yo]]^2)</f>
        <v>4.784830195524184E-2</v>
      </c>
      <c r="S4" s="26">
        <f>(tblfocunsym[[#This Row],[E]]*PI()^2)/((tblfocunsym[[#This Row],[lex]]/tblfocunsym[[#This Row],[rx]])^2)</f>
        <v>133374675.60291323</v>
      </c>
      <c r="T4" s="26">
        <f>(tblfocunsym[[#This Row],[E]]*PI()^2)/((tblfocunsym[[#This Row],[ley]]/tblfocunsym[[#This Row],[ry]])^2)</f>
        <v>47393840.334031105</v>
      </c>
      <c r="U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687207339.19974852</v>
      </c>
      <c r="V4" s="26">
        <f>((tblfocunsym[[#This Row],[rol]]^2)-((tblfocunsym[[#This Row],[xo]]^2)*(tblfocunsym[[#This Row],[yo]]^2)))</f>
        <v>2.2894600000000001E-3</v>
      </c>
      <c r="W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1987196.001301253</v>
      </c>
      <c r="X4" s="26">
        <f>((tblfocunsym[[#This Row],[fox]]*tblfocunsym[[#This Row],[foy]])+(tblfocunsym[[#This Row],[foy]]*tblfocunsym[[#This Row],[foz]])+(tblfocunsym[[#This Row],[fox]]*tblfocunsym[[#This Row],[foz]]))*(tblfocunsym[[#This Row],[rol]]^2)</f>
        <v>298881193487654.13</v>
      </c>
      <c r="Y4" s="26">
        <f>tblfocunsym[[#This Row],[fox]]*tblfocunsym[[#This Row],[foy]]*tblfocunsym[[#This Row],[foz]]*tblfocunsym[[#This Row],[rol]]*tblfocunsym[[#This Row],[rol]]</f>
        <v>9.9452596573979017E+21</v>
      </c>
      <c r="Z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" s="28">
        <v>47393840.33403109</v>
      </c>
      <c r="AB4" s="26">
        <f>SQRT(tblfocunsym[[#This Row],[fy]]/tblfocunsym[[#This Row],[foc]])</f>
        <v>2.5984480504799241</v>
      </c>
      <c r="AC4" s="26">
        <f>IF(tblfocunsym[[#This Row],[λc]]&lt;=1.5,0.658^(tblfocunsym[[#This Row],[λc]]^2),0.877/(tblfocunsym[[#This Row],[λc]]^2))*tblfocunsym[[#This Row],[fy]]</f>
        <v>41564397.972945273</v>
      </c>
      <c r="AD4" s="26">
        <f>0.85*tblfocunsym[[#This Row],[An]]*tblfocunsym[[#This Row],[kf]]*tblfocunsym[[#This Row],[fn]]</f>
        <v>66773.205343536581</v>
      </c>
    </row>
    <row r="5" spans="2:30" x14ac:dyDescent="0.2">
      <c r="B5" s="13" t="s">
        <v>36</v>
      </c>
      <c r="C5" s="14">
        <v>1.89E-3</v>
      </c>
      <c r="D5" s="11">
        <v>1</v>
      </c>
      <c r="E5" s="7">
        <v>1</v>
      </c>
      <c r="F5" s="7">
        <v>1</v>
      </c>
      <c r="G5" s="7">
        <v>1</v>
      </c>
      <c r="H5" s="15">
        <v>4.1099999999999998E-2</v>
      </c>
      <c r="I5" s="15">
        <v>2.4500000000000001E-2</v>
      </c>
      <c r="J5" s="18">
        <v>0</v>
      </c>
      <c r="K5" s="18">
        <v>0</v>
      </c>
      <c r="L5" s="16">
        <v>3.4900000000000001E-8</v>
      </c>
      <c r="M5" s="16">
        <v>2.2999999999999999E-9</v>
      </c>
      <c r="N5" s="6">
        <v>320000000</v>
      </c>
      <c r="O5" s="16">
        <v>200000000000</v>
      </c>
      <c r="P5" s="16">
        <v>80000000000</v>
      </c>
      <c r="Q5" s="6" t="s">
        <v>51</v>
      </c>
      <c r="R5" s="26">
        <f>SQRT(tblfocunsym[[#This Row],[rx]]^2+tblfocunsym[[#This Row],[ry]]^2+tblfocunsym[[#This Row],[xo]]^2+tblfocunsym[[#This Row],[yo]]^2)</f>
        <v>4.784830195524184E-2</v>
      </c>
      <c r="S5" s="26">
        <f>(tblfocunsym[[#This Row],[E]]*PI()^2)/((tblfocunsym[[#This Row],[lex]]/tblfocunsym[[#This Row],[rx]])^2)</f>
        <v>3334366890.0728307</v>
      </c>
      <c r="T5" s="26">
        <f>(tblfocunsym[[#This Row],[E]]*PI()^2)/((tblfocunsym[[#This Row],[ley]]/tblfocunsym[[#This Row],[ry]])^2)</f>
        <v>1184846008.3507776</v>
      </c>
      <c r="U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1694449615.253444</v>
      </c>
      <c r="V5" s="26">
        <f>((tblfocunsym[[#This Row],[rol]]^2)-((tblfocunsym[[#This Row],[xo]]^2)*(tblfocunsym[[#This Row],[yo]]^2)))</f>
        <v>2.2894600000000001E-3</v>
      </c>
      <c r="W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14225931.778563065</v>
      </c>
      <c r="X5" s="26">
        <f>((tblfocunsym[[#This Row],[fox]]*tblfocunsym[[#This Row],[foy]])+(tblfocunsym[[#This Row],[foy]]*tblfocunsym[[#This Row],[foz]])+(tblfocunsym[[#This Row],[fox]]*tblfocunsym[[#This Row],[foz]]))*(tblfocunsym[[#This Row],[rol]]^2)</f>
        <v>2.657671529614934E+16</v>
      </c>
      <c r="Y5" s="26">
        <f>tblfocunsym[[#This Row],[fox]]*tblfocunsym[[#This Row],[foy]]*tblfocunsym[[#This Row],[foz]]*tblfocunsym[[#This Row],[rol]]*tblfocunsym[[#This Row],[rol]]</f>
        <v>1.5326289133219688E+25</v>
      </c>
      <c r="Z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" s="28">
        <v>1184846008.3507769</v>
      </c>
      <c r="AB5" s="26">
        <f>SQRT(tblfocunsym[[#This Row],[fy]]/tblfocunsym[[#This Row],[foc]])</f>
        <v>0.51968961009598491</v>
      </c>
      <c r="AC5" s="26">
        <f>IF(tblfocunsym[[#This Row],[λc]]&lt;=1.5,0.658^(tblfocunsym[[#This Row],[λc]]^2),0.877/(tblfocunsym[[#This Row],[λc]]^2))*tblfocunsym[[#This Row],[fy]]</f>
        <v>285796509.35214233</v>
      </c>
      <c r="AD5" s="26">
        <f>0.85*tblfocunsym[[#This Row],[An]]*tblfocunsym[[#This Row],[kf]]*tblfocunsym[[#This Row],[fn]]</f>
        <v>459132.09227421664</v>
      </c>
    </row>
    <row r="6" spans="2:30" x14ac:dyDescent="0.2">
      <c r="B6" s="13" t="s">
        <v>36</v>
      </c>
      <c r="C6" s="14">
        <v>1.89E-3</v>
      </c>
      <c r="D6" s="11">
        <v>1</v>
      </c>
      <c r="E6" s="7">
        <v>0.5</v>
      </c>
      <c r="F6" s="7">
        <v>0.5</v>
      </c>
      <c r="G6" s="7">
        <v>0.5</v>
      </c>
      <c r="H6" s="15">
        <v>4.1099999999999998E-2</v>
      </c>
      <c r="I6" s="15">
        <v>2.4500000000000001E-2</v>
      </c>
      <c r="J6" s="18">
        <v>0</v>
      </c>
      <c r="K6" s="18">
        <v>0</v>
      </c>
      <c r="L6" s="16">
        <v>3.4900000000000001E-8</v>
      </c>
      <c r="M6" s="16">
        <v>2.2999999999999999E-9</v>
      </c>
      <c r="N6" s="6">
        <v>320000000</v>
      </c>
      <c r="O6" s="16">
        <v>200000000000</v>
      </c>
      <c r="P6" s="16">
        <v>80000000000</v>
      </c>
      <c r="Q6" s="6" t="s">
        <v>51</v>
      </c>
      <c r="R6" s="26">
        <f>SQRT(tblfocunsym[[#This Row],[rx]]^2+tblfocunsym[[#This Row],[ry]]^2+tblfocunsym[[#This Row],[xo]]^2+tblfocunsym[[#This Row],[yo]]^2)</f>
        <v>4.784830195524184E-2</v>
      </c>
      <c r="S6" s="26">
        <f>(tblfocunsym[[#This Row],[E]]*PI()^2)/((tblfocunsym[[#This Row],[lex]]/tblfocunsym[[#This Row],[rx]])^2)</f>
        <v>13337467560.291323</v>
      </c>
      <c r="T6" s="26">
        <f>(tblfocunsym[[#This Row],[E]]*PI()^2)/((tblfocunsym[[#This Row],[ley]]/tblfocunsym[[#This Row],[ry]])^2)</f>
        <v>4739384033.4031105</v>
      </c>
      <c r="U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4842081727.9212427</v>
      </c>
      <c r="V6" s="26">
        <f>((tblfocunsym[[#This Row],[rol]]^2)-((tblfocunsym[[#This Row],[xo]]^2)*(tblfocunsym[[#This Row],[yo]]^2)))</f>
        <v>2.2894600000000001E-3</v>
      </c>
      <c r="W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52471981.082506232</v>
      </c>
      <c r="X6" s="26">
        <f>((tblfocunsym[[#This Row],[fox]]*tblfocunsym[[#This Row],[foy]])+(tblfocunsym[[#This Row],[foy]]*tblfocunsym[[#This Row],[foz]])+(tblfocunsym[[#This Row],[fox]]*tblfocunsym[[#This Row],[foz]]))*(tblfocunsym[[#This Row],[rol]]^2)</f>
        <v>3.4511542942157222E+17</v>
      </c>
      <c r="Y6" s="26">
        <f>tblfocunsym[[#This Row],[fox]]*tblfocunsym[[#This Row],[foy]]*tblfocunsym[[#This Row],[foz]]*tblfocunsym[[#This Row],[rol]]*tblfocunsym[[#This Row],[rol]]</f>
        <v>7.0074571849881492E+26</v>
      </c>
      <c r="Z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6" s="28">
        <v>4739384033.4030046</v>
      </c>
      <c r="AB6" s="26">
        <f>SQRT(tblfocunsym[[#This Row],[fy]]/tblfocunsym[[#This Row],[foc]])</f>
        <v>0.25984480504799529</v>
      </c>
      <c r="AC6" s="26">
        <f>IF(tblfocunsym[[#This Row],[λc]]&lt;=1.5,0.658^(tblfocunsym[[#This Row],[λc]]^2),0.877/(tblfocunsym[[#This Row],[λc]]^2))*tblfocunsym[[#This Row],[fy]]</f>
        <v>311083311.76691735</v>
      </c>
      <c r="AD6" s="26">
        <f>0.85*tblfocunsym[[#This Row],[An]]*tblfocunsym[[#This Row],[kf]]*tblfocunsym[[#This Row],[fn]]</f>
        <v>499755.34035355266</v>
      </c>
    </row>
    <row r="7" spans="2:30" x14ac:dyDescent="0.2">
      <c r="B7" s="13" t="s">
        <v>4</v>
      </c>
      <c r="C7" s="14">
        <v>5.79E-2</v>
      </c>
      <c r="D7" s="11">
        <v>0.83699999999999997</v>
      </c>
      <c r="E7" s="7">
        <v>80</v>
      </c>
      <c r="F7" s="7">
        <v>80</v>
      </c>
      <c r="G7" s="7">
        <v>80</v>
      </c>
      <c r="H7" s="15">
        <v>0.51500000000000001</v>
      </c>
      <c r="I7" s="15">
        <v>0.12</v>
      </c>
      <c r="J7" s="18">
        <v>0</v>
      </c>
      <c r="K7" s="18">
        <v>0</v>
      </c>
      <c r="L7" s="16">
        <v>2.1999999999999999E-5</v>
      </c>
      <c r="M7" s="16">
        <v>2.7999999999999998E-4</v>
      </c>
      <c r="N7" s="6">
        <v>280000000</v>
      </c>
      <c r="O7" s="16">
        <v>200000000000</v>
      </c>
      <c r="P7" s="16">
        <v>80000000000</v>
      </c>
      <c r="Q7" s="6" t="s">
        <v>51</v>
      </c>
      <c r="R7" s="26">
        <f>SQRT(tblfocunsym[[#This Row],[rx]]^2+tblfocunsym[[#This Row],[ry]]^2+tblfocunsym[[#This Row],[xo]]^2+tblfocunsym[[#This Row],[yo]]^2)</f>
        <v>0.52879580179876617</v>
      </c>
      <c r="S7" s="26">
        <f>(tblfocunsym[[#This Row],[E]]*PI()^2)/((tblfocunsym[[#This Row],[lex]]/tblfocunsym[[#This Row],[rx]])^2)</f>
        <v>81802057.102466419</v>
      </c>
      <c r="T7" s="26">
        <f>(tblfocunsym[[#This Row],[E]]*PI()^2)/((tblfocunsym[[#This Row],[ley]]/tblfocunsym[[#This Row],[ry]])^2)</f>
        <v>4441321.9804902095</v>
      </c>
      <c r="U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114041152.0493093</v>
      </c>
      <c r="V7" s="26">
        <f>((tblfocunsym[[#This Row],[rol]]^2)-((tblfocunsym[[#This Row],[xo]]^2)*(tblfocunsym[[#This Row],[yo]]^2)))</f>
        <v>0.27962500000000001</v>
      </c>
      <c r="W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56004562.017859861</v>
      </c>
      <c r="X7" s="26">
        <f>((tblfocunsym[[#This Row],[fox]]*tblfocunsym[[#This Row],[foy]])+(tblfocunsym[[#This Row],[foy]]*tblfocunsym[[#This Row],[foz]])+(tblfocunsym[[#This Row],[fox]]*tblfocunsym[[#This Row],[foz]]))*(tblfocunsym[[#This Row],[rol]]^2)</f>
        <v>2851784526478105.5</v>
      </c>
      <c r="Y7" s="26">
        <f>tblfocunsym[[#This Row],[fox]]*tblfocunsym[[#This Row],[foy]]*tblfocunsym[[#This Row],[foz]]*tblfocunsym[[#This Row],[rol]]*tblfocunsym[[#This Row],[rol]]</f>
        <v>1.1585481214188579E+22</v>
      </c>
      <c r="Z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7" s="28">
        <v>4441321.9804902105</v>
      </c>
      <c r="AB7" s="26">
        <f>SQRT(tblfocunsym[[#This Row],[fy]]/tblfocunsym[[#This Row],[foc]])</f>
        <v>7.9400435794850202</v>
      </c>
      <c r="AC7" s="26">
        <f>IF(tblfocunsym[[#This Row],[λc]]&lt;=1.5,0.658^(tblfocunsym[[#This Row],[λc]]^2),0.877/(tblfocunsym[[#This Row],[λc]]^2))*tblfocunsym[[#This Row],[fy]]</f>
        <v>3895039.3768899143</v>
      </c>
      <c r="AD7" s="26">
        <f>0.85*tblfocunsym[[#This Row],[An]]*tblfocunsym[[#This Row],[kf]]*tblfocunsym[[#This Row],[fn]]</f>
        <v>160448.18177545426</v>
      </c>
    </row>
    <row r="8" spans="2:30" x14ac:dyDescent="0.2">
      <c r="B8" s="13" t="s">
        <v>4</v>
      </c>
      <c r="C8" s="14">
        <v>5.79E-2</v>
      </c>
      <c r="D8" s="11">
        <v>0.83699999999999997</v>
      </c>
      <c r="E8" s="7">
        <v>40</v>
      </c>
      <c r="F8" s="7">
        <v>40</v>
      </c>
      <c r="G8" s="7">
        <v>40</v>
      </c>
      <c r="H8" s="15">
        <v>0.51500000000000001</v>
      </c>
      <c r="I8" s="15">
        <v>0.12</v>
      </c>
      <c r="J8" s="18">
        <v>0</v>
      </c>
      <c r="K8" s="18">
        <v>0</v>
      </c>
      <c r="L8" s="16">
        <v>2.1999999999999999E-5</v>
      </c>
      <c r="M8" s="16">
        <v>2.7999999999999998E-4</v>
      </c>
      <c r="N8" s="6">
        <v>280000000</v>
      </c>
      <c r="O8" s="16">
        <v>200000000000</v>
      </c>
      <c r="P8" s="16">
        <v>80000000000</v>
      </c>
      <c r="Q8" s="6" t="s">
        <v>51</v>
      </c>
      <c r="R8" s="26">
        <f>SQRT(tblfocunsym[[#This Row],[rx]]^2+tblfocunsym[[#This Row],[ry]]^2+tblfocunsym[[#This Row],[xo]]^2+tblfocunsym[[#This Row],[yo]]^2)</f>
        <v>0.52879580179876617</v>
      </c>
      <c r="S8" s="26">
        <f>(tblfocunsym[[#This Row],[E]]*PI()^2)/((tblfocunsym[[#This Row],[lex]]/tblfocunsym[[#This Row],[rx]])^2)</f>
        <v>327208228.40986568</v>
      </c>
      <c r="T8" s="26">
        <f>(tblfocunsym[[#This Row],[E]]*PI()^2)/((tblfocunsym[[#This Row],[ley]]/tblfocunsym[[#This Row],[ry]])^2)</f>
        <v>17765287.921960838</v>
      </c>
      <c r="U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130043160.38477561</v>
      </c>
      <c r="V8" s="26">
        <f>((tblfocunsym[[#This Row],[rol]]^2)-((tblfocunsym[[#This Row],[xo]]^2)*(tblfocunsym[[#This Row],[yo]]^2)))</f>
        <v>0.27962500000000001</v>
      </c>
      <c r="W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132826538.22687986</v>
      </c>
      <c r="X8" s="26">
        <f>((tblfocunsym[[#This Row],[fox]]*tblfocunsym[[#This Row],[foy]])+(tblfocunsym[[#This Row],[foy]]*tblfocunsym[[#This Row],[foz]])+(tblfocunsym[[#This Row],[fox]]*tblfocunsym[[#This Row],[foz]]))*(tblfocunsym[[#This Row],[rol]]^2)</f>
        <v>1.4169827618260334E+16</v>
      </c>
      <c r="Y8" s="26">
        <f>tblfocunsym[[#This Row],[fox]]*tblfocunsym[[#This Row],[foy]]*tblfocunsym[[#This Row],[foz]]*tblfocunsym[[#This Row],[rol]]*tblfocunsym[[#This Row],[rol]]</f>
        <v>2.1137809495577151E+23</v>
      </c>
      <c r="Z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8" s="28">
        <v>17765287.921960834</v>
      </c>
      <c r="AB8" s="26">
        <f>SQRT(tblfocunsym[[#This Row],[fy]]/tblfocunsym[[#This Row],[foc]])</f>
        <v>3.970021789742511</v>
      </c>
      <c r="AC8" s="26">
        <f>IF(tblfocunsym[[#This Row],[λc]]&lt;=1.5,0.658^(tblfocunsym[[#This Row],[λc]]^2),0.877/(tblfocunsym[[#This Row],[λc]]^2))*tblfocunsym[[#This Row],[fy]]</f>
        <v>15580157.507559652</v>
      </c>
      <c r="AD8" s="26">
        <f>0.85*tblfocunsym[[#This Row],[An]]*tblfocunsym[[#This Row],[kf]]*tblfocunsym[[#This Row],[fn]]</f>
        <v>641792.7271018168</v>
      </c>
    </row>
    <row r="9" spans="2:30" x14ac:dyDescent="0.2">
      <c r="B9" s="13" t="s">
        <v>4</v>
      </c>
      <c r="C9" s="14">
        <v>5.79E-2</v>
      </c>
      <c r="D9" s="11">
        <v>0.83699999999999997</v>
      </c>
      <c r="E9" s="7">
        <v>20</v>
      </c>
      <c r="F9" s="7">
        <v>20</v>
      </c>
      <c r="G9" s="7">
        <v>20</v>
      </c>
      <c r="H9" s="15">
        <v>0.51500000000000001</v>
      </c>
      <c r="I9" s="15">
        <v>0.12</v>
      </c>
      <c r="J9" s="18">
        <v>0</v>
      </c>
      <c r="K9" s="18">
        <v>0</v>
      </c>
      <c r="L9" s="16">
        <v>2.1999999999999999E-5</v>
      </c>
      <c r="M9" s="16">
        <v>2.7999999999999998E-4</v>
      </c>
      <c r="N9" s="6">
        <v>280000000</v>
      </c>
      <c r="O9" s="16">
        <v>200000000000</v>
      </c>
      <c r="P9" s="16">
        <v>80000000000</v>
      </c>
      <c r="Q9" s="6" t="s">
        <v>51</v>
      </c>
      <c r="R9" s="26">
        <f>SQRT(tblfocunsym[[#This Row],[rx]]^2+tblfocunsym[[#This Row],[ry]]^2+tblfocunsym[[#This Row],[xo]]^2+tblfocunsym[[#This Row],[yo]]^2)</f>
        <v>0.52879580179876617</v>
      </c>
      <c r="S9" s="26">
        <f>(tblfocunsym[[#This Row],[E]]*PI()^2)/((tblfocunsym[[#This Row],[lex]]/tblfocunsym[[#This Row],[rx]])^2)</f>
        <v>1308832913.6394627</v>
      </c>
      <c r="T9" s="26">
        <f>(tblfocunsym[[#This Row],[E]]*PI()^2)/((tblfocunsym[[#This Row],[ley]]/tblfocunsym[[#This Row],[ry]])^2)</f>
        <v>71061151.687843353</v>
      </c>
      <c r="U9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194051193.72664073</v>
      </c>
      <c r="V9" s="26">
        <f>((tblfocunsym[[#This Row],[rol]]^2)-((tblfocunsym[[#This Row],[xo]]^2)*(tblfocunsym[[#This Row],[yo]]^2)))</f>
        <v>0.27962500000000001</v>
      </c>
      <c r="W9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440114443.06295985</v>
      </c>
      <c r="X9" s="26">
        <f>((tblfocunsym[[#This Row],[fox]]*tblfocunsym[[#This Row],[foy]])+(tblfocunsym[[#This Row],[foy]]*tblfocunsym[[#This Row],[foz]])+(tblfocunsym[[#This Row],[fox]]*tblfocunsym[[#This Row],[foz]]))*(tblfocunsym[[#This Row],[rol]]^2)</f>
        <v>1.0088234267060787E+17</v>
      </c>
      <c r="Y9" s="26">
        <f>tblfocunsym[[#This Row],[fox]]*tblfocunsym[[#This Row],[foy]]*tblfocunsym[[#This Row],[foz]]*tblfocunsym[[#This Row],[rol]]*tblfocunsym[[#This Row],[rol]]</f>
        <v>5.0467148331326171E+24</v>
      </c>
      <c r="Z9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9" s="28">
        <v>71061151.687843308</v>
      </c>
      <c r="AB9" s="26">
        <f>SQRT(tblfocunsym[[#This Row],[fy]]/tblfocunsym[[#This Row],[foc]])</f>
        <v>1.9850108948712559</v>
      </c>
      <c r="AC9" s="26">
        <f>IF(tblfocunsym[[#This Row],[λc]]&lt;=1.5,0.658^(tblfocunsym[[#This Row],[λc]]^2),0.877/(tblfocunsym[[#This Row],[λc]]^2))*tblfocunsym[[#This Row],[fy]]</f>
        <v>62320630.030238576</v>
      </c>
      <c r="AD9" s="26">
        <f>0.85*tblfocunsym[[#This Row],[An]]*tblfocunsym[[#This Row],[kf]]*tblfocunsym[[#This Row],[fn]]</f>
        <v>2567170.9084072663</v>
      </c>
    </row>
    <row r="10" spans="2:30" x14ac:dyDescent="0.2">
      <c r="B10" s="13" t="s">
        <v>4</v>
      </c>
      <c r="C10" s="14">
        <v>5.79E-2</v>
      </c>
      <c r="D10" s="11">
        <v>0.83699999999999997</v>
      </c>
      <c r="E10" s="7">
        <v>10</v>
      </c>
      <c r="F10" s="7">
        <v>10</v>
      </c>
      <c r="G10" s="7">
        <v>10</v>
      </c>
      <c r="H10" s="15">
        <v>0.51500000000000001</v>
      </c>
      <c r="I10" s="15">
        <v>0.12</v>
      </c>
      <c r="J10" s="18">
        <v>0</v>
      </c>
      <c r="K10" s="18">
        <v>0</v>
      </c>
      <c r="L10" s="16">
        <v>2.1999999999999999E-5</v>
      </c>
      <c r="M10" s="16">
        <v>2.7999999999999998E-4</v>
      </c>
      <c r="N10" s="6">
        <v>280000000</v>
      </c>
      <c r="O10" s="16">
        <v>200000000000</v>
      </c>
      <c r="P10" s="16">
        <v>80000000000</v>
      </c>
      <c r="Q10" s="6" t="s">
        <v>51</v>
      </c>
      <c r="R10" s="26">
        <f>SQRT(tblfocunsym[[#This Row],[rx]]^2+tblfocunsym[[#This Row],[ry]]^2+tblfocunsym[[#This Row],[xo]]^2+tblfocunsym[[#This Row],[yo]]^2)</f>
        <v>0.52879580179876617</v>
      </c>
      <c r="S10" s="26">
        <f>(tblfocunsym[[#This Row],[E]]*PI()^2)/((tblfocunsym[[#This Row],[lex]]/tblfocunsym[[#This Row],[rx]])^2)</f>
        <v>5235331654.5578508</v>
      </c>
      <c r="T10" s="26">
        <f>(tblfocunsym[[#This Row],[E]]*PI()^2)/((tblfocunsym[[#This Row],[ley]]/tblfocunsym[[#This Row],[ry]])^2)</f>
        <v>284244606.75137341</v>
      </c>
      <c r="U1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450083327.09410137</v>
      </c>
      <c r="V10" s="26">
        <f>((tblfocunsym[[#This Row],[rol]]^2)-((tblfocunsym[[#This Row],[xo]]^2)*(tblfocunsym[[#This Row],[yo]]^2)))</f>
        <v>0.27962500000000001</v>
      </c>
      <c r="W1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1669266062.40728</v>
      </c>
      <c r="X10" s="26">
        <f>((tblfocunsym[[#This Row],[fox]]*tblfocunsym[[#This Row],[foy]])+(tblfocunsym[[#This Row],[foy]]*tblfocunsym[[#This Row],[foz]])+(tblfocunsym[[#This Row],[fox]]*tblfocunsym[[#This Row],[foz]]))*(tblfocunsym[[#This Row],[rol]]^2)</f>
        <v>1.1107778858434964E+18</v>
      </c>
      <c r="Y10" s="26">
        <f>tblfocunsym[[#This Row],[fox]]*tblfocunsym[[#This Row],[foy]]*tblfocunsym[[#This Row],[foz]]*tblfocunsym[[#This Row],[rol]]*tblfocunsym[[#This Row],[rol]]</f>
        <v>1.8728601741589934E+26</v>
      </c>
      <c r="Z1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0" s="28">
        <v>284244606.75137329</v>
      </c>
      <c r="AB10" s="26">
        <f>SQRT(tblfocunsym[[#This Row],[fy]]/tblfocunsym[[#This Row],[foc]])</f>
        <v>0.99250544743562785</v>
      </c>
      <c r="AC10" s="26">
        <f>IF(tblfocunsym[[#This Row],[λc]]&lt;=1.5,0.658^(tblfocunsym[[#This Row],[λc]]^2),0.877/(tblfocunsym[[#This Row],[λc]]^2))*tblfocunsym[[#This Row],[fy]]</f>
        <v>185395140.40974289</v>
      </c>
      <c r="AD10" s="26">
        <f>0.85*tblfocunsym[[#This Row],[An]]*tblfocunsym[[#This Row],[kf]]*tblfocunsym[[#This Row],[fn]]</f>
        <v>7636973.67611722</v>
      </c>
    </row>
    <row r="11" spans="2:30" x14ac:dyDescent="0.2">
      <c r="B11" s="13" t="s">
        <v>4</v>
      </c>
      <c r="C11" s="14">
        <v>5.79E-2</v>
      </c>
      <c r="D11" s="11">
        <v>0.83699999999999997</v>
      </c>
      <c r="E11" s="7">
        <v>5</v>
      </c>
      <c r="F11" s="7">
        <v>5</v>
      </c>
      <c r="G11" s="7">
        <v>5</v>
      </c>
      <c r="H11" s="15">
        <v>0.51500000000000001</v>
      </c>
      <c r="I11" s="15">
        <v>0.12</v>
      </c>
      <c r="J11" s="18">
        <v>0</v>
      </c>
      <c r="K11" s="18">
        <v>0</v>
      </c>
      <c r="L11" s="16">
        <v>2.1999999999999999E-5</v>
      </c>
      <c r="M11" s="16">
        <v>2.7999999999999998E-4</v>
      </c>
      <c r="N11" s="6">
        <v>280000000</v>
      </c>
      <c r="O11" s="16">
        <v>200000000000</v>
      </c>
      <c r="P11" s="16">
        <v>80000000000</v>
      </c>
      <c r="Q11" s="6" t="s">
        <v>51</v>
      </c>
      <c r="R11" s="26">
        <f>SQRT(tblfocunsym[[#This Row],[rx]]^2+tblfocunsym[[#This Row],[ry]]^2+tblfocunsym[[#This Row],[xo]]^2+tblfocunsym[[#This Row],[yo]]^2)</f>
        <v>0.52879580179876617</v>
      </c>
      <c r="S11" s="26">
        <f>(tblfocunsym[[#This Row],[E]]*PI()^2)/((tblfocunsym[[#This Row],[lex]]/tblfocunsym[[#This Row],[rx]])^2)</f>
        <v>20941326618.231403</v>
      </c>
      <c r="T11" s="26">
        <f>(tblfocunsym[[#This Row],[E]]*PI()^2)/((tblfocunsym[[#This Row],[ley]]/tblfocunsym[[#This Row],[ry]])^2)</f>
        <v>1136978427.0054936</v>
      </c>
      <c r="U1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1474211860.5639436</v>
      </c>
      <c r="V11" s="26">
        <f>((tblfocunsym[[#This Row],[rol]]^2)-((tblfocunsym[[#This Row],[xo]]^2)*(tblfocunsym[[#This Row],[yo]]^2)))</f>
        <v>0.27962500000000001</v>
      </c>
      <c r="W1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6585872539.7845602</v>
      </c>
      <c r="X11" s="26">
        <f>((tblfocunsym[[#This Row],[fox]]*tblfocunsym[[#This Row],[foy]])+(tblfocunsym[[#This Row],[foy]]*tblfocunsym[[#This Row],[foz]])+(tblfocunsym[[#This Row],[fox]]*tblfocunsym[[#This Row],[foz]]))*(tblfocunsym[[#This Row],[rol]]^2)</f>
        <v>1.5759087785951023E+19</v>
      </c>
      <c r="Y11" s="26">
        <f>tblfocunsym[[#This Row],[fox]]*tblfocunsym[[#This Row],[foy]]*tblfocunsym[[#This Row],[foz]]*tblfocunsym[[#This Row],[rol]]*tblfocunsym[[#This Row],[rol]]</f>
        <v>9.815045404144146E+27</v>
      </c>
      <c r="Z1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1" s="28">
        <v>1136978427.0054922</v>
      </c>
      <c r="AB11" s="26">
        <f>SQRT(tblfocunsym[[#This Row],[fy]]/tblfocunsym[[#This Row],[foc]])</f>
        <v>0.49625272371781415</v>
      </c>
      <c r="AC11" s="26">
        <f>IF(tblfocunsym[[#This Row],[λc]]&lt;=1.5,0.658^(tblfocunsym[[#This Row],[λc]]^2),0.877/(tblfocunsym[[#This Row],[λc]]^2))*tblfocunsym[[#This Row],[fy]]</f>
        <v>252576598.40438855</v>
      </c>
      <c r="AD11" s="26">
        <f>0.85*tblfocunsym[[#This Row],[An]]*tblfocunsym[[#This Row],[kf]]*tblfocunsym[[#This Row],[fn]]</f>
        <v>10404376.452125048</v>
      </c>
    </row>
    <row r="12" spans="2:30" x14ac:dyDescent="0.2">
      <c r="B12" s="13" t="s">
        <v>4</v>
      </c>
      <c r="C12" s="14">
        <v>5.79E-2</v>
      </c>
      <c r="D12" s="11">
        <v>0.83699999999999997</v>
      </c>
      <c r="E12" s="7">
        <v>1</v>
      </c>
      <c r="F12" s="7">
        <v>1</v>
      </c>
      <c r="G12" s="7">
        <v>1</v>
      </c>
      <c r="H12" s="15">
        <v>0.51500000000000001</v>
      </c>
      <c r="I12" s="15">
        <v>0.12</v>
      </c>
      <c r="J12" s="18">
        <v>0</v>
      </c>
      <c r="K12" s="18">
        <v>0</v>
      </c>
      <c r="L12" s="16">
        <v>2.1999999999999999E-5</v>
      </c>
      <c r="M12" s="16">
        <v>2.7999999999999998E-4</v>
      </c>
      <c r="N12" s="6">
        <v>280000000</v>
      </c>
      <c r="O12" s="16">
        <v>200000000000</v>
      </c>
      <c r="P12" s="16">
        <v>80000000000</v>
      </c>
      <c r="Q12" s="6" t="s">
        <v>51</v>
      </c>
      <c r="R12" s="26">
        <f>SQRT(tblfocunsym[[#This Row],[rx]]^2+tblfocunsym[[#This Row],[ry]]^2+tblfocunsym[[#This Row],[xo]]^2+tblfocunsym[[#This Row],[yo]]^2)</f>
        <v>0.52879580179876617</v>
      </c>
      <c r="S12" s="26">
        <f>(tblfocunsym[[#This Row],[E]]*PI()^2)/((tblfocunsym[[#This Row],[lex]]/tblfocunsym[[#This Row],[rx]])^2)</f>
        <v>523533165455.78497</v>
      </c>
      <c r="T12" s="26">
        <f>(tblfocunsym[[#This Row],[E]]*PI()^2)/((tblfocunsym[[#This Row],[ley]]/tblfocunsym[[#This Row],[ry]])^2)</f>
        <v>28424460675.137344</v>
      </c>
      <c r="U1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34246324931.5989</v>
      </c>
      <c r="V12" s="26">
        <f>((tblfocunsym[[#This Row],[rol]]^2)-((tblfocunsym[[#This Row],[xo]]^2)*(tblfocunsym[[#This Row],[yo]]^2)))</f>
        <v>0.27962500000000001</v>
      </c>
      <c r="W1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163917279815.85751</v>
      </c>
      <c r="X12" s="26">
        <f>((tblfocunsym[[#This Row],[fox]]*tblfocunsym[[#This Row],[foy]])+(tblfocunsym[[#This Row],[foy]]*tblfocunsym[[#This Row],[foz]])+(tblfocunsym[[#This Row],[fox]]*tblfocunsym[[#This Row],[foz]]))*(tblfocunsym[[#This Row],[rol]]^2)</f>
        <v>9.446758188710403E+21</v>
      </c>
      <c r="Y12" s="26">
        <f>tblfocunsym[[#This Row],[fox]]*tblfocunsym[[#This Row],[foy]]*tblfocunsym[[#This Row],[foz]]*tblfocunsym[[#This Row],[rol]]*tblfocunsym[[#This Row],[rol]]</f>
        <v>1.4250378588738521E+32</v>
      </c>
      <c r="Z1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2" s="28">
        <v>28424460675.137352</v>
      </c>
      <c r="AB12" s="26">
        <f>SQRT(tblfocunsym[[#This Row],[fy]]/tblfocunsym[[#This Row],[foc]])</f>
        <v>9.9250544743562749E-2</v>
      </c>
      <c r="AC12" s="26">
        <f>IF(tblfocunsym[[#This Row],[λc]]&lt;=1.5,0.658^(tblfocunsym[[#This Row],[λc]]^2),0.877/(tblfocunsym[[#This Row],[λc]]^2))*tblfocunsym[[#This Row],[fy]]</f>
        <v>278847936.15960944</v>
      </c>
      <c r="AD12" s="26">
        <f>0.85*tblfocunsym[[#This Row],[An]]*tblfocunsym[[#This Row],[kf]]*tblfocunsym[[#This Row],[fn]]</f>
        <v>11486570.486065663</v>
      </c>
    </row>
    <row r="13" spans="2:30" x14ac:dyDescent="0.2">
      <c r="B13" s="4" t="s">
        <v>9</v>
      </c>
      <c r="C13" s="10">
        <v>1.17E-3</v>
      </c>
      <c r="D13" s="9">
        <v>0.82399999999999995</v>
      </c>
      <c r="E13" s="8">
        <v>20</v>
      </c>
      <c r="F13" s="8">
        <v>20</v>
      </c>
      <c r="G13" s="8">
        <v>20</v>
      </c>
      <c r="H13" s="4">
        <v>4.2500000000000003E-2</v>
      </c>
      <c r="I13" s="5">
        <v>1.6400000000000001E-2</v>
      </c>
      <c r="J13" s="5">
        <v>0</v>
      </c>
      <c r="K13" s="5">
        <v>0</v>
      </c>
      <c r="L13" s="6">
        <v>1.48E-8</v>
      </c>
      <c r="M13" s="6">
        <v>0</v>
      </c>
      <c r="N13" s="21">
        <v>320000000</v>
      </c>
      <c r="O13" s="16">
        <v>200000000000</v>
      </c>
      <c r="P13" s="16">
        <v>80000000000</v>
      </c>
      <c r="Q13" s="6" t="s">
        <v>51</v>
      </c>
      <c r="R13" s="26">
        <f>SQRT(tblfocunsym[[#This Row],[rx]]^2+tblfocunsym[[#This Row],[ry]]^2+tblfocunsym[[#This Row],[xo]]^2+tblfocunsym[[#This Row],[yo]]^2)</f>
        <v>4.5554472886863706E-2</v>
      </c>
      <c r="S13" s="26">
        <f>(tblfocunsym[[#This Row],[E]]*PI()^2)/((tblfocunsym[[#This Row],[lex]]/tblfocunsym[[#This Row],[rx]])^2)</f>
        <v>8913486.4747338276</v>
      </c>
      <c r="T13" s="26">
        <f>(tblfocunsym[[#This Row],[E]]*PI()^2)/((tblfocunsym[[#This Row],[ley]]/tblfocunsym[[#This Row],[ry]])^2)</f>
        <v>1327264.3998584969</v>
      </c>
      <c r="U1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3" s="26">
        <f>((tblfocunsym[[#This Row],[rol]]^2)-((tblfocunsym[[#This Row],[xo]]^2)*(tblfocunsym[[#This Row],[yo]]^2)))</f>
        <v>2.0752100000000005E-3</v>
      </c>
      <c r="W1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1033217.5205882746</v>
      </c>
      <c r="X13" s="26">
        <f>((tblfocunsym[[#This Row],[fox]]*tblfocunsym[[#This Row],[foy]])+(tblfocunsym[[#This Row],[foy]]*tblfocunsym[[#This Row],[foz]])+(tblfocunsym[[#This Row],[fox]]*tblfocunsym[[#This Row],[foz]]))*(tblfocunsym[[#This Row],[rol]]^2)</f>
        <v>10387840656411.416</v>
      </c>
      <c r="Y13" s="26">
        <f>tblfocunsym[[#This Row],[fox]]*tblfocunsym[[#This Row],[foy]]*tblfocunsym[[#This Row],[foz]]*tblfocunsym[[#This Row],[rol]]*tblfocunsym[[#This Row],[rol]]</f>
        <v>1.1972115452492952E+19</v>
      </c>
      <c r="Z1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3" s="28">
        <v>1327264.3998584969</v>
      </c>
      <c r="AB13" s="26">
        <f>SQRT(tblfocunsym[[#This Row],[fy]]/tblfocunsym[[#This Row],[foc]])</f>
        <v>15.527311521160522</v>
      </c>
      <c r="AC13" s="26">
        <f>IF(tblfocunsym[[#This Row],[λc]]&lt;=1.5,0.658^(tblfocunsym[[#This Row],[λc]]^2),0.877/(tblfocunsym[[#This Row],[λc]]^2))*tblfocunsym[[#This Row],[fy]]</f>
        <v>1164010.8786759016</v>
      </c>
      <c r="AD13" s="26">
        <f>0.85*tblfocunsym[[#This Row],[An]]*tblfocunsym[[#This Row],[kf]]*tblfocunsym[[#This Row],[fn]]</f>
        <v>953.86966672678363</v>
      </c>
    </row>
    <row r="14" spans="2:30" x14ac:dyDescent="0.2">
      <c r="B14" s="4" t="s">
        <v>9</v>
      </c>
      <c r="C14" s="10">
        <v>1.17E-3</v>
      </c>
      <c r="D14" s="9">
        <v>0.82399999999999995</v>
      </c>
      <c r="E14" s="8">
        <v>10</v>
      </c>
      <c r="F14" s="8">
        <v>10</v>
      </c>
      <c r="G14" s="8">
        <v>10</v>
      </c>
      <c r="H14" s="4">
        <v>4.2500000000000003E-2</v>
      </c>
      <c r="I14" s="5">
        <v>1.6400000000000001E-2</v>
      </c>
      <c r="J14" s="5">
        <v>0</v>
      </c>
      <c r="K14" s="5">
        <v>0</v>
      </c>
      <c r="L14" s="6">
        <v>1.48E-8</v>
      </c>
      <c r="M14" s="6">
        <v>0</v>
      </c>
      <c r="N14" s="21">
        <v>320000000</v>
      </c>
      <c r="O14" s="16">
        <v>200000000000</v>
      </c>
      <c r="P14" s="16">
        <v>80000000000</v>
      </c>
      <c r="Q14" s="6" t="s">
        <v>51</v>
      </c>
      <c r="R14" s="26">
        <f>SQRT(tblfocunsym[[#This Row],[rx]]^2+tblfocunsym[[#This Row],[ry]]^2+tblfocunsym[[#This Row],[xo]]^2+tblfocunsym[[#This Row],[yo]]^2)</f>
        <v>4.5554472886863706E-2</v>
      </c>
      <c r="S14" s="26">
        <f>(tblfocunsym[[#This Row],[E]]*PI()^2)/((tblfocunsym[[#This Row],[lex]]/tblfocunsym[[#This Row],[rx]])^2)</f>
        <v>35653945.898935311</v>
      </c>
      <c r="T14" s="26">
        <f>(tblfocunsym[[#This Row],[E]]*PI()^2)/((tblfocunsym[[#This Row],[ley]]/tblfocunsym[[#This Row],[ry]])^2)</f>
        <v>5309057.5994339874</v>
      </c>
      <c r="U1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4" s="26">
        <f>((tblfocunsym[[#This Row],[rol]]^2)-((tblfocunsym[[#This Row],[xo]]^2)*(tblfocunsym[[#This Row],[yo]]^2)))</f>
        <v>2.0752100000000005E-3</v>
      </c>
      <c r="W1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1096972.6464556628</v>
      </c>
      <c r="X14" s="26">
        <f>((tblfocunsym[[#This Row],[fox]]*tblfocunsym[[#This Row],[foy]])+(tblfocunsym[[#This Row],[foy]]*tblfocunsym[[#This Row],[foz]])+(tblfocunsym[[#This Row],[fox]]*tblfocunsym[[#This Row],[foz]]))*(tblfocunsym[[#This Row],[rol]]^2)</f>
        <v>41845973215225.625</v>
      </c>
      <c r="Y14" s="26">
        <f>tblfocunsym[[#This Row],[fox]]*tblfocunsym[[#This Row],[foy]]*tblfocunsym[[#This Row],[foz]]*tblfocunsym[[#This Row],[rol]]*tblfocunsym[[#This Row],[rol]]</f>
        <v>1.9155384723988722E+20</v>
      </c>
      <c r="Z1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4" s="28">
        <v>5309057.5994339874</v>
      </c>
      <c r="AB14" s="26">
        <f>SQRT(tblfocunsym[[#This Row],[fy]]/tblfocunsym[[#This Row],[foc]])</f>
        <v>7.763655760580261</v>
      </c>
      <c r="AC14" s="26">
        <f>IF(tblfocunsym[[#This Row],[λc]]&lt;=1.5,0.658^(tblfocunsym[[#This Row],[λc]]^2),0.877/(tblfocunsym[[#This Row],[λc]]^2))*tblfocunsym[[#This Row],[fy]]</f>
        <v>4656043.5147036063</v>
      </c>
      <c r="AD14" s="26">
        <f>0.85*tblfocunsym[[#This Row],[An]]*tblfocunsym[[#This Row],[kf]]*tblfocunsym[[#This Row],[fn]]</f>
        <v>3815.4786669071345</v>
      </c>
    </row>
    <row r="15" spans="2:30" x14ac:dyDescent="0.2">
      <c r="B15" s="4" t="s">
        <v>9</v>
      </c>
      <c r="C15" s="10">
        <v>1.17E-3</v>
      </c>
      <c r="D15" s="9">
        <v>0.82399999999999995</v>
      </c>
      <c r="E15" s="8">
        <v>5</v>
      </c>
      <c r="F15" s="8">
        <v>5</v>
      </c>
      <c r="G15" s="8">
        <v>5</v>
      </c>
      <c r="H15" s="4">
        <v>4.2500000000000003E-2</v>
      </c>
      <c r="I15" s="5">
        <v>1.6400000000000001E-2</v>
      </c>
      <c r="J15" s="5">
        <v>0</v>
      </c>
      <c r="K15" s="5">
        <v>0</v>
      </c>
      <c r="L15" s="6">
        <v>1.48E-8</v>
      </c>
      <c r="M15" s="6">
        <v>0</v>
      </c>
      <c r="N15" s="21">
        <v>320000000</v>
      </c>
      <c r="O15" s="16">
        <v>200000000000</v>
      </c>
      <c r="P15" s="16">
        <v>80000000000</v>
      </c>
      <c r="Q15" s="6" t="s">
        <v>51</v>
      </c>
      <c r="R15" s="26">
        <f>SQRT(tblfocunsym[[#This Row],[rx]]^2+tblfocunsym[[#This Row],[ry]]^2+tblfocunsym[[#This Row],[xo]]^2+tblfocunsym[[#This Row],[yo]]^2)</f>
        <v>4.5554472886863706E-2</v>
      </c>
      <c r="S15" s="26">
        <f>(tblfocunsym[[#This Row],[E]]*PI()^2)/((tblfocunsym[[#This Row],[lex]]/tblfocunsym[[#This Row],[rx]])^2)</f>
        <v>142615783.59574124</v>
      </c>
      <c r="T15" s="26">
        <f>(tblfocunsym[[#This Row],[E]]*PI()^2)/((tblfocunsym[[#This Row],[ley]]/tblfocunsym[[#This Row],[ry]])^2)</f>
        <v>21236230.39773595</v>
      </c>
      <c r="U1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5" s="26">
        <f>((tblfocunsym[[#This Row],[rol]]^2)-((tblfocunsym[[#This Row],[xo]]^2)*(tblfocunsym[[#This Row],[yo]]^2)))</f>
        <v>2.0752100000000005E-3</v>
      </c>
      <c r="W1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1351993.1499252159</v>
      </c>
      <c r="X15" s="26">
        <f>((tblfocunsym[[#This Row],[fox]]*tblfocunsym[[#This Row],[foy]])+(tblfocunsym[[#This Row],[foy]]*tblfocunsym[[#This Row],[foz]])+(tblfocunsym[[#This Row],[fox]]*tblfocunsym[[#This Row],[foz]]))*(tblfocunsym[[#This Row],[rol]]^2)</f>
        <v>172097662294181.94</v>
      </c>
      <c r="Y15" s="26">
        <f>tblfocunsym[[#This Row],[fox]]*tblfocunsym[[#This Row],[foy]]*tblfocunsym[[#This Row],[foz]]*tblfocunsym[[#This Row],[rol]]*tblfocunsym[[#This Row],[rol]]</f>
        <v>3.0648615558381956E+21</v>
      </c>
      <c r="Z1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5" s="28">
        <v>21236230.397735946</v>
      </c>
      <c r="AB15" s="26">
        <f>SQRT(tblfocunsym[[#This Row],[fy]]/tblfocunsym[[#This Row],[foc]])</f>
        <v>3.8818278802901305</v>
      </c>
      <c r="AC15" s="26">
        <f>IF(tblfocunsym[[#This Row],[λc]]&lt;=1.5,0.658^(tblfocunsym[[#This Row],[λc]]^2),0.877/(tblfocunsym[[#This Row],[λc]]^2))*tblfocunsym[[#This Row],[fy]]</f>
        <v>18624174.058814425</v>
      </c>
      <c r="AD15" s="26">
        <f>0.85*tblfocunsym[[#This Row],[An]]*tblfocunsym[[#This Row],[kf]]*tblfocunsym[[#This Row],[fn]]</f>
        <v>15261.914667628538</v>
      </c>
    </row>
    <row r="16" spans="2:30" x14ac:dyDescent="0.2">
      <c r="B16" s="4" t="s">
        <v>9</v>
      </c>
      <c r="C16" s="10">
        <v>1.17E-3</v>
      </c>
      <c r="D16" s="9">
        <v>0.82399999999999995</v>
      </c>
      <c r="E16" s="8">
        <v>1</v>
      </c>
      <c r="F16" s="8">
        <v>1</v>
      </c>
      <c r="G16" s="8">
        <v>1</v>
      </c>
      <c r="H16" s="4">
        <v>4.2500000000000003E-2</v>
      </c>
      <c r="I16" s="5">
        <v>1.6400000000000001E-2</v>
      </c>
      <c r="J16" s="5">
        <v>0</v>
      </c>
      <c r="K16" s="5">
        <v>0</v>
      </c>
      <c r="L16" s="6">
        <v>1.48E-8</v>
      </c>
      <c r="M16" s="6">
        <v>0</v>
      </c>
      <c r="N16" s="21">
        <v>320000000</v>
      </c>
      <c r="O16" s="16">
        <v>200000000000</v>
      </c>
      <c r="P16" s="16">
        <v>80000000000</v>
      </c>
      <c r="Q16" s="6" t="s">
        <v>51</v>
      </c>
      <c r="R16" s="26">
        <f>SQRT(tblfocunsym[[#This Row],[rx]]^2+tblfocunsym[[#This Row],[ry]]^2+tblfocunsym[[#This Row],[xo]]^2+tblfocunsym[[#This Row],[yo]]^2)</f>
        <v>4.5554472886863706E-2</v>
      </c>
      <c r="S16" s="26">
        <f>(tblfocunsym[[#This Row],[E]]*PI()^2)/((tblfocunsym[[#This Row],[lex]]/tblfocunsym[[#This Row],[rx]])^2)</f>
        <v>3565394589.8935313</v>
      </c>
      <c r="T16" s="26">
        <f>(tblfocunsym[[#This Row],[E]]*PI()^2)/((tblfocunsym[[#This Row],[ley]]/tblfocunsym[[#This Row],[ry]])^2)</f>
        <v>530905759.94339889</v>
      </c>
      <c r="U1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6" s="26">
        <f>((tblfocunsym[[#This Row],[rol]]^2)-((tblfocunsym[[#This Row],[xo]]^2)*(tblfocunsym[[#This Row],[yo]]^2)))</f>
        <v>2.0752100000000005E-3</v>
      </c>
      <c r="W1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9512649.2609509099</v>
      </c>
      <c r="X16" s="26">
        <f>((tblfocunsym[[#This Row],[fox]]*tblfocunsym[[#This Row],[foy]])+(tblfocunsym[[#This Row],[foy]]*tblfocunsym[[#This Row],[foz]])+(tblfocunsym[[#This Row],[fox]]*tblfocunsym[[#This Row],[foz]]))*(tblfocunsym[[#This Row],[rol]]^2)</f>
        <v>8073457103978091</v>
      </c>
      <c r="Y16" s="26">
        <f>tblfocunsym[[#This Row],[fox]]*tblfocunsym[[#This Row],[foy]]*tblfocunsym[[#This Row],[foz]]*tblfocunsym[[#This Row],[rol]]*tblfocunsym[[#This Row],[rol]]</f>
        <v>1.9155384723988731E+24</v>
      </c>
      <c r="Z1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6" s="28">
        <v>487645015.18680519</v>
      </c>
      <c r="AB16" s="26">
        <f>SQRT(tblfocunsym[[#This Row],[fy]]/tblfocunsym[[#This Row],[foc]])</f>
        <v>0.81007101790772351</v>
      </c>
      <c r="AC16" s="26">
        <f>IF(tblfocunsym[[#This Row],[λc]]&lt;=1.5,0.658^(tblfocunsym[[#This Row],[λc]]^2),0.877/(tblfocunsym[[#This Row],[λc]]^2))*tblfocunsym[[#This Row],[fy]]</f>
        <v>243145968.58988976</v>
      </c>
      <c r="AD16" s="26">
        <f>0.85*tblfocunsym[[#This Row],[An]]*tblfocunsym[[#This Row],[kf]]*tblfocunsym[[#This Row],[fn]]</f>
        <v>199250.34058841979</v>
      </c>
    </row>
    <row r="17" spans="2:30" x14ac:dyDescent="0.2">
      <c r="B17" s="4" t="s">
        <v>9</v>
      </c>
      <c r="C17" s="10">
        <v>1.17E-3</v>
      </c>
      <c r="D17" s="9">
        <v>0.82399999999999995</v>
      </c>
      <c r="E17" s="8">
        <v>0.5</v>
      </c>
      <c r="F17" s="8">
        <v>0.5</v>
      </c>
      <c r="G17" s="8">
        <v>0.5</v>
      </c>
      <c r="H17" s="4">
        <v>4.2500000000000003E-2</v>
      </c>
      <c r="I17" s="5">
        <v>1.6400000000000001E-2</v>
      </c>
      <c r="J17" s="5">
        <v>0</v>
      </c>
      <c r="K17" s="5">
        <v>0</v>
      </c>
      <c r="L17" s="6">
        <v>1.48E-8</v>
      </c>
      <c r="M17" s="6">
        <v>0</v>
      </c>
      <c r="N17" s="21">
        <v>320000000</v>
      </c>
      <c r="O17" s="16">
        <v>200000000000</v>
      </c>
      <c r="P17" s="16">
        <v>80000000000</v>
      </c>
      <c r="Q17" s="6" t="s">
        <v>51</v>
      </c>
      <c r="R17" s="26">
        <f>SQRT(tblfocunsym[[#This Row],[rx]]^2+tblfocunsym[[#This Row],[ry]]^2+tblfocunsym[[#This Row],[xo]]^2+tblfocunsym[[#This Row],[yo]]^2)</f>
        <v>4.5554472886863706E-2</v>
      </c>
      <c r="S17" s="26">
        <f>(tblfocunsym[[#This Row],[E]]*PI()^2)/((tblfocunsym[[#This Row],[lex]]/tblfocunsym[[#This Row],[rx]])^2)</f>
        <v>14261578359.574125</v>
      </c>
      <c r="T17" s="26">
        <f>(tblfocunsym[[#This Row],[E]]*PI()^2)/((tblfocunsym[[#This Row],[ley]]/tblfocunsym[[#This Row],[ry]])^2)</f>
        <v>2123623039.7735956</v>
      </c>
      <c r="U1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7" s="26">
        <f>((tblfocunsym[[#This Row],[rol]]^2)-((tblfocunsym[[#This Row],[xo]]^2)*(tblfocunsym[[#This Row],[yo]]^2)))</f>
        <v>2.0752100000000005E-3</v>
      </c>
      <c r="W1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35014699.607906207</v>
      </c>
      <c r="X17" s="26">
        <f>((tblfocunsym[[#This Row],[fox]]*tblfocunsym[[#This Row],[foy]])+(tblfocunsym[[#This Row],[foy]]*tblfocunsym[[#This Row],[foz]])+(tblfocunsym[[#This Row],[fox]]*tblfocunsym[[#This Row],[foz]]))*(tblfocunsym[[#This Row],[rol]]^2)</f>
        <v>7.943152274870664E+16</v>
      </c>
      <c r="Y17" s="26">
        <f>tblfocunsym[[#This Row],[fox]]*tblfocunsym[[#This Row],[foy]]*tblfocunsym[[#This Row],[foz]]*tblfocunsym[[#This Row],[rol]]*tblfocunsym[[#This Row],[rol]]</f>
        <v>3.064861555838197E+25</v>
      </c>
      <c r="Z1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7" s="28">
        <v>487645015.18680519</v>
      </c>
      <c r="AB17" s="26">
        <f>SQRT(tblfocunsym[[#This Row],[fy]]/tblfocunsym[[#This Row],[foc]])</f>
        <v>0.81007101790772351</v>
      </c>
      <c r="AC17" s="26">
        <f>IF(tblfocunsym[[#This Row],[λc]]&lt;=1.5,0.658^(tblfocunsym[[#This Row],[λc]]^2),0.877/(tblfocunsym[[#This Row],[λc]]^2))*tblfocunsym[[#This Row],[fy]]</f>
        <v>243145968.58988976</v>
      </c>
      <c r="AD17" s="26">
        <f>0.85*tblfocunsym[[#This Row],[An]]*tblfocunsym[[#This Row],[kf]]*tblfocunsym[[#This Row],[fn]]</f>
        <v>199250.34058841979</v>
      </c>
    </row>
    <row r="18" spans="2:30" x14ac:dyDescent="0.2">
      <c r="B18" s="4" t="s">
        <v>9</v>
      </c>
      <c r="C18" s="10">
        <v>1.17E-3</v>
      </c>
      <c r="D18" s="9">
        <v>0.82399999999999995</v>
      </c>
      <c r="E18" s="8">
        <v>0.1</v>
      </c>
      <c r="F18" s="8">
        <v>0.1</v>
      </c>
      <c r="G18" s="8">
        <v>0.1</v>
      </c>
      <c r="H18" s="4">
        <v>4.2500000000000003E-2</v>
      </c>
      <c r="I18" s="5">
        <v>1.6400000000000001E-2</v>
      </c>
      <c r="J18" s="5">
        <v>0</v>
      </c>
      <c r="K18" s="5">
        <v>0</v>
      </c>
      <c r="L18" s="6">
        <v>1.48E-8</v>
      </c>
      <c r="M18" s="6">
        <v>0</v>
      </c>
      <c r="N18" s="21">
        <v>320000000</v>
      </c>
      <c r="O18" s="16">
        <v>200000000000</v>
      </c>
      <c r="P18" s="16">
        <v>80000000000</v>
      </c>
      <c r="Q18" s="6" t="s">
        <v>51</v>
      </c>
      <c r="R18" s="26">
        <f>SQRT(tblfocunsym[[#This Row],[rx]]^2+tblfocunsym[[#This Row],[ry]]^2+tblfocunsym[[#This Row],[xo]]^2+tblfocunsym[[#This Row],[yo]]^2)</f>
        <v>4.5554472886863706E-2</v>
      </c>
      <c r="S18" s="26">
        <f>(tblfocunsym[[#This Row],[E]]*PI()^2)/((tblfocunsym[[#This Row],[lex]]/tblfocunsym[[#This Row],[rx]])^2)</f>
        <v>356539458989.35303</v>
      </c>
      <c r="T18" s="26">
        <f>(tblfocunsym[[#This Row],[E]]*PI()^2)/((tblfocunsym[[#This Row],[ley]]/tblfocunsym[[#This Row],[ry]])^2)</f>
        <v>53090575994.339874</v>
      </c>
      <c r="U1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8" s="26">
        <f>((tblfocunsym[[#This Row],[rol]]^2)-((tblfocunsym[[#This Row],[xo]]^2)*(tblfocunsym[[#This Row],[yo]]^2)))</f>
        <v>2.0752100000000005E-3</v>
      </c>
      <c r="W1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851080310.71047533</v>
      </c>
      <c r="X18" s="26">
        <f>((tblfocunsym[[#This Row],[fox]]*tblfocunsym[[#This Row],[foy]])+(tblfocunsym[[#This Row],[foy]]*tblfocunsym[[#This Row],[foz]])+(tblfocunsym[[#This Row],[fox]]*tblfocunsym[[#This Row],[foz]]))*(tblfocunsym[[#This Row],[rol]]^2)</f>
        <v>3.9695943534953054E+19</v>
      </c>
      <c r="Y18" s="26">
        <f>tblfocunsym[[#This Row],[fox]]*tblfocunsym[[#This Row],[foy]]*tblfocunsym[[#This Row],[foz]]*tblfocunsym[[#This Row],[rol]]*tblfocunsym[[#This Row],[rol]]</f>
        <v>1.9155384723988722E+28</v>
      </c>
      <c r="Z1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8" s="28">
        <v>487645015.18680602</v>
      </c>
      <c r="AB18" s="26">
        <f>SQRT(tblfocunsym[[#This Row],[fy]]/tblfocunsym[[#This Row],[foc]])</f>
        <v>0.81007101790772285</v>
      </c>
      <c r="AC18" s="26">
        <f>IF(tblfocunsym[[#This Row],[λc]]&lt;=1.5,0.658^(tblfocunsym[[#This Row],[λc]]^2),0.877/(tblfocunsym[[#This Row],[λc]]^2))*tblfocunsym[[#This Row],[fy]]</f>
        <v>243145968.58988988</v>
      </c>
      <c r="AD18" s="26">
        <f>0.85*tblfocunsym[[#This Row],[An]]*tblfocunsym[[#This Row],[kf]]*tblfocunsym[[#This Row],[fn]]</f>
        <v>199250.34058841987</v>
      </c>
    </row>
    <row r="19" spans="2:30" x14ac:dyDescent="0.2">
      <c r="B19" s="4" t="s">
        <v>8</v>
      </c>
      <c r="C19" s="10">
        <v>2.7899999999999999E-3</v>
      </c>
      <c r="D19" s="9">
        <v>0.95799999999999996</v>
      </c>
      <c r="E19" s="8">
        <v>20</v>
      </c>
      <c r="F19" s="8">
        <v>20</v>
      </c>
      <c r="G19" s="8">
        <v>20</v>
      </c>
      <c r="H19" s="5">
        <v>5.8700000000000002E-2</v>
      </c>
      <c r="I19" s="5">
        <v>2.98E-2</v>
      </c>
      <c r="J19" s="19">
        <v>0</v>
      </c>
      <c r="K19" s="19">
        <v>0</v>
      </c>
      <c r="L19" s="6">
        <v>8.8899999999999995E-8</v>
      </c>
      <c r="M19" s="6">
        <v>0</v>
      </c>
      <c r="N19" s="6">
        <v>320000000</v>
      </c>
      <c r="O19" s="6">
        <v>200000000000</v>
      </c>
      <c r="P19" s="6">
        <v>80000000000</v>
      </c>
      <c r="Q19" s="6" t="s">
        <v>51</v>
      </c>
      <c r="R19" s="29">
        <f>SQRT(tblfocunsym[[#This Row],[rx]]^2+tblfocunsym[[#This Row],[ry]]^2+tblfocunsym[[#This Row],[xo]]^2+tblfocunsym[[#This Row],[yo]]^2)</f>
        <v>6.5831071691109508E-2</v>
      </c>
      <c r="S19" s="29">
        <f>(tblfocunsym[[#This Row],[E]]*PI()^2)/((tblfocunsym[[#This Row],[lex]]/tblfocunsym[[#This Row],[rx]])^2)</f>
        <v>17003798.594394796</v>
      </c>
      <c r="T19" s="29">
        <f>(tblfocunsym[[#This Row],[E]]*PI()^2)/((tblfocunsym[[#This Row],[ley]]/tblfocunsym[[#This Row],[ry]])^2)</f>
        <v>4382301.746171697</v>
      </c>
      <c r="U19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19" s="29">
        <f>((tblfocunsym[[#This Row],[rol]]^2)-((tblfocunsym[[#This Row],[xo]]^2)*(tblfocunsym[[#This Row],[yo]]^2)))</f>
        <v>4.33373E-3</v>
      </c>
      <c r="W19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2641785.5272812531</v>
      </c>
      <c r="X19" s="29">
        <f>((tblfocunsym[[#This Row],[fox]]*tblfocunsym[[#This Row],[foy]])+(tblfocunsym[[#This Row],[foy]]*tblfocunsym[[#This Row],[foz]])+(tblfocunsym[[#This Row],[fox]]*tblfocunsym[[#This Row],[foz]]))*(tblfocunsym[[#This Row],[rol]]^2)</f>
        <v>54838323951198.625</v>
      </c>
      <c r="Y19" s="29">
        <f>tblfocunsym[[#This Row],[fox]]*tblfocunsym[[#This Row],[foy]]*tblfocunsym[[#This Row],[foz]]*tblfocunsym[[#This Row],[rol]]*tblfocunsym[[#This Row],[rol]]</f>
        <v>1.8994845908416312E+20</v>
      </c>
      <c r="Z19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19" s="31">
        <v>4382301.746171697</v>
      </c>
      <c r="AB19" s="29">
        <f>SQRT(tblfocunsym[[#This Row],[fy]]/tblfocunsym[[#This Row],[foc]])</f>
        <v>8.5452318438601527</v>
      </c>
      <c r="AC19" s="29">
        <f>IF(tblfocunsym[[#This Row],[λc]]&lt;=1.5,0.658^(tblfocunsym[[#This Row],[λc]]^2),0.877/(tblfocunsym[[#This Row],[λc]]^2))*tblfocunsym[[#This Row],[fy]]</f>
        <v>3843278.6313925781</v>
      </c>
      <c r="AD19" s="29">
        <f>0.85*tblfocunsym[[#This Row],[An]]*tblfocunsym[[#This Row],[kf]]*tblfocunsym[[#This Row],[fn]]</f>
        <v>8731.5331928249034</v>
      </c>
    </row>
    <row r="20" spans="2:30" x14ac:dyDescent="0.2">
      <c r="B20" s="4" t="s">
        <v>8</v>
      </c>
      <c r="C20" s="10">
        <v>2.7899999999999999E-3</v>
      </c>
      <c r="D20" s="9">
        <v>0.95799999999999996</v>
      </c>
      <c r="E20" s="8">
        <v>10</v>
      </c>
      <c r="F20" s="8">
        <v>10</v>
      </c>
      <c r="G20" s="8">
        <v>10</v>
      </c>
      <c r="H20" s="5">
        <v>5.8700000000000002E-2</v>
      </c>
      <c r="I20" s="5">
        <v>2.98E-2</v>
      </c>
      <c r="J20" s="19">
        <v>0</v>
      </c>
      <c r="K20" s="19">
        <v>0</v>
      </c>
      <c r="L20" s="6">
        <v>8.8899999999999995E-8</v>
      </c>
      <c r="M20" s="6">
        <v>0</v>
      </c>
      <c r="N20" s="6">
        <v>320000000</v>
      </c>
      <c r="O20" s="6">
        <v>200000000000</v>
      </c>
      <c r="P20" s="6">
        <v>80000000000</v>
      </c>
      <c r="Q20" s="6" t="s">
        <v>51</v>
      </c>
      <c r="R20" s="29">
        <f>SQRT(tblfocunsym[[#This Row],[rx]]^2+tblfocunsym[[#This Row],[ry]]^2+tblfocunsym[[#This Row],[xo]]^2+tblfocunsym[[#This Row],[yo]]^2)</f>
        <v>6.5831071691109508E-2</v>
      </c>
      <c r="S20" s="29">
        <f>(tblfocunsym[[#This Row],[E]]*PI()^2)/((tblfocunsym[[#This Row],[lex]]/tblfocunsym[[#This Row],[rx]])^2)</f>
        <v>68015194.377579182</v>
      </c>
      <c r="T20" s="29">
        <f>(tblfocunsym[[#This Row],[E]]*PI()^2)/((tblfocunsym[[#This Row],[ley]]/tblfocunsym[[#This Row],[ry]])^2)</f>
        <v>17529206.984686788</v>
      </c>
      <c r="U20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0" s="29">
        <f>((tblfocunsym[[#This Row],[rol]]^2)-((tblfocunsym[[#This Row],[xo]]^2)*(tblfocunsym[[#This Row],[yo]]^2)))</f>
        <v>4.33373E-3</v>
      </c>
      <c r="W20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2919830.2811680227</v>
      </c>
      <c r="X20" s="29">
        <f>((tblfocunsym[[#This Row],[fox]]*tblfocunsym[[#This Row],[foy]])+(tblfocunsym[[#This Row],[foy]]*tblfocunsym[[#This Row],[foz]])+(tblfocunsym[[#This Row],[fox]]*tblfocunsym[[#This Row],[foz]]))*(tblfocunsym[[#This Row],[rol]]^2)</f>
        <v>223228470866021.53</v>
      </c>
      <c r="Y20" s="29">
        <f>tblfocunsym[[#This Row],[fox]]*tblfocunsym[[#This Row],[foy]]*tblfocunsym[[#This Row],[foz]]*tblfocunsym[[#This Row],[rol]]*tblfocunsym[[#This Row],[rol]]</f>
        <v>3.0391753453466099E+21</v>
      </c>
      <c r="Z20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20" s="31">
        <v>17529206.984686781</v>
      </c>
      <c r="AB20" s="29">
        <f>SQRT(tblfocunsym[[#This Row],[fy]]/tblfocunsym[[#This Row],[foc]])</f>
        <v>4.2726159219300772</v>
      </c>
      <c r="AC20" s="29">
        <f>IF(tblfocunsym[[#This Row],[λc]]&lt;=1.5,0.658^(tblfocunsym[[#This Row],[λc]]^2),0.877/(tblfocunsym[[#This Row],[λc]]^2))*tblfocunsym[[#This Row],[fy]]</f>
        <v>15373114.525570307</v>
      </c>
      <c r="AD20" s="29">
        <f>0.85*tblfocunsym[[#This Row],[An]]*tblfocunsym[[#This Row],[kf]]*tblfocunsym[[#This Row],[fn]]</f>
        <v>34926.132771299599</v>
      </c>
    </row>
    <row r="21" spans="2:30" x14ac:dyDescent="0.2">
      <c r="B21" s="13" t="s">
        <v>8</v>
      </c>
      <c r="C21" s="14">
        <v>2.7899999999999999E-3</v>
      </c>
      <c r="D21" s="11">
        <v>0.95799999999999996</v>
      </c>
      <c r="E21" s="7">
        <v>5</v>
      </c>
      <c r="F21" s="7">
        <v>5</v>
      </c>
      <c r="G21" s="7">
        <v>5</v>
      </c>
      <c r="H21" s="15">
        <v>5.8700000000000002E-2</v>
      </c>
      <c r="I21" s="15">
        <v>2.98E-2</v>
      </c>
      <c r="J21" s="18">
        <v>0</v>
      </c>
      <c r="K21" s="18">
        <v>0</v>
      </c>
      <c r="L21" s="16">
        <v>8.8899999999999995E-8</v>
      </c>
      <c r="M21" s="16">
        <v>0</v>
      </c>
      <c r="N21" s="6">
        <v>320000000</v>
      </c>
      <c r="O21" s="16">
        <v>200000000000</v>
      </c>
      <c r="P21" s="16">
        <v>80000000000</v>
      </c>
      <c r="Q21" s="6" t="s">
        <v>51</v>
      </c>
      <c r="R21" s="26">
        <f>SQRT(tblfocunsym[[#This Row],[rx]]^2+tblfocunsym[[#This Row],[ry]]^2+tblfocunsym[[#This Row],[xo]]^2+tblfocunsym[[#This Row],[yo]]^2)</f>
        <v>6.5831071691109508E-2</v>
      </c>
      <c r="S21" s="26">
        <f>(tblfocunsym[[#This Row],[E]]*PI()^2)/((tblfocunsym[[#This Row],[lex]]/tblfocunsym[[#This Row],[rx]])^2)</f>
        <v>272060777.51031673</v>
      </c>
      <c r="T21" s="26">
        <f>(tblfocunsym[[#This Row],[E]]*PI()^2)/((tblfocunsym[[#This Row],[ley]]/tblfocunsym[[#This Row],[ry]])^2)</f>
        <v>70116827.938747153</v>
      </c>
      <c r="U2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1" s="26">
        <f>((tblfocunsym[[#This Row],[rol]]^2)-((tblfocunsym[[#This Row],[xo]]^2)*(tblfocunsym[[#This Row],[yo]]^2)))</f>
        <v>4.33373E-3</v>
      </c>
      <c r="W2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4032009.2967151017</v>
      </c>
      <c r="X21" s="26">
        <f>((tblfocunsym[[#This Row],[fox]]*tblfocunsym[[#This Row],[foy]])+(tblfocunsym[[#This Row],[foy]]*tblfocunsym[[#This Row],[foz]])+(tblfocunsym[[#This Row],[fox]]*tblfocunsym[[#This Row],[foz]]))*(tblfocunsym[[#This Row],[rol]]^2)</f>
        <v>954916684443718</v>
      </c>
      <c r="Y21" s="26">
        <f>tblfocunsym[[#This Row],[fox]]*tblfocunsym[[#This Row],[foy]]*tblfocunsym[[#This Row],[foz]]*tblfocunsym[[#This Row],[rol]]*tblfocunsym[[#This Row],[rol]]</f>
        <v>4.8626805525545759E+22</v>
      </c>
      <c r="Z2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1" s="28">
        <v>70116827.938747138</v>
      </c>
      <c r="AB21" s="26">
        <f>SQRT(tblfocunsym[[#This Row],[fy]]/tblfocunsym[[#This Row],[foc]])</f>
        <v>2.1363079609650382</v>
      </c>
      <c r="AC21" s="26">
        <f>IF(tblfocunsym[[#This Row],[λc]]&lt;=1.5,0.658^(tblfocunsym[[#This Row],[λc]]^2),0.877/(tblfocunsym[[#This Row],[λc]]^2))*tblfocunsym[[#This Row],[fy]]</f>
        <v>61492458.10228125</v>
      </c>
      <c r="AD21" s="26">
        <f>0.85*tblfocunsym[[#This Row],[An]]*tblfocunsym[[#This Row],[kf]]*tblfocunsym[[#This Row],[fn]]</f>
        <v>139704.53108519845</v>
      </c>
    </row>
    <row r="22" spans="2:30" x14ac:dyDescent="0.2">
      <c r="B22" s="13" t="s">
        <v>8</v>
      </c>
      <c r="C22" s="14">
        <v>2.7899999999999999E-3</v>
      </c>
      <c r="D22" s="11">
        <v>0.95799999999999996</v>
      </c>
      <c r="E22" s="7">
        <v>1</v>
      </c>
      <c r="F22" s="7">
        <v>1</v>
      </c>
      <c r="G22" s="7">
        <v>1</v>
      </c>
      <c r="H22" s="15">
        <v>5.8700000000000002E-2</v>
      </c>
      <c r="I22" s="15">
        <v>2.98E-2</v>
      </c>
      <c r="J22" s="18">
        <v>0</v>
      </c>
      <c r="K22" s="18">
        <v>0</v>
      </c>
      <c r="L22" s="16">
        <v>8.8899999999999995E-8</v>
      </c>
      <c r="M22" s="16">
        <v>0</v>
      </c>
      <c r="N22" s="6">
        <v>320000000</v>
      </c>
      <c r="O22" s="16">
        <v>200000000000</v>
      </c>
      <c r="P22" s="16">
        <v>80000000000</v>
      </c>
      <c r="Q22" s="6" t="s">
        <v>51</v>
      </c>
      <c r="R22" s="26">
        <f>SQRT(tblfocunsym[[#This Row],[rx]]^2+tblfocunsym[[#This Row],[ry]]^2+tblfocunsym[[#This Row],[xo]]^2+tblfocunsym[[#This Row],[yo]]^2)</f>
        <v>6.5831071691109508E-2</v>
      </c>
      <c r="S22" s="26">
        <f>(tblfocunsym[[#This Row],[E]]*PI()^2)/((tblfocunsym[[#This Row],[lex]]/tblfocunsym[[#This Row],[rx]])^2)</f>
        <v>6801519437.7579174</v>
      </c>
      <c r="T22" s="26">
        <f>(tblfocunsym[[#This Row],[E]]*PI()^2)/((tblfocunsym[[#This Row],[ley]]/tblfocunsym[[#This Row],[ry]])^2)</f>
        <v>1752920698.4686785</v>
      </c>
      <c r="U2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2" s="26">
        <f>((tblfocunsym[[#This Row],[rol]]^2)-((tblfocunsym[[#This Row],[xo]]^2)*(tblfocunsym[[#This Row],[yo]]^2)))</f>
        <v>4.33373E-3</v>
      </c>
      <c r="W2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39621737.794221617</v>
      </c>
      <c r="X22" s="26">
        <f>((tblfocunsym[[#This Row],[fox]]*tblfocunsym[[#This Row],[foy]])+(tblfocunsym[[#This Row],[foy]]*tblfocunsym[[#This Row],[foz]])+(tblfocunsym[[#This Row],[fox]]*tblfocunsym[[#This Row],[foz]]))*(tblfocunsym[[#This Row],[rol]]^2)</f>
        <v>7.3475157894798512E+16</v>
      </c>
      <c r="Y22" s="26">
        <f>tblfocunsym[[#This Row],[fox]]*tblfocunsym[[#This Row],[foy]]*tblfocunsym[[#This Row],[foz]]*tblfocunsym[[#This Row],[rol]]*tblfocunsym[[#This Row],[rol]]</f>
        <v>3.0391753453466095E+25</v>
      </c>
      <c r="Z2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2" s="28">
        <v>588200912.9900403</v>
      </c>
      <c r="AB22" s="26">
        <f>SQRT(tblfocunsym[[#This Row],[fy]]/tblfocunsym[[#This Row],[foc]])</f>
        <v>0.73758511205508337</v>
      </c>
      <c r="AC22" s="26">
        <f>IF(tblfocunsym[[#This Row],[λc]]&lt;=1.5,0.658^(tblfocunsym[[#This Row],[λc]]^2),0.877/(tblfocunsym[[#This Row],[λc]]^2))*tblfocunsym[[#This Row],[fy]]</f>
        <v>254835005.32635772</v>
      </c>
      <c r="AD22" s="26">
        <f>0.85*tblfocunsym[[#This Row],[An]]*tblfocunsym[[#This Row],[kf]]*tblfocunsym[[#This Row],[fn]]</f>
        <v>578958.88409593608</v>
      </c>
    </row>
    <row r="23" spans="2:30" x14ac:dyDescent="0.2">
      <c r="B23" s="13" t="s">
        <v>8</v>
      </c>
      <c r="C23" s="14">
        <v>2.7899999999999999E-3</v>
      </c>
      <c r="D23" s="11">
        <v>0.95799999999999996</v>
      </c>
      <c r="E23" s="7">
        <v>0.5</v>
      </c>
      <c r="F23" s="7">
        <v>0.5</v>
      </c>
      <c r="G23" s="7">
        <v>0.5</v>
      </c>
      <c r="H23" s="15">
        <v>5.8700000000000002E-2</v>
      </c>
      <c r="I23" s="15">
        <v>2.98E-2</v>
      </c>
      <c r="J23" s="18">
        <v>0</v>
      </c>
      <c r="K23" s="18">
        <v>0</v>
      </c>
      <c r="L23" s="16">
        <v>8.8899999999999995E-8</v>
      </c>
      <c r="M23" s="16">
        <v>0</v>
      </c>
      <c r="N23" s="6">
        <v>320000000</v>
      </c>
      <c r="O23" s="16">
        <v>200000000000</v>
      </c>
      <c r="P23" s="16">
        <v>80000000000</v>
      </c>
      <c r="Q23" s="6" t="s">
        <v>51</v>
      </c>
      <c r="R23" s="26">
        <f>SQRT(tblfocunsym[[#This Row],[rx]]^2+tblfocunsym[[#This Row],[ry]]^2+tblfocunsym[[#This Row],[xo]]^2+tblfocunsym[[#This Row],[yo]]^2)</f>
        <v>6.5831071691109508E-2</v>
      </c>
      <c r="S23" s="26">
        <f>(tblfocunsym[[#This Row],[E]]*PI()^2)/((tblfocunsym[[#This Row],[lex]]/tblfocunsym[[#This Row],[rx]])^2)</f>
        <v>27206077751.03167</v>
      </c>
      <c r="T23" s="26">
        <f>(tblfocunsym[[#This Row],[E]]*PI()^2)/((tblfocunsym[[#This Row],[ley]]/tblfocunsym[[#This Row],[ry]])^2)</f>
        <v>7011682793.8747139</v>
      </c>
      <c r="U2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3" s="26">
        <f>((tblfocunsym[[#This Row],[rol]]^2)-((tblfocunsym[[#This Row],[xo]]^2)*(tblfocunsym[[#This Row],[yo]]^2)))</f>
        <v>4.33373E-3</v>
      </c>
      <c r="W2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150839639.34892946</v>
      </c>
      <c r="X23" s="26">
        <f>((tblfocunsym[[#This Row],[fox]]*tblfocunsym[[#This Row],[foy]])+(tblfocunsym[[#This Row],[foy]]*tblfocunsym[[#This Row],[foz]])+(tblfocunsym[[#This Row],[fox]]*tblfocunsym[[#This Row],[foz]]))*(tblfocunsym[[#This Row],[rol]]^2)</f>
        <v>9.139286413755136E+17</v>
      </c>
      <c r="Y23" s="26">
        <f>tblfocunsym[[#This Row],[fox]]*tblfocunsym[[#This Row],[foy]]*tblfocunsym[[#This Row],[foz]]*tblfocunsym[[#This Row],[rol]]*tblfocunsym[[#This Row],[rol]]</f>
        <v>4.8626805525545752E+26</v>
      </c>
      <c r="Z2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3" s="28">
        <v>588200912.99004078</v>
      </c>
      <c r="AB23" s="26">
        <f>SQRT(tblfocunsym[[#This Row],[fy]]/tblfocunsym[[#This Row],[foc]])</f>
        <v>0.73758511205508304</v>
      </c>
      <c r="AC23" s="26">
        <f>IF(tblfocunsym[[#This Row],[λc]]&lt;=1.5,0.658^(tblfocunsym[[#This Row],[λc]]^2),0.877/(tblfocunsym[[#This Row],[λc]]^2))*tblfocunsym[[#This Row],[fy]]</f>
        <v>254835005.32635781</v>
      </c>
      <c r="AD23" s="26">
        <f>0.85*tblfocunsym[[#This Row],[An]]*tblfocunsym[[#This Row],[kf]]*tblfocunsym[[#This Row],[fn]]</f>
        <v>578958.88409593632</v>
      </c>
    </row>
    <row r="24" spans="2:30" x14ac:dyDescent="0.2">
      <c r="B24" s="13" t="s">
        <v>8</v>
      </c>
      <c r="C24" s="14">
        <v>2.7899999999999999E-3</v>
      </c>
      <c r="D24" s="11">
        <v>0.95799999999999996</v>
      </c>
      <c r="E24" s="7">
        <v>0.1</v>
      </c>
      <c r="F24" s="7">
        <v>0.1</v>
      </c>
      <c r="G24" s="7">
        <v>0.1</v>
      </c>
      <c r="H24" s="15">
        <v>5.8700000000000002E-2</v>
      </c>
      <c r="I24" s="15">
        <v>2.98E-2</v>
      </c>
      <c r="J24" s="18">
        <v>0</v>
      </c>
      <c r="K24" s="18">
        <v>0</v>
      </c>
      <c r="L24" s="16">
        <v>8.8899999999999995E-8</v>
      </c>
      <c r="M24" s="16">
        <v>0</v>
      </c>
      <c r="N24" s="6">
        <v>320000000</v>
      </c>
      <c r="O24" s="16">
        <v>200000000000</v>
      </c>
      <c r="P24" s="16">
        <v>80000000000</v>
      </c>
      <c r="Q24" s="6" t="s">
        <v>51</v>
      </c>
      <c r="R24" s="26">
        <f>SQRT(tblfocunsym[[#This Row],[rx]]^2+tblfocunsym[[#This Row],[ry]]^2+tblfocunsym[[#This Row],[xo]]^2+tblfocunsym[[#This Row],[yo]]^2)</f>
        <v>6.5831071691109508E-2</v>
      </c>
      <c r="S24" s="26">
        <f>(tblfocunsym[[#This Row],[E]]*PI()^2)/((tblfocunsym[[#This Row],[lex]]/tblfocunsym[[#This Row],[rx]])^2)</f>
        <v>680151943775.79187</v>
      </c>
      <c r="T24" s="26">
        <f>(tblfocunsym[[#This Row],[E]]*PI()^2)/((tblfocunsym[[#This Row],[ley]]/tblfocunsym[[#This Row],[ry]])^2)</f>
        <v>175292069846.86786</v>
      </c>
      <c r="U2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4" s="26">
        <f>((tblfocunsym[[#This Row],[rol]]^2)-((tblfocunsym[[#This Row],[xo]]^2)*(tblfocunsym[[#This Row],[yo]]^2)))</f>
        <v>4.33373E-3</v>
      </c>
      <c r="W2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3709812489.0995812</v>
      </c>
      <c r="X24" s="26">
        <f>((tblfocunsym[[#This Row],[fox]]*tblfocunsym[[#This Row],[foy]])+(tblfocunsym[[#This Row],[foy]]*tblfocunsym[[#This Row],[foz]])+(tblfocunsym[[#This Row],[fox]]*tblfocunsym[[#This Row],[foz]]))*(tblfocunsym[[#This Row],[rol]]^2)</f>
        <v>5.188706238714436E+20</v>
      </c>
      <c r="Y24" s="26">
        <f>tblfocunsym[[#This Row],[fox]]*tblfocunsym[[#This Row],[foy]]*tblfocunsym[[#This Row],[foz]]*tblfocunsym[[#This Row],[rol]]*tblfocunsym[[#This Row],[rol]]</f>
        <v>3.0391753453466099E+29</v>
      </c>
      <c r="Z2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4" s="28">
        <v>588200912.99004078</v>
      </c>
      <c r="AB24" s="26">
        <f>SQRT(tblfocunsym[[#This Row],[fy]]/tblfocunsym[[#This Row],[foc]])</f>
        <v>0.73758511205508304</v>
      </c>
      <c r="AC24" s="26">
        <f>IF(tblfocunsym[[#This Row],[λc]]&lt;=1.5,0.658^(tblfocunsym[[#This Row],[λc]]^2),0.877/(tblfocunsym[[#This Row],[λc]]^2))*tblfocunsym[[#This Row],[fy]]</f>
        <v>254835005.32635781</v>
      </c>
      <c r="AD24" s="26">
        <f>0.85*tblfocunsym[[#This Row],[An]]*tblfocunsym[[#This Row],[kf]]*tblfocunsym[[#This Row],[fn]]</f>
        <v>578958.88409593632</v>
      </c>
    </row>
    <row r="25" spans="2:30" x14ac:dyDescent="0.2">
      <c r="B25" s="13" t="s">
        <v>38</v>
      </c>
      <c r="C25" s="14">
        <v>1.4300000000000001E-4</v>
      </c>
      <c r="D25" s="11">
        <v>1</v>
      </c>
      <c r="E25" s="7">
        <v>10</v>
      </c>
      <c r="F25" s="7">
        <v>10</v>
      </c>
      <c r="G25" s="7">
        <v>10</v>
      </c>
      <c r="H25" s="15">
        <v>9.2200000000000008E-3</v>
      </c>
      <c r="I25" s="15">
        <v>4.7299999999999998E-3</v>
      </c>
      <c r="J25" s="18">
        <v>0</v>
      </c>
      <c r="K25" s="18">
        <v>0</v>
      </c>
      <c r="L25" s="16">
        <v>5.1499999999999998E-10</v>
      </c>
      <c r="M25" s="16">
        <v>0</v>
      </c>
      <c r="N25" s="6">
        <v>320000000</v>
      </c>
      <c r="O25" s="16">
        <v>200000000000</v>
      </c>
      <c r="P25" s="16">
        <v>80000000000</v>
      </c>
      <c r="Q25" s="6" t="s">
        <v>51</v>
      </c>
      <c r="R25" s="26">
        <f>SQRT(tblfocunsym[[#This Row],[rx]]^2+tblfocunsym[[#This Row],[ry]]^2+tblfocunsym[[#This Row],[xo]]^2+tblfocunsym[[#This Row],[yo]]^2)</f>
        <v>1.0362494873340107E-2</v>
      </c>
      <c r="S25" s="26">
        <f>(tblfocunsym[[#This Row],[E]]*PI()^2)/((tblfocunsym[[#This Row],[lex]]/tblfocunsym[[#This Row],[rx]])^2)</f>
        <v>1677998.5575391292</v>
      </c>
      <c r="T25" s="26">
        <f>(tblfocunsym[[#This Row],[E]]*PI()^2)/((tblfocunsym[[#This Row],[ley]]/tblfocunsym[[#This Row],[ry]])^2)</f>
        <v>441623.34461026412</v>
      </c>
      <c r="U2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5" s="26">
        <f>((tblfocunsym[[#This Row],[rol]]^2)-((tblfocunsym[[#This Row],[xo]]^2)*(tblfocunsym[[#This Row],[yo]]^2)))</f>
        <v>1.0738129999999999E-4</v>
      </c>
      <c r="W2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288339.49586724938</v>
      </c>
      <c r="X25" s="26">
        <f>((tblfocunsym[[#This Row],[fox]]*tblfocunsym[[#This Row],[foy]])+(tblfocunsym[[#This Row],[foy]]*tblfocunsym[[#This Row],[foz]])+(tblfocunsym[[#This Row],[fox]]*tblfocunsym[[#This Row],[foz]]))*(tblfocunsym[[#This Row],[rol]]^2)</f>
        <v>610767842508.26709</v>
      </c>
      <c r="Y25" s="26">
        <f>tblfocunsym[[#This Row],[fox]]*tblfocunsym[[#This Row],[foy]]*tblfocunsym[[#This Row],[foz]]*tblfocunsym[[#This Row],[rol]]*tblfocunsym[[#This Row],[rol]]</f>
        <v>2.1350339448631546E+17</v>
      </c>
      <c r="Z2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5" s="28">
        <v>441623.34461026365</v>
      </c>
      <c r="AB25" s="26">
        <f>SQRT(tblfocunsym[[#This Row],[fy]]/tblfocunsym[[#This Row],[foc]])</f>
        <v>26.918383609622907</v>
      </c>
      <c r="AC25" s="26">
        <f>IF(tblfocunsym[[#This Row],[λc]]&lt;=1.5,0.658^(tblfocunsym[[#This Row],[λc]]^2),0.877/(tblfocunsym[[#This Row],[λc]]^2))*tblfocunsym[[#This Row],[fy]]</f>
        <v>387303.67322320119</v>
      </c>
      <c r="AD25" s="26">
        <f>0.85*tblfocunsym[[#This Row],[An]]*tblfocunsym[[#This Row],[kf]]*tblfocunsym[[#This Row],[fn]]</f>
        <v>47.076761480280105</v>
      </c>
    </row>
    <row r="26" spans="2:30" x14ac:dyDescent="0.2">
      <c r="B26" s="13" t="s">
        <v>38</v>
      </c>
      <c r="C26" s="14">
        <v>1.4300000000000001E-4</v>
      </c>
      <c r="D26" s="11">
        <v>1</v>
      </c>
      <c r="E26" s="7">
        <v>5</v>
      </c>
      <c r="F26" s="7">
        <v>5</v>
      </c>
      <c r="G26" s="7">
        <v>5</v>
      </c>
      <c r="H26" s="15">
        <v>9.2200000000000008E-3</v>
      </c>
      <c r="I26" s="15">
        <v>4.7299999999999998E-3</v>
      </c>
      <c r="J26" s="18">
        <v>0</v>
      </c>
      <c r="K26" s="18">
        <v>0</v>
      </c>
      <c r="L26" s="16">
        <v>5.1499999999999998E-10</v>
      </c>
      <c r="M26" s="16">
        <v>0</v>
      </c>
      <c r="N26" s="6">
        <v>320000000</v>
      </c>
      <c r="O26" s="16">
        <v>200000000000</v>
      </c>
      <c r="P26" s="16">
        <v>80000000000</v>
      </c>
      <c r="Q26" s="6" t="s">
        <v>51</v>
      </c>
      <c r="R26" s="26">
        <f>SQRT(tblfocunsym[[#This Row],[rx]]^2+tblfocunsym[[#This Row],[ry]]^2+tblfocunsym[[#This Row],[xo]]^2+tblfocunsym[[#This Row],[yo]]^2)</f>
        <v>1.0362494873340107E-2</v>
      </c>
      <c r="S26" s="26">
        <f>(tblfocunsym[[#This Row],[E]]*PI()^2)/((tblfocunsym[[#This Row],[lex]]/tblfocunsym[[#This Row],[rx]])^2)</f>
        <v>6711994.2301565167</v>
      </c>
      <c r="T26" s="26">
        <f>(tblfocunsym[[#This Row],[E]]*PI()^2)/((tblfocunsym[[#This Row],[ley]]/tblfocunsym[[#This Row],[ry]])^2)</f>
        <v>1766493.3784410565</v>
      </c>
      <c r="U2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6" s="26">
        <f>((tblfocunsym[[#This Row],[rol]]^2)-((tblfocunsym[[#This Row],[xo]]^2)*(tblfocunsym[[#This Row],[yo]]^2)))</f>
        <v>1.0738129999999999E-4</v>
      </c>
      <c r="W2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289022.31913333322</v>
      </c>
      <c r="X26" s="26">
        <f>((tblfocunsym[[#This Row],[fox]]*tblfocunsym[[#This Row],[foy]])+(tblfocunsym[[#This Row],[foy]]*tblfocunsym[[#This Row],[foz]])+(tblfocunsym[[#This Row],[fox]]*tblfocunsym[[#This Row],[foz]]))*(tblfocunsym[[#This Row],[rol]]^2)</f>
        <v>2444026260393.3896</v>
      </c>
      <c r="Y26" s="26">
        <f>tblfocunsym[[#This Row],[fox]]*tblfocunsym[[#This Row],[foy]]*tblfocunsym[[#This Row],[foz]]*tblfocunsym[[#This Row],[rol]]*tblfocunsym[[#This Row],[rol]]</f>
        <v>3.4160543117810473E+18</v>
      </c>
      <c r="Z2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6" s="28">
        <v>1766493.3784410558</v>
      </c>
      <c r="AB26" s="26">
        <f>SQRT(tblfocunsym[[#This Row],[fy]]/tblfocunsym[[#This Row],[foc]])</f>
        <v>13.459191804811448</v>
      </c>
      <c r="AC26" s="26">
        <f>IF(tblfocunsym[[#This Row],[λc]]&lt;=1.5,0.658^(tblfocunsym[[#This Row],[λc]]^2),0.877/(tblfocunsym[[#This Row],[λc]]^2))*tblfocunsym[[#This Row],[fy]]</f>
        <v>1549214.6928928061</v>
      </c>
      <c r="AD26" s="26">
        <f>0.85*tblfocunsym[[#This Row],[An]]*tblfocunsym[[#This Row],[kf]]*tblfocunsym[[#This Row],[fn]]</f>
        <v>188.30704592112059</v>
      </c>
    </row>
    <row r="27" spans="2:30" x14ac:dyDescent="0.2">
      <c r="B27" s="13" t="s">
        <v>38</v>
      </c>
      <c r="C27" s="14">
        <v>1.4300000000000001E-4</v>
      </c>
      <c r="D27" s="11">
        <v>1</v>
      </c>
      <c r="E27" s="7">
        <v>1</v>
      </c>
      <c r="F27" s="7">
        <v>1</v>
      </c>
      <c r="G27" s="7">
        <v>1</v>
      </c>
      <c r="H27" s="15">
        <v>9.2200000000000008E-3</v>
      </c>
      <c r="I27" s="15">
        <v>4.7299999999999998E-3</v>
      </c>
      <c r="J27" s="18">
        <v>0</v>
      </c>
      <c r="K27" s="18">
        <v>0</v>
      </c>
      <c r="L27" s="16">
        <v>5.1499999999999998E-10</v>
      </c>
      <c r="M27" s="16">
        <v>0</v>
      </c>
      <c r="N27" s="6">
        <v>320000000</v>
      </c>
      <c r="O27" s="16">
        <v>200000000000</v>
      </c>
      <c r="P27" s="16">
        <v>80000000000</v>
      </c>
      <c r="Q27" s="6" t="s">
        <v>51</v>
      </c>
      <c r="R27" s="26">
        <f>SQRT(tblfocunsym[[#This Row],[rx]]^2+tblfocunsym[[#This Row],[ry]]^2+tblfocunsym[[#This Row],[xo]]^2+tblfocunsym[[#This Row],[yo]]^2)</f>
        <v>1.0362494873340107E-2</v>
      </c>
      <c r="S27" s="26">
        <f>(tblfocunsym[[#This Row],[E]]*PI()^2)/((tblfocunsym[[#This Row],[lex]]/tblfocunsym[[#This Row],[rx]])^2)</f>
        <v>167799855.75391296</v>
      </c>
      <c r="T27" s="26">
        <f>(tblfocunsym[[#This Row],[E]]*PI()^2)/((tblfocunsym[[#This Row],[ley]]/tblfocunsym[[#This Row],[ry]])^2)</f>
        <v>44162334.461026415</v>
      </c>
      <c r="U2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7" s="26">
        <f>((tblfocunsym[[#This Row],[rol]]^2)-((tblfocunsym[[#This Row],[xo]]^2)*(tblfocunsym[[#This Row],[yo]]^2)))</f>
        <v>1.0738129999999999E-4</v>
      </c>
      <c r="W2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310872.66364801559</v>
      </c>
      <c r="X27" s="26">
        <f>((tblfocunsym[[#This Row],[fox]]*tblfocunsym[[#This Row],[foy]])+(tblfocunsym[[#This Row],[foy]]*tblfocunsym[[#This Row],[foz]])+(tblfocunsym[[#This Row],[fox]]*tblfocunsym[[#This Row],[foz]]))*(tblfocunsym[[#This Row],[rol]]^2)</f>
        <v>61864568798092.438</v>
      </c>
      <c r="Y27" s="26">
        <f>tblfocunsym[[#This Row],[fox]]*tblfocunsym[[#This Row],[foy]]*tblfocunsym[[#This Row],[foz]]*tblfocunsym[[#This Row],[rol]]*tblfocunsym[[#This Row],[rol]]</f>
        <v>2.1350339448631554E+21</v>
      </c>
      <c r="Z2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7" s="28">
        <v>44162334.461026415</v>
      </c>
      <c r="AB27" s="26">
        <f>SQRT(tblfocunsym[[#This Row],[fy]]/tblfocunsym[[#This Row],[foc]])</f>
        <v>2.6918383609622891</v>
      </c>
      <c r="AC27" s="26">
        <f>IF(tblfocunsym[[#This Row],[λc]]&lt;=1.5,0.658^(tblfocunsym[[#This Row],[λc]]^2),0.877/(tblfocunsym[[#This Row],[λc]]^2))*tblfocunsym[[#This Row],[fy]]</f>
        <v>38730367.322320171</v>
      </c>
      <c r="AD27" s="26">
        <f>0.85*tblfocunsym[[#This Row],[An]]*tblfocunsym[[#This Row],[kf]]*tblfocunsym[[#This Row],[fn]]</f>
        <v>4707.6761480280165</v>
      </c>
    </row>
    <row r="28" spans="2:30" x14ac:dyDescent="0.2">
      <c r="B28" s="13" t="s">
        <v>38</v>
      </c>
      <c r="C28" s="14">
        <v>1.4300000000000001E-4</v>
      </c>
      <c r="D28" s="11">
        <v>1</v>
      </c>
      <c r="E28" s="7">
        <v>0.5</v>
      </c>
      <c r="F28" s="7">
        <v>0.5</v>
      </c>
      <c r="G28" s="7">
        <v>0.5</v>
      </c>
      <c r="H28" s="15">
        <v>9.2200000000000008E-3</v>
      </c>
      <c r="I28" s="15">
        <v>4.7299999999999998E-3</v>
      </c>
      <c r="J28" s="18">
        <v>0</v>
      </c>
      <c r="K28" s="18">
        <v>0</v>
      </c>
      <c r="L28" s="16">
        <v>5.1499999999999998E-10</v>
      </c>
      <c r="M28" s="16">
        <v>0</v>
      </c>
      <c r="N28" s="6">
        <v>320000000</v>
      </c>
      <c r="O28" s="16">
        <v>200000000000</v>
      </c>
      <c r="P28" s="16">
        <v>80000000000</v>
      </c>
      <c r="Q28" s="6" t="s">
        <v>51</v>
      </c>
      <c r="R28" s="26">
        <f>SQRT(tblfocunsym[[#This Row],[rx]]^2+tblfocunsym[[#This Row],[ry]]^2+tblfocunsym[[#This Row],[xo]]^2+tblfocunsym[[#This Row],[yo]]^2)</f>
        <v>1.0362494873340107E-2</v>
      </c>
      <c r="S28" s="26">
        <f>(tblfocunsym[[#This Row],[E]]*PI()^2)/((tblfocunsym[[#This Row],[lex]]/tblfocunsym[[#This Row],[rx]])^2)</f>
        <v>671199423.01565182</v>
      </c>
      <c r="T28" s="26">
        <f>(tblfocunsym[[#This Row],[E]]*PI()^2)/((tblfocunsym[[#This Row],[ley]]/tblfocunsym[[#This Row],[ry]])^2)</f>
        <v>176649337.84410566</v>
      </c>
      <c r="U2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8" s="26">
        <f>((tblfocunsym[[#This Row],[rol]]^2)-((tblfocunsym[[#This Row],[xo]]^2)*(tblfocunsym[[#This Row],[yo]]^2)))</f>
        <v>1.0738129999999999E-4</v>
      </c>
      <c r="W2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379154.99025639798</v>
      </c>
      <c r="X28" s="26">
        <f>((tblfocunsym[[#This Row],[fox]]*tblfocunsym[[#This Row],[foy]])+(tblfocunsym[[#This Row],[foy]]*tblfocunsym[[#This Row],[foz]])+(tblfocunsym[[#This Row],[fox]]*tblfocunsym[[#This Row],[foz]]))*(tblfocunsym[[#This Row],[rol]]^2)</f>
        <v>257007178795590.72</v>
      </c>
      <c r="Y28" s="26">
        <f>tblfocunsym[[#This Row],[fox]]*tblfocunsym[[#This Row],[foy]]*tblfocunsym[[#This Row],[foz]]*tblfocunsym[[#This Row],[rol]]*tblfocunsym[[#This Row],[rol]]</f>
        <v>3.4160543117810487E+22</v>
      </c>
      <c r="Z2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8" s="28">
        <v>176649337.84410563</v>
      </c>
      <c r="AB28" s="26">
        <f>SQRT(tblfocunsym[[#This Row],[fy]]/tblfocunsym[[#This Row],[foc]])</f>
        <v>1.3459191804811448</v>
      </c>
      <c r="AC28" s="26">
        <f>IF(tblfocunsym[[#This Row],[λc]]&lt;=1.5,0.658^(tblfocunsym[[#This Row],[λc]]^2),0.877/(tblfocunsym[[#This Row],[λc]]^2))*tblfocunsym[[#This Row],[fy]]</f>
        <v>149922380.0438498</v>
      </c>
      <c r="AD28" s="26">
        <f>0.85*tblfocunsym[[#This Row],[An]]*tblfocunsym[[#This Row],[kf]]*tblfocunsym[[#This Row],[fn]]</f>
        <v>18223.065294329943</v>
      </c>
    </row>
    <row r="29" spans="2:30" x14ac:dyDescent="0.2">
      <c r="B29" s="13" t="s">
        <v>38</v>
      </c>
      <c r="C29" s="14">
        <v>1.4300000000000001E-4</v>
      </c>
      <c r="D29" s="11">
        <v>1</v>
      </c>
      <c r="E29" s="7">
        <v>0.1</v>
      </c>
      <c r="F29" s="7">
        <v>0.1</v>
      </c>
      <c r="G29" s="7">
        <v>0.1</v>
      </c>
      <c r="H29" s="15">
        <v>9.2200000000000008E-3</v>
      </c>
      <c r="I29" s="15">
        <v>4.7299999999999998E-3</v>
      </c>
      <c r="J29" s="18">
        <v>0</v>
      </c>
      <c r="K29" s="18">
        <v>0</v>
      </c>
      <c r="L29" s="16">
        <v>5.1499999999999998E-10</v>
      </c>
      <c r="M29" s="16">
        <v>0</v>
      </c>
      <c r="N29" s="6">
        <v>320000000</v>
      </c>
      <c r="O29" s="16">
        <v>200000000000</v>
      </c>
      <c r="P29" s="16">
        <v>80000000000</v>
      </c>
      <c r="Q29" s="6" t="s">
        <v>51</v>
      </c>
      <c r="R29" s="26">
        <f>SQRT(tblfocunsym[[#This Row],[rx]]^2+tblfocunsym[[#This Row],[ry]]^2+tblfocunsym[[#This Row],[xo]]^2+tblfocunsym[[#This Row],[yo]]^2)</f>
        <v>1.0362494873340107E-2</v>
      </c>
      <c r="S29" s="26">
        <f>(tblfocunsym[[#This Row],[E]]*PI()^2)/((tblfocunsym[[#This Row],[lex]]/tblfocunsym[[#This Row],[rx]])^2)</f>
        <v>16779985575.391294</v>
      </c>
      <c r="T29" s="26">
        <f>(tblfocunsym[[#This Row],[E]]*PI()^2)/((tblfocunsym[[#This Row],[ley]]/tblfocunsym[[#This Row],[ry]])^2)</f>
        <v>4416233446.1026411</v>
      </c>
      <c r="U29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9" s="26">
        <f>((tblfocunsym[[#This Row],[rol]]^2)-((tblfocunsym[[#This Row],[xo]]^2)*(tblfocunsym[[#This Row],[yo]]^2)))</f>
        <v>1.0738129999999999E-4</v>
      </c>
      <c r="W29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2564189.4417246343</v>
      </c>
      <c r="X29" s="26">
        <f>((tblfocunsym[[#This Row],[fox]]*tblfocunsym[[#This Row],[foy]])+(tblfocunsym[[#This Row],[foy]]*tblfocunsym[[#This Row],[foz]])+(tblfocunsym[[#This Row],[fox]]*tblfocunsym[[#This Row],[foz]]))*(tblfocunsym[[#This Row],[rol]]^2)</f>
        <v>1.4064302352466548E+16</v>
      </c>
      <c r="Y29" s="26">
        <f>tblfocunsym[[#This Row],[fox]]*tblfocunsym[[#This Row],[foy]]*tblfocunsym[[#This Row],[foz]]*tblfocunsym[[#This Row],[rol]]*tblfocunsym[[#This Row],[rol]]</f>
        <v>2.1350339448631551E+25</v>
      </c>
      <c r="Z29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9" s="28">
        <v>2683073199.0755172</v>
      </c>
      <c r="AB29" s="26">
        <f>SQRT(tblfocunsym[[#This Row],[fy]]/tblfocunsym[[#This Row],[foc]])</f>
        <v>0.34534941810074676</v>
      </c>
      <c r="AC29" s="26">
        <f>IF(tblfocunsym[[#This Row],[λc]]&lt;=1.5,0.658^(tblfocunsym[[#This Row],[λc]]^2),0.877/(tblfocunsym[[#This Row],[λc]]^2))*tblfocunsym[[#This Row],[fy]]</f>
        <v>304418097.6408338</v>
      </c>
      <c r="AD29" s="26">
        <f>0.85*tblfocunsym[[#This Row],[An]]*tblfocunsym[[#This Row],[kf]]*tblfocunsym[[#This Row],[fn]]</f>
        <v>37002.01976824335</v>
      </c>
    </row>
    <row r="30" spans="2:30" x14ac:dyDescent="0.2">
      <c r="B30" s="13" t="s">
        <v>5</v>
      </c>
      <c r="C30" s="14">
        <v>2.5100000000000001E-2</v>
      </c>
      <c r="D30" s="11">
        <v>1</v>
      </c>
      <c r="E30" s="7">
        <v>40</v>
      </c>
      <c r="F30" s="7">
        <v>40</v>
      </c>
      <c r="G30" s="7">
        <v>40</v>
      </c>
      <c r="H30" s="15">
        <v>0.13900000000000001</v>
      </c>
      <c r="I30" s="15">
        <v>8.9300000000000004E-2</v>
      </c>
      <c r="J30" s="18">
        <v>0</v>
      </c>
      <c r="K30" s="18">
        <v>0</v>
      </c>
      <c r="L30" s="16">
        <v>5.75E-6</v>
      </c>
      <c r="M30" s="16">
        <v>4.6E-6</v>
      </c>
      <c r="N30" s="6">
        <v>280000000</v>
      </c>
      <c r="O30" s="16">
        <v>200000000000</v>
      </c>
      <c r="P30" s="16">
        <v>80000000000</v>
      </c>
      <c r="Q30" s="6" t="s">
        <v>51</v>
      </c>
      <c r="R30" s="26">
        <f>SQRT(tblfocunsym[[#This Row],[rx]]^2+tblfocunsym[[#This Row],[ry]]^2+tblfocunsym[[#This Row],[xo]]^2+tblfocunsym[[#This Row],[yo]]^2)</f>
        <v>0.16521346797401235</v>
      </c>
      <c r="S30" s="26">
        <f>(tblfocunsym[[#This Row],[E]]*PI()^2)/((tblfocunsym[[#This Row],[lex]]/tblfocunsym[[#This Row],[rx]])^2)</f>
        <v>23836328.329180941</v>
      </c>
      <c r="T30" s="26">
        <f>(tblfocunsym[[#This Row],[E]]*PI()^2)/((tblfocunsym[[#This Row],[ley]]/tblfocunsym[[#This Row],[ry]])^2)</f>
        <v>9838132.700055385</v>
      </c>
      <c r="U3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679701655.55760407</v>
      </c>
      <c r="V30" s="26">
        <f>((tblfocunsym[[#This Row],[rol]]^2)-((tblfocunsym[[#This Row],[xo]]^2)*(tblfocunsym[[#This Row],[yo]]^2)))</f>
        <v>2.7295490000000002E-2</v>
      </c>
      <c r="W3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19471950.656534936</v>
      </c>
      <c r="X30" s="26">
        <f>((tblfocunsym[[#This Row],[fox]]*tblfocunsym[[#This Row],[foy]])+(tblfocunsym[[#This Row],[foy]]*tblfocunsym[[#This Row],[foz]])+(tblfocunsym[[#This Row],[fox]]*tblfocunsym[[#This Row],[foz]]))*(tblfocunsym[[#This Row],[rol]]^2)</f>
        <v>631156122982180</v>
      </c>
      <c r="Y30" s="26">
        <f>tblfocunsym[[#This Row],[fox]]*tblfocunsym[[#This Row],[foy]]*tblfocunsym[[#This Row],[foz]]*tblfocunsym[[#This Row],[rol]]*tblfocunsym[[#This Row],[rol]]</f>
        <v>4.3507212383732671E+21</v>
      </c>
      <c r="Z3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0" s="28">
        <v>9838132.7000553813</v>
      </c>
      <c r="AB30" s="26">
        <f>SQRT(tblfocunsym[[#This Row],[fy]]/tblfocunsym[[#This Row],[foc]])</f>
        <v>5.3348557085005739</v>
      </c>
      <c r="AC30" s="26">
        <f>IF(tblfocunsym[[#This Row],[λc]]&lt;=1.5,0.658^(tblfocunsym[[#This Row],[λc]]^2),0.877/(tblfocunsym[[#This Row],[λc]]^2))*tblfocunsym[[#This Row],[fy]]</f>
        <v>8628042.377948571</v>
      </c>
      <c r="AD30" s="26">
        <f>0.85*tblfocunsym[[#This Row],[An]]*tblfocunsym[[#This Row],[kf]]*tblfocunsym[[#This Row],[fn]]</f>
        <v>184079.28413353275</v>
      </c>
    </row>
    <row r="31" spans="2:30" x14ac:dyDescent="0.2">
      <c r="B31" s="13" t="s">
        <v>5</v>
      </c>
      <c r="C31" s="14">
        <v>2.5100000000000001E-2</v>
      </c>
      <c r="D31" s="11">
        <v>1</v>
      </c>
      <c r="E31" s="7">
        <v>20</v>
      </c>
      <c r="F31" s="7">
        <v>20</v>
      </c>
      <c r="G31" s="7">
        <v>20</v>
      </c>
      <c r="H31" s="15">
        <v>0.13900000000000001</v>
      </c>
      <c r="I31" s="15">
        <v>8.9300000000000004E-2</v>
      </c>
      <c r="J31" s="18">
        <v>0</v>
      </c>
      <c r="K31" s="18">
        <v>0</v>
      </c>
      <c r="L31" s="16">
        <v>5.75E-6</v>
      </c>
      <c r="M31" s="16">
        <v>4.6E-6</v>
      </c>
      <c r="N31" s="6">
        <v>280000000</v>
      </c>
      <c r="O31" s="16">
        <v>200000000000</v>
      </c>
      <c r="P31" s="16">
        <v>80000000000</v>
      </c>
      <c r="Q31" s="6" t="s">
        <v>51</v>
      </c>
      <c r="R31" s="26">
        <f>SQRT(tblfocunsym[[#This Row],[rx]]^2+tblfocunsym[[#This Row],[ry]]^2+tblfocunsym[[#This Row],[xo]]^2+tblfocunsym[[#This Row],[yo]]^2)</f>
        <v>0.16521346797401235</v>
      </c>
      <c r="S31" s="26">
        <f>(tblfocunsym[[#This Row],[E]]*PI()^2)/((tblfocunsym[[#This Row],[lex]]/tblfocunsym[[#This Row],[rx]])^2)</f>
        <v>95345313.316723764</v>
      </c>
      <c r="T31" s="26">
        <f>(tblfocunsym[[#This Row],[E]]*PI()^2)/((tblfocunsym[[#This Row],[ley]]/tblfocunsym[[#This Row],[ry]])^2)</f>
        <v>39352530.80022154</v>
      </c>
      <c r="U3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704551531.69073784</v>
      </c>
      <c r="V31" s="26">
        <f>((tblfocunsym[[#This Row],[rol]]^2)-((tblfocunsym[[#This Row],[xo]]^2)*(tblfocunsym[[#This Row],[yo]]^2)))</f>
        <v>2.7295490000000002E-2</v>
      </c>
      <c r="W3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22907722.944864858</v>
      </c>
      <c r="X31" s="26">
        <f>((tblfocunsym[[#This Row],[fox]]*tblfocunsym[[#This Row],[foy]])+(tblfocunsym[[#This Row],[foy]]*tblfocunsym[[#This Row],[foz]])+(tblfocunsym[[#This Row],[fox]]*tblfocunsym[[#This Row],[foz]]))*(tblfocunsym[[#This Row],[rol]]^2)</f>
        <v>2692799765269281.5</v>
      </c>
      <c r="Y31" s="26">
        <f>tblfocunsym[[#This Row],[fox]]*tblfocunsym[[#This Row],[foy]]*tblfocunsym[[#This Row],[foz]]*tblfocunsym[[#This Row],[rol]]*tblfocunsym[[#This Row],[rol]]</f>
        <v>7.2156536030576786E+22</v>
      </c>
      <c r="Z3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1" s="28">
        <v>39352530.800221555</v>
      </c>
      <c r="AB31" s="26">
        <f>SQRT(tblfocunsym[[#This Row],[fy]]/tblfocunsym[[#This Row],[foc]])</f>
        <v>2.6674278542502861</v>
      </c>
      <c r="AC31" s="26">
        <f>IF(tblfocunsym[[#This Row],[λc]]&lt;=1.5,0.658^(tblfocunsym[[#This Row],[λc]]^2),0.877/(tblfocunsym[[#This Row],[λc]]^2))*tblfocunsym[[#This Row],[fy]]</f>
        <v>34512169.511794299</v>
      </c>
      <c r="AD31" s="26">
        <f>0.85*tblfocunsym[[#This Row],[An]]*tblfocunsym[[#This Row],[kf]]*tblfocunsym[[#This Row],[fn]]</f>
        <v>736317.13653413136</v>
      </c>
    </row>
    <row r="32" spans="2:30" x14ac:dyDescent="0.2">
      <c r="B32" s="13" t="s">
        <v>5</v>
      </c>
      <c r="C32" s="14">
        <v>2.5100000000000001E-2</v>
      </c>
      <c r="D32" s="11">
        <v>1</v>
      </c>
      <c r="E32" s="7">
        <v>10</v>
      </c>
      <c r="F32" s="7">
        <v>10</v>
      </c>
      <c r="G32" s="7">
        <v>10</v>
      </c>
      <c r="H32" s="15">
        <v>0.13900000000000001</v>
      </c>
      <c r="I32" s="15">
        <v>8.9300000000000004E-2</v>
      </c>
      <c r="J32" s="18">
        <v>0</v>
      </c>
      <c r="K32" s="18">
        <v>0</v>
      </c>
      <c r="L32" s="16">
        <v>5.75E-6</v>
      </c>
      <c r="M32" s="16">
        <v>4.6E-6</v>
      </c>
      <c r="N32" s="6">
        <v>280000000</v>
      </c>
      <c r="O32" s="16">
        <v>200000000000</v>
      </c>
      <c r="P32" s="16">
        <v>80000000000</v>
      </c>
      <c r="Q32" s="6" t="s">
        <v>51</v>
      </c>
      <c r="R32" s="26">
        <f>SQRT(tblfocunsym[[#This Row],[rx]]^2+tblfocunsym[[#This Row],[ry]]^2+tblfocunsym[[#This Row],[xo]]^2+tblfocunsym[[#This Row],[yo]]^2)</f>
        <v>0.16521346797401235</v>
      </c>
      <c r="S32" s="26">
        <f>(tblfocunsym[[#This Row],[E]]*PI()^2)/((tblfocunsym[[#This Row],[lex]]/tblfocunsym[[#This Row],[rx]])^2)</f>
        <v>381381253.26689506</v>
      </c>
      <c r="T32" s="26">
        <f>(tblfocunsym[[#This Row],[E]]*PI()^2)/((tblfocunsym[[#This Row],[ley]]/tblfocunsym[[#This Row],[ry]])^2)</f>
        <v>157410123.20088616</v>
      </c>
      <c r="U3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803951036.22327316</v>
      </c>
      <c r="V32" s="26">
        <f>((tblfocunsym[[#This Row],[rol]]^2)-((tblfocunsym[[#This Row],[xo]]^2)*(tblfocunsym[[#This Row],[yo]]^2)))</f>
        <v>2.7295490000000002E-2</v>
      </c>
      <c r="W3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36650812.098184548</v>
      </c>
      <c r="X32" s="26">
        <f>((tblfocunsym[[#This Row],[fox]]*tblfocunsym[[#This Row],[foy]])+(tblfocunsym[[#This Row],[foy]]*tblfocunsym[[#This Row],[foz]])+(tblfocunsym[[#This Row],[fox]]*tblfocunsym[[#This Row],[foz]]))*(tblfocunsym[[#This Row],[rol]]^2)</f>
        <v>1.3462003434526122E+16</v>
      </c>
      <c r="Y32" s="26">
        <f>tblfocunsym[[#This Row],[fox]]*tblfocunsym[[#This Row],[foy]]*tblfocunsym[[#This Row],[foz]]*tblfocunsym[[#This Row],[rol]]*tblfocunsym[[#This Row],[rol]]</f>
        <v>1.3173843343519173E+24</v>
      </c>
      <c r="Z3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2" s="28">
        <v>157410123.20088607</v>
      </c>
      <c r="AB32" s="26">
        <f>SQRT(tblfocunsym[[#This Row],[fy]]/tblfocunsym[[#This Row],[foc]])</f>
        <v>1.3337139271251437</v>
      </c>
      <c r="AC32" s="26">
        <f>IF(tblfocunsym[[#This Row],[λc]]&lt;=1.5,0.658^(tblfocunsym[[#This Row],[λc]]^2),0.877/(tblfocunsym[[#This Row],[λc]]^2))*tblfocunsym[[#This Row],[fy]]</f>
        <v>132990173.47235909</v>
      </c>
      <c r="AD32" s="26">
        <f>0.85*tblfocunsym[[#This Row],[An]]*tblfocunsym[[#This Row],[kf]]*tblfocunsym[[#This Row],[fn]]</f>
        <v>2837345.3510327809</v>
      </c>
    </row>
    <row r="33" spans="2:30" x14ac:dyDescent="0.2">
      <c r="B33" s="13" t="s">
        <v>5</v>
      </c>
      <c r="C33" s="14">
        <v>2.5100000000000001E-2</v>
      </c>
      <c r="D33" s="11">
        <v>1</v>
      </c>
      <c r="E33" s="7">
        <v>5</v>
      </c>
      <c r="F33" s="7">
        <v>5</v>
      </c>
      <c r="G33" s="7">
        <v>5</v>
      </c>
      <c r="H33" s="15">
        <v>0.13900000000000001</v>
      </c>
      <c r="I33" s="15">
        <v>8.9300000000000004E-2</v>
      </c>
      <c r="J33" s="18">
        <v>0</v>
      </c>
      <c r="K33" s="18">
        <v>0</v>
      </c>
      <c r="L33" s="16">
        <v>5.75E-6</v>
      </c>
      <c r="M33" s="16">
        <v>4.6E-6</v>
      </c>
      <c r="N33" s="6">
        <v>280000000</v>
      </c>
      <c r="O33" s="16">
        <v>200000000000</v>
      </c>
      <c r="P33" s="16">
        <v>80000000000</v>
      </c>
      <c r="Q33" s="6" t="s">
        <v>51</v>
      </c>
      <c r="R33" s="26">
        <f>SQRT(tblfocunsym[[#This Row],[rx]]^2+tblfocunsym[[#This Row],[ry]]^2+tblfocunsym[[#This Row],[xo]]^2+tblfocunsym[[#This Row],[yo]]^2)</f>
        <v>0.16521346797401235</v>
      </c>
      <c r="S33" s="26">
        <f>(tblfocunsym[[#This Row],[E]]*PI()^2)/((tblfocunsym[[#This Row],[lex]]/tblfocunsym[[#This Row],[rx]])^2)</f>
        <v>1525525013.0675802</v>
      </c>
      <c r="T33" s="26">
        <f>(tblfocunsym[[#This Row],[E]]*PI()^2)/((tblfocunsym[[#This Row],[ley]]/tblfocunsym[[#This Row],[ry]])^2)</f>
        <v>629640492.80354464</v>
      </c>
      <c r="U3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1201549054.3534143</v>
      </c>
      <c r="V33" s="26">
        <f>((tblfocunsym[[#This Row],[rol]]^2)-((tblfocunsym[[#This Row],[xo]]^2)*(tblfocunsym[[#This Row],[yo]]^2)))</f>
        <v>2.7295490000000002E-2</v>
      </c>
      <c r="W3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91623168.711463302</v>
      </c>
      <c r="X33" s="26">
        <f>((tblfocunsym[[#This Row],[fox]]*tblfocunsym[[#This Row],[foy]])+(tblfocunsym[[#This Row],[foy]]*tblfocunsym[[#This Row],[foz]])+(tblfocunsym[[#This Row],[fox]]*tblfocunsym[[#This Row],[foz]]))*(tblfocunsym[[#This Row],[rol]]^2)</f>
        <v>9.6900883713288384E+16</v>
      </c>
      <c r="Y33" s="26">
        <f>tblfocunsym[[#This Row],[fox]]*tblfocunsym[[#This Row],[foy]]*tblfocunsym[[#This Row],[foz]]*tblfocunsym[[#This Row],[rol]]*tblfocunsym[[#This Row],[rol]]</f>
        <v>3.1502453852842751E+25</v>
      </c>
      <c r="Z3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3" s="28">
        <v>629640492.80354476</v>
      </c>
      <c r="AB33" s="26">
        <f>SQRT(tblfocunsym[[#This Row],[fy]]/tblfocunsym[[#This Row],[foc]])</f>
        <v>0.66685696356257151</v>
      </c>
      <c r="AC33" s="26">
        <f>IF(tblfocunsym[[#This Row],[λc]]&lt;=1.5,0.658^(tblfocunsym[[#This Row],[λc]]^2),0.877/(tblfocunsym[[#This Row],[λc]]^2))*tblfocunsym[[#This Row],[fy]]</f>
        <v>232446714.27198911</v>
      </c>
      <c r="AD33" s="26">
        <f>0.85*tblfocunsym[[#This Row],[An]]*tblfocunsym[[#This Row],[kf]]*tblfocunsym[[#This Row],[fn]]</f>
        <v>4959250.6489928877</v>
      </c>
    </row>
    <row r="34" spans="2:30" x14ac:dyDescent="0.2">
      <c r="B34" s="13" t="s">
        <v>5</v>
      </c>
      <c r="C34" s="14">
        <v>2.5100000000000001E-2</v>
      </c>
      <c r="D34" s="11">
        <v>1</v>
      </c>
      <c r="E34" s="7">
        <v>1</v>
      </c>
      <c r="F34" s="7">
        <v>1</v>
      </c>
      <c r="G34" s="7">
        <v>1</v>
      </c>
      <c r="H34" s="15">
        <v>0.13900000000000001</v>
      </c>
      <c r="I34" s="15">
        <v>8.9300000000000004E-2</v>
      </c>
      <c r="J34" s="18">
        <v>0</v>
      </c>
      <c r="K34" s="18">
        <v>0</v>
      </c>
      <c r="L34" s="16">
        <v>5.75E-6</v>
      </c>
      <c r="M34" s="16">
        <v>4.6E-6</v>
      </c>
      <c r="N34" s="6">
        <v>280000000</v>
      </c>
      <c r="O34" s="16">
        <v>200000000000</v>
      </c>
      <c r="P34" s="16">
        <v>80000000000</v>
      </c>
      <c r="Q34" s="6" t="s">
        <v>51</v>
      </c>
      <c r="R34" s="26">
        <f>SQRT(tblfocunsym[[#This Row],[rx]]^2+tblfocunsym[[#This Row],[ry]]^2+tblfocunsym[[#This Row],[xo]]^2+tblfocunsym[[#This Row],[yo]]^2)</f>
        <v>0.16521346797401235</v>
      </c>
      <c r="S34" s="26">
        <f>(tblfocunsym[[#This Row],[E]]*PI()^2)/((tblfocunsym[[#This Row],[lex]]/tblfocunsym[[#This Row],[rx]])^2)</f>
        <v>38138125326.689499</v>
      </c>
      <c r="T34" s="26">
        <f>(tblfocunsym[[#This Row],[E]]*PI()^2)/((tblfocunsym[[#This Row],[ley]]/tblfocunsym[[#This Row],[ry]])^2)</f>
        <v>15741012320.088619</v>
      </c>
      <c r="U3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13924685634.517929</v>
      </c>
      <c r="V34" s="26">
        <f>((tblfocunsym[[#This Row],[rol]]^2)-((tblfocunsym[[#This Row],[xo]]^2)*(tblfocunsym[[#This Row],[yo]]^2)))</f>
        <v>2.7295490000000002E-2</v>
      </c>
      <c r="W3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1850738580.3363836</v>
      </c>
      <c r="X34" s="26">
        <f>((tblfocunsym[[#This Row],[fox]]*tblfocunsym[[#This Row],[foy]])+(tblfocunsym[[#This Row],[foy]]*tblfocunsym[[#This Row],[foz]])+(tblfocunsym[[#This Row],[fox]]*tblfocunsym[[#This Row],[foz]]))*(tblfocunsym[[#This Row],[rol]]^2)</f>
        <v>3.6864818072979325E+19</v>
      </c>
      <c r="Y34" s="26">
        <f>tblfocunsym[[#This Row],[fox]]*tblfocunsym[[#This Row],[foy]]*tblfocunsym[[#This Row],[foz]]*tblfocunsym[[#This Row],[rol]]*tblfocunsym[[#This Row],[rol]]</f>
        <v>2.2817512372226819E+29</v>
      </c>
      <c r="Z3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4" s="28">
        <v>13924685634.518013</v>
      </c>
      <c r="AB34" s="26">
        <f>SQRT(tblfocunsym[[#This Row],[fy]]/tblfocunsym[[#This Row],[foc]])</f>
        <v>0.14180329291889135</v>
      </c>
      <c r="AC34" s="26">
        <f>IF(tblfocunsym[[#This Row],[λc]]&lt;=1.5,0.658^(tblfocunsym[[#This Row],[λc]]^2),0.877/(tblfocunsym[[#This Row],[λc]]^2))*tblfocunsym[[#This Row],[fy]]</f>
        <v>277653329.68547821</v>
      </c>
      <c r="AD34" s="26">
        <f>0.85*tblfocunsym[[#This Row],[An]]*tblfocunsym[[#This Row],[kf]]*tblfocunsym[[#This Row],[fn]]</f>
        <v>5923733.7888396773</v>
      </c>
    </row>
    <row r="35" spans="2:30" x14ac:dyDescent="0.2">
      <c r="B35" s="13" t="s">
        <v>37</v>
      </c>
      <c r="C35" s="14">
        <v>7.0299999999999998E-3</v>
      </c>
      <c r="D35" s="11">
        <v>1</v>
      </c>
      <c r="E35" s="7">
        <v>20</v>
      </c>
      <c r="F35" s="7">
        <v>20</v>
      </c>
      <c r="G35" s="7">
        <v>20</v>
      </c>
      <c r="H35" s="15">
        <v>0.14699999999999999</v>
      </c>
      <c r="I35" s="15">
        <v>3.04E-2</v>
      </c>
      <c r="J35" s="18">
        <v>5.67E-2</v>
      </c>
      <c r="K35" s="18">
        <v>0</v>
      </c>
      <c r="L35" s="16">
        <v>4.7199999999999999E-7</v>
      </c>
      <c r="M35" s="16">
        <v>1.5099999999999999E-7</v>
      </c>
      <c r="N35" s="16">
        <v>280000000</v>
      </c>
      <c r="O35" s="16">
        <v>200000000000</v>
      </c>
      <c r="P35" s="16">
        <v>80000000000</v>
      </c>
      <c r="Q35" s="6" t="s">
        <v>51</v>
      </c>
      <c r="R35" s="26">
        <f>SQRT(tblfocunsym[[#This Row],[rx]]^2+tblfocunsym[[#This Row],[ry]]^2+tblfocunsym[[#This Row],[xo]]^2+tblfocunsym[[#This Row],[yo]]^2)</f>
        <v>0.16046198926848687</v>
      </c>
      <c r="S35" s="26">
        <f>(tblfocunsym[[#This Row],[E]]*PI()^2)/((tblfocunsym[[#This Row],[lex]]/tblfocunsym[[#This Row],[rx]])^2)</f>
        <v>106636140.75156994</v>
      </c>
      <c r="T35" s="26">
        <f>(tblfocunsym[[#This Row],[E]]*PI()^2)/((tblfocunsym[[#This Row],[ley]]/tblfocunsym[[#This Row],[ry]])^2)</f>
        <v>4560546.8016553698</v>
      </c>
      <c r="U3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212725331.25708571</v>
      </c>
      <c r="V35" s="26">
        <f>((tblfocunsym[[#This Row],[rol]]^2)-((tblfocunsym[[#This Row],[xo]]^2)*(tblfocunsym[[#This Row],[yo]]^2)))</f>
        <v>2.5748049999999995E-2</v>
      </c>
      <c r="W3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8325698.6801216528</v>
      </c>
      <c r="X35" s="26">
        <f>((tblfocunsym[[#This Row],[fox]]*tblfocunsym[[#This Row],[foy]])+(tblfocunsym[[#This Row],[foy]]*tblfocunsym[[#This Row],[foz]])+(tblfocunsym[[#This Row],[fox]]*tblfocunsym[[#This Row],[foz]]))*(tblfocunsym[[#This Row],[rol]]^2)</f>
        <v>621575211797175.75</v>
      </c>
      <c r="Y35" s="26">
        <f>tblfocunsym[[#This Row],[fox]]*tblfocunsym[[#This Row],[foy]]*tblfocunsym[[#This Row],[foz]]*tblfocunsym[[#This Row],[rol]]*tblfocunsym[[#This Row],[rol]]</f>
        <v>2.6636974109809904E+21</v>
      </c>
      <c r="Z3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5" s="28">
        <v>4559989.5726945279</v>
      </c>
      <c r="AB35" s="26">
        <f>SQRT(tblfocunsym[[#This Row],[fy]]/tblfocunsym[[#This Row],[foc]])</f>
        <v>7.8360480590044803</v>
      </c>
      <c r="AC35" s="26">
        <f>IF(tblfocunsym[[#This Row],[λc]]&lt;=1.5,0.658^(tblfocunsym[[#This Row],[λc]]^2),0.877/(tblfocunsym[[#This Row],[λc]]^2))*tblfocunsym[[#This Row],[fy]]</f>
        <v>3999110.8552531009</v>
      </c>
      <c r="AD35" s="26">
        <f>0.85*tblfocunsym[[#This Row],[An]]*tblfocunsym[[#This Row],[kf]]*tblfocunsym[[#This Row],[fn]]</f>
        <v>23896.686915564904</v>
      </c>
    </row>
    <row r="36" spans="2:30" x14ac:dyDescent="0.2">
      <c r="B36" s="13" t="s">
        <v>37</v>
      </c>
      <c r="C36" s="14">
        <v>7.0299999999999998E-3</v>
      </c>
      <c r="D36" s="11">
        <v>1</v>
      </c>
      <c r="E36" s="7">
        <v>10</v>
      </c>
      <c r="F36" s="7">
        <v>10</v>
      </c>
      <c r="G36" s="7">
        <v>10</v>
      </c>
      <c r="H36" s="15">
        <v>0.14699999999999999</v>
      </c>
      <c r="I36" s="15">
        <v>3.04E-2</v>
      </c>
      <c r="J36" s="18">
        <v>5.67E-2</v>
      </c>
      <c r="K36" s="18">
        <v>0</v>
      </c>
      <c r="L36" s="16">
        <v>4.7199999999999999E-7</v>
      </c>
      <c r="M36" s="16">
        <v>1.5099999999999999E-7</v>
      </c>
      <c r="N36" s="16">
        <v>280000000</v>
      </c>
      <c r="O36" s="16">
        <v>200000000000</v>
      </c>
      <c r="P36" s="16">
        <v>80000000000</v>
      </c>
      <c r="Q36" s="6" t="s">
        <v>51</v>
      </c>
      <c r="R36" s="26">
        <f>SQRT(tblfocunsym[[#This Row],[rx]]^2+tblfocunsym[[#This Row],[ry]]^2+tblfocunsym[[#This Row],[xo]]^2+tblfocunsym[[#This Row],[yo]]^2)</f>
        <v>0.16046198926848687</v>
      </c>
      <c r="S36" s="26">
        <f>(tblfocunsym[[#This Row],[E]]*PI()^2)/((tblfocunsym[[#This Row],[lex]]/tblfocunsym[[#This Row],[rx]])^2)</f>
        <v>426544563.00627977</v>
      </c>
      <c r="T36" s="26">
        <f>(tblfocunsym[[#This Row],[E]]*PI()^2)/((tblfocunsym[[#This Row],[ley]]/tblfocunsym[[#This Row],[ry]])^2)</f>
        <v>18242187.206621479</v>
      </c>
      <c r="U3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225075368.94487798</v>
      </c>
      <c r="V36" s="26">
        <f>((tblfocunsym[[#This Row],[rol]]^2)-((tblfocunsym[[#This Row],[xo]]^2)*(tblfocunsym[[#This Row],[yo]]^2)))</f>
        <v>2.5748049999999995E-2</v>
      </c>
      <c r="W3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17188996.711951759</v>
      </c>
      <c r="X36" s="26">
        <f>((tblfocunsym[[#This Row],[fox]]*tblfocunsym[[#This Row],[foy]])+(tblfocunsym[[#This Row],[foy]]*tblfocunsym[[#This Row],[foz]])+(tblfocunsym[[#This Row],[fox]]*tblfocunsym[[#This Row],[foz]]))*(tblfocunsym[[#This Row],[rol]]^2)</f>
        <v>2777999538951476.5</v>
      </c>
      <c r="Y36" s="26">
        <f>tblfocunsym[[#This Row],[fox]]*tblfocunsym[[#This Row],[foy]]*tblfocunsym[[#This Row],[foz]]*tblfocunsym[[#This Row],[rol]]*tblfocunsym[[#This Row],[rol]]</f>
        <v>4.5093467636687419E+22</v>
      </c>
      <c r="Z3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6" s="28">
        <v>18233221.283602744</v>
      </c>
      <c r="AB36" s="26">
        <f>SQRT(tblfocunsym[[#This Row],[fy]]/tblfocunsym[[#This Row],[foc]])</f>
        <v>3.918747799531483</v>
      </c>
      <c r="AC36" s="26">
        <f>IF(tblfocunsym[[#This Row],[λc]]&lt;=1.5,0.658^(tblfocunsym[[#This Row],[λc]]^2),0.877/(tblfocunsym[[#This Row],[λc]]^2))*tblfocunsym[[#This Row],[fy]]</f>
        <v>15990535.065719604</v>
      </c>
      <c r="AD36" s="26">
        <f>0.85*tblfocunsym[[#This Row],[An]]*tblfocunsym[[#This Row],[kf]]*tblfocunsym[[#This Row],[fn]]</f>
        <v>95551.442285207493</v>
      </c>
    </row>
    <row r="37" spans="2:30" x14ac:dyDescent="0.2">
      <c r="B37" s="13" t="s">
        <v>37</v>
      </c>
      <c r="C37" s="14">
        <v>7.0299999999999998E-3</v>
      </c>
      <c r="D37" s="11">
        <v>1</v>
      </c>
      <c r="E37" s="7">
        <v>5</v>
      </c>
      <c r="F37" s="7">
        <v>5</v>
      </c>
      <c r="G37" s="7">
        <v>5</v>
      </c>
      <c r="H37" s="15">
        <v>0.14699999999999999</v>
      </c>
      <c r="I37" s="15">
        <v>3.04E-2</v>
      </c>
      <c r="J37" s="18">
        <v>5.67E-2</v>
      </c>
      <c r="K37" s="18">
        <v>0</v>
      </c>
      <c r="L37" s="16">
        <v>4.7199999999999999E-7</v>
      </c>
      <c r="M37" s="16">
        <v>1.5099999999999999E-7</v>
      </c>
      <c r="N37" s="16">
        <v>280000000</v>
      </c>
      <c r="O37" s="16">
        <v>200000000000</v>
      </c>
      <c r="P37" s="16">
        <v>80000000000</v>
      </c>
      <c r="Q37" s="6" t="s">
        <v>51</v>
      </c>
      <c r="R37" s="26">
        <f>SQRT(tblfocunsym[[#This Row],[rx]]^2+tblfocunsym[[#This Row],[ry]]^2+tblfocunsym[[#This Row],[xo]]^2+tblfocunsym[[#This Row],[yo]]^2)</f>
        <v>0.16046198926848687</v>
      </c>
      <c r="S37" s="26">
        <f>(tblfocunsym[[#This Row],[E]]*PI()^2)/((tblfocunsym[[#This Row],[lex]]/tblfocunsym[[#This Row],[rx]])^2)</f>
        <v>1706178252.0251191</v>
      </c>
      <c r="T37" s="26">
        <f>(tblfocunsym[[#This Row],[E]]*PI()^2)/((tblfocunsym[[#This Row],[ley]]/tblfocunsym[[#This Row],[ry]])^2)</f>
        <v>72968748.826485917</v>
      </c>
      <c r="U3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274475519.69604725</v>
      </c>
      <c r="V37" s="26">
        <f>((tblfocunsym[[#This Row],[rol]]^2)-((tblfocunsym[[#This Row],[xo]]^2)*(tblfocunsym[[#This Row],[yo]]^2)))</f>
        <v>2.5748049999999995E-2</v>
      </c>
      <c r="W3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52642188.839272186</v>
      </c>
      <c r="X37" s="26">
        <f>((tblfocunsym[[#This Row],[fox]]*tblfocunsym[[#This Row],[foy]])+(tblfocunsym[[#This Row],[foy]]*tblfocunsym[[#This Row],[foz]])+(tblfocunsym[[#This Row],[fox]]*tblfocunsym[[#This Row],[foz]]))*(tblfocunsym[[#This Row],[rol]]^2)</f>
        <v>1.5779177224010272E+16</v>
      </c>
      <c r="Y37" s="26">
        <f>tblfocunsym[[#This Row],[fox]]*tblfocunsym[[#This Row],[foy]]*tblfocunsym[[#This Row],[foz]]*tblfocunsym[[#This Row],[rol]]*tblfocunsym[[#This Row],[rol]]</f>
        <v>8.7985126209045919E+23</v>
      </c>
      <c r="Z3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7" s="28">
        <v>72822059.670943946</v>
      </c>
      <c r="AB37" s="26">
        <f>SQRT(tblfocunsym[[#This Row],[fy]]/tblfocunsym[[#This Row],[foc]])</f>
        <v>1.96086428582844</v>
      </c>
      <c r="AC37" s="26">
        <f>IF(tblfocunsym[[#This Row],[λc]]&lt;=1.5,0.658^(tblfocunsym[[#This Row],[λc]]^2),0.877/(tblfocunsym[[#This Row],[λc]]^2))*tblfocunsym[[#This Row],[fy]]</f>
        <v>63864946.331417829</v>
      </c>
      <c r="AD37" s="26">
        <f>0.85*tblfocunsym[[#This Row],[An]]*tblfocunsym[[#This Row],[kf]]*tblfocunsym[[#This Row],[fn]]</f>
        <v>381624.98680338723</v>
      </c>
    </row>
    <row r="38" spans="2:30" x14ac:dyDescent="0.2">
      <c r="B38" s="13" t="s">
        <v>37</v>
      </c>
      <c r="C38" s="14">
        <v>7.0299999999999998E-3</v>
      </c>
      <c r="D38" s="11">
        <v>1</v>
      </c>
      <c r="E38" s="7">
        <v>1</v>
      </c>
      <c r="F38" s="7">
        <v>1</v>
      </c>
      <c r="G38" s="7">
        <v>1</v>
      </c>
      <c r="H38" s="15">
        <v>0.14699999999999999</v>
      </c>
      <c r="I38" s="15">
        <v>3.04E-2</v>
      </c>
      <c r="J38" s="18">
        <v>5.67E-2</v>
      </c>
      <c r="K38" s="18">
        <v>0</v>
      </c>
      <c r="L38" s="16">
        <v>4.7199999999999999E-7</v>
      </c>
      <c r="M38" s="16">
        <v>1.5099999999999999E-7</v>
      </c>
      <c r="N38" s="16">
        <v>280000000</v>
      </c>
      <c r="O38" s="16">
        <v>200000000000</v>
      </c>
      <c r="P38" s="16">
        <v>80000000000</v>
      </c>
      <c r="Q38" s="6" t="s">
        <v>51</v>
      </c>
      <c r="R38" s="26">
        <f>SQRT(tblfocunsym[[#This Row],[rx]]^2+tblfocunsym[[#This Row],[ry]]^2+tblfocunsym[[#This Row],[xo]]^2+tblfocunsym[[#This Row],[yo]]^2)</f>
        <v>0.16046198926848687</v>
      </c>
      <c r="S38" s="26">
        <f>(tblfocunsym[[#This Row],[E]]*PI()^2)/((tblfocunsym[[#This Row],[lex]]/tblfocunsym[[#This Row],[rx]])^2)</f>
        <v>42654456300.627983</v>
      </c>
      <c r="T38" s="26">
        <f>(tblfocunsym[[#This Row],[E]]*PI()^2)/((tblfocunsym[[#This Row],[ley]]/tblfocunsym[[#This Row],[ry]])^2)</f>
        <v>1824218720.6621485</v>
      </c>
      <c r="U3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1855280343.733463</v>
      </c>
      <c r="V38" s="26">
        <f>((tblfocunsym[[#This Row],[rol]]^2)-((tblfocunsym[[#This Row],[xo]]^2)*(tblfocunsym[[#This Row],[yo]]^2)))</f>
        <v>2.5748049999999995E-2</v>
      </c>
      <c r="W3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1187144336.9135258</v>
      </c>
      <c r="X38" s="26">
        <f>((tblfocunsym[[#This Row],[fox]]*tblfocunsym[[#This Row],[foy]])+(tblfocunsym[[#This Row],[foy]]*tblfocunsym[[#This Row],[foz]])+(tblfocunsym[[#This Row],[fox]]*tblfocunsym[[#This Row],[foz]]))*(tblfocunsym[[#This Row],[rol]]^2)</f>
        <v>4.128222685163753E+18</v>
      </c>
      <c r="Y38" s="26">
        <f>tblfocunsym[[#This Row],[fox]]*tblfocunsym[[#This Row],[foy]]*tblfocunsym[[#This Row],[foz]]*tblfocunsym[[#This Row],[rol]]*tblfocunsym[[#This Row],[rol]]</f>
        <v>3.7170226368757499E+27</v>
      </c>
      <c r="Z3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8" s="28">
        <v>1711177934.5066247</v>
      </c>
      <c r="AB38" s="26">
        <f>SQRT(tblfocunsym[[#This Row],[fy]]/tblfocunsym[[#This Row],[foc]])</f>
        <v>0.40451201892519972</v>
      </c>
      <c r="AC38" s="26">
        <f>IF(tblfocunsym[[#This Row],[λc]]&lt;=1.5,0.658^(tblfocunsym[[#This Row],[λc]]^2),0.877/(tblfocunsym[[#This Row],[λc]]^2))*tblfocunsym[[#This Row],[fy]]</f>
        <v>261465467.90711465</v>
      </c>
      <c r="AD38" s="26">
        <f>0.85*tblfocunsym[[#This Row],[An]]*tblfocunsym[[#This Row],[kf]]*tblfocunsym[[#This Row],[fn]]</f>
        <v>1562386.9034789635</v>
      </c>
    </row>
    <row r="39" spans="2:30" x14ac:dyDescent="0.2">
      <c r="B39" s="13" t="s">
        <v>37</v>
      </c>
      <c r="C39" s="14">
        <v>7.0299999999999998E-3</v>
      </c>
      <c r="D39" s="11">
        <v>1</v>
      </c>
      <c r="E39" s="7">
        <v>0.5</v>
      </c>
      <c r="F39" s="7">
        <v>0.5</v>
      </c>
      <c r="G39" s="7">
        <v>0.5</v>
      </c>
      <c r="H39" s="15">
        <v>0.14699999999999999</v>
      </c>
      <c r="I39" s="15">
        <v>3.04E-2</v>
      </c>
      <c r="J39" s="18">
        <v>5.67E-2</v>
      </c>
      <c r="K39" s="18">
        <v>0</v>
      </c>
      <c r="L39" s="16">
        <v>4.7199999999999999E-7</v>
      </c>
      <c r="M39" s="16">
        <v>1.5099999999999999E-7</v>
      </c>
      <c r="N39" s="16">
        <v>280000000</v>
      </c>
      <c r="O39" s="16">
        <v>200000000000</v>
      </c>
      <c r="P39" s="16">
        <v>80000000000</v>
      </c>
      <c r="Q39" s="6" t="s">
        <v>51</v>
      </c>
      <c r="R39" s="26">
        <f>SQRT(tblfocunsym[[#This Row],[rx]]^2+tblfocunsym[[#This Row],[ry]]^2+tblfocunsym[[#This Row],[xo]]^2+tblfocunsym[[#This Row],[yo]]^2)</f>
        <v>0.16046198926848687</v>
      </c>
      <c r="S39" s="26">
        <f>(tblfocunsym[[#This Row],[E]]*PI()^2)/((tblfocunsym[[#This Row],[lex]]/tblfocunsym[[#This Row],[rx]])^2)</f>
        <v>170617825202.51193</v>
      </c>
      <c r="T39" s="26">
        <f>(tblfocunsym[[#This Row],[E]]*PI()^2)/((tblfocunsym[[#This Row],[ley]]/tblfocunsym[[#This Row],[ry]])^2)</f>
        <v>7296874882.6485939</v>
      </c>
      <c r="U39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6795295418.8503876</v>
      </c>
      <c r="V39" s="26">
        <f>((tblfocunsym[[#This Row],[rol]]^2)-((tblfocunsym[[#This Row],[xo]]^2)*(tblfocunsym[[#This Row],[yo]]^2)))</f>
        <v>2.5748049999999995E-2</v>
      </c>
      <c r="W39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4732463549.6455688</v>
      </c>
      <c r="X39" s="26">
        <f>((tblfocunsym[[#This Row],[fox]]*tblfocunsym[[#This Row],[foy]])+(tblfocunsym[[#This Row],[foy]]*tblfocunsym[[#This Row],[foz]])+(tblfocunsym[[#This Row],[fox]]*tblfocunsym[[#This Row],[foz]]))*(tblfocunsym[[#This Row],[rol]]^2)</f>
        <v>6.3184681422698717E+19</v>
      </c>
      <c r="Y39" s="26">
        <f>tblfocunsym[[#This Row],[fox]]*tblfocunsym[[#This Row],[foy]]*tblfocunsym[[#This Row],[foz]]*tblfocunsym[[#This Row],[rol]]*tblfocunsym[[#This Row],[rol]]</f>
        <v>2.1782814209347262E+29</v>
      </c>
      <c r="Z39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9" s="28">
        <v>6500657993.0162048</v>
      </c>
      <c r="AB39" s="26">
        <f>SQRT(tblfocunsym[[#This Row],[fy]]/tblfocunsym[[#This Row],[foc]])</f>
        <v>0.20753930436071868</v>
      </c>
      <c r="AC39" s="26">
        <f>IF(tblfocunsym[[#This Row],[λc]]&lt;=1.5,0.658^(tblfocunsym[[#This Row],[λc]]^2),0.877/(tblfocunsym[[#This Row],[λc]]^2))*tblfocunsym[[#This Row],[fy]]</f>
        <v>274997379.08248669</v>
      </c>
      <c r="AD39" s="26">
        <f>0.85*tblfocunsym[[#This Row],[An]]*tblfocunsym[[#This Row],[kf]]*tblfocunsym[[#This Row],[fn]]</f>
        <v>1643246.8387073991</v>
      </c>
    </row>
    <row r="40" spans="2:30" x14ac:dyDescent="0.2">
      <c r="B40" s="13" t="s">
        <v>7</v>
      </c>
      <c r="C40" s="14">
        <v>1.6E-2</v>
      </c>
      <c r="D40" s="11">
        <v>0.95</v>
      </c>
      <c r="E40" s="7">
        <v>40</v>
      </c>
      <c r="F40" s="7">
        <v>40</v>
      </c>
      <c r="G40" s="7">
        <v>40</v>
      </c>
      <c r="H40" s="15">
        <v>0.249</v>
      </c>
      <c r="I40" s="15">
        <v>4.9599999999999998E-2</v>
      </c>
      <c r="J40" s="18">
        <v>0</v>
      </c>
      <c r="K40" s="18">
        <v>0</v>
      </c>
      <c r="L40" s="16">
        <v>1.5600000000000001E-6</v>
      </c>
      <c r="M40" s="16">
        <v>3.45E-6</v>
      </c>
      <c r="N40" s="6">
        <v>280000000</v>
      </c>
      <c r="O40" s="16">
        <v>200000000000</v>
      </c>
      <c r="P40" s="16">
        <v>80000000000</v>
      </c>
      <c r="Q40" s="6" t="s">
        <v>51</v>
      </c>
      <c r="R40" s="26">
        <f>SQRT(tblfocunsym[[#This Row],[rx]]^2+tblfocunsym[[#This Row],[ry]]^2+tblfocunsym[[#This Row],[xo]]^2+tblfocunsym[[#This Row],[yo]]^2)</f>
        <v>0.25389202429379304</v>
      </c>
      <c r="S40" s="26">
        <f>(tblfocunsym[[#This Row],[E]]*PI()^2)/((tblfocunsym[[#This Row],[lex]]/tblfocunsym[[#This Row],[rx]])^2)</f>
        <v>76490667.808992654</v>
      </c>
      <c r="T40" s="26">
        <f>(tblfocunsym[[#This Row],[E]]*PI()^2)/((tblfocunsym[[#This Row],[ley]]/tblfocunsym[[#This Row],[ry]])^2)</f>
        <v>3035100.7454229989</v>
      </c>
      <c r="U4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125129871.71070321</v>
      </c>
      <c r="V40" s="26">
        <f>((tblfocunsym[[#This Row],[rol]]^2)-((tblfocunsym[[#This Row],[xo]]^2)*(tblfocunsym[[#This Row],[yo]]^2)))</f>
        <v>6.446115999999999E-2</v>
      </c>
      <c r="W4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13192339.972032268</v>
      </c>
      <c r="X40" s="26">
        <f>((tblfocunsym[[#This Row],[fox]]*tblfocunsym[[#This Row],[foy]])+(tblfocunsym[[#This Row],[foy]]*tblfocunsym[[#This Row],[foz]])+(tblfocunsym[[#This Row],[fox]]*tblfocunsym[[#This Row],[foz]]))*(tblfocunsym[[#This Row],[rol]]^2)</f>
        <v>656421277711802.13</v>
      </c>
      <c r="Y40" s="26">
        <f>tblfocunsym[[#This Row],[fox]]*tblfocunsym[[#This Row],[foy]]*tblfocunsym[[#This Row],[foz]]*tblfocunsym[[#This Row],[rol]]*tblfocunsym[[#This Row],[rol]]</f>
        <v>1.8725812899877662E+21</v>
      </c>
      <c r="Z4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0" s="28">
        <v>3035100.7454229998</v>
      </c>
      <c r="AB40" s="26">
        <f>SQRT(tblfocunsym[[#This Row],[fy]]/tblfocunsym[[#This Row],[foc]])</f>
        <v>9.6048914267963941</v>
      </c>
      <c r="AC40" s="26">
        <f>IF(tblfocunsym[[#This Row],[λc]]&lt;=1.5,0.658^(tblfocunsym[[#This Row],[λc]]^2),0.877/(tblfocunsym[[#This Row],[λc]]^2))*tblfocunsym[[#This Row],[fy]]</f>
        <v>2661783.3537359708</v>
      </c>
      <c r="AD40" s="26">
        <f>0.85*tblfocunsym[[#This Row],[An]]*tblfocunsym[[#This Row],[kf]]*tblfocunsym[[#This Row],[fn]]</f>
        <v>34390.240930268737</v>
      </c>
    </row>
    <row r="41" spans="2:30" x14ac:dyDescent="0.2">
      <c r="B41" s="13" t="s">
        <v>7</v>
      </c>
      <c r="C41" s="14">
        <v>1.6E-2</v>
      </c>
      <c r="D41" s="11">
        <v>0.95</v>
      </c>
      <c r="E41" s="7">
        <v>20</v>
      </c>
      <c r="F41" s="7">
        <v>20</v>
      </c>
      <c r="G41" s="7">
        <v>20</v>
      </c>
      <c r="H41" s="15">
        <v>0.249</v>
      </c>
      <c r="I41" s="15">
        <v>4.9599999999999998E-2</v>
      </c>
      <c r="J41" s="18">
        <v>0</v>
      </c>
      <c r="K41" s="18">
        <v>0</v>
      </c>
      <c r="L41" s="16">
        <v>1.5600000000000001E-6</v>
      </c>
      <c r="M41" s="16">
        <v>3.45E-6</v>
      </c>
      <c r="N41" s="6">
        <v>280000000</v>
      </c>
      <c r="O41" s="16">
        <v>200000000000</v>
      </c>
      <c r="P41" s="16">
        <v>80000000000</v>
      </c>
      <c r="Q41" s="6" t="s">
        <v>51</v>
      </c>
      <c r="R41" s="26">
        <f>SQRT(tblfocunsym[[#This Row],[rx]]^2+tblfocunsym[[#This Row],[ry]]^2+tblfocunsym[[#This Row],[xo]]^2+tblfocunsym[[#This Row],[yo]]^2)</f>
        <v>0.25389202429379304</v>
      </c>
      <c r="S41" s="26">
        <f>(tblfocunsym[[#This Row],[E]]*PI()^2)/((tblfocunsym[[#This Row],[lex]]/tblfocunsym[[#This Row],[rx]])^2)</f>
        <v>305962671.23597062</v>
      </c>
      <c r="T41" s="26">
        <f>(tblfocunsym[[#This Row],[E]]*PI()^2)/((tblfocunsym[[#This Row],[ley]]/tblfocunsym[[#This Row],[ry]])^2)</f>
        <v>12140402.981691996</v>
      </c>
      <c r="U4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137510195.66654477</v>
      </c>
      <c r="V41" s="26">
        <f>((tblfocunsym[[#This Row],[rol]]^2)-((tblfocunsym[[#This Row],[xo]]^2)*(tblfocunsym[[#This Row],[yo]]^2)))</f>
        <v>6.446115999999999E-2</v>
      </c>
      <c r="W4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29369359.888129067</v>
      </c>
      <c r="X41" s="26">
        <f>((tblfocunsym[[#This Row],[fox]]*tblfocunsym[[#This Row],[foy]])+(tblfocunsym[[#This Row],[foy]]*tblfocunsym[[#This Row],[foz]])+(tblfocunsym[[#This Row],[fox]]*tblfocunsym[[#This Row],[foz]]))*(tblfocunsym[[#This Row],[rol]]^2)</f>
        <v>3059128506695530</v>
      </c>
      <c r="Y41" s="26">
        <f>tblfocunsym[[#This Row],[fox]]*tblfocunsym[[#This Row],[foy]]*tblfocunsym[[#This Row],[foz]]*tblfocunsym[[#This Row],[rol]]*tblfocunsym[[#This Row],[rol]]</f>
        <v>3.2925665607081783E+22</v>
      </c>
      <c r="Z4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1" s="28">
        <v>12140402.981691999</v>
      </c>
      <c r="AB41" s="26">
        <f>SQRT(tblfocunsym[[#This Row],[fy]]/tblfocunsym[[#This Row],[foc]])</f>
        <v>4.802445713398197</v>
      </c>
      <c r="AC41" s="26">
        <f>IF(tblfocunsym[[#This Row],[λc]]&lt;=1.5,0.658^(tblfocunsym[[#This Row],[λc]]^2),0.877/(tblfocunsym[[#This Row],[λc]]^2))*tblfocunsym[[#This Row],[fy]]</f>
        <v>10647133.414943883</v>
      </c>
      <c r="AD41" s="26">
        <f>0.85*tblfocunsym[[#This Row],[An]]*tblfocunsym[[#This Row],[kf]]*tblfocunsym[[#This Row],[fn]]</f>
        <v>137560.96372107495</v>
      </c>
    </row>
    <row r="42" spans="2:30" x14ac:dyDescent="0.2">
      <c r="B42" s="13" t="s">
        <v>7</v>
      </c>
      <c r="C42" s="14">
        <v>1.6E-2</v>
      </c>
      <c r="D42" s="11">
        <v>0.95</v>
      </c>
      <c r="E42" s="7">
        <v>10</v>
      </c>
      <c r="F42" s="7">
        <v>10</v>
      </c>
      <c r="G42" s="7">
        <v>10</v>
      </c>
      <c r="H42" s="15">
        <v>0.249</v>
      </c>
      <c r="I42" s="15">
        <v>4.9599999999999998E-2</v>
      </c>
      <c r="J42" s="18">
        <v>0</v>
      </c>
      <c r="K42" s="18">
        <v>0</v>
      </c>
      <c r="L42" s="16">
        <v>1.5600000000000001E-6</v>
      </c>
      <c r="M42" s="16">
        <v>3.45E-6</v>
      </c>
      <c r="N42" s="6">
        <v>280000000</v>
      </c>
      <c r="O42" s="16">
        <v>200000000000</v>
      </c>
      <c r="P42" s="16">
        <v>80000000000</v>
      </c>
      <c r="Q42" s="6" t="s">
        <v>51</v>
      </c>
      <c r="R42" s="26">
        <f>SQRT(tblfocunsym[[#This Row],[rx]]^2+tblfocunsym[[#This Row],[ry]]^2+tblfocunsym[[#This Row],[xo]]^2+tblfocunsym[[#This Row],[yo]]^2)</f>
        <v>0.25389202429379304</v>
      </c>
      <c r="S42" s="26">
        <f>(tblfocunsym[[#This Row],[E]]*PI()^2)/((tblfocunsym[[#This Row],[lex]]/tblfocunsym[[#This Row],[rx]])^2)</f>
        <v>1223850684.9438825</v>
      </c>
      <c r="T42" s="26">
        <f>(tblfocunsym[[#This Row],[E]]*PI()^2)/((tblfocunsym[[#This Row],[ley]]/tblfocunsym[[#This Row],[ry]])^2)</f>
        <v>48561611.926767983</v>
      </c>
      <c r="U4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187031491.48991096</v>
      </c>
      <c r="V42" s="26">
        <f>((tblfocunsym[[#This Row],[rol]]^2)-((tblfocunsym[[#This Row],[xo]]^2)*(tblfocunsym[[#This Row],[yo]]^2)))</f>
        <v>6.446115999999999E-2</v>
      </c>
      <c r="W4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94077439.552516267</v>
      </c>
      <c r="X42" s="26">
        <f>((tblfocunsym[[#This Row],[fox]]*tblfocunsym[[#This Row],[foy]])+(tblfocunsym[[#This Row],[foy]]*tblfocunsym[[#This Row],[foz]])+(tblfocunsym[[#This Row],[fox]]*tblfocunsym[[#This Row],[foz]]))*(tblfocunsym[[#This Row],[rol]]^2)</f>
        <v>1.917160836035526E+16</v>
      </c>
      <c r="Y42" s="26">
        <f>tblfocunsym[[#This Row],[fox]]*tblfocunsym[[#This Row],[foy]]*tblfocunsym[[#This Row],[foz]]*tblfocunsym[[#This Row],[rol]]*tblfocunsym[[#This Row],[rol]]</f>
        <v>7.1653000761906991E+23</v>
      </c>
      <c r="Z4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2" s="28">
        <v>48561611.926767968</v>
      </c>
      <c r="AB42" s="26">
        <f>SQRT(tblfocunsym[[#This Row],[fy]]/tblfocunsym[[#This Row],[foc]])</f>
        <v>2.401222856699099</v>
      </c>
      <c r="AC42" s="26">
        <f>IF(tblfocunsym[[#This Row],[λc]]&lt;=1.5,0.658^(tblfocunsym[[#This Row],[λc]]^2),0.877/(tblfocunsym[[#This Row],[λc]]^2))*tblfocunsym[[#This Row],[fy]]</f>
        <v>42588533.659775518</v>
      </c>
      <c r="AD42" s="26">
        <f>0.85*tblfocunsym[[#This Row],[An]]*tblfocunsym[[#This Row],[kf]]*tblfocunsym[[#This Row],[fn]]</f>
        <v>550243.85488429968</v>
      </c>
    </row>
    <row r="43" spans="2:30" x14ac:dyDescent="0.2">
      <c r="B43" s="13" t="s">
        <v>7</v>
      </c>
      <c r="C43" s="14">
        <v>1.6E-2</v>
      </c>
      <c r="D43" s="11">
        <v>0.95</v>
      </c>
      <c r="E43" s="7">
        <v>5</v>
      </c>
      <c r="F43" s="7">
        <v>5</v>
      </c>
      <c r="G43" s="7">
        <v>5</v>
      </c>
      <c r="H43" s="15">
        <v>0.249</v>
      </c>
      <c r="I43" s="15">
        <v>4.9599999999999998E-2</v>
      </c>
      <c r="J43" s="18">
        <v>0</v>
      </c>
      <c r="K43" s="18">
        <v>0</v>
      </c>
      <c r="L43" s="16">
        <v>1.5600000000000001E-6</v>
      </c>
      <c r="M43" s="16">
        <v>3.45E-6</v>
      </c>
      <c r="N43" s="6">
        <v>280000000</v>
      </c>
      <c r="O43" s="16">
        <v>200000000000</v>
      </c>
      <c r="P43" s="16">
        <v>80000000000</v>
      </c>
      <c r="Q43" s="6" t="s">
        <v>51</v>
      </c>
      <c r="R43" s="26">
        <f>SQRT(tblfocunsym[[#This Row],[rx]]^2+tblfocunsym[[#This Row],[ry]]^2+tblfocunsym[[#This Row],[xo]]^2+tblfocunsym[[#This Row],[yo]]^2)</f>
        <v>0.25389202429379304</v>
      </c>
      <c r="S43" s="26">
        <f>(tblfocunsym[[#This Row],[E]]*PI()^2)/((tblfocunsym[[#This Row],[lex]]/tblfocunsym[[#This Row],[rx]])^2)</f>
        <v>4895402739.7755299</v>
      </c>
      <c r="T43" s="26">
        <f>(tblfocunsym[[#This Row],[E]]*PI()^2)/((tblfocunsym[[#This Row],[ley]]/tblfocunsym[[#This Row],[ry]])^2)</f>
        <v>194246447.70707193</v>
      </c>
      <c r="U4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385116674.78337574</v>
      </c>
      <c r="V43" s="26">
        <f>((tblfocunsym[[#This Row],[rol]]^2)-((tblfocunsym[[#This Row],[xo]]^2)*(tblfocunsym[[#This Row],[yo]]^2)))</f>
        <v>6.446115999999999E-2</v>
      </c>
      <c r="W4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352909758.21006513</v>
      </c>
      <c r="X43" s="26">
        <f>((tblfocunsym[[#This Row],[fox]]*tblfocunsym[[#This Row],[foy]])+(tblfocunsym[[#This Row],[foy]]*tblfocunsym[[#This Row],[foz]])+(tblfocunsym[[#This Row],[fox]]*tblfocunsym[[#This Row],[foz]]))*(tblfocunsym[[#This Row],[rol]]^2)</f>
        <v>1.876479427785913E+17</v>
      </c>
      <c r="Y43" s="26">
        <f>tblfocunsym[[#This Row],[fox]]*tblfocunsym[[#This Row],[foy]]*tblfocunsym[[#This Row],[foz]]*tblfocunsym[[#This Row],[rol]]*tblfocunsym[[#This Row],[rol]]</f>
        <v>2.3606519027873853E+25</v>
      </c>
      <c r="Z4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3" s="28">
        <v>194246447.70707172</v>
      </c>
      <c r="AB43" s="26">
        <f>SQRT(tblfocunsym[[#This Row],[fy]]/tblfocunsym[[#This Row],[foc]])</f>
        <v>1.2006114283495501</v>
      </c>
      <c r="AC43" s="26">
        <f>IF(tblfocunsym[[#This Row],[λc]]&lt;=1.5,0.658^(tblfocunsym[[#This Row],[λc]]^2),0.877/(tblfocunsym[[#This Row],[λc]]^2))*tblfocunsym[[#This Row],[fy]]</f>
        <v>153156879.69478637</v>
      </c>
      <c r="AD43" s="26">
        <f>0.85*tblfocunsym[[#This Row],[An]]*tblfocunsym[[#This Row],[kf]]*tblfocunsym[[#This Row],[fn]]</f>
        <v>1978786.8856566397</v>
      </c>
    </row>
    <row r="44" spans="2:30" x14ac:dyDescent="0.2">
      <c r="B44" s="13" t="s">
        <v>7</v>
      </c>
      <c r="C44" s="14">
        <v>1.6E-2</v>
      </c>
      <c r="D44" s="11">
        <v>0.95</v>
      </c>
      <c r="E44" s="7">
        <v>1</v>
      </c>
      <c r="F44" s="7">
        <v>1</v>
      </c>
      <c r="G44" s="7">
        <v>1</v>
      </c>
      <c r="H44" s="15">
        <v>0.249</v>
      </c>
      <c r="I44" s="15">
        <v>4.9599999999999998E-2</v>
      </c>
      <c r="J44" s="18">
        <v>0</v>
      </c>
      <c r="K44" s="18">
        <v>0</v>
      </c>
      <c r="L44" s="16">
        <v>1.5600000000000001E-6</v>
      </c>
      <c r="M44" s="16">
        <v>3.45E-6</v>
      </c>
      <c r="N44" s="6">
        <v>280000000</v>
      </c>
      <c r="O44" s="16">
        <v>200000000000</v>
      </c>
      <c r="P44" s="16">
        <v>80000000000</v>
      </c>
      <c r="Q44" s="6" t="s">
        <v>51</v>
      </c>
      <c r="R44" s="26">
        <f>SQRT(tblfocunsym[[#This Row],[rx]]^2+tblfocunsym[[#This Row],[ry]]^2+tblfocunsym[[#This Row],[xo]]^2+tblfocunsym[[#This Row],[yo]]^2)</f>
        <v>0.25389202429379304</v>
      </c>
      <c r="S44" s="26">
        <f>(tblfocunsym[[#This Row],[E]]*PI()^2)/((tblfocunsym[[#This Row],[lex]]/tblfocunsym[[#This Row],[rx]])^2)</f>
        <v>122385068494.38824</v>
      </c>
      <c r="T44" s="26">
        <f>(tblfocunsym[[#This Row],[E]]*PI()^2)/((tblfocunsym[[#This Row],[ley]]/tblfocunsym[[#This Row],[ry]])^2)</f>
        <v>4856161192.6767998</v>
      </c>
      <c r="U4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6723842540.1742487</v>
      </c>
      <c r="V44" s="26">
        <f>((tblfocunsym[[#This Row],[rol]]^2)-((tblfocunsym[[#This Row],[xo]]^2)*(tblfocunsym[[#This Row],[yo]]^2)))</f>
        <v>6.446115999999999E-2</v>
      </c>
      <c r="W4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8635543955.251627</v>
      </c>
      <c r="X44" s="26">
        <f>((tblfocunsym[[#This Row],[fox]]*tblfocunsym[[#This Row],[foy]])+(tblfocunsym[[#This Row],[foy]]*tblfocunsym[[#This Row],[foz]])+(tblfocunsym[[#This Row],[fox]]*tblfocunsym[[#This Row],[foz]]))*(tblfocunsym[[#This Row],[rol]]^2)</f>
        <v>9.3460406039200973E+19</v>
      </c>
      <c r="Y44" s="26">
        <f>tblfocunsym[[#This Row],[fox]]*tblfocunsym[[#This Row],[foy]]*tblfocunsym[[#This Row],[foz]]*tblfocunsym[[#This Row],[rol]]*tblfocunsym[[#This Row],[rol]]</f>
        <v>2.575948525117959E+29</v>
      </c>
      <c r="Z4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4" s="28">
        <v>4856161192.6768026</v>
      </c>
      <c r="AB44" s="26">
        <f>SQRT(tblfocunsym[[#This Row],[fy]]/tblfocunsym[[#This Row],[foc]])</f>
        <v>0.24012228566990979</v>
      </c>
      <c r="AC44" s="26">
        <f>IF(tblfocunsym[[#This Row],[λc]]&lt;=1.5,0.658^(tblfocunsym[[#This Row],[λc]]^2),0.877/(tblfocunsym[[#This Row],[λc]]^2))*tblfocunsym[[#This Row],[fy]]</f>
        <v>273323624.04827464</v>
      </c>
      <c r="AD44" s="26">
        <f>0.85*tblfocunsym[[#This Row],[An]]*tblfocunsym[[#This Row],[kf]]*tblfocunsym[[#This Row],[fn]]</f>
        <v>3531341.2227037079</v>
      </c>
    </row>
    <row r="45" spans="2:30" x14ac:dyDescent="0.2">
      <c r="B45" s="4" t="s">
        <v>6</v>
      </c>
      <c r="C45" s="10">
        <v>7.54E-4</v>
      </c>
      <c r="D45" s="32">
        <v>1</v>
      </c>
      <c r="E45" s="8">
        <v>10</v>
      </c>
      <c r="F45" s="8">
        <v>10</v>
      </c>
      <c r="G45" s="8">
        <v>10</v>
      </c>
      <c r="H45" s="5">
        <v>3.0099999999999998E-2</v>
      </c>
      <c r="I45" s="5">
        <v>1.26E-2</v>
      </c>
      <c r="J45" s="19">
        <v>2.7199999999999998E-2</v>
      </c>
      <c r="K45" s="19">
        <v>0</v>
      </c>
      <c r="L45" s="6">
        <v>8.1300000000000007E-9</v>
      </c>
      <c r="M45" s="6">
        <v>1.06E-10</v>
      </c>
      <c r="N45" s="6">
        <v>320000000</v>
      </c>
      <c r="O45" s="6">
        <v>200000000000</v>
      </c>
      <c r="P45" s="6">
        <v>80000000000</v>
      </c>
      <c r="Q45" s="6" t="s">
        <v>51</v>
      </c>
      <c r="R45" s="29">
        <f>SQRT(tblfocunsym[[#This Row],[rx]]^2+tblfocunsym[[#This Row],[ry]]^2+tblfocunsym[[#This Row],[xo]]^2+tblfocunsym[[#This Row],[yo]]^2)</f>
        <v>4.2480701500799162E-2</v>
      </c>
      <c r="S45" s="29">
        <f>(tblfocunsym[[#This Row],[E]]*PI()^2)/((tblfocunsym[[#This Row],[lex]]/tblfocunsym[[#This Row],[rx]])^2)</f>
        <v>17883920.566861939</v>
      </c>
      <c r="T45" s="29">
        <f>(tblfocunsym[[#This Row],[E]]*PI()^2)/((tblfocunsym[[#This Row],[ley]]/tblfocunsym[[#This Row],[ry]])^2)</f>
        <v>3133796.7894338933</v>
      </c>
      <c r="U45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479535455.10111028</v>
      </c>
      <c r="V45" s="29">
        <f>((tblfocunsym[[#This Row],[rol]]^2)-((tblfocunsym[[#This Row],[xo]]^2)*(tblfocunsym[[#This Row],[yo]]^2)))</f>
        <v>1.8046100000000001E-3</v>
      </c>
      <c r="W45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900984.7523316649</v>
      </c>
      <c r="X45" s="29">
        <f>((tblfocunsym[[#This Row],[fox]]*tblfocunsym[[#This Row],[foy]])+(tblfocunsym[[#This Row],[foy]]*tblfocunsym[[#This Row],[foz]])+(tblfocunsym[[#This Row],[fox]]*tblfocunsym[[#This Row],[foz]]))*(tblfocunsym[[#This Row],[rol]]^2)</f>
        <v>18289334774799.52</v>
      </c>
      <c r="Y45" s="29">
        <f>tblfocunsym[[#This Row],[fox]]*tblfocunsym[[#This Row],[foy]]*tblfocunsym[[#This Row],[foz]]*tblfocunsym[[#This Row],[rol]]*tblfocunsym[[#This Row],[rol]]</f>
        <v>4.8499542958326047E+19</v>
      </c>
      <c r="Z45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5" s="31">
        <v>3132003.516470951</v>
      </c>
      <c r="AB45" s="29">
        <f>SQRT(tblfocunsym[[#This Row],[fy]]/tblfocunsym[[#This Row],[foc]])</f>
        <v>10.107968239997334</v>
      </c>
      <c r="AC45" s="29">
        <f>IF(tblfocunsym[[#This Row],[λc]]&lt;=1.5,0.658^(tblfocunsym[[#This Row],[λc]]^2),0.877/(tblfocunsym[[#This Row],[λc]]^2))*tblfocunsym[[#This Row],[fy]]</f>
        <v>2746767.0839450243</v>
      </c>
      <c r="AD45" s="29">
        <f>0.85*tblfocunsym[[#This Row],[An]]*tblfocunsym[[#This Row],[kf]]*tblfocunsym[[#This Row],[fn]]</f>
        <v>1760.4030241003661</v>
      </c>
    </row>
    <row r="46" spans="2:30" x14ac:dyDescent="0.2">
      <c r="B46" s="4" t="s">
        <v>6</v>
      </c>
      <c r="C46" s="10">
        <v>7.54E-4</v>
      </c>
      <c r="D46" s="32">
        <v>1</v>
      </c>
      <c r="E46" s="8">
        <v>5</v>
      </c>
      <c r="F46" s="8">
        <v>5</v>
      </c>
      <c r="G46" s="8">
        <v>5</v>
      </c>
      <c r="H46" s="5">
        <v>3.0099999999999998E-2</v>
      </c>
      <c r="I46" s="5">
        <v>1.26E-2</v>
      </c>
      <c r="J46" s="19">
        <v>2.7199999999999998E-2</v>
      </c>
      <c r="K46" s="19">
        <v>0</v>
      </c>
      <c r="L46" s="6">
        <v>8.1300000000000007E-9</v>
      </c>
      <c r="M46" s="6">
        <v>1.06E-10</v>
      </c>
      <c r="N46" s="6">
        <v>320000000</v>
      </c>
      <c r="O46" s="6">
        <v>200000000000</v>
      </c>
      <c r="P46" s="6">
        <v>80000000000</v>
      </c>
      <c r="Q46" s="6" t="s">
        <v>51</v>
      </c>
      <c r="R46" s="29">
        <f>SQRT(tblfocunsym[[#This Row],[rx]]^2+tblfocunsym[[#This Row],[ry]]^2+tblfocunsym[[#This Row],[xo]]^2+tblfocunsym[[#This Row],[yo]]^2)</f>
        <v>4.2480701500799162E-2</v>
      </c>
      <c r="S46" s="29">
        <f>(tblfocunsym[[#This Row],[E]]*PI()^2)/((tblfocunsym[[#This Row],[lex]]/tblfocunsym[[#This Row],[rx]])^2)</f>
        <v>71535682.267447755</v>
      </c>
      <c r="T46" s="29">
        <f>(tblfocunsym[[#This Row],[E]]*PI()^2)/((tblfocunsym[[#This Row],[ley]]/tblfocunsym[[#This Row],[ry]])^2)</f>
        <v>12535187.157735573</v>
      </c>
      <c r="U46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484148653.74346507</v>
      </c>
      <c r="V46" s="29">
        <f>((tblfocunsym[[#This Row],[rol]]^2)-((tblfocunsym[[#This Row],[xo]]^2)*(tblfocunsym[[#This Row],[yo]]^2)))</f>
        <v>1.8046100000000001E-3</v>
      </c>
      <c r="W46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1016140.6008385954</v>
      </c>
      <c r="X46" s="29">
        <f>((tblfocunsym[[#This Row],[fox]]*tblfocunsym[[#This Row],[foy]])+(tblfocunsym[[#This Row],[foy]]*tblfocunsym[[#This Row],[foz]])+(tblfocunsym[[#This Row],[fox]]*tblfocunsym[[#This Row],[foz]]))*(tblfocunsym[[#This Row],[rol]]^2)</f>
        <v>75070894298095.063</v>
      </c>
      <c r="Y46" s="29">
        <f>tblfocunsym[[#This Row],[fox]]*tblfocunsym[[#This Row],[foy]]*tblfocunsym[[#This Row],[foz]]*tblfocunsym[[#This Row],[rol]]*tblfocunsym[[#This Row],[rol]]</f>
        <v>7.8345784631906913E+20</v>
      </c>
      <c r="Z46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6" s="31">
        <v>12506316.068559589</v>
      </c>
      <c r="AB46" s="29">
        <f>SQRT(tblfocunsym[[#This Row],[fy]]/tblfocunsym[[#This Row],[foc]])</f>
        <v>5.0583664580882877</v>
      </c>
      <c r="AC46" s="29">
        <f>IF(tblfocunsym[[#This Row],[λc]]&lt;=1.5,0.658^(tblfocunsym[[#This Row],[λc]]^2),0.877/(tblfocunsym[[#This Row],[λc]]^2))*tblfocunsym[[#This Row],[fy]]</f>
        <v>10968039.192126762</v>
      </c>
      <c r="AD46" s="29">
        <f>0.85*tblfocunsym[[#This Row],[An]]*tblfocunsym[[#This Row],[kf]]*tblfocunsym[[#This Row],[fn]]</f>
        <v>7029.4163182340417</v>
      </c>
    </row>
    <row r="47" spans="2:30" x14ac:dyDescent="0.2">
      <c r="B47" s="4" t="s">
        <v>6</v>
      </c>
      <c r="C47" s="10">
        <v>7.54E-4</v>
      </c>
      <c r="D47" s="32">
        <v>1</v>
      </c>
      <c r="E47" s="8">
        <v>1</v>
      </c>
      <c r="F47" s="8">
        <v>1</v>
      </c>
      <c r="G47" s="8">
        <v>1</v>
      </c>
      <c r="H47" s="5">
        <v>3.0099999999999998E-2</v>
      </c>
      <c r="I47" s="5">
        <v>1.26E-2</v>
      </c>
      <c r="J47" s="19">
        <v>2.7199999999999998E-2</v>
      </c>
      <c r="K47" s="19">
        <v>0</v>
      </c>
      <c r="L47" s="6">
        <v>8.1300000000000007E-9</v>
      </c>
      <c r="M47" s="6">
        <v>1.06E-10</v>
      </c>
      <c r="N47" s="6">
        <v>320000000</v>
      </c>
      <c r="O47" s="6">
        <v>200000000000</v>
      </c>
      <c r="P47" s="6">
        <v>80000000000</v>
      </c>
      <c r="Q47" s="6" t="s">
        <v>51</v>
      </c>
      <c r="R47" s="29">
        <f>SQRT(tblfocunsym[[#This Row],[rx]]^2+tblfocunsym[[#This Row],[ry]]^2+tblfocunsym[[#This Row],[xo]]^2+tblfocunsym[[#This Row],[yo]]^2)</f>
        <v>4.2480701500799162E-2</v>
      </c>
      <c r="S47" s="29">
        <f>(tblfocunsym[[#This Row],[E]]*PI()^2)/((tblfocunsym[[#This Row],[lex]]/tblfocunsym[[#This Row],[rx]])^2)</f>
        <v>1788392056.6861939</v>
      </c>
      <c r="T47" s="29">
        <f>(tblfocunsym[[#This Row],[E]]*PI()^2)/((tblfocunsym[[#This Row],[ley]]/tblfocunsym[[#This Row],[ry]])^2)</f>
        <v>313379678.94338924</v>
      </c>
      <c r="U47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631771010.29881835</v>
      </c>
      <c r="V47" s="29">
        <f>((tblfocunsym[[#This Row],[rol]]^2)-((tblfocunsym[[#This Row],[xo]]^2)*(tblfocunsym[[#This Row],[yo]]^2)))</f>
        <v>1.8046100000000001E-3</v>
      </c>
      <c r="W47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4701127.7530603763</v>
      </c>
      <c r="X47" s="29">
        <f>((tblfocunsym[[#This Row],[fox]]*tblfocunsym[[#This Row],[foy]])+(tblfocunsym[[#This Row],[foy]]*tblfocunsym[[#This Row],[foz]])+(tblfocunsym[[#This Row],[fox]]*tblfocunsym[[#This Row],[foz]]))*(tblfocunsym[[#This Row],[rol]]^2)</f>
        <v>3407616516569960.5</v>
      </c>
      <c r="Y47" s="29">
        <f>tblfocunsym[[#This Row],[fox]]*tblfocunsym[[#This Row],[foy]]*tblfocunsym[[#This Row],[foz]]*tblfocunsym[[#This Row],[rol]]*tblfocunsym[[#This Row],[rol]]</f>
        <v>6.3896433366646461E+23</v>
      </c>
      <c r="Z47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7" s="31">
        <v>291864554.00126785</v>
      </c>
      <c r="AB47" s="29">
        <f>SQRT(tblfocunsym[[#This Row],[fy]]/tblfocunsym[[#This Row],[foc]])</f>
        <v>1.0470907230898117</v>
      </c>
      <c r="AC47" s="29">
        <f>IF(tblfocunsym[[#This Row],[λc]]&lt;=1.5,0.658^(tblfocunsym[[#This Row],[λc]]^2),0.877/(tblfocunsym[[#This Row],[λc]]^2))*tblfocunsym[[#This Row],[fy]]</f>
        <v>202233469.69276068</v>
      </c>
      <c r="AD47" s="29">
        <f>0.85*tblfocunsym[[#This Row],[An]]*tblfocunsym[[#This Row],[kf]]*tblfocunsym[[#This Row],[fn]]</f>
        <v>129611.43072609032</v>
      </c>
    </row>
    <row r="48" spans="2:30" x14ac:dyDescent="0.2">
      <c r="B48" s="4" t="s">
        <v>6</v>
      </c>
      <c r="C48" s="10">
        <v>7.54E-4</v>
      </c>
      <c r="D48" s="32">
        <v>1</v>
      </c>
      <c r="E48" s="8">
        <v>0.5</v>
      </c>
      <c r="F48" s="8">
        <v>0.5</v>
      </c>
      <c r="G48" s="8">
        <v>0.5</v>
      </c>
      <c r="H48" s="5">
        <v>3.0099999999999998E-2</v>
      </c>
      <c r="I48" s="5">
        <v>1.26E-2</v>
      </c>
      <c r="J48" s="19">
        <v>2.7199999999999998E-2</v>
      </c>
      <c r="K48" s="19">
        <v>0</v>
      </c>
      <c r="L48" s="6">
        <v>8.1300000000000007E-9</v>
      </c>
      <c r="M48" s="6">
        <v>1.06E-10</v>
      </c>
      <c r="N48" s="6">
        <v>320000000</v>
      </c>
      <c r="O48" s="6">
        <v>200000000000</v>
      </c>
      <c r="P48" s="6">
        <v>80000000000</v>
      </c>
      <c r="Q48" s="6" t="s">
        <v>51</v>
      </c>
      <c r="R48" s="29">
        <f>SQRT(tblfocunsym[[#This Row],[rx]]^2+tblfocunsym[[#This Row],[ry]]^2+tblfocunsym[[#This Row],[xo]]^2+tblfocunsym[[#This Row],[yo]]^2)</f>
        <v>4.2480701500799162E-2</v>
      </c>
      <c r="S48" s="29">
        <f>(tblfocunsym[[#This Row],[E]]*PI()^2)/((tblfocunsym[[#This Row],[lex]]/tblfocunsym[[#This Row],[rx]])^2)</f>
        <v>7153568226.7447758</v>
      </c>
      <c r="T48" s="29">
        <f>(tblfocunsym[[#This Row],[E]]*PI()^2)/((tblfocunsym[[#This Row],[ley]]/tblfocunsym[[#This Row],[ry]])^2)</f>
        <v>1253518715.7735569</v>
      </c>
      <c r="U48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1093090874.5342977</v>
      </c>
      <c r="V48" s="29">
        <f>((tblfocunsym[[#This Row],[rol]]^2)-((tblfocunsym[[#This Row],[xo]]^2)*(tblfocunsym[[#This Row],[yo]]^2)))</f>
        <v>1.8046100000000001E-3</v>
      </c>
      <c r="W48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16216712.60375344</v>
      </c>
      <c r="X48" s="29">
        <f>((tblfocunsym[[#This Row],[fox]]*tblfocunsym[[#This Row],[foy]])+(tblfocunsym[[#This Row],[foy]]*tblfocunsym[[#This Row],[foz]])+(tblfocunsym[[#This Row],[fox]]*tblfocunsym[[#This Row],[foz]]))*(tblfocunsym[[#This Row],[rol]]^2)</f>
        <v>3.2766018055249644E+16</v>
      </c>
      <c r="Y48" s="29">
        <f>tblfocunsym[[#This Row],[fox]]*tblfocunsym[[#This Row],[foy]]*tblfocunsym[[#This Row],[foz]]*tblfocunsym[[#This Row],[rol]]*tblfocunsym[[#This Row],[rol]]</f>
        <v>1.7688588324515768E+25</v>
      </c>
      <c r="Z48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8" s="31">
        <v>902413556.01075256</v>
      </c>
      <c r="AB48" s="29">
        <f>SQRT(tblfocunsym[[#This Row],[fy]]/tblfocunsym[[#This Row],[foc]])</f>
        <v>0.59548686143827911</v>
      </c>
      <c r="AC48" s="29">
        <f>IF(tblfocunsym[[#This Row],[λc]]&lt;=1.5,0.658^(tblfocunsym[[#This Row],[λc]]^2),0.877/(tblfocunsym[[#This Row],[λc]]^2))*tblfocunsym[[#This Row],[fy]]</f>
        <v>275862103.61642122</v>
      </c>
      <c r="AD48" s="29">
        <f>0.85*tblfocunsym[[#This Row],[An]]*tblfocunsym[[#This Row],[kf]]*tblfocunsym[[#This Row],[fn]]</f>
        <v>176800.02220776436</v>
      </c>
    </row>
    <row r="49" spans="2:30" x14ac:dyDescent="0.2">
      <c r="B49" s="4" t="s">
        <v>6</v>
      </c>
      <c r="C49" s="10">
        <v>7.54E-4</v>
      </c>
      <c r="D49" s="32">
        <v>1</v>
      </c>
      <c r="E49" s="8">
        <v>0.1</v>
      </c>
      <c r="F49" s="8">
        <v>0.1</v>
      </c>
      <c r="G49" s="8">
        <v>0.1</v>
      </c>
      <c r="H49" s="5">
        <v>3.0099999999999998E-2</v>
      </c>
      <c r="I49" s="5">
        <v>1.26E-2</v>
      </c>
      <c r="J49" s="19">
        <v>2.7199999999999998E-2</v>
      </c>
      <c r="K49" s="19">
        <v>0</v>
      </c>
      <c r="L49" s="6">
        <v>8.1300000000000007E-9</v>
      </c>
      <c r="M49" s="6">
        <v>1.06E-10</v>
      </c>
      <c r="N49" s="6">
        <v>320000000</v>
      </c>
      <c r="O49" s="6">
        <v>200000000000</v>
      </c>
      <c r="P49" s="6">
        <v>80000000000</v>
      </c>
      <c r="Q49" s="6" t="s">
        <v>51</v>
      </c>
      <c r="R49" s="29">
        <f>SQRT(tblfocunsym[[#This Row],[rx]]^2+tblfocunsym[[#This Row],[ry]]^2+tblfocunsym[[#This Row],[xo]]^2+tblfocunsym[[#This Row],[yo]]^2)</f>
        <v>4.2480701500799162E-2</v>
      </c>
      <c r="S49" s="29">
        <f>(tblfocunsym[[#This Row],[E]]*PI()^2)/((tblfocunsym[[#This Row],[lex]]/tblfocunsym[[#This Row],[rx]])^2)</f>
        <v>178839205668.61932</v>
      </c>
      <c r="T49" s="29">
        <f>(tblfocunsym[[#This Row],[E]]*PI()^2)/((tblfocunsym[[#This Row],[ley]]/tblfocunsym[[#This Row],[ry]])^2)</f>
        <v>31337967894.338928</v>
      </c>
      <c r="U49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15855326530.069632</v>
      </c>
      <c r="V49" s="29">
        <f>((tblfocunsym[[#This Row],[rol]]^2)-((tblfocunsym[[#This Row],[xo]]^2)*(tblfocunsym[[#This Row],[yo]]^2)))</f>
        <v>1.8046100000000001E-3</v>
      </c>
      <c r="W49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384715427.82593137</v>
      </c>
      <c r="X49" s="29">
        <f>((tblfocunsym[[#This Row],[fox]]*tblfocunsym[[#This Row],[foy]])+(tblfocunsym[[#This Row],[foy]]*tblfocunsym[[#This Row],[foz]])+(tblfocunsym[[#This Row],[fox]]*tblfocunsym[[#This Row],[foz]]))*(tblfocunsym[[#This Row],[rol]]^2)</f>
        <v>1.612759204255708E+19</v>
      </c>
      <c r="Y49" s="29">
        <f>tblfocunsym[[#This Row],[fox]]*tblfocunsym[[#This Row],[foy]]*tblfocunsym[[#This Row],[foz]]*tblfocunsym[[#This Row],[rol]]*tblfocunsym[[#This Row],[rol]]</f>
        <v>1.6035854741986897E+29</v>
      </c>
      <c r="Z49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9" s="31">
        <v>14814875414.324291</v>
      </c>
      <c r="AB49" s="29">
        <f>SQRT(tblfocunsym[[#This Row],[fy]]/tblfocunsym[[#This Row],[foc]])</f>
        <v>0.14696908398121214</v>
      </c>
      <c r="AC49" s="29">
        <f>IF(tblfocunsym[[#This Row],[λc]]&lt;=1.5,0.658^(tblfocunsym[[#This Row],[λc]]^2),0.877/(tblfocunsym[[#This Row],[λc]]^2))*tblfocunsym[[#This Row],[fy]]</f>
        <v>317120029.84836435</v>
      </c>
      <c r="AD49" s="29">
        <f>0.85*tblfocunsym[[#This Row],[An]]*tblfocunsym[[#This Row],[kf]]*tblfocunsym[[#This Row],[fn]]</f>
        <v>203242.22712981672</v>
      </c>
    </row>
    <row r="50" spans="2:30" x14ac:dyDescent="0.2">
      <c r="B50" s="13" t="s">
        <v>47</v>
      </c>
      <c r="C50" s="14">
        <v>1.0999999999999999E-2</v>
      </c>
      <c r="D50" s="20">
        <v>1</v>
      </c>
      <c r="E50" s="7">
        <v>10</v>
      </c>
      <c r="F50" s="7">
        <v>10</v>
      </c>
      <c r="G50" s="7">
        <v>10</v>
      </c>
      <c r="H50" s="15">
        <v>0.21</v>
      </c>
      <c r="I50" s="15">
        <v>3.6978999999999998E-2</v>
      </c>
      <c r="J50" s="18">
        <v>0</v>
      </c>
      <c r="K50" s="18">
        <v>0.15428504787</v>
      </c>
      <c r="L50" s="16">
        <v>9.1838800792000005E-7</v>
      </c>
      <c r="M50" s="16">
        <v>4.0290907437000001E-7</v>
      </c>
      <c r="N50" s="21">
        <v>300000000</v>
      </c>
      <c r="O50" s="16">
        <v>200000000000</v>
      </c>
      <c r="P50" s="16">
        <v>80000000000</v>
      </c>
      <c r="Q50" s="6" t="s">
        <v>51</v>
      </c>
      <c r="R50" s="26">
        <f>SQRT(tblfocunsym[[#This Row],[rx]]^2+tblfocunsym[[#This Row],[ry]]^2+tblfocunsym[[#This Row],[xo]]^2+tblfocunsym[[#This Row],[yo]]^2)</f>
        <v>0.26319445745921055</v>
      </c>
      <c r="S50" s="26">
        <f>(tblfocunsym[[#This Row],[E]]*PI()^2)/((tblfocunsym[[#This Row],[lex]]/tblfocunsym[[#This Row],[rx]])^2)</f>
        <v>870499108.1760813</v>
      </c>
      <c r="T50" s="26">
        <f>(tblfocunsym[[#This Row],[E]]*PI()^2)/((tblfocunsym[[#This Row],[ley]]/tblfocunsym[[#This Row],[ry]])^2)</f>
        <v>26992310.824695159</v>
      </c>
      <c r="U5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106858002.98941475</v>
      </c>
      <c r="V50" s="26">
        <f>((tblfocunsym[[#This Row],[rol]]^2)-((tblfocunsym[[#This Row],[xo]]^2)*(tblfocunsym[[#This Row],[yo]]^2)))</f>
        <v>6.9271322437248192E-2</v>
      </c>
      <c r="W5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48851359.824478306</v>
      </c>
      <c r="X50" s="26">
        <f>((tblfocunsym[[#This Row],[fox]]*tblfocunsym[[#This Row],[foy]])+(tblfocunsym[[#This Row],[foy]]*tblfocunsym[[#This Row],[foz]])+(tblfocunsym[[#This Row],[fox]]*tblfocunsym[[#This Row],[foz]]))*(tblfocunsym[[#This Row],[rol]]^2)</f>
        <v>8271059852721499</v>
      </c>
      <c r="Y50" s="26">
        <f>tblfocunsym[[#This Row],[fox]]*tblfocunsym[[#This Row],[foy]]*tblfocunsym[[#This Row],[foz]]*tblfocunsym[[#This Row],[rol]]*tblfocunsym[[#This Row],[rol]]</f>
        <v>1.7392777017265798E+23</v>
      </c>
      <c r="Z5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0" s="28">
        <v>24431910.759302597</v>
      </c>
      <c r="AB50" s="26">
        <f>SQRT(tblfocunsym[[#This Row],[fy]]/tblfocunsym[[#This Row],[foc]])</f>
        <v>3.5041437241566431</v>
      </c>
      <c r="AC50" s="26">
        <f>IF(tblfocunsym[[#This Row],[λc]]&lt;=1.5,0.658^(tblfocunsym[[#This Row],[λc]]^2),0.877/(tblfocunsym[[#This Row],[λc]]^2))*tblfocunsym[[#This Row],[fy]]</f>
        <v>21426785.735908374</v>
      </c>
      <c r="AD50" s="26">
        <f>0.85*tblfocunsym[[#This Row],[An]]*tblfocunsym[[#This Row],[kf]]*tblfocunsym[[#This Row],[fn]]</f>
        <v>200340.44663074327</v>
      </c>
    </row>
    <row r="51" spans="2:30" x14ac:dyDescent="0.2">
      <c r="B51" s="13" t="s">
        <v>47</v>
      </c>
      <c r="C51" s="14">
        <v>1.0999999999999999E-2</v>
      </c>
      <c r="D51" s="20">
        <v>1</v>
      </c>
      <c r="E51" s="7">
        <v>5</v>
      </c>
      <c r="F51" s="7">
        <v>5</v>
      </c>
      <c r="G51" s="7">
        <v>5</v>
      </c>
      <c r="H51" s="15">
        <v>0.21</v>
      </c>
      <c r="I51" s="15">
        <v>3.6978999999999998E-2</v>
      </c>
      <c r="J51" s="18">
        <v>0</v>
      </c>
      <c r="K51" s="18">
        <v>0.15428504787</v>
      </c>
      <c r="L51" s="16">
        <v>9.1838800792000005E-7</v>
      </c>
      <c r="M51" s="16">
        <v>4.0290907437000001E-7</v>
      </c>
      <c r="N51" s="21">
        <v>300000000</v>
      </c>
      <c r="O51" s="16">
        <v>200000000000</v>
      </c>
      <c r="P51" s="16">
        <v>80000000000</v>
      </c>
      <c r="Q51" s="6" t="s">
        <v>51</v>
      </c>
      <c r="R51" s="26">
        <f>SQRT(tblfocunsym[[#This Row],[rx]]^2+tblfocunsym[[#This Row],[ry]]^2+tblfocunsym[[#This Row],[xo]]^2+tblfocunsym[[#This Row],[yo]]^2)</f>
        <v>0.26319445745921055</v>
      </c>
      <c r="S51" s="26">
        <f>(tblfocunsym[[#This Row],[E]]*PI()^2)/((tblfocunsym[[#This Row],[lex]]/tblfocunsym[[#This Row],[rx]])^2)</f>
        <v>3481996432.7043252</v>
      </c>
      <c r="T51" s="26">
        <f>(tblfocunsym[[#This Row],[E]]*PI()^2)/((tblfocunsym[[#This Row],[ley]]/tblfocunsym[[#This Row],[ry]])^2)</f>
        <v>107969243.29878063</v>
      </c>
      <c r="U5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138170080.30350193</v>
      </c>
      <c r="V51" s="26">
        <f>((tblfocunsym[[#This Row],[rol]]^2)-((tblfocunsym[[#This Row],[xo]]^2)*(tblfocunsym[[#This Row],[yo]]^2)))</f>
        <v>6.9271322437248192E-2</v>
      </c>
      <c r="W5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175367882.76147687</v>
      </c>
      <c r="X51" s="26">
        <f>((tblfocunsym[[#This Row],[fox]]*tblfocunsym[[#This Row],[foy]])+(tblfocunsym[[#This Row],[foy]]*tblfocunsym[[#This Row],[foz]])+(tblfocunsym[[#This Row],[fox]]*tblfocunsym[[#This Row],[foz]]))*(tblfocunsym[[#This Row],[rol]]^2)</f>
        <v>6.0402817446765768E+16</v>
      </c>
      <c r="Y51" s="26">
        <f>tblfocunsym[[#This Row],[fox]]*tblfocunsym[[#This Row],[foy]]*tblfocunsym[[#This Row],[foz]]*tblfocunsym[[#This Row],[rol]]*tblfocunsym[[#This Row],[rol]]</f>
        <v>3.5982875665974374E+24</v>
      </c>
      <c r="Z5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1" s="28">
        <v>75719646.676637545</v>
      </c>
      <c r="AB51" s="26">
        <f>SQRT(tblfocunsym[[#This Row],[fy]]/tblfocunsym[[#This Row],[foc]])</f>
        <v>1.9904732156064522</v>
      </c>
      <c r="AC51" s="26">
        <f>IF(tblfocunsym[[#This Row],[λc]]&lt;=1.5,0.658^(tblfocunsym[[#This Row],[λc]]^2),0.877/(tblfocunsym[[#This Row],[λc]]^2))*tblfocunsym[[#This Row],[fy]]</f>
        <v>66406130.135411128</v>
      </c>
      <c r="AD51" s="26">
        <f>0.85*tblfocunsym[[#This Row],[An]]*tblfocunsym[[#This Row],[kf]]*tblfocunsym[[#This Row],[fn]]</f>
        <v>620897.31676609395</v>
      </c>
    </row>
    <row r="52" spans="2:30" x14ac:dyDescent="0.2">
      <c r="B52" s="13" t="s">
        <v>47</v>
      </c>
      <c r="C52" s="14">
        <v>1.0999999999999999E-2</v>
      </c>
      <c r="D52" s="20">
        <v>1</v>
      </c>
      <c r="E52" s="7">
        <v>1</v>
      </c>
      <c r="F52" s="7">
        <v>1</v>
      </c>
      <c r="G52" s="7">
        <v>1</v>
      </c>
      <c r="H52" s="15">
        <v>0.21</v>
      </c>
      <c r="I52" s="15">
        <v>3.6978999999999998E-2</v>
      </c>
      <c r="J52" s="18">
        <v>0</v>
      </c>
      <c r="K52" s="18">
        <v>0.15428504787</v>
      </c>
      <c r="L52" s="16">
        <v>9.1838800792000005E-7</v>
      </c>
      <c r="M52" s="16">
        <v>4.0290907437000001E-7</v>
      </c>
      <c r="N52" s="21">
        <v>300000000</v>
      </c>
      <c r="O52" s="16">
        <v>200000000000</v>
      </c>
      <c r="P52" s="16">
        <v>80000000000</v>
      </c>
      <c r="Q52" s="6" t="s">
        <v>51</v>
      </c>
      <c r="R52" s="26">
        <f>SQRT(tblfocunsym[[#This Row],[rx]]^2+tblfocunsym[[#This Row],[ry]]^2+tblfocunsym[[#This Row],[xo]]^2+tblfocunsym[[#This Row],[yo]]^2)</f>
        <v>0.26319445745921055</v>
      </c>
      <c r="S52" s="26">
        <f>(tblfocunsym[[#This Row],[E]]*PI()^2)/((tblfocunsym[[#This Row],[lex]]/tblfocunsym[[#This Row],[rx]])^2)</f>
        <v>87049910817.608139</v>
      </c>
      <c r="T52" s="26">
        <f>(tblfocunsym[[#This Row],[E]]*PI()^2)/((tblfocunsym[[#This Row],[ley]]/tblfocunsym[[#This Row],[ry]])^2)</f>
        <v>2699231082.4695158</v>
      </c>
      <c r="U5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1140156554.3542917</v>
      </c>
      <c r="V52" s="26">
        <f>((tblfocunsym[[#This Row],[rol]]^2)-((tblfocunsym[[#This Row],[xo]]^2)*(tblfocunsym[[#This Row],[yo]]^2)))</f>
        <v>6.9271322437248192E-2</v>
      </c>
      <c r="W5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4223896616.7454309</v>
      </c>
      <c r="X52" s="26">
        <f>((tblfocunsym[[#This Row],[fox]]*tblfocunsym[[#This Row],[foy]])+(tblfocunsym[[#This Row],[foy]]*tblfocunsym[[#This Row],[foz]])+(tblfocunsym[[#This Row],[fox]]*tblfocunsym[[#This Row],[foz]]))*(tblfocunsym[[#This Row],[rol]]^2)</f>
        <v>2.3364932864872968E+19</v>
      </c>
      <c r="Y52" s="26">
        <f>tblfocunsym[[#This Row],[fox]]*tblfocunsym[[#This Row],[foy]]*tblfocunsym[[#This Row],[foz]]*tblfocunsym[[#This Row],[rol]]*tblfocunsym[[#This Row],[rol]]</f>
        <v>1.8557794605821595E+28</v>
      </c>
      <c r="Z5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2" s="28">
        <v>957342049.68897951</v>
      </c>
      <c r="AB52" s="26">
        <f>SQRT(tblfocunsym[[#This Row],[fy]]/tblfocunsym[[#This Row],[foc]])</f>
        <v>0.55979247974514579</v>
      </c>
      <c r="AC52" s="26">
        <f>IF(tblfocunsym[[#This Row],[λc]]&lt;=1.5,0.658^(tblfocunsym[[#This Row],[λc]]^2),0.877/(tblfocunsym[[#This Row],[λc]]^2))*tblfocunsym[[#This Row],[fy]]</f>
        <v>263123195.95946655</v>
      </c>
      <c r="AD52" s="26">
        <f>0.85*tblfocunsym[[#This Row],[An]]*tblfocunsym[[#This Row],[kf]]*tblfocunsym[[#This Row],[fn]]</f>
        <v>2460201.8822210119</v>
      </c>
    </row>
    <row r="53" spans="2:30" x14ac:dyDescent="0.2">
      <c r="B53" s="13" t="s">
        <v>47</v>
      </c>
      <c r="C53" s="14">
        <v>1.0999999999999999E-2</v>
      </c>
      <c r="D53" s="20">
        <v>1</v>
      </c>
      <c r="E53" s="7">
        <v>0.5</v>
      </c>
      <c r="F53" s="7">
        <v>0.5</v>
      </c>
      <c r="G53" s="7">
        <v>0.5</v>
      </c>
      <c r="H53" s="15">
        <v>0.21</v>
      </c>
      <c r="I53" s="15">
        <v>3.6978999999999998E-2</v>
      </c>
      <c r="J53" s="18">
        <v>0</v>
      </c>
      <c r="K53" s="18">
        <v>0.15428504787</v>
      </c>
      <c r="L53" s="16">
        <v>9.1838800792000005E-7</v>
      </c>
      <c r="M53" s="16">
        <v>4.0290907437000001E-7</v>
      </c>
      <c r="N53" s="21">
        <v>300000000</v>
      </c>
      <c r="O53" s="16">
        <v>200000000000</v>
      </c>
      <c r="P53" s="16">
        <v>80000000000</v>
      </c>
      <c r="Q53" s="6" t="s">
        <v>51</v>
      </c>
      <c r="R53" s="26">
        <f>SQRT(tblfocunsym[[#This Row],[rx]]^2+tblfocunsym[[#This Row],[ry]]^2+tblfocunsym[[#This Row],[xo]]^2+tblfocunsym[[#This Row],[yo]]^2)</f>
        <v>0.26319445745921055</v>
      </c>
      <c r="S53" s="26">
        <f>(tblfocunsym[[#This Row],[E]]*PI()^2)/((tblfocunsym[[#This Row],[lex]]/tblfocunsym[[#This Row],[rx]])^2)</f>
        <v>348199643270.43256</v>
      </c>
      <c r="T53" s="26">
        <f>(tblfocunsym[[#This Row],[E]]*PI()^2)/((tblfocunsym[[#This Row],[ley]]/tblfocunsym[[#This Row],[ry]])^2)</f>
        <v>10796924329.878063</v>
      </c>
      <c r="U5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4271364285.7630091</v>
      </c>
      <c r="V53" s="26">
        <f>((tblfocunsym[[#This Row],[rol]]^2)-((tblfocunsym[[#This Row],[xo]]^2)*(tblfocunsym[[#This Row],[yo]]^2)))</f>
        <v>6.9271322437248192E-2</v>
      </c>
      <c r="W5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16875548910.445286</v>
      </c>
      <c r="X53" s="26">
        <f>((tblfocunsym[[#This Row],[fox]]*tblfocunsym[[#This Row],[foy]])+(tblfocunsym[[#This Row],[foy]]*tblfocunsym[[#This Row],[foz]])+(tblfocunsym[[#This Row],[fox]]*tblfocunsym[[#This Row],[foz]]))*(tblfocunsym[[#This Row],[rol]]^2)</f>
        <v>3.6664551181828961E+20</v>
      </c>
      <c r="Y53" s="26">
        <f>tblfocunsym[[#This Row],[fox]]*tblfocunsym[[#This Row],[foy]]*tblfocunsym[[#This Row],[foz]]*tblfocunsym[[#This Row],[rol]]*tblfocunsym[[#This Row],[rol]]</f>
        <v>1.1123679575280552E+30</v>
      </c>
      <c r="Z5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3" s="28">
        <v>3632020679.4092402</v>
      </c>
      <c r="AB53" s="26">
        <f>SQRT(tblfocunsym[[#This Row],[fy]]/tblfocunsym[[#This Row],[foc]])</f>
        <v>0.28739980628610023</v>
      </c>
      <c r="AC53" s="26">
        <f>IF(tblfocunsym[[#This Row],[λc]]&lt;=1.5,0.658^(tblfocunsym[[#This Row],[λc]]^2),0.877/(tblfocunsym[[#This Row],[λc]]^2))*tblfocunsym[[#This Row],[fy]]</f>
        <v>289805724.08754051</v>
      </c>
      <c r="AD53" s="26">
        <f>0.85*tblfocunsym[[#This Row],[An]]*tblfocunsym[[#This Row],[kf]]*tblfocunsym[[#This Row],[fn]]</f>
        <v>2709683.5202185037</v>
      </c>
    </row>
    <row r="54" spans="2:30" x14ac:dyDescent="0.2">
      <c r="B54" s="13" t="s">
        <v>46</v>
      </c>
      <c r="C54" s="14">
        <v>1.2999999999999999E-2</v>
      </c>
      <c r="D54" s="20">
        <v>1</v>
      </c>
      <c r="E54" s="7">
        <v>10</v>
      </c>
      <c r="F54" s="7">
        <v>10</v>
      </c>
      <c r="G54" s="7">
        <v>10</v>
      </c>
      <c r="H54" s="15">
        <v>0.12710030359999999</v>
      </c>
      <c r="I54" s="15">
        <v>4.5328083000300001E-2</v>
      </c>
      <c r="J54" s="18">
        <v>2.20614080619E-2</v>
      </c>
      <c r="K54" s="18">
        <v>0</v>
      </c>
      <c r="L54" s="16">
        <v>1.5847556188E-6</v>
      </c>
      <c r="M54" s="16">
        <v>3.0634423938800001E-8</v>
      </c>
      <c r="N54" s="21">
        <v>300000000</v>
      </c>
      <c r="O54" s="16">
        <v>200000000000</v>
      </c>
      <c r="P54" s="16">
        <v>80000000000</v>
      </c>
      <c r="Q54" s="6" t="s">
        <v>51</v>
      </c>
      <c r="R54" s="26">
        <f>SQRT(tblfocunsym[[#This Row],[rx]]^2+tblfocunsym[[#This Row],[ry]]^2+tblfocunsym[[#This Row],[xo]]^2+tblfocunsym[[#This Row],[yo]]^2)</f>
        <v>0.13673268815235048</v>
      </c>
      <c r="S54" s="26">
        <f>(tblfocunsym[[#This Row],[E]]*PI()^2)/((tblfocunsym[[#This Row],[lex]]/tblfocunsym[[#This Row],[rx]])^2)</f>
        <v>318876795.44363129</v>
      </c>
      <c r="T54" s="26">
        <f>(tblfocunsym[[#This Row],[E]]*PI()^2)/((tblfocunsym[[#This Row],[ley]]/tblfocunsym[[#This Row],[ry]])^2)</f>
        <v>40556871.418615013</v>
      </c>
      <c r="U5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524120011.94488424</v>
      </c>
      <c r="V54" s="26">
        <f>((tblfocunsym[[#This Row],[rol]]^2)-((tblfocunsym[[#This Row],[xo]]^2)*(tblfocunsym[[#This Row],[yo]]^2)))</f>
        <v>1.8695828009367928E-2</v>
      </c>
      <c r="W5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16499028.354487574</v>
      </c>
      <c r="X54" s="26">
        <f>((tblfocunsym[[#This Row],[fox]]*tblfocunsym[[#This Row],[foy]])+(tblfocunsym[[#This Row],[foy]]*tblfocunsym[[#This Row],[foz]])+(tblfocunsym[[#This Row],[fox]]*tblfocunsym[[#This Row],[foz]]))*(tblfocunsym[[#This Row],[rol]]^2)</f>
        <v>3763825828282032</v>
      </c>
      <c r="Y54" s="26">
        <f>tblfocunsym[[#This Row],[fox]]*tblfocunsym[[#This Row],[foy]]*tblfocunsym[[#This Row],[foz]]*tblfocunsym[[#This Row],[rol]]*tblfocunsym[[#This Row],[rol]]</f>
        <v>1.2672514861445979E+23</v>
      </c>
      <c r="Z5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4" s="28">
        <v>40543976.764480032</v>
      </c>
      <c r="AB54" s="26">
        <f>SQRT(tblfocunsym[[#This Row],[fy]]/tblfocunsym[[#This Row],[foc]])</f>
        <v>2.7201788227521888</v>
      </c>
      <c r="AC54" s="26">
        <f>IF(tblfocunsym[[#This Row],[λc]]&lt;=1.5,0.658^(tblfocunsym[[#This Row],[λc]]^2),0.877/(tblfocunsym[[#This Row],[λc]]^2))*tblfocunsym[[#This Row],[fy]]</f>
        <v>35557067.622448996</v>
      </c>
      <c r="AD54" s="26">
        <f>0.85*tblfocunsym[[#This Row],[An]]*tblfocunsym[[#This Row],[kf]]*tblfocunsym[[#This Row],[fn]]</f>
        <v>392905.59722806135</v>
      </c>
    </row>
    <row r="55" spans="2:30" x14ac:dyDescent="0.2">
      <c r="B55" s="13" t="s">
        <v>46</v>
      </c>
      <c r="C55" s="14">
        <v>1.2999999999999999E-2</v>
      </c>
      <c r="D55" s="20">
        <v>1</v>
      </c>
      <c r="E55" s="7">
        <v>5</v>
      </c>
      <c r="F55" s="7">
        <v>5</v>
      </c>
      <c r="G55" s="7">
        <v>5</v>
      </c>
      <c r="H55" s="15">
        <v>0.12710030359999999</v>
      </c>
      <c r="I55" s="15">
        <v>4.5328083000300001E-2</v>
      </c>
      <c r="J55" s="18">
        <v>2.20614080619E-2</v>
      </c>
      <c r="K55" s="18">
        <v>0</v>
      </c>
      <c r="L55" s="16">
        <v>1.5847556188E-6</v>
      </c>
      <c r="M55" s="16">
        <v>3.0634423938800001E-8</v>
      </c>
      <c r="N55" s="21">
        <v>300000000</v>
      </c>
      <c r="O55" s="16">
        <v>200000000000</v>
      </c>
      <c r="P55" s="16">
        <v>80000000000</v>
      </c>
      <c r="Q55" s="6" t="s">
        <v>51</v>
      </c>
      <c r="R55" s="26">
        <f>SQRT(tblfocunsym[[#This Row],[rx]]^2+tblfocunsym[[#This Row],[ry]]^2+tblfocunsym[[#This Row],[xo]]^2+tblfocunsym[[#This Row],[yo]]^2)</f>
        <v>0.13673268815235048</v>
      </c>
      <c r="S55" s="26">
        <f>(tblfocunsym[[#This Row],[E]]*PI()^2)/((tblfocunsym[[#This Row],[lex]]/tblfocunsym[[#This Row],[rx]])^2)</f>
        <v>1275507181.7745252</v>
      </c>
      <c r="T55" s="26">
        <f>(tblfocunsym[[#This Row],[E]]*PI()^2)/((tblfocunsym[[#This Row],[ley]]/tblfocunsym[[#This Row],[ry]])^2)</f>
        <v>162227485.67446005</v>
      </c>
      <c r="U5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531584029.59004796</v>
      </c>
      <c r="V55" s="26">
        <f>((tblfocunsym[[#This Row],[rol]]^2)-((tblfocunsym[[#This Row],[xo]]^2)*(tblfocunsym[[#This Row],[yo]]^2)))</f>
        <v>1.8695828009367928E-2</v>
      </c>
      <c r="W5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36739086.609334901</v>
      </c>
      <c r="X55" s="26">
        <f>((tblfocunsym[[#This Row],[fox]]*tblfocunsym[[#This Row],[foy]])+(tblfocunsym[[#This Row],[foy]]*tblfocunsym[[#This Row],[foz]])+(tblfocunsym[[#This Row],[fox]]*tblfocunsym[[#This Row],[foz]]))*(tblfocunsym[[#This Row],[rol]]^2)</f>
        <v>1.815737154328182E+16</v>
      </c>
      <c r="Y55" s="26">
        <f>tblfocunsym[[#This Row],[fox]]*tblfocunsym[[#This Row],[foy]]*tblfocunsym[[#This Row],[foz]]*tblfocunsym[[#This Row],[rol]]*tblfocunsym[[#This Row],[rol]]</f>
        <v>2.0564775582873558E+24</v>
      </c>
      <c r="Z5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5" s="28">
        <v>161958343.7029469</v>
      </c>
      <c r="AB55" s="26">
        <f>SQRT(tblfocunsym[[#This Row],[fy]]/tblfocunsym[[#This Row],[foc]])</f>
        <v>1.3610026286289827</v>
      </c>
      <c r="AC55" s="26">
        <f>IF(tblfocunsym[[#This Row],[λc]]&lt;=1.5,0.658^(tblfocunsym[[#This Row],[λc]]^2),0.877/(tblfocunsym[[#This Row],[λc]]^2))*tblfocunsym[[#This Row],[fy]]</f>
        <v>138170700.56255051</v>
      </c>
      <c r="AD55" s="26">
        <f>0.85*tblfocunsym[[#This Row],[An]]*tblfocunsym[[#This Row],[kf]]*tblfocunsym[[#This Row],[fn]]</f>
        <v>1526786.2412161832</v>
      </c>
    </row>
    <row r="56" spans="2:30" x14ac:dyDescent="0.2">
      <c r="B56" s="13" t="s">
        <v>46</v>
      </c>
      <c r="C56" s="14">
        <v>1.2999999999999999E-2</v>
      </c>
      <c r="D56" s="20">
        <v>1</v>
      </c>
      <c r="E56" s="7">
        <v>1</v>
      </c>
      <c r="F56" s="7">
        <v>1</v>
      </c>
      <c r="G56" s="7">
        <v>1</v>
      </c>
      <c r="H56" s="15">
        <v>0.12710030359999999</v>
      </c>
      <c r="I56" s="15">
        <v>4.5328083000300001E-2</v>
      </c>
      <c r="J56" s="18">
        <v>2.20614080619E-2</v>
      </c>
      <c r="K56" s="18">
        <v>0</v>
      </c>
      <c r="L56" s="16">
        <v>1.5847556188E-6</v>
      </c>
      <c r="M56" s="16">
        <v>3.0634423938800001E-8</v>
      </c>
      <c r="N56" s="21">
        <v>300000000</v>
      </c>
      <c r="O56" s="16">
        <v>200000000000</v>
      </c>
      <c r="P56" s="16">
        <v>80000000000</v>
      </c>
      <c r="Q56" s="6" t="s">
        <v>51</v>
      </c>
      <c r="R56" s="26">
        <f>SQRT(tblfocunsym[[#This Row],[rx]]^2+tblfocunsym[[#This Row],[ry]]^2+tblfocunsym[[#This Row],[xo]]^2+tblfocunsym[[#This Row],[yo]]^2)</f>
        <v>0.13673268815235048</v>
      </c>
      <c r="S56" s="26">
        <f>(tblfocunsym[[#This Row],[E]]*PI()^2)/((tblfocunsym[[#This Row],[lex]]/tblfocunsym[[#This Row],[rx]])^2)</f>
        <v>31887679544.363125</v>
      </c>
      <c r="T56" s="26">
        <f>(tblfocunsym[[#This Row],[E]]*PI()^2)/((tblfocunsym[[#This Row],[ley]]/tblfocunsym[[#This Row],[ry]])^2)</f>
        <v>4055687141.8615003</v>
      </c>
      <c r="U5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770432594.23528934</v>
      </c>
      <c r="V56" s="26">
        <f>((tblfocunsym[[#This Row],[rol]]^2)-((tblfocunsym[[#This Row],[xo]]^2)*(tblfocunsym[[#This Row],[yo]]^2)))</f>
        <v>1.8695828009367928E-2</v>
      </c>
      <c r="W5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684420950.76444948</v>
      </c>
      <c r="X56" s="26">
        <f>((tblfocunsym[[#This Row],[fox]]*tblfocunsym[[#This Row],[foy]])+(tblfocunsym[[#This Row],[foy]]*tblfocunsym[[#This Row],[foz]])+(tblfocunsym[[#This Row],[fox]]*tblfocunsym[[#This Row],[foz]]))*(tblfocunsym[[#This Row],[rol]]^2)</f>
        <v>2.9355888727049979E+18</v>
      </c>
      <c r="Y56" s="26">
        <f>tblfocunsym[[#This Row],[fox]]*tblfocunsym[[#This Row],[foy]]*tblfocunsym[[#This Row],[foz]]*tblfocunsym[[#This Row],[rol]]*tblfocunsym[[#This Row],[rol]]</f>
        <v>1.8628020830495929E+27</v>
      </c>
      <c r="Z5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6" s="28">
        <v>769820658.66185749</v>
      </c>
      <c r="AB56" s="26">
        <f>SQRT(tblfocunsym[[#This Row],[fy]]/tblfocunsym[[#This Row],[foc]])</f>
        <v>0.62426048667957634</v>
      </c>
      <c r="AC56" s="26">
        <f>IF(tblfocunsym[[#This Row],[λc]]&lt;=1.5,0.658^(tblfocunsym[[#This Row],[λc]]^2),0.877/(tblfocunsym[[#This Row],[λc]]^2))*tblfocunsym[[#This Row],[fy]]</f>
        <v>254849435.21903178</v>
      </c>
      <c r="AD56" s="26">
        <f>0.85*tblfocunsym[[#This Row],[An]]*tblfocunsym[[#This Row],[kf]]*tblfocunsym[[#This Row],[fn]]</f>
        <v>2816086.2591703008</v>
      </c>
    </row>
    <row r="57" spans="2:30" x14ac:dyDescent="0.2">
      <c r="B57" s="13" t="s">
        <v>46</v>
      </c>
      <c r="C57" s="14">
        <v>1.2999999999999999E-2</v>
      </c>
      <c r="D57" s="20">
        <v>1</v>
      </c>
      <c r="E57" s="7">
        <v>0.5</v>
      </c>
      <c r="F57" s="7">
        <v>0.5</v>
      </c>
      <c r="G57" s="7">
        <v>0.5</v>
      </c>
      <c r="H57" s="15">
        <v>0.12710030359999999</v>
      </c>
      <c r="I57" s="15">
        <v>4.5328083000300001E-2</v>
      </c>
      <c r="J57" s="18">
        <v>2.20614080619E-2</v>
      </c>
      <c r="K57" s="18">
        <v>0</v>
      </c>
      <c r="L57" s="16">
        <v>1.5847556188E-6</v>
      </c>
      <c r="M57" s="16">
        <v>3.0634423938800001E-8</v>
      </c>
      <c r="N57" s="21">
        <v>300000000</v>
      </c>
      <c r="O57" s="16">
        <v>200000000000</v>
      </c>
      <c r="P57" s="16">
        <v>80000000000</v>
      </c>
      <c r="Q57" s="6" t="s">
        <v>51</v>
      </c>
      <c r="R57" s="26">
        <f>SQRT(tblfocunsym[[#This Row],[rx]]^2+tblfocunsym[[#This Row],[ry]]^2+tblfocunsym[[#This Row],[xo]]^2+tblfocunsym[[#This Row],[yo]]^2)</f>
        <v>0.13673268815235048</v>
      </c>
      <c r="S57" s="26">
        <f>(tblfocunsym[[#This Row],[E]]*PI()^2)/((tblfocunsym[[#This Row],[lex]]/tblfocunsym[[#This Row],[rx]])^2)</f>
        <v>127550718177.4525</v>
      </c>
      <c r="T57" s="26">
        <f>(tblfocunsym[[#This Row],[E]]*PI()^2)/((tblfocunsym[[#This Row],[ley]]/tblfocunsym[[#This Row],[ry]])^2)</f>
        <v>16222748567.446001</v>
      </c>
      <c r="U5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1516834358.7516687</v>
      </c>
      <c r="V57" s="26">
        <f>((tblfocunsym[[#This Row],[rol]]^2)-((tblfocunsym[[#This Row],[xo]]^2)*(tblfocunsym[[#This Row],[yo]]^2)))</f>
        <v>1.8695828009367928E-2</v>
      </c>
      <c r="W5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2708426776.2491827</v>
      </c>
      <c r="X57" s="26">
        <f>((tblfocunsym[[#This Row],[fox]]*tblfocunsym[[#This Row],[foy]])+(tblfocunsym[[#This Row],[foy]]*tblfocunsym[[#This Row],[foz]])+(tblfocunsym[[#This Row],[fox]]*tblfocunsym[[#This Row],[foz]]))*(tblfocunsym[[#This Row],[rol]]^2)</f>
        <v>4.2763037792356893E+19</v>
      </c>
      <c r="Y57" s="26">
        <f>tblfocunsym[[#This Row],[fox]]*tblfocunsym[[#This Row],[foy]]*tblfocunsym[[#This Row],[foz]]*tblfocunsym[[#This Row],[rol]]*tblfocunsym[[#This Row],[rol]]</f>
        <v>5.8680013784793295E+28</v>
      </c>
      <c r="Z5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7" s="28">
        <v>1516310485.9618566</v>
      </c>
      <c r="AB57" s="26">
        <f>SQRT(tblfocunsym[[#This Row],[fy]]/tblfocunsym[[#This Row],[foc]])</f>
        <v>0.44480182267667756</v>
      </c>
      <c r="AC57" s="26">
        <f>IF(tblfocunsym[[#This Row],[λc]]&lt;=1.5,0.658^(tblfocunsym[[#This Row],[λc]]^2),0.877/(tblfocunsym[[#This Row],[λc]]^2))*tblfocunsym[[#This Row],[fy]]</f>
        <v>276157912.43852991</v>
      </c>
      <c r="AD57" s="26">
        <f>0.85*tblfocunsym[[#This Row],[An]]*tblfocunsym[[#This Row],[kf]]*tblfocunsym[[#This Row],[fn]]</f>
        <v>3051544.9324457552</v>
      </c>
    </row>
    <row r="59" spans="2:30" x14ac:dyDescent="0.2">
      <c r="B59" s="17" t="str">
        <f t="array" ref="B59:B87">TRANSPOSE(tblfocunsym[#Headers])</f>
        <v>Section</v>
      </c>
      <c r="C59" s="33" t="str">
        <f t="array" aca="1" ref="C59" ca="1">_xlfn.CONCAT(INDIRECT("tblfocunsym["&amp;B59&amp;"]")&amp;",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30" x14ac:dyDescent="0.2">
      <c r="B60" s="17" t="str">
        <v>An</v>
      </c>
      <c r="C60" s="33" t="str">
        <f t="array" aca="1" ref="C60" ca="1">_xlfn.CONCAT(INDIRECT("tblfocunsym["&amp;B60&amp;"]")&amp;",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81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30" x14ac:dyDescent="0.2">
      <c r="B61" s="17" t="str">
        <v>kf</v>
      </c>
      <c r="C61" s="33" t="str">
        <f t="array" aca="1" ref="C61" ca="1">_xlfn.CONCAT(INDIRECT("tblfocunsym["&amp;B61&amp;"]")&amp;",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30" x14ac:dyDescent="0.2">
      <c r="B62" s="17" t="str">
        <v>lex</v>
      </c>
      <c r="C62" s="33" t="str">
        <f t="array" aca="1" ref="C62" ca="1">_xlfn.CONCAT(INDIRECT("tblfocunsym["&amp;B62&amp;"]")&amp;",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30" x14ac:dyDescent="0.2">
      <c r="B63" s="17" t="str">
        <v>ley</v>
      </c>
      <c r="C63" s="33" t="str">
        <f t="array" aca="1" ref="C63" ca="1">_xlfn.CONCAT(INDIRECT("tblfocunsym["&amp;B63&amp;"]")&amp;",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30" x14ac:dyDescent="0.2">
      <c r="B64" s="17" t="str">
        <v>lez</v>
      </c>
      <c r="C64" s="33" t="str">
        <f t="array" aca="1" ref="C64" ca="1">_xlfn.CONCAT(INDIRECT("tblfocunsym["&amp;B64&amp;"]")&amp;",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3" t="str">
        <f t="array" aca="1" ref="C65" ca="1">_xlfn.CONCAT(INDIRECT("tblfocunsym["&amp;B65&amp;"]")&amp;",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5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6" spans="2:4" x14ac:dyDescent="0.2">
      <c r="B66" s="17" t="str">
        <v>ry</v>
      </c>
      <c r="C66" s="33" t="str">
        <f t="array" aca="1" ref="C66" ca="1">_xlfn.CONCAT(INDIRECT("tblfocunsym["&amp;B66&amp;"]")&amp;",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6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7" spans="2:4" x14ac:dyDescent="0.2">
      <c r="B67" s="17" t="str">
        <v>xo</v>
      </c>
      <c r="C67" s="33" t="str">
        <f t="array" aca="1" ref="C67" ca="1">_xlfn.CONCAT(INDIRECT("tblfocunsym["&amp;B67&amp;"]")&amp;",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7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8" spans="2:4" x14ac:dyDescent="0.2">
      <c r="B68" s="17" t="str">
        <v>yo</v>
      </c>
      <c r="C68" s="33" t="str">
        <f t="array" aca="1" ref="C68" ca="1">_xlfn.CONCAT(INDIRECT("tblfocunsym["&amp;B68&amp;"]")&amp;",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8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9" spans="2:4" x14ac:dyDescent="0.2">
      <c r="B69" s="17" t="str">
        <v>J</v>
      </c>
      <c r="C69" s="33" t="str">
        <f t="array" aca="1" ref="C69" ca="1">_xlfn.CONCAT(INDIRECT("tblfocunsym["&amp;B69&amp;"]")&amp;", ")</f>
        <v xml:space="preserve">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9" s="17" t="str">
        <f t="shared" ca="1" si="0"/>
        <v>J = [0.0000000349,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70" spans="2:4" x14ac:dyDescent="0.2">
      <c r="B70" s="17" t="str">
        <v>Iw</v>
      </c>
      <c r="C70" s="33" t="str">
        <f t="array" aca="1" ref="C70" ca="1">_xlfn.CONCAT(INDIRECT("tblfocunsym["&amp;B70&amp;"]")&amp;", ")</f>
        <v xml:space="preserve">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70" s="17" t="str">
        <f t="shared" ca="1" si="0"/>
        <v>Iw = [0.0000000023,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71" spans="2:4" x14ac:dyDescent="0.2">
      <c r="B71" s="17" t="str">
        <v>fy</v>
      </c>
      <c r="C71" s="33" t="str">
        <f t="array" aca="1" ref="C71" ca="1">_xlfn.CONCAT(INDIRECT("tblfocunsym["&amp;B71&amp;"]")&amp;",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71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72" spans="2:4" x14ac:dyDescent="0.2">
      <c r="B72" s="17" t="str">
        <v>E</v>
      </c>
      <c r="C72" s="33" t="str">
        <f t="array" aca="1" ref="C72" ca="1">_xlfn.CONCAT(INDIRECT("tblfocunsym["&amp;B72&amp;"]")&amp;",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72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73" spans="2:4" x14ac:dyDescent="0.2">
      <c r="B73" s="17" t="str">
        <v>G</v>
      </c>
      <c r="C73" s="33" t="str">
        <f t="array" aca="1" ref="C73" ca="1">_xlfn.CONCAT(INDIRECT("tblfocunsym["&amp;B73&amp;"]")&amp;",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73" s="17" t="str">
        <f t="shared" ca="1" si="0"/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74" spans="2:4" x14ac:dyDescent="0.2">
      <c r="B74" s="17" t="str">
        <v>Axis</v>
      </c>
      <c r="C74" s="33" t="str">
        <f t="array" aca="1" ref="C74" ca="1">_xlfn.CONCAT(INDIRECT("tblfocunsym["&amp;B74&amp;"]")&amp;", ")</f>
        <v xml:space="preserve">[], [], [], [], [], [], [], [], [], [], [], [], [], [], [], [], [], [], [], [], [], [], [], [], [], [], [], [], [], [], [], [], [], [], [], [], [], [], [], [], [], [], [], [], [], [], [], [], [], [], [], [], [], [], [], </v>
      </c>
      <c r="D74" s="17" t="str">
        <f t="shared" ca="1" si="0"/>
        <v>Axis = [[], [], [], [], [], [], [], [], [], [], [], [], [], [], [], [], [], [], [], [], [], [], [], [], [], [], [], [], [], [], [], [], [], [], [], [], [], [], [], [], [], [], [], [], [], [], [], [], [], [], [], [], [], [], []]</v>
      </c>
    </row>
    <row r="75" spans="2:4" x14ac:dyDescent="0.2">
      <c r="B75" s="17" t="str">
        <v>rol</v>
      </c>
      <c r="C75" s="33" t="str">
        <f t="array" aca="1" ref="C75" ca="1">_xlfn.CONCAT(TEXT(INDIRECT("tblfocunsym["&amp;B75&amp;"]"),"0.000000000E+0")&amp;", ")</f>
        <v xml:space="preserve">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1.367326882E-1, </v>
      </c>
      <c r="D75" s="17" t="str">
        <f t="shared" ca="1" si="0"/>
        <v>rol = [4.784830196E-2,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1.367326882E-1]</v>
      </c>
    </row>
    <row r="76" spans="2:4" x14ac:dyDescent="0.2">
      <c r="B76" s="17" t="str">
        <v>fox</v>
      </c>
      <c r="C76" s="33" t="str">
        <f t="array" aca="1" ref="C76" ca="1">_xlfn.CONCAT(TEXT(INDIRECT("tblfocunsym["&amp;B76&amp;"]"),"0.000000000E+0")&amp;", ")</f>
        <v xml:space="preserve">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1.275507182E+11, </v>
      </c>
      <c r="D76" s="17" t="str">
        <f t="shared" ca="1" si="0"/>
        <v>fox = [3.334366890E+7,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1.275507182E+11]</v>
      </c>
    </row>
    <row r="77" spans="2:4" x14ac:dyDescent="0.2">
      <c r="B77" s="17" t="str">
        <v>foy</v>
      </c>
      <c r="C77" s="33" t="str">
        <f t="array" aca="1" ref="C77" ca="1">_xlfn.CONCAT(TEXT(INDIRECT("tblfocunsym["&amp;B77&amp;"]"),"0.000000000E+0")&amp;",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1.622274857E+10, </v>
      </c>
      <c r="D77" s="17" t="str">
        <f t="shared" ca="1" si="0"/>
        <v>foy = [1.184846008E+7,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1.622274857E+10]</v>
      </c>
    </row>
    <row r="78" spans="2:4" x14ac:dyDescent="0.2">
      <c r="B78" s="17" t="str">
        <v>foz</v>
      </c>
      <c r="C78" s="33" t="str">
        <f t="array" aca="1" ref="C78" ca="1">_xlfn.CONCAT(TEXT(INDIRECT("tblfocunsym["&amp;B78&amp;"]"),"0.000000000E+0")&amp;", ")</f>
        <v xml:space="preserve">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1.516834359E+9, </v>
      </c>
      <c r="D78" s="17" t="str">
        <f t="shared" ca="1" si="0"/>
        <v>foz = [6.557310181E+8,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1.516834359E+9]</v>
      </c>
    </row>
    <row r="79" spans="2:4" x14ac:dyDescent="0.2">
      <c r="B79" s="17" t="str">
        <v>a</v>
      </c>
      <c r="C79" s="33" t="str">
        <f t="array" aca="1" ref="C79" ca="1">_xlfn.CONCAT(TEXT(INDIRECT("tblfocunsym["&amp;B79&amp;"]"),"0.000000000E+0")&amp;", ")</f>
        <v xml:space="preserve">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1.869582801E-2, </v>
      </c>
      <c r="D79" s="17" t="str">
        <f t="shared" ca="1" si="0"/>
        <v>a = [2.289460000E-3,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1.869582801E-2]</v>
      </c>
    </row>
    <row r="80" spans="2:4" x14ac:dyDescent="0.2">
      <c r="B80" s="17" t="str">
        <v>b</v>
      </c>
      <c r="C80" s="33" t="str">
        <f t="array" aca="1" ref="C80" ca="1">_xlfn.CONCAT(TEXT(INDIRECT("tblfocunsym["&amp;B80&amp;"]"),"0.000000000E+0")&amp;", ")</f>
        <v xml:space="preserve">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2.708426776E+9, </v>
      </c>
      <c r="D80" s="17" t="str">
        <f t="shared" ca="1" si="0"/>
        <v>b = [1.604735508E+6,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2.708426776E+9]</v>
      </c>
    </row>
    <row r="81" spans="2:4" x14ac:dyDescent="0.2">
      <c r="B81" s="17" t="str">
        <v>c</v>
      </c>
      <c r="C81" s="33" t="str">
        <f t="array" aca="1" ref="C81" ca="1">_xlfn.CONCAT(TEXT(INDIRECT("tblfocunsym["&amp;B81&amp;"]"),"0.000000000E+0")&amp;", ")</f>
        <v xml:space="preserve">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4.276303779E+19, </v>
      </c>
      <c r="D81" s="17" t="str">
        <f t="shared" ca="1" si="0"/>
        <v>c = [6.875008417E+13,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4.276303779E+19]</v>
      </c>
    </row>
    <row r="82" spans="2:4" x14ac:dyDescent="0.2">
      <c r="B82" s="17" t="str">
        <v>d</v>
      </c>
      <c r="C82" s="33" t="str">
        <f t="array" aca="1" ref="C82" ca="1">_xlfn.CONCAT(TEXT(INDIRECT("tblfocunsym["&amp;B82&amp;"]"),"0.000000000E+0")&amp;", ")</f>
        <v xml:space="preserve">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5.868001378E+28, </v>
      </c>
      <c r="D82" s="17" t="str">
        <f t="shared" ref="D82:D86" ca="1" si="1">B82&amp;" = ["&amp;LEFT(C82,LEN(C82)-2)&amp;"]"</f>
        <v>d = [5.931084103E+20,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5.868001378E+28]</v>
      </c>
    </row>
    <row r="83" spans="2:4" x14ac:dyDescent="0.2">
      <c r="B83" s="17" t="str">
        <v>eqn</v>
      </c>
      <c r="C83" s="33" t="str">
        <f t="array" aca="1" ref="C83" ca="1">_xlfn.CONCAT(INDIRECT("tblfocunsym["&amp;B83&amp;"]")&amp;", ")</f>
        <v xml:space="preserve">0, 0, 0, 0, 0, 0, 0, 0, 0, 0, 0, 0, 0, 0, 0, 0, 0, 0, 0, 0, 0, 0, 0, 0, 0, 0, 0, 0, 0, 0, 0, 0, 0, 0, 0, 0, 0, 0, 0, 0, 0, 0, 0, 0, 0, 0, 0, 0, 0, 0, 0, 0, 0, 0, 0, </v>
      </c>
      <c r="D83" s="17" t="str">
        <f t="shared" ca="1" si="1"/>
        <v>eqn = [0, 0, 0, 0, 0, 0, 0, 0, 0, 0, 0, 0, 0, 0, 0, 0, 0, 0, 0, 0, 0, 0, 0, 0, 0, 0, 0, 0, 0, 0, 0, 0, 0, 0, 0, 0, 0, 0, 0, 0, 0, 0, 0, 0, 0, 0, 0, 0, 0, 0, 0, 0, 0, 0, 0]</v>
      </c>
    </row>
    <row r="84" spans="2:4" x14ac:dyDescent="0.2">
      <c r="B84" s="17" t="str">
        <v>foc</v>
      </c>
      <c r="C84" s="33" t="str">
        <f t="array" aca="1" ref="C84" ca="1">_xlfn.CONCAT(TEXT(INDIRECT("tblfocunsym["&amp;B84&amp;"]"),"0.000000000E+0")&amp;",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1.516310486E+9, </v>
      </c>
      <c r="D84" s="17" t="str">
        <f t="shared" ca="1" si="1"/>
        <v>foc = [1.184846008E+7,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1.516310486E+9]</v>
      </c>
    </row>
    <row r="85" spans="2:4" x14ac:dyDescent="0.2">
      <c r="B85" s="17" t="str">
        <v>λc</v>
      </c>
      <c r="C85" s="33" t="str">
        <f t="array" aca="1" ref="C85" ca="1">_xlfn.CONCAT(TEXT(INDIRECT("tblfocunsym["&amp;B85&amp;"]"),"0.000000000E+0")&amp;", ")</f>
        <v xml:space="preserve">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4.448018227E-1, </v>
      </c>
      <c r="D85" s="17" t="str">
        <f t="shared" ca="1" si="1"/>
        <v>λc = [5.196896101E+0,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4.448018227E-1]</v>
      </c>
    </row>
    <row r="86" spans="2:4" x14ac:dyDescent="0.2">
      <c r="B86" s="17" t="str">
        <v>fn</v>
      </c>
      <c r="C86" s="33" t="str">
        <f t="array" aca="1" ref="C86" ca="1">_xlfn.CONCAT(TEXT(INDIRECT("tblfocunsym["&amp;B86&amp;"]"),"0.000000000E+0")&amp;", ")</f>
        <v xml:space="preserve">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2.761579124E+8, </v>
      </c>
      <c r="D86" s="17" t="str">
        <f t="shared" ca="1" si="1"/>
        <v>fn = [1.039109949E+7,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2.761579124E+8]</v>
      </c>
    </row>
    <row r="87" spans="2:4" x14ac:dyDescent="0.2">
      <c r="B87" s="17" t="str">
        <v>Nc</v>
      </c>
      <c r="C87" s="33" t="str">
        <f t="array" aca="1" ref="C87" ca="1">_xlfn.CONCAT(TEXT(INDIRECT("tblfocunsym["&amp;B87&amp;"]"),"0.000000000E+0")&amp;",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87" s="17" t="str">
        <f t="shared" ref="D87" ca="1" si="2">B87&amp;" = ["&amp;LEFT(C87,LEN(C87)-2)&amp;"]"</f>
        <v>Nc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F_euler and N_euler</vt:lpstr>
      <vt:lpstr>Nc</vt:lpstr>
      <vt:lpstr>f_oxz</vt:lpstr>
      <vt:lpstr>f_oc Double Symmetric</vt:lpstr>
      <vt:lpstr>f_oc Single Symmetric</vt:lpstr>
      <vt:lpstr>f_oc Point Symmetric</vt:lpstr>
      <vt:lpstr>f_oc Unsymmetric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2017-05-30T00:18:16Z</dcterms:modified>
</cp:coreProperties>
</file>