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IDX-DB\VRNA\"/>
    </mc:Choice>
  </mc:AlternateContent>
  <xr:revisionPtr revIDLastSave="0" documentId="13_ncr:1_{E4670FAE-E98A-457F-B068-51042E968032}" xr6:coauthVersionLast="47" xr6:coauthVersionMax="47" xr10:uidLastSave="{00000000-0000-0000-0000-000000000000}"/>
  <bookViews>
    <workbookView xWindow="5415" yWindow="1275" windowWidth="27690" windowHeight="16200" xr2:uid="{A5CDA69C-4227-41DE-8F49-1370E8E8D4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35" i="1"/>
  <c r="G32" i="1"/>
  <c r="G30" i="1"/>
  <c r="G19" i="1"/>
  <c r="G9" i="1"/>
  <c r="F52" i="1"/>
  <c r="F53" i="1" s="1"/>
  <c r="F48" i="1"/>
  <c r="F49" i="1" s="1"/>
  <c r="F44" i="1"/>
  <c r="F46" i="1" s="1"/>
  <c r="F45" i="1"/>
  <c r="F42" i="1"/>
  <c r="F35" i="1"/>
  <c r="F32" i="1"/>
  <c r="F30" i="1"/>
  <c r="F19" i="1"/>
  <c r="F18" i="1"/>
  <c r="F9" i="1"/>
  <c r="F10" i="1" s="1"/>
  <c r="F13" i="1" s="1"/>
  <c r="F16" i="1" s="1"/>
  <c r="E52" i="1"/>
  <c r="E44" i="1"/>
  <c r="E42" i="1"/>
  <c r="E35" i="1"/>
  <c r="E37" i="1" s="1"/>
  <c r="E32" i="1"/>
  <c r="E30" i="1"/>
  <c r="E19" i="1"/>
  <c r="E18" i="1"/>
  <c r="E9" i="1"/>
  <c r="D48" i="1"/>
  <c r="D44" i="1"/>
  <c r="D42" i="1"/>
  <c r="D46" i="1" s="1"/>
  <c r="D35" i="1"/>
  <c r="D37" i="1" s="1"/>
  <c r="D32" i="1"/>
  <c r="D30" i="1"/>
  <c r="D19" i="1"/>
  <c r="D18" i="1"/>
  <c r="D9" i="1"/>
  <c r="B53" i="1"/>
  <c r="C53" i="1"/>
  <c r="D53" i="1"/>
  <c r="E53" i="1"/>
  <c r="G53" i="1"/>
  <c r="H53" i="1"/>
  <c r="I53" i="1"/>
  <c r="C52" i="1"/>
  <c r="B49" i="1"/>
  <c r="C49" i="1"/>
  <c r="D49" i="1"/>
  <c r="E49" i="1"/>
  <c r="G49" i="1"/>
  <c r="H49" i="1"/>
  <c r="I49" i="1"/>
  <c r="C48" i="1"/>
  <c r="E46" i="1"/>
  <c r="G46" i="1"/>
  <c r="H46" i="1"/>
  <c r="I46" i="1"/>
  <c r="C45" i="1"/>
  <c r="C44" i="1"/>
  <c r="C46" i="1" s="1"/>
  <c r="C42" i="1"/>
  <c r="C35" i="1"/>
  <c r="C32" i="1"/>
  <c r="C31" i="1"/>
  <c r="C30" i="1"/>
  <c r="C19" i="1"/>
  <c r="C18" i="1"/>
  <c r="D10" i="1"/>
  <c r="D13" i="1" s="1"/>
  <c r="D16" i="1" s="1"/>
  <c r="E10" i="1"/>
  <c r="E13" i="1" s="1"/>
  <c r="E16" i="1" s="1"/>
  <c r="G10" i="1"/>
  <c r="G13" i="1" s="1"/>
  <c r="G16" i="1" s="1"/>
  <c r="H10" i="1"/>
  <c r="H13" i="1" s="1"/>
  <c r="H16" i="1" s="1"/>
  <c r="I10" i="1"/>
  <c r="I13" i="1" s="1"/>
  <c r="I16" i="1" s="1"/>
  <c r="C9" i="1"/>
  <c r="C10" i="1" s="1"/>
  <c r="C13" i="1" s="1"/>
  <c r="C16" i="1" s="1"/>
  <c r="B44" i="1"/>
  <c r="B46" i="1" s="1"/>
  <c r="C37" i="1"/>
  <c r="F37" i="1"/>
  <c r="G37" i="1"/>
  <c r="H37" i="1"/>
  <c r="I37" i="1"/>
  <c r="B35" i="1"/>
  <c r="B37" i="1" s="1"/>
  <c r="B32" i="1"/>
  <c r="B31" i="1"/>
  <c r="B30" i="1"/>
  <c r="B27" i="1"/>
  <c r="C27" i="1"/>
  <c r="D27" i="1"/>
  <c r="E27" i="1"/>
  <c r="F27" i="1"/>
  <c r="G27" i="1"/>
  <c r="H27" i="1"/>
  <c r="I27" i="1"/>
  <c r="B19" i="1"/>
  <c r="B18" i="1"/>
  <c r="B9" i="1"/>
  <c r="B10" i="1" s="1"/>
  <c r="B13" i="1" s="1"/>
  <c r="B16" i="1" s="1"/>
  <c r="B34" i="1" l="1"/>
  <c r="C34" i="1"/>
  <c r="D34" i="1"/>
  <c r="E34" i="1"/>
  <c r="F34" i="1"/>
  <c r="G34" i="1"/>
  <c r="H34" i="1"/>
  <c r="I34" i="1"/>
  <c r="B22" i="1"/>
  <c r="B28" i="1" s="1"/>
  <c r="B39" i="1" s="1"/>
  <c r="C22" i="1"/>
  <c r="C28" i="1" s="1"/>
  <c r="C39" i="1" s="1"/>
  <c r="D22" i="1"/>
  <c r="D28" i="1" s="1"/>
  <c r="D39" i="1" s="1"/>
  <c r="E22" i="1"/>
  <c r="E28" i="1" s="1"/>
  <c r="E39" i="1" s="1"/>
  <c r="F22" i="1"/>
  <c r="F28" i="1" s="1"/>
  <c r="F39" i="1" s="1"/>
  <c r="G22" i="1"/>
  <c r="G28" i="1" s="1"/>
  <c r="G39" i="1" s="1"/>
  <c r="H22" i="1"/>
  <c r="H28" i="1" s="1"/>
  <c r="H39" i="1" s="1"/>
  <c r="I22" i="1"/>
  <c r="I28" i="1" s="1"/>
  <c r="I39" i="1" s="1"/>
</calcChain>
</file>

<file path=xl/sharedStrings.xml><?xml version="1.0" encoding="utf-8"?>
<sst xmlns="http://schemas.openxmlformats.org/spreadsheetml/2006/main" count="54" uniqueCount="53">
  <si>
    <t>Revenue</t>
  </si>
  <si>
    <t>SG&amp;A</t>
  </si>
  <si>
    <t>Int Exp</t>
  </si>
  <si>
    <t>EBIT</t>
  </si>
  <si>
    <t>Depr</t>
  </si>
  <si>
    <t>Amort</t>
  </si>
  <si>
    <t>EBITDA</t>
  </si>
  <si>
    <t>Tax</t>
  </si>
  <si>
    <t>Net</t>
  </si>
  <si>
    <t>Q1 2021</t>
  </si>
  <si>
    <t>Q2 2021</t>
  </si>
  <si>
    <t>Q3 2022</t>
  </si>
  <si>
    <t>Q1 2022</t>
  </si>
  <si>
    <t>Q2 2022</t>
  </si>
  <si>
    <t>Q3 2021</t>
  </si>
  <si>
    <t>Q4 2021</t>
  </si>
  <si>
    <t>Q4 2022</t>
  </si>
  <si>
    <t>Cash</t>
  </si>
  <si>
    <t>Receivables</t>
  </si>
  <si>
    <t>DP</t>
  </si>
  <si>
    <t>Defered Tax</t>
  </si>
  <si>
    <t>Current Asset</t>
  </si>
  <si>
    <t>Fixed Asset</t>
  </si>
  <si>
    <t>Right-to-Use</t>
  </si>
  <si>
    <t>Derivative</t>
  </si>
  <si>
    <t>Other asset</t>
  </si>
  <si>
    <t>Non-current</t>
  </si>
  <si>
    <t>Total Asset</t>
  </si>
  <si>
    <t>Bank loan</t>
  </si>
  <si>
    <t>Payable</t>
  </si>
  <si>
    <t>Other loan</t>
  </si>
  <si>
    <t>Derivative liab</t>
  </si>
  <si>
    <t>Benefit</t>
  </si>
  <si>
    <t>Current liab</t>
  </si>
  <si>
    <t>Total Liabilities</t>
  </si>
  <si>
    <t>Non-Current</t>
  </si>
  <si>
    <t>Cash Received</t>
  </si>
  <si>
    <t>Other ops received</t>
  </si>
  <si>
    <t>Cash payment</t>
  </si>
  <si>
    <t>Ops expense</t>
  </si>
  <si>
    <t>Int expense</t>
  </si>
  <si>
    <t>OCF</t>
  </si>
  <si>
    <t>Fixed asset</t>
  </si>
  <si>
    <t>ICF</t>
  </si>
  <si>
    <t>receive loan</t>
  </si>
  <si>
    <t>loan payment</t>
  </si>
  <si>
    <t>FCF</t>
  </si>
  <si>
    <t>Consumer Financing</t>
  </si>
  <si>
    <t>Rent financing</t>
  </si>
  <si>
    <t>Penalty</t>
  </si>
  <si>
    <t xml:space="preserve">Admin </t>
  </si>
  <si>
    <t>Other Rev</t>
  </si>
  <si>
    <t>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</si>
</sst>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4" fillId="0" borderId="0" xfId="0" applyFont="1"/>
    <xf numFmtId="41" fontId="0" fillId="0" borderId="0" xfId="1" applyFont="1"/>
    <xf numFmtId="41" fontId="5" fillId="0" borderId="0" xfId="1" applyFont="1" applyFill="1"/>
    <xf numFmtId="41" fontId="5" fillId="0" borderId="0" xfId="1" applyFont="1" applyFill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79A3-5C0C-4282-BCB1-6F1DC907636F}">
  <dimension ref="A2:J57"/>
  <sheetViews>
    <sheetView showGridLines="0" tabSelected="1" workbookViewId="0">
      <pane xSplit="1" ySplit="2" topLeftCell="D22" activePane="bottomRight" state="frozen"/>
      <selection pane="topRight" activeCell="B1" sqref="B1"/>
      <selection pane="bottomLeft" activeCell="A3" sqref="A3"/>
      <selection pane="bottomRight" activeCell="G41" sqref="G41"/>
    </sheetView>
  </sheetViews>
  <sheetFormatPr defaultRowHeight="15" x14ac:dyDescent="0.25"/>
  <cols>
    <col min="1" max="1" width="19.140625" bestFit="1" customWidth="1"/>
    <col min="2" max="10" width="17.7109375" customWidth="1"/>
  </cols>
  <sheetData>
    <row r="2" spans="1:10" x14ac:dyDescent="0.25">
      <c r="B2" s="1" t="s">
        <v>9</v>
      </c>
      <c r="C2" s="1" t="s">
        <v>10</v>
      </c>
      <c r="D2" s="1" t="s">
        <v>14</v>
      </c>
      <c r="E2" s="1" t="s">
        <v>15</v>
      </c>
      <c r="F2" s="1" t="s">
        <v>12</v>
      </c>
      <c r="G2" s="1" t="s">
        <v>13</v>
      </c>
      <c r="H2" s="1" t="s">
        <v>11</v>
      </c>
      <c r="I2" s="1" t="s">
        <v>16</v>
      </c>
      <c r="J2" s="2"/>
    </row>
    <row r="3" spans="1:10" x14ac:dyDescent="0.25">
      <c r="A3" t="s">
        <v>47</v>
      </c>
      <c r="B3" s="6">
        <v>44466</v>
      </c>
      <c r="C3" s="6">
        <v>90313</v>
      </c>
      <c r="D3" s="6">
        <v>138296</v>
      </c>
      <c r="E3" s="6">
        <v>189383</v>
      </c>
      <c r="F3" s="6">
        <v>53465</v>
      </c>
      <c r="G3" s="6">
        <v>107601</v>
      </c>
      <c r="H3" s="6"/>
      <c r="I3" s="6"/>
      <c r="J3" s="2"/>
    </row>
    <row r="4" spans="1:10" x14ac:dyDescent="0.25">
      <c r="A4" t="s">
        <v>48</v>
      </c>
      <c r="B4" s="6">
        <v>19992</v>
      </c>
      <c r="C4" s="6">
        <v>36794</v>
      </c>
      <c r="D4" s="6">
        <v>51808</v>
      </c>
      <c r="E4" s="6">
        <v>64874</v>
      </c>
      <c r="F4" s="6">
        <v>12455</v>
      </c>
      <c r="G4" s="6">
        <v>23629</v>
      </c>
      <c r="H4" s="6"/>
      <c r="I4" s="6"/>
      <c r="J4" s="2"/>
    </row>
    <row r="5" spans="1:10" x14ac:dyDescent="0.25">
      <c r="A5" t="s">
        <v>50</v>
      </c>
      <c r="B5" s="6">
        <v>7261</v>
      </c>
      <c r="C5" s="6">
        <v>14942</v>
      </c>
      <c r="D5" s="6">
        <v>21343</v>
      </c>
      <c r="E5" s="6">
        <v>29453</v>
      </c>
      <c r="F5" s="6">
        <v>8012</v>
      </c>
      <c r="G5" s="6">
        <v>15330</v>
      </c>
      <c r="H5" s="6"/>
      <c r="I5" s="6"/>
      <c r="J5" s="2"/>
    </row>
    <row r="6" spans="1:10" x14ac:dyDescent="0.25">
      <c r="A6" t="s">
        <v>49</v>
      </c>
      <c r="B6" s="6">
        <v>2941</v>
      </c>
      <c r="C6" s="6">
        <v>6641</v>
      </c>
      <c r="D6" s="6">
        <v>9533</v>
      </c>
      <c r="E6" s="6">
        <v>12361</v>
      </c>
      <c r="F6" s="6">
        <v>3299</v>
      </c>
      <c r="G6" s="6">
        <v>6561</v>
      </c>
      <c r="H6" s="6"/>
      <c r="I6" s="6"/>
      <c r="J6" s="2"/>
    </row>
    <row r="7" spans="1:10" x14ac:dyDescent="0.25">
      <c r="A7" t="s">
        <v>51</v>
      </c>
      <c r="B7" s="6">
        <v>1151</v>
      </c>
      <c r="C7" s="6">
        <v>3643</v>
      </c>
      <c r="D7" s="6">
        <v>4015</v>
      </c>
      <c r="E7" s="6">
        <v>6383</v>
      </c>
      <c r="F7" s="6">
        <v>2110</v>
      </c>
      <c r="G7" s="6">
        <v>6609</v>
      </c>
      <c r="H7" s="6"/>
      <c r="I7" s="6"/>
      <c r="J7" s="2"/>
    </row>
    <row r="8" spans="1:10" x14ac:dyDescent="0.25">
      <c r="A8" t="s">
        <v>0</v>
      </c>
      <c r="B8" s="5">
        <v>75966</v>
      </c>
      <c r="C8" s="5">
        <v>152581</v>
      </c>
      <c r="D8" s="5">
        <v>225343</v>
      </c>
      <c r="E8" s="5">
        <v>302894</v>
      </c>
      <c r="F8" s="5">
        <v>79420</v>
      </c>
      <c r="G8" s="5">
        <v>159906</v>
      </c>
      <c r="H8" s="5"/>
      <c r="I8" s="5"/>
      <c r="J8" s="4"/>
    </row>
    <row r="9" spans="1:10" x14ac:dyDescent="0.25">
      <c r="A9" t="s">
        <v>1</v>
      </c>
      <c r="B9" s="4">
        <f>-12447-22607</f>
        <v>-35054</v>
      </c>
      <c r="C9" s="4">
        <f>-25040-44105</f>
        <v>-69145</v>
      </c>
      <c r="D9" s="4">
        <f>-37267-64308</f>
        <v>-101575</v>
      </c>
      <c r="E9" s="4">
        <f>-50448-92072</f>
        <v>-142520</v>
      </c>
      <c r="F9" s="4">
        <f>-22991-13247</f>
        <v>-36238</v>
      </c>
      <c r="G9" s="4">
        <f>-26896-46217</f>
        <v>-73113</v>
      </c>
      <c r="H9" s="4"/>
      <c r="I9" s="4"/>
      <c r="J9" s="4"/>
    </row>
    <row r="10" spans="1:10" x14ac:dyDescent="0.25">
      <c r="A10" t="s">
        <v>6</v>
      </c>
      <c r="B10" s="4">
        <f t="shared" ref="B10:I10" si="0">B8+B9</f>
        <v>40912</v>
      </c>
      <c r="C10" s="4">
        <f t="shared" si="0"/>
        <v>83436</v>
      </c>
      <c r="D10" s="4">
        <f t="shared" si="0"/>
        <v>123768</v>
      </c>
      <c r="E10" s="4">
        <f t="shared" si="0"/>
        <v>160374</v>
      </c>
      <c r="F10" s="4">
        <f t="shared" si="0"/>
        <v>43182</v>
      </c>
      <c r="G10" s="4">
        <f t="shared" si="0"/>
        <v>86793</v>
      </c>
      <c r="H10" s="4">
        <f t="shared" si="0"/>
        <v>0</v>
      </c>
      <c r="I10" s="4">
        <f t="shared" si="0"/>
        <v>0</v>
      </c>
      <c r="J10" s="4"/>
    </row>
    <row r="11" spans="1:10" x14ac:dyDescent="0.25">
      <c r="A11" t="s">
        <v>4</v>
      </c>
      <c r="B11" s="4">
        <v>-9404</v>
      </c>
      <c r="C11" s="4">
        <v>-20645</v>
      </c>
      <c r="D11" s="4">
        <v>-50204</v>
      </c>
      <c r="E11" s="4">
        <v>-93384</v>
      </c>
      <c r="F11" s="4">
        <v>-8386</v>
      </c>
      <c r="G11" s="4">
        <v>-17095</v>
      </c>
      <c r="H11" s="4"/>
      <c r="I11" s="4"/>
      <c r="J11" s="4"/>
    </row>
    <row r="12" spans="1:10" x14ac:dyDescent="0.25">
      <c r="A12" t="s">
        <v>5</v>
      </c>
      <c r="B12" s="4">
        <v>0</v>
      </c>
      <c r="C12" s="4">
        <v>0</v>
      </c>
      <c r="D12" s="4">
        <v>0</v>
      </c>
      <c r="E12" s="4">
        <v>-590</v>
      </c>
      <c r="F12" s="4">
        <v>-363</v>
      </c>
      <c r="G12" s="4">
        <v>-233</v>
      </c>
      <c r="H12" s="4"/>
      <c r="I12" s="4"/>
      <c r="J12" s="4"/>
    </row>
    <row r="13" spans="1:10" x14ac:dyDescent="0.25">
      <c r="A13" t="s">
        <v>3</v>
      </c>
      <c r="B13" s="4">
        <f t="shared" ref="B13:I13" si="1">IFERROR(SUM(B10:B12),0)</f>
        <v>31508</v>
      </c>
      <c r="C13" s="4">
        <f t="shared" si="1"/>
        <v>62791</v>
      </c>
      <c r="D13" s="4">
        <f t="shared" si="1"/>
        <v>73564</v>
      </c>
      <c r="E13" s="4">
        <f t="shared" si="1"/>
        <v>66400</v>
      </c>
      <c r="F13" s="4">
        <f t="shared" si="1"/>
        <v>34433</v>
      </c>
      <c r="G13" s="4">
        <f t="shared" si="1"/>
        <v>69465</v>
      </c>
      <c r="H13" s="4">
        <f t="shared" si="1"/>
        <v>0</v>
      </c>
      <c r="I13" s="4">
        <f t="shared" si="1"/>
        <v>0</v>
      </c>
      <c r="J13" s="4"/>
    </row>
    <row r="14" spans="1:10" x14ac:dyDescent="0.25">
      <c r="A14" t="s">
        <v>2</v>
      </c>
      <c r="B14" s="4">
        <v>-17114</v>
      </c>
      <c r="C14" s="4">
        <v>-32626</v>
      </c>
      <c r="D14" s="4">
        <v>-46392</v>
      </c>
      <c r="E14" s="4">
        <v>-58225</v>
      </c>
      <c r="F14" s="4">
        <v>-11792</v>
      </c>
      <c r="G14" s="4">
        <v>-24270</v>
      </c>
      <c r="H14" s="4"/>
      <c r="I14" s="4"/>
      <c r="J14" s="4"/>
    </row>
    <row r="15" spans="1:10" x14ac:dyDescent="0.25">
      <c r="A15" t="s">
        <v>7</v>
      </c>
      <c r="B15" s="4">
        <v>-4265</v>
      </c>
      <c r="C15" s="4">
        <v>-4305</v>
      </c>
      <c r="D15" s="4">
        <v>-2937</v>
      </c>
      <c r="E15" s="4">
        <v>-15939</v>
      </c>
      <c r="F15" s="4">
        <v>-829</v>
      </c>
      <c r="G15" s="4">
        <v>-106</v>
      </c>
      <c r="H15" s="4"/>
      <c r="I15" s="4"/>
      <c r="J15" s="4"/>
    </row>
    <row r="16" spans="1:10" x14ac:dyDescent="0.25">
      <c r="A16" t="s">
        <v>8</v>
      </c>
      <c r="B16" s="4">
        <f t="shared" ref="B16:I16" si="2">IFERROR(SUM(B13:B15),0)</f>
        <v>10129</v>
      </c>
      <c r="C16" s="4">
        <f t="shared" si="2"/>
        <v>25860</v>
      </c>
      <c r="D16" s="4">
        <f t="shared" si="2"/>
        <v>24235</v>
      </c>
      <c r="E16" s="4">
        <f t="shared" si="2"/>
        <v>-7764</v>
      </c>
      <c r="F16" s="4">
        <f t="shared" si="2"/>
        <v>21812</v>
      </c>
      <c r="G16" s="4">
        <f t="shared" si="2"/>
        <v>45089</v>
      </c>
      <c r="H16" s="4">
        <f t="shared" si="2"/>
        <v>0</v>
      </c>
      <c r="I16" s="4">
        <f t="shared" si="2"/>
        <v>0</v>
      </c>
      <c r="J16" s="4"/>
    </row>
    <row r="17" spans="1:10" x14ac:dyDescent="0.25"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t="s">
        <v>17</v>
      </c>
      <c r="B18" s="4">
        <f>21732+16896</f>
        <v>38628</v>
      </c>
      <c r="C18" s="4">
        <f>23239+27350</f>
        <v>50589</v>
      </c>
      <c r="D18" s="4">
        <f>13952+19706</f>
        <v>33658</v>
      </c>
      <c r="E18" s="4">
        <f>80326+15311</f>
        <v>95637</v>
      </c>
      <c r="F18" s="4">
        <f>29990+24723</f>
        <v>54713</v>
      </c>
      <c r="G18" s="4">
        <f>24907+25934</f>
        <v>50841</v>
      </c>
      <c r="H18" s="4"/>
      <c r="I18" s="4"/>
      <c r="J18" s="4"/>
    </row>
    <row r="19" spans="1:10" x14ac:dyDescent="0.25">
      <c r="A19" t="s">
        <v>18</v>
      </c>
      <c r="B19" s="4">
        <f>1135983+1107223+107032</f>
        <v>2350238</v>
      </c>
      <c r="C19" s="4">
        <f>1180870+960780+147474</f>
        <v>2289124</v>
      </c>
      <c r="D19" s="4">
        <f>1197366+833006+142345</f>
        <v>2172717</v>
      </c>
      <c r="E19" s="4">
        <f>1193675+835778+90728</f>
        <v>2120181</v>
      </c>
      <c r="F19" s="4">
        <f>1317809+751709+90049</f>
        <v>2159567</v>
      </c>
      <c r="G19" s="4">
        <f>1341918+655894+89785</f>
        <v>2087597</v>
      </c>
      <c r="H19" s="4"/>
      <c r="I19" s="4"/>
      <c r="J19" s="4"/>
    </row>
    <row r="20" spans="1:10" x14ac:dyDescent="0.25">
      <c r="A20" t="s">
        <v>19</v>
      </c>
      <c r="B20" s="4">
        <v>3033</v>
      </c>
      <c r="C20" s="4">
        <v>2230</v>
      </c>
      <c r="D20" s="4">
        <v>1521</v>
      </c>
      <c r="E20" s="4">
        <v>1001</v>
      </c>
      <c r="F20" s="4">
        <v>3643</v>
      </c>
      <c r="G20" s="4">
        <v>2714</v>
      </c>
      <c r="H20" s="4"/>
      <c r="I20" s="4"/>
      <c r="J20" s="4"/>
    </row>
    <row r="21" spans="1:10" x14ac:dyDescent="0.25">
      <c r="A21" t="s">
        <v>24</v>
      </c>
      <c r="B21" s="4">
        <v>0</v>
      </c>
      <c r="C21" s="4">
        <v>0</v>
      </c>
      <c r="D21" s="4">
        <v>72</v>
      </c>
      <c r="E21" s="4">
        <v>1887</v>
      </c>
      <c r="F21" s="4">
        <v>588</v>
      </c>
      <c r="G21" s="4">
        <v>6264</v>
      </c>
      <c r="H21" s="4"/>
      <c r="I21" s="4"/>
      <c r="J21" s="4"/>
    </row>
    <row r="22" spans="1:10" x14ac:dyDescent="0.25">
      <c r="A22" s="3" t="s">
        <v>21</v>
      </c>
      <c r="B22" s="4">
        <f t="shared" ref="B22:I22" si="3">IFERROR(SUM(B18:B21),0)</f>
        <v>2391899</v>
      </c>
      <c r="C22" s="4">
        <f t="shared" si="3"/>
        <v>2341943</v>
      </c>
      <c r="D22" s="4">
        <f t="shared" si="3"/>
        <v>2207968</v>
      </c>
      <c r="E22" s="4">
        <f t="shared" si="3"/>
        <v>2218706</v>
      </c>
      <c r="F22" s="4">
        <f t="shared" si="3"/>
        <v>2218511</v>
      </c>
      <c r="G22" s="4">
        <f t="shared" si="3"/>
        <v>2147416</v>
      </c>
      <c r="H22" s="4">
        <f t="shared" si="3"/>
        <v>0</v>
      </c>
      <c r="I22" s="4">
        <f t="shared" si="3"/>
        <v>0</v>
      </c>
      <c r="J22" s="4"/>
    </row>
    <row r="23" spans="1:10" x14ac:dyDescent="0.25">
      <c r="A23" t="s">
        <v>20</v>
      </c>
      <c r="B23" s="4">
        <v>17498</v>
      </c>
      <c r="C23" s="4">
        <v>17361</v>
      </c>
      <c r="D23" s="4">
        <v>18651</v>
      </c>
      <c r="E23" s="4">
        <v>5609</v>
      </c>
      <c r="F23" s="4">
        <v>4698</v>
      </c>
      <c r="G23" s="4">
        <v>5238</v>
      </c>
      <c r="H23" s="4"/>
      <c r="I23" s="4"/>
      <c r="J23" s="4"/>
    </row>
    <row r="24" spans="1:10" x14ac:dyDescent="0.25">
      <c r="A24" t="s">
        <v>23</v>
      </c>
      <c r="B24" s="4">
        <v>8448</v>
      </c>
      <c r="C24" s="4">
        <v>7669</v>
      </c>
      <c r="D24" s="4">
        <v>6016</v>
      </c>
      <c r="E24" s="4">
        <v>8653</v>
      </c>
      <c r="F24" s="4">
        <v>6666</v>
      </c>
      <c r="G24" s="4">
        <v>4815</v>
      </c>
      <c r="H24" s="4"/>
      <c r="I24" s="4"/>
      <c r="J24" s="4"/>
    </row>
    <row r="25" spans="1:10" x14ac:dyDescent="0.25">
      <c r="A25" t="s">
        <v>22</v>
      </c>
      <c r="B25" s="4">
        <v>40025</v>
      </c>
      <c r="C25" s="4">
        <v>40213</v>
      </c>
      <c r="D25" s="4">
        <v>38820</v>
      </c>
      <c r="E25" s="4">
        <v>39824</v>
      </c>
      <c r="F25" s="4">
        <v>37692</v>
      </c>
      <c r="G25" s="4">
        <v>37824</v>
      </c>
      <c r="H25" s="4"/>
      <c r="I25" s="4"/>
      <c r="J25" s="4"/>
    </row>
    <row r="26" spans="1:10" x14ac:dyDescent="0.25">
      <c r="A26" t="s">
        <v>25</v>
      </c>
      <c r="B26" s="4">
        <v>51914</v>
      </c>
      <c r="C26" s="4">
        <v>51161</v>
      </c>
      <c r="D26" s="4">
        <v>52792</v>
      </c>
      <c r="E26" s="4">
        <v>50446</v>
      </c>
      <c r="F26" s="4">
        <v>52130</v>
      </c>
      <c r="G26" s="4">
        <v>56196</v>
      </c>
      <c r="H26" s="4"/>
      <c r="I26" s="4"/>
      <c r="J26" s="4"/>
    </row>
    <row r="27" spans="1:10" x14ac:dyDescent="0.25">
      <c r="A27" s="3" t="s">
        <v>26</v>
      </c>
      <c r="B27" s="4">
        <f t="shared" ref="B27:I27" si="4">IFERROR(SUM(B23:B26),0)</f>
        <v>117885</v>
      </c>
      <c r="C27" s="4">
        <f t="shared" si="4"/>
        <v>116404</v>
      </c>
      <c r="D27" s="4">
        <f t="shared" si="4"/>
        <v>116279</v>
      </c>
      <c r="E27" s="4">
        <f t="shared" si="4"/>
        <v>104532</v>
      </c>
      <c r="F27" s="4">
        <f t="shared" si="4"/>
        <v>101186</v>
      </c>
      <c r="G27" s="4">
        <f t="shared" si="4"/>
        <v>104073</v>
      </c>
      <c r="H27" s="4">
        <f t="shared" si="4"/>
        <v>0</v>
      </c>
      <c r="I27" s="4">
        <f t="shared" si="4"/>
        <v>0</v>
      </c>
      <c r="J27" s="4"/>
    </row>
    <row r="28" spans="1:10" x14ac:dyDescent="0.25">
      <c r="A28" s="3" t="s">
        <v>27</v>
      </c>
      <c r="B28" s="4">
        <f t="shared" ref="B28:I28" si="5">B27+B22</f>
        <v>2509784</v>
      </c>
      <c r="C28" s="4">
        <f t="shared" si="5"/>
        <v>2458347</v>
      </c>
      <c r="D28" s="4">
        <f t="shared" si="5"/>
        <v>2324247</v>
      </c>
      <c r="E28" s="4">
        <f t="shared" si="5"/>
        <v>2323238</v>
      </c>
      <c r="F28" s="4">
        <f t="shared" si="5"/>
        <v>2319697</v>
      </c>
      <c r="G28" s="4">
        <f t="shared" si="5"/>
        <v>2251489</v>
      </c>
      <c r="H28" s="4">
        <f t="shared" si="5"/>
        <v>0</v>
      </c>
      <c r="I28" s="4">
        <f t="shared" si="5"/>
        <v>0</v>
      </c>
      <c r="J28" s="4"/>
    </row>
    <row r="29" spans="1:10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t="s">
        <v>28</v>
      </c>
      <c r="B30" s="4">
        <f>1113619+659587</f>
        <v>1773206</v>
      </c>
      <c r="C30" s="4">
        <f>1017602+692657</f>
        <v>1710259</v>
      </c>
      <c r="D30" s="4">
        <f>949652+626862</f>
        <v>1576514</v>
      </c>
      <c r="E30" s="4">
        <f>561886+1050871</f>
        <v>1612757</v>
      </c>
      <c r="F30" s="4">
        <f>997720+575569</f>
        <v>1573289</v>
      </c>
      <c r="G30" s="4">
        <f>925042+569462</f>
        <v>1494504</v>
      </c>
      <c r="H30" s="4"/>
      <c r="I30" s="4"/>
      <c r="J30" s="4"/>
    </row>
    <row r="31" spans="1:10" x14ac:dyDescent="0.25">
      <c r="A31" t="s">
        <v>29</v>
      </c>
      <c r="B31" s="4">
        <f>9365</f>
        <v>9365</v>
      </c>
      <c r="C31" s="4">
        <f>7578</f>
        <v>7578</v>
      </c>
      <c r="D31" s="4">
        <v>8804</v>
      </c>
      <c r="E31" s="4">
        <v>846</v>
      </c>
      <c r="F31" s="4">
        <v>3698</v>
      </c>
      <c r="G31" s="4">
        <v>6120</v>
      </c>
      <c r="H31" s="4"/>
      <c r="I31" s="4"/>
      <c r="J31" s="4"/>
    </row>
    <row r="32" spans="1:10" x14ac:dyDescent="0.25">
      <c r="A32" t="s">
        <v>30</v>
      </c>
      <c r="B32" s="4">
        <f>20036+40407</f>
        <v>60443</v>
      </c>
      <c r="C32" s="4">
        <f>18120+44267</f>
        <v>62387</v>
      </c>
      <c r="D32" s="4">
        <f>16095+46224</f>
        <v>62319</v>
      </c>
      <c r="E32" s="4">
        <f>47646+14269</f>
        <v>61915</v>
      </c>
      <c r="F32" s="4">
        <f>61397+12555</f>
        <v>73952</v>
      </c>
      <c r="G32" s="4">
        <f>11136+50045</f>
        <v>61181</v>
      </c>
      <c r="H32" s="4"/>
      <c r="I32" s="4"/>
      <c r="J32" s="4"/>
    </row>
    <row r="33" spans="1:10" x14ac:dyDescent="0.25">
      <c r="A33" t="s">
        <v>31</v>
      </c>
      <c r="B33" s="4">
        <v>1054</v>
      </c>
      <c r="C33" s="4">
        <v>617</v>
      </c>
      <c r="D33" s="4">
        <v>328</v>
      </c>
      <c r="E33" s="4">
        <v>179</v>
      </c>
      <c r="F33" s="4">
        <v>229</v>
      </c>
      <c r="G33" s="4">
        <v>10</v>
      </c>
      <c r="H33" s="4"/>
      <c r="I33" s="4"/>
      <c r="J33" s="4"/>
    </row>
    <row r="34" spans="1:10" x14ac:dyDescent="0.25">
      <c r="A34" s="3" t="s">
        <v>33</v>
      </c>
      <c r="B34" s="4">
        <f t="shared" ref="B34:I34" si="6">IFERROR(SUM(B30:B33),0)</f>
        <v>1844068</v>
      </c>
      <c r="C34" s="4">
        <f t="shared" si="6"/>
        <v>1780841</v>
      </c>
      <c r="D34" s="4">
        <f t="shared" si="6"/>
        <v>1647965</v>
      </c>
      <c r="E34" s="4">
        <f t="shared" si="6"/>
        <v>1675697</v>
      </c>
      <c r="F34" s="4">
        <f t="shared" si="6"/>
        <v>1651168</v>
      </c>
      <c r="G34" s="4">
        <f t="shared" si="6"/>
        <v>1561815</v>
      </c>
      <c r="H34" s="4">
        <f t="shared" si="6"/>
        <v>0</v>
      </c>
      <c r="I34" s="4">
        <f t="shared" si="6"/>
        <v>0</v>
      </c>
      <c r="J34" s="4"/>
    </row>
    <row r="35" spans="1:10" x14ac:dyDescent="0.25">
      <c r="A35" t="s">
        <v>30</v>
      </c>
      <c r="B35" s="4">
        <f>8381+1353</f>
        <v>9734</v>
      </c>
      <c r="C35" s="4">
        <f>2173+4745</f>
        <v>6918</v>
      </c>
      <c r="D35" s="4">
        <f>2595+5199</f>
        <v>7794</v>
      </c>
      <c r="E35" s="4">
        <f>2838+722</f>
        <v>3560</v>
      </c>
      <c r="F35" s="4">
        <f>1626+5590</f>
        <v>7216</v>
      </c>
      <c r="G35" s="4">
        <f>2025+2338</f>
        <v>4363</v>
      </c>
      <c r="H35" s="4"/>
      <c r="I35" s="4"/>
      <c r="J35" s="4"/>
    </row>
    <row r="36" spans="1:10" x14ac:dyDescent="0.25">
      <c r="A36" t="s">
        <v>32</v>
      </c>
      <c r="B36" s="4">
        <v>7590</v>
      </c>
      <c r="C36" s="4">
        <v>78803</v>
      </c>
      <c r="D36" s="4">
        <v>8511</v>
      </c>
      <c r="E36" s="4">
        <v>4950</v>
      </c>
      <c r="F36" s="4">
        <v>11961</v>
      </c>
      <c r="G36" s="4">
        <v>12409</v>
      </c>
      <c r="H36" s="4"/>
      <c r="I36" s="4"/>
      <c r="J36" s="4"/>
    </row>
    <row r="37" spans="1:10" x14ac:dyDescent="0.25">
      <c r="A37" s="3" t="s">
        <v>35</v>
      </c>
      <c r="B37" s="4">
        <f>IFERROR(SUM(B35:B36),0)</f>
        <v>17324</v>
      </c>
      <c r="C37" s="4">
        <f t="shared" ref="C37:I37" si="7">IFERROR(SUM(C35:C36),0)</f>
        <v>85721</v>
      </c>
      <c r="D37" s="4">
        <f t="shared" si="7"/>
        <v>16305</v>
      </c>
      <c r="E37" s="4">
        <f t="shared" si="7"/>
        <v>8510</v>
      </c>
      <c r="F37" s="4">
        <f t="shared" si="7"/>
        <v>19177</v>
      </c>
      <c r="G37" s="4">
        <f t="shared" si="7"/>
        <v>16772</v>
      </c>
      <c r="H37" s="4">
        <f t="shared" si="7"/>
        <v>0</v>
      </c>
      <c r="I37" s="4">
        <f t="shared" si="7"/>
        <v>0</v>
      </c>
      <c r="J37" s="4"/>
    </row>
    <row r="38" spans="1:10" x14ac:dyDescent="0.25">
      <c r="A38" s="3" t="s">
        <v>34</v>
      </c>
      <c r="B38" s="4"/>
      <c r="C38" s="4">
        <v>1800534</v>
      </c>
      <c r="D38" s="4">
        <v>1667764</v>
      </c>
      <c r="E38" s="4">
        <v>1697909</v>
      </c>
      <c r="F38" s="4">
        <v>1674734</v>
      </c>
      <c r="G38" s="4">
        <v>1581563</v>
      </c>
      <c r="H38" s="4"/>
      <c r="I38" s="4"/>
      <c r="J38" s="4"/>
    </row>
    <row r="39" spans="1:10" x14ac:dyDescent="0.25">
      <c r="A39" s="3" t="s">
        <v>52</v>
      </c>
      <c r="B39" s="4">
        <f>B28-B38</f>
        <v>2509784</v>
      </c>
      <c r="C39" s="4">
        <f t="shared" ref="C39:I39" si="8">C28-C38</f>
        <v>657813</v>
      </c>
      <c r="D39" s="4">
        <f t="shared" si="8"/>
        <v>656483</v>
      </c>
      <c r="E39" s="4">
        <f t="shared" si="8"/>
        <v>625329</v>
      </c>
      <c r="F39" s="4">
        <f t="shared" si="8"/>
        <v>644963</v>
      </c>
      <c r="G39" s="4">
        <f t="shared" si="8"/>
        <v>669926</v>
      </c>
      <c r="H39" s="4">
        <f t="shared" si="8"/>
        <v>0</v>
      </c>
      <c r="I39" s="4">
        <f t="shared" si="8"/>
        <v>0</v>
      </c>
      <c r="J39" s="4"/>
    </row>
    <row r="40" spans="1:10" x14ac:dyDescent="0.25"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t="s">
        <v>36</v>
      </c>
      <c r="B41" s="4">
        <v>326708</v>
      </c>
      <c r="C41" s="4">
        <v>727943</v>
      </c>
      <c r="D41" s="4">
        <v>1112067</v>
      </c>
      <c r="E41" s="4">
        <v>1488045</v>
      </c>
      <c r="F41" s="4">
        <v>349914</v>
      </c>
      <c r="G41" s="4"/>
      <c r="H41" s="4"/>
      <c r="I41" s="4"/>
      <c r="J41" s="4"/>
    </row>
    <row r="42" spans="1:10" x14ac:dyDescent="0.25">
      <c r="A42" t="s">
        <v>37</v>
      </c>
      <c r="B42" s="4">
        <v>45844</v>
      </c>
      <c r="C42" s="4">
        <f>1016+1146</f>
        <v>2162</v>
      </c>
      <c r="D42" s="4">
        <f>1416+1670</f>
        <v>3086</v>
      </c>
      <c r="E42" s="4">
        <f>8167+1970</f>
        <v>10137</v>
      </c>
      <c r="F42" s="4">
        <f>2383+204</f>
        <v>2587</v>
      </c>
      <c r="G42" s="4"/>
      <c r="H42" s="4"/>
      <c r="I42" s="4"/>
      <c r="J42" s="4"/>
    </row>
    <row r="43" spans="1:10" x14ac:dyDescent="0.25">
      <c r="A43" t="s">
        <v>38</v>
      </c>
      <c r="B43" s="4">
        <v>-231495</v>
      </c>
      <c r="C43" s="4">
        <v>-457563</v>
      </c>
      <c r="D43" s="4">
        <v>-679398</v>
      </c>
      <c r="E43" s="4">
        <v>-1034887</v>
      </c>
      <c r="F43" s="4">
        <v>-318205</v>
      </c>
      <c r="G43" s="4"/>
      <c r="H43" s="4"/>
      <c r="I43" s="4"/>
      <c r="J43" s="4"/>
    </row>
    <row r="44" spans="1:10" x14ac:dyDescent="0.25">
      <c r="A44" t="s">
        <v>39</v>
      </c>
      <c r="B44" s="4">
        <f>-20774-15801</f>
        <v>-36575</v>
      </c>
      <c r="C44" s="4">
        <f>-37621-37188</f>
        <v>-74809</v>
      </c>
      <c r="D44" s="4">
        <f>-50648-55485</f>
        <v>-106133</v>
      </c>
      <c r="E44" s="4">
        <f>-20446-66650</f>
        <v>-87096</v>
      </c>
      <c r="F44" s="4">
        <f>-19018-4315</f>
        <v>-23333</v>
      </c>
      <c r="G44" s="4"/>
      <c r="H44" s="4"/>
      <c r="I44" s="4"/>
      <c r="J44" s="4"/>
    </row>
    <row r="45" spans="1:10" x14ac:dyDescent="0.25">
      <c r="A45" t="s">
        <v>40</v>
      </c>
      <c r="B45" s="4">
        <v>-17110</v>
      </c>
      <c r="C45" s="4">
        <f>-30686+244</f>
        <v>-30442</v>
      </c>
      <c r="D45" s="4">
        <v>-43140</v>
      </c>
      <c r="E45" s="4">
        <v>-58832</v>
      </c>
      <c r="F45" s="4">
        <f>-10498+76</f>
        <v>-10422</v>
      </c>
      <c r="G45" s="4"/>
      <c r="H45" s="4"/>
      <c r="I45" s="4"/>
      <c r="J45" s="4"/>
    </row>
    <row r="46" spans="1:10" x14ac:dyDescent="0.25">
      <c r="A46" s="3" t="s">
        <v>41</v>
      </c>
      <c r="B46" s="4">
        <f t="shared" ref="B46:I46" si="9">SUM(B41:B45)</f>
        <v>87372</v>
      </c>
      <c r="C46" s="4">
        <f t="shared" si="9"/>
        <v>167291</v>
      </c>
      <c r="D46" s="4">
        <f t="shared" si="9"/>
        <v>286482</v>
      </c>
      <c r="E46" s="4">
        <f t="shared" si="9"/>
        <v>317367</v>
      </c>
      <c r="F46" s="4">
        <f t="shared" si="9"/>
        <v>541</v>
      </c>
      <c r="G46" s="4">
        <f t="shared" si="9"/>
        <v>0</v>
      </c>
      <c r="H46" s="4">
        <f t="shared" si="9"/>
        <v>0</v>
      </c>
      <c r="I46" s="4">
        <f t="shared" si="9"/>
        <v>0</v>
      </c>
      <c r="J46" s="4"/>
    </row>
    <row r="47" spans="1:10" x14ac:dyDescent="0.25"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t="s">
        <v>42</v>
      </c>
      <c r="B48" s="4">
        <v>-2669</v>
      </c>
      <c r="C48" s="4">
        <f>-5202+78</f>
        <v>-5124</v>
      </c>
      <c r="D48" s="4">
        <f>-6127+79</f>
        <v>-6048</v>
      </c>
      <c r="E48" s="4">
        <v>-9578</v>
      </c>
      <c r="F48" s="4">
        <f>-595+394</f>
        <v>-201</v>
      </c>
      <c r="G48" s="4"/>
      <c r="H48" s="4"/>
      <c r="I48" s="4"/>
      <c r="J48" s="4"/>
    </row>
    <row r="49" spans="1:10" x14ac:dyDescent="0.25">
      <c r="A49" s="3" t="s">
        <v>43</v>
      </c>
      <c r="B49" s="4">
        <f t="shared" ref="B49:I49" si="10">B48</f>
        <v>-2669</v>
      </c>
      <c r="C49" s="4">
        <f t="shared" si="10"/>
        <v>-5124</v>
      </c>
      <c r="D49" s="4">
        <f t="shared" si="10"/>
        <v>-6048</v>
      </c>
      <c r="E49" s="4">
        <f t="shared" si="10"/>
        <v>-9578</v>
      </c>
      <c r="F49" s="4">
        <f t="shared" si="10"/>
        <v>-201</v>
      </c>
      <c r="G49" s="4">
        <f t="shared" si="10"/>
        <v>0</v>
      </c>
      <c r="H49" s="4">
        <f t="shared" si="10"/>
        <v>0</v>
      </c>
      <c r="I49" s="4">
        <f t="shared" si="10"/>
        <v>0</v>
      </c>
      <c r="J49" s="4"/>
    </row>
    <row r="50" spans="1:10" x14ac:dyDescent="0.25"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t="s">
        <v>44</v>
      </c>
      <c r="B51" s="4">
        <v>476859</v>
      </c>
      <c r="C51" s="4">
        <v>1647617</v>
      </c>
      <c r="D51" s="4">
        <v>2094105</v>
      </c>
      <c r="E51" s="4">
        <v>2590945</v>
      </c>
      <c r="F51" s="4">
        <v>425305</v>
      </c>
      <c r="G51" s="4"/>
      <c r="H51" s="4"/>
      <c r="I51" s="4"/>
      <c r="J51" s="4"/>
    </row>
    <row r="52" spans="1:10" x14ac:dyDescent="0.25">
      <c r="A52" t="s">
        <v>45</v>
      </c>
      <c r="B52" s="4">
        <v>-653494</v>
      </c>
      <c r="C52" s="4">
        <f>-1887201-3567</f>
        <v>-1890768</v>
      </c>
      <c r="D52" s="4">
        <v>-2467433</v>
      </c>
      <c r="E52" s="4">
        <f>-2928030-7156</f>
        <v>-2935186</v>
      </c>
      <c r="F52" s="4">
        <f>-464774-1796</f>
        <v>-466570</v>
      </c>
      <c r="G52" s="4"/>
      <c r="H52" s="4"/>
      <c r="I52" s="4"/>
      <c r="J52" s="4"/>
    </row>
    <row r="53" spans="1:10" x14ac:dyDescent="0.25">
      <c r="A53" s="3" t="s">
        <v>46</v>
      </c>
      <c r="B53" s="4">
        <f t="shared" ref="B53:I53" si="11">B51+B52</f>
        <v>-176635</v>
      </c>
      <c r="C53" s="4">
        <f t="shared" si="11"/>
        <v>-243151</v>
      </c>
      <c r="D53" s="4">
        <f t="shared" si="11"/>
        <v>-373328</v>
      </c>
      <c r="E53" s="4">
        <f t="shared" si="11"/>
        <v>-344241</v>
      </c>
      <c r="F53" s="4">
        <f t="shared" si="11"/>
        <v>-41265</v>
      </c>
      <c r="G53" s="4">
        <f t="shared" si="11"/>
        <v>0</v>
      </c>
      <c r="H53" s="4">
        <f t="shared" si="11"/>
        <v>0</v>
      </c>
      <c r="I53" s="4">
        <f t="shared" si="11"/>
        <v>0</v>
      </c>
      <c r="J53" s="4"/>
    </row>
    <row r="54" spans="1:10" x14ac:dyDescent="0.25"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B57" s="4"/>
      <c r="C57" s="4"/>
      <c r="D57" s="4"/>
      <c r="E57" s="4"/>
      <c r="F57" s="4"/>
      <c r="G57" s="4"/>
      <c r="H57" s="4"/>
      <c r="I57" s="4"/>
      <c r="J57" s="4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2022-12-06T23:58:23Z</dcterms:created>
  <dcterms:modified xsi:type="dcterms:W3CDTF">2022-12-07T03:10:51Z</dcterms:modified>
</cp:coreProperties>
</file>