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otaronggalmanurung/Desktop/IDX-DB/VRNA/"/>
    </mc:Choice>
  </mc:AlternateContent>
  <xr:revisionPtr revIDLastSave="0" documentId="13_ncr:1_{62F0987D-9543-3F45-897F-691C1564479F}" xr6:coauthVersionLast="47" xr6:coauthVersionMax="47" xr10:uidLastSave="{00000000-0000-0000-0000-000000000000}"/>
  <bookViews>
    <workbookView xWindow="0" yWindow="0" windowWidth="25600" windowHeight="16000" activeTab="3" xr2:uid="{A5CDA69C-4227-41DE-8F49-1370E8E8D438}"/>
  </bookViews>
  <sheets>
    <sheet name="Data" sheetId="1" r:id="rId1"/>
    <sheet name="Common Size" sheetId="2" r:id="rId2"/>
    <sheet name="DuPont" sheetId="3" r:id="rId3"/>
    <sheet name="DC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5" l="1"/>
  <c r="K13" i="5"/>
  <c r="L13" i="5"/>
  <c r="M13" i="5"/>
  <c r="N13" i="5"/>
  <c r="O13" i="5"/>
  <c r="P13" i="5"/>
  <c r="Q13" i="5"/>
  <c r="R13" i="5"/>
  <c r="S13" i="5"/>
  <c r="T13" i="5"/>
  <c r="U13" i="5"/>
  <c r="I11" i="5"/>
  <c r="J11" i="5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I9" i="5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I7" i="5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I5" i="5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I3" i="5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F12" i="5"/>
  <c r="G12" i="5"/>
  <c r="H12" i="5"/>
  <c r="F10" i="5"/>
  <c r="G10" i="5"/>
  <c r="H10" i="5"/>
  <c r="F8" i="5"/>
  <c r="G8" i="5"/>
  <c r="H8" i="5"/>
  <c r="C5" i="5"/>
  <c r="D5" i="5"/>
  <c r="E5" i="5"/>
  <c r="F5" i="5"/>
  <c r="G5" i="5"/>
  <c r="H5" i="5"/>
  <c r="B5" i="5"/>
  <c r="F6" i="5" s="1"/>
  <c r="G6" i="5"/>
  <c r="H6" i="5"/>
  <c r="F4" i="5"/>
  <c r="G4" i="5"/>
  <c r="H4" i="5"/>
  <c r="B13" i="5"/>
  <c r="C13" i="5"/>
  <c r="D13" i="5"/>
  <c r="E13" i="5"/>
  <c r="F13" i="5"/>
  <c r="G13" i="5"/>
  <c r="H13" i="5"/>
  <c r="B11" i="5"/>
  <c r="C11" i="5"/>
  <c r="D11" i="5"/>
  <c r="E11" i="5"/>
  <c r="F11" i="5"/>
  <c r="G11" i="5"/>
  <c r="H11" i="5"/>
  <c r="B9" i="5"/>
  <c r="C9" i="5"/>
  <c r="D9" i="5"/>
  <c r="E9" i="5"/>
  <c r="F9" i="5"/>
  <c r="G9" i="5"/>
  <c r="H9" i="5"/>
  <c r="B7" i="5"/>
  <c r="C7" i="5"/>
  <c r="D7" i="5"/>
  <c r="E7" i="5"/>
  <c r="F7" i="5"/>
  <c r="G7" i="5"/>
  <c r="H7" i="5"/>
  <c r="C3" i="5"/>
  <c r="D3" i="5"/>
  <c r="E3" i="5"/>
  <c r="F3" i="5"/>
  <c r="G3" i="5"/>
  <c r="H3" i="5"/>
  <c r="B3" i="5"/>
  <c r="C21" i="1"/>
  <c r="D21" i="1"/>
  <c r="E21" i="1"/>
  <c r="F21" i="1"/>
  <c r="G21" i="1"/>
  <c r="H21" i="1"/>
  <c r="B21" i="1"/>
  <c r="C17" i="2"/>
  <c r="D17" i="2"/>
  <c r="E17" i="2"/>
  <c r="F17" i="2"/>
  <c r="G17" i="2"/>
  <c r="B17" i="2"/>
  <c r="B12" i="2"/>
  <c r="B13" i="2"/>
  <c r="B15" i="2"/>
  <c r="C9" i="2"/>
  <c r="D9" i="2"/>
  <c r="E9" i="2"/>
  <c r="F9" i="2"/>
  <c r="G9" i="2"/>
  <c r="H9" i="2"/>
  <c r="C12" i="2"/>
  <c r="D12" i="2"/>
  <c r="E12" i="2"/>
  <c r="F12" i="2"/>
  <c r="G12" i="2"/>
  <c r="H12" i="2"/>
  <c r="C13" i="2"/>
  <c r="D13" i="2"/>
  <c r="E13" i="2"/>
  <c r="F13" i="2"/>
  <c r="G13" i="2"/>
  <c r="H13" i="2"/>
  <c r="C15" i="2"/>
  <c r="D15" i="2"/>
  <c r="E15" i="2"/>
  <c r="F15" i="2"/>
  <c r="G15" i="2"/>
  <c r="H15" i="2"/>
  <c r="H17" i="2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D33" i="2"/>
  <c r="E33" i="2"/>
  <c r="F33" i="2"/>
  <c r="G33" i="2"/>
  <c r="H33" i="2"/>
  <c r="B35" i="2"/>
  <c r="C35" i="2"/>
  <c r="D35" i="2"/>
  <c r="E35" i="2"/>
  <c r="F35" i="2"/>
  <c r="G35" i="2"/>
  <c r="H35" i="2"/>
  <c r="B38" i="2"/>
  <c r="C38" i="2"/>
  <c r="D38" i="2"/>
  <c r="E38" i="2"/>
  <c r="F38" i="2"/>
  <c r="G38" i="2"/>
  <c r="H38" i="2"/>
  <c r="B40" i="2"/>
  <c r="C40" i="2"/>
  <c r="D40" i="2"/>
  <c r="E40" i="2"/>
  <c r="F40" i="2"/>
  <c r="G40" i="2"/>
  <c r="H40" i="2"/>
  <c r="B9" i="2"/>
  <c r="H64" i="1"/>
  <c r="H65" i="1" s="1"/>
  <c r="H60" i="1"/>
  <c r="H61" i="1" s="1"/>
  <c r="H57" i="1"/>
  <c r="H56" i="1"/>
  <c r="H53" i="1"/>
  <c r="H47" i="1"/>
  <c r="H49" i="1" s="1"/>
  <c r="H39" i="2" s="1"/>
  <c r="H44" i="1"/>
  <c r="H34" i="2" s="1"/>
  <c r="H42" i="1"/>
  <c r="H32" i="2" s="1"/>
  <c r="H31" i="1"/>
  <c r="H30" i="1"/>
  <c r="H10" i="1"/>
  <c r="H11" i="1" s="1"/>
  <c r="H14" i="1" s="1"/>
  <c r="H14" i="2" s="1"/>
  <c r="G64" i="1"/>
  <c r="G65" i="1" s="1"/>
  <c r="G60" i="1"/>
  <c r="G61" i="1" s="1"/>
  <c r="G53" i="1"/>
  <c r="G56" i="1"/>
  <c r="G57" i="1"/>
  <c r="G30" i="1"/>
  <c r="G47" i="1"/>
  <c r="G37" i="2" s="1"/>
  <c r="G44" i="1"/>
  <c r="G34" i="2" s="1"/>
  <c r="G42" i="1"/>
  <c r="G32" i="2" s="1"/>
  <c r="G31" i="1"/>
  <c r="G10" i="1"/>
  <c r="G10" i="2" s="1"/>
  <c r="F64" i="1"/>
  <c r="F65" i="1" s="1"/>
  <c r="F60" i="1"/>
  <c r="F61" i="1" s="1"/>
  <c r="F56" i="1"/>
  <c r="F57" i="1"/>
  <c r="F54" i="1"/>
  <c r="F47" i="1"/>
  <c r="F49" i="1" s="1"/>
  <c r="F39" i="2" s="1"/>
  <c r="F44" i="1"/>
  <c r="F34" i="2" s="1"/>
  <c r="F42" i="1"/>
  <c r="F32" i="2" s="1"/>
  <c r="F31" i="1"/>
  <c r="F30" i="1"/>
  <c r="F10" i="1"/>
  <c r="F11" i="1" s="1"/>
  <c r="F14" i="1" s="1"/>
  <c r="F14" i="2" s="1"/>
  <c r="E64" i="1"/>
  <c r="E65" i="1" s="1"/>
  <c r="E56" i="1"/>
  <c r="E54" i="1"/>
  <c r="E47" i="1"/>
  <c r="E49" i="1" s="1"/>
  <c r="E39" i="2" s="1"/>
  <c r="E44" i="1"/>
  <c r="E34" i="2" s="1"/>
  <c r="E42" i="1"/>
  <c r="E32" i="2" s="1"/>
  <c r="E31" i="1"/>
  <c r="E30" i="1"/>
  <c r="E10" i="1"/>
  <c r="E11" i="1" s="1"/>
  <c r="E14" i="1" s="1"/>
  <c r="E14" i="2" s="1"/>
  <c r="D60" i="1"/>
  <c r="D61" i="1" s="1"/>
  <c r="D56" i="1"/>
  <c r="D54" i="1"/>
  <c r="D47" i="1"/>
  <c r="D49" i="1" s="1"/>
  <c r="D39" i="2" s="1"/>
  <c r="D44" i="1"/>
  <c r="D34" i="2" s="1"/>
  <c r="D42" i="1"/>
  <c r="D32" i="2" s="1"/>
  <c r="D31" i="1"/>
  <c r="D30" i="1"/>
  <c r="D10" i="1"/>
  <c r="D11" i="1" s="1"/>
  <c r="D14" i="1" s="1"/>
  <c r="D14" i="2" s="1"/>
  <c r="B65" i="1"/>
  <c r="D65" i="1"/>
  <c r="I65" i="1"/>
  <c r="C64" i="1"/>
  <c r="C65" i="1" s="1"/>
  <c r="B61" i="1"/>
  <c r="E61" i="1"/>
  <c r="I61" i="1"/>
  <c r="C60" i="1"/>
  <c r="C61" i="1" s="1"/>
  <c r="I58" i="1"/>
  <c r="C57" i="1"/>
  <c r="C56" i="1"/>
  <c r="C54" i="1"/>
  <c r="C47" i="1"/>
  <c r="C49" i="1" s="1"/>
  <c r="C39" i="2" s="1"/>
  <c r="C44" i="1"/>
  <c r="C34" i="2" s="1"/>
  <c r="C43" i="1"/>
  <c r="C33" i="2" s="1"/>
  <c r="C42" i="1"/>
  <c r="C32" i="2" s="1"/>
  <c r="C31" i="1"/>
  <c r="C30" i="1"/>
  <c r="G11" i="1"/>
  <c r="G14" i="1" s="1"/>
  <c r="G14" i="2" s="1"/>
  <c r="I11" i="1"/>
  <c r="I14" i="1" s="1"/>
  <c r="I16" i="1" s="1"/>
  <c r="C10" i="1"/>
  <c r="C11" i="1" s="1"/>
  <c r="C14" i="1" s="1"/>
  <c r="C14" i="2" s="1"/>
  <c r="B56" i="1"/>
  <c r="B58" i="1" s="1"/>
  <c r="G49" i="1"/>
  <c r="G39" i="2" s="1"/>
  <c r="I49" i="1"/>
  <c r="B47" i="1"/>
  <c r="B49" i="1" s="1"/>
  <c r="B39" i="2" s="1"/>
  <c r="B44" i="1"/>
  <c r="B34" i="2" s="1"/>
  <c r="B43" i="1"/>
  <c r="B33" i="2" s="1"/>
  <c r="B42" i="1"/>
  <c r="B32" i="2" s="1"/>
  <c r="B39" i="1"/>
  <c r="C39" i="1"/>
  <c r="D39" i="1"/>
  <c r="E39" i="1"/>
  <c r="F39" i="1"/>
  <c r="G39" i="1"/>
  <c r="H39" i="1"/>
  <c r="I39" i="1"/>
  <c r="B31" i="1"/>
  <c r="B30" i="1"/>
  <c r="B10" i="1"/>
  <c r="B11" i="1" s="1"/>
  <c r="B14" i="1" s="1"/>
  <c r="B16" i="1" s="1"/>
  <c r="B24" i="1" s="1"/>
  <c r="D3" i="3" s="1" a="1"/>
  <c r="D3" i="3" s="1"/>
  <c r="I13" i="5" l="1"/>
  <c r="H25" i="1"/>
  <c r="E9" i="3" s="1" a="1"/>
  <c r="E9" i="3" s="1"/>
  <c r="D25" i="1"/>
  <c r="E5" i="3" s="1" a="1"/>
  <c r="E5" i="3" s="1"/>
  <c r="G25" i="1"/>
  <c r="E8" i="3" s="1" a="1"/>
  <c r="E8" i="3" s="1"/>
  <c r="C25" i="1"/>
  <c r="E4" i="3" s="1" a="1"/>
  <c r="E4" i="3" s="1"/>
  <c r="F25" i="1"/>
  <c r="E7" i="3" s="1" a="1"/>
  <c r="E7" i="3" s="1"/>
  <c r="B25" i="1"/>
  <c r="E3" i="3" s="1" a="1"/>
  <c r="E3" i="3" s="1"/>
  <c r="E25" i="1"/>
  <c r="E6" i="3" s="1" a="1"/>
  <c r="E6" i="3" s="1"/>
  <c r="B16" i="2"/>
  <c r="B18" i="1"/>
  <c r="E16" i="1"/>
  <c r="E24" i="1" s="1"/>
  <c r="D6" i="3" s="1" a="1"/>
  <c r="D6" i="3" s="1"/>
  <c r="G11" i="2"/>
  <c r="C11" i="2"/>
  <c r="E10" i="2"/>
  <c r="B11" i="2"/>
  <c r="H16" i="1"/>
  <c r="H24" i="1" s="1"/>
  <c r="D9" i="3" s="1" a="1"/>
  <c r="D9" i="3" s="1"/>
  <c r="D16" i="1"/>
  <c r="D24" i="1" s="1"/>
  <c r="D5" i="3" s="1" a="1"/>
  <c r="D5" i="3" s="1"/>
  <c r="F11" i="2"/>
  <c r="H10" i="2"/>
  <c r="D10" i="2"/>
  <c r="B14" i="2"/>
  <c r="B10" i="2"/>
  <c r="G16" i="1"/>
  <c r="G24" i="1" s="1"/>
  <c r="D8" i="3" s="1" a="1"/>
  <c r="D8" i="3" s="1"/>
  <c r="C16" i="1"/>
  <c r="C24" i="1" s="1"/>
  <c r="D4" i="3" s="1" a="1"/>
  <c r="D4" i="3" s="1"/>
  <c r="E11" i="2"/>
  <c r="C10" i="2"/>
  <c r="F16" i="1"/>
  <c r="F24" i="1" s="1"/>
  <c r="D7" i="3" s="1" a="1"/>
  <c r="D7" i="3" s="1"/>
  <c r="H11" i="2"/>
  <c r="D11" i="2"/>
  <c r="F10" i="2"/>
  <c r="C37" i="2"/>
  <c r="F37" i="2"/>
  <c r="B37" i="2"/>
  <c r="E37" i="2"/>
  <c r="H37" i="2"/>
  <c r="D37" i="2"/>
  <c r="E58" i="1"/>
  <c r="C58" i="1"/>
  <c r="G58" i="1"/>
  <c r="D58" i="1"/>
  <c r="F58" i="1"/>
  <c r="H58" i="1"/>
  <c r="B46" i="1"/>
  <c r="B36" i="2" s="1"/>
  <c r="C46" i="1"/>
  <c r="C36" i="2" s="1"/>
  <c r="D46" i="1"/>
  <c r="D36" i="2" s="1"/>
  <c r="E46" i="1"/>
  <c r="E36" i="2" s="1"/>
  <c r="F46" i="1"/>
  <c r="F36" i="2" s="1"/>
  <c r="G46" i="1"/>
  <c r="G36" i="2" s="1"/>
  <c r="H46" i="1"/>
  <c r="H36" i="2" s="1"/>
  <c r="I46" i="1"/>
  <c r="B34" i="1"/>
  <c r="C34" i="1"/>
  <c r="D34" i="1"/>
  <c r="E34" i="1"/>
  <c r="F34" i="1"/>
  <c r="G34" i="1"/>
  <c r="H34" i="1"/>
  <c r="I34" i="1"/>
  <c r="I40" i="1" s="1"/>
  <c r="I51" i="1" s="1"/>
  <c r="B18" i="2" l="1"/>
  <c r="B23" i="1"/>
  <c r="C3" i="3" s="1" a="1"/>
  <c r="C3" i="3" s="1"/>
  <c r="C16" i="2"/>
  <c r="C18" i="1"/>
  <c r="H16" i="2"/>
  <c r="H18" i="1"/>
  <c r="F16" i="2"/>
  <c r="F18" i="1"/>
  <c r="G16" i="2"/>
  <c r="G18" i="1"/>
  <c r="E18" i="1"/>
  <c r="E16" i="2"/>
  <c r="D16" i="2"/>
  <c r="D18" i="1"/>
  <c r="H40" i="1"/>
  <c r="C40" i="1"/>
  <c r="G40" i="1"/>
  <c r="F40" i="1"/>
  <c r="B40" i="1"/>
  <c r="D40" i="1"/>
  <c r="E40" i="1"/>
  <c r="D18" i="2" l="1"/>
  <c r="D23" i="1"/>
  <c r="C5" i="3" s="1" a="1"/>
  <c r="C5" i="3" s="1"/>
  <c r="C24" i="2"/>
  <c r="C26" i="1"/>
  <c r="F4" i="3" s="1" a="1"/>
  <c r="F4" i="3" s="1"/>
  <c r="F18" i="2"/>
  <c r="F23" i="1"/>
  <c r="C7" i="3" s="1" a="1"/>
  <c r="C7" i="3" s="1"/>
  <c r="C18" i="2"/>
  <c r="C23" i="1"/>
  <c r="C4" i="3" s="1" a="1"/>
  <c r="C4" i="3" s="1"/>
  <c r="G18" i="2"/>
  <c r="G23" i="1"/>
  <c r="C8" i="3" s="1" a="1"/>
  <c r="C8" i="3" s="1"/>
  <c r="D24" i="2"/>
  <c r="D26" i="1"/>
  <c r="F5" i="3" s="1" a="1"/>
  <c r="F5" i="3" s="1"/>
  <c r="B24" i="2"/>
  <c r="B26" i="1"/>
  <c r="F3" i="3" s="1" a="1"/>
  <c r="F3" i="3" s="1"/>
  <c r="H24" i="2"/>
  <c r="H26" i="1"/>
  <c r="F9" i="3" s="1" a="1"/>
  <c r="F9" i="3" s="1"/>
  <c r="E18" i="2"/>
  <c r="E23" i="1"/>
  <c r="C6" i="3" s="1" a="1"/>
  <c r="C6" i="3" s="1"/>
  <c r="H18" i="2"/>
  <c r="H23" i="1"/>
  <c r="C9" i="3" s="1" a="1"/>
  <c r="C9" i="3" s="1"/>
  <c r="F24" i="2"/>
  <c r="F26" i="1"/>
  <c r="F7" i="3" s="1" a="1"/>
  <c r="F7" i="3" s="1"/>
  <c r="E24" i="2"/>
  <c r="E26" i="1"/>
  <c r="F6" i="3" s="1" a="1"/>
  <c r="F6" i="3" s="1"/>
  <c r="G24" i="2"/>
  <c r="G26" i="1"/>
  <c r="F8" i="3" s="1" a="1"/>
  <c r="F8" i="3" s="1"/>
  <c r="C51" i="1"/>
  <c r="C41" i="2" s="1"/>
  <c r="C23" i="2"/>
  <c r="C27" i="2"/>
  <c r="C22" i="2"/>
  <c r="C26" i="2"/>
  <c r="C30" i="2"/>
  <c r="C25" i="2"/>
  <c r="C28" i="2"/>
  <c r="C29" i="2"/>
  <c r="C21" i="2"/>
  <c r="C20" i="2"/>
  <c r="D51" i="1"/>
  <c r="D41" i="2" s="1"/>
  <c r="D28" i="2"/>
  <c r="D23" i="2"/>
  <c r="D27" i="2"/>
  <c r="D22" i="2"/>
  <c r="D26" i="2"/>
  <c r="D30" i="2"/>
  <c r="D25" i="2"/>
  <c r="D29" i="2"/>
  <c r="D20" i="2"/>
  <c r="D21" i="2"/>
  <c r="F51" i="1"/>
  <c r="F41" i="2" s="1"/>
  <c r="F22" i="2"/>
  <c r="F26" i="2"/>
  <c r="F30" i="2"/>
  <c r="F25" i="2"/>
  <c r="F28" i="2"/>
  <c r="F23" i="2"/>
  <c r="F27" i="2"/>
  <c r="F20" i="2"/>
  <c r="F29" i="2"/>
  <c r="F21" i="2"/>
  <c r="E51" i="1"/>
  <c r="E41" i="2" s="1"/>
  <c r="E25" i="2"/>
  <c r="E28" i="2"/>
  <c r="E23" i="2"/>
  <c r="E27" i="2"/>
  <c r="E22" i="2"/>
  <c r="E26" i="2"/>
  <c r="E30" i="2"/>
  <c r="E21" i="2"/>
  <c r="E20" i="2"/>
  <c r="E29" i="2"/>
  <c r="B51" i="1"/>
  <c r="B41" i="2" s="1"/>
  <c r="B22" i="2"/>
  <c r="B26" i="2"/>
  <c r="B30" i="2"/>
  <c r="B25" i="2"/>
  <c r="B28" i="2"/>
  <c r="B23" i="2"/>
  <c r="B27" i="2"/>
  <c r="B21" i="2"/>
  <c r="B29" i="2"/>
  <c r="B20" i="2"/>
  <c r="G51" i="1"/>
  <c r="G41" i="2" s="1"/>
  <c r="G23" i="2"/>
  <c r="G27" i="2"/>
  <c r="G22" i="2"/>
  <c r="G26" i="2"/>
  <c r="G30" i="2"/>
  <c r="G25" i="2"/>
  <c r="G28" i="2"/>
  <c r="G29" i="2"/>
  <c r="G20" i="2"/>
  <c r="G21" i="2"/>
  <c r="H51" i="1"/>
  <c r="H41" i="2" s="1"/>
  <c r="H28" i="2"/>
  <c r="H23" i="2"/>
  <c r="H27" i="2"/>
  <c r="H22" i="2"/>
  <c r="H26" i="2"/>
  <c r="H30" i="2"/>
  <c r="H25" i="2"/>
  <c r="H21" i="2"/>
  <c r="H20" i="2"/>
  <c r="H29" i="2"/>
  <c r="H27" i="1" l="1"/>
  <c r="G9" i="3" s="1" a="1"/>
  <c r="G9" i="3" s="1"/>
  <c r="H9" i="3" s="1"/>
  <c r="C27" i="1"/>
  <c r="G4" i="3" s="1" a="1"/>
  <c r="G4" i="3" s="1"/>
  <c r="H4" i="3" s="1"/>
  <c r="E27" i="1"/>
  <c r="G6" i="3" s="1" a="1"/>
  <c r="G6" i="3" s="1"/>
  <c r="H6" i="3" s="1"/>
  <c r="F27" i="1"/>
  <c r="G7" i="3" s="1" a="1"/>
  <c r="G7" i="3" s="1"/>
  <c r="H7" i="3" s="1"/>
  <c r="D27" i="1"/>
  <c r="G5" i="3" s="1" a="1"/>
  <c r="G5" i="3" s="1"/>
  <c r="H5" i="3" s="1"/>
  <c r="G27" i="1"/>
  <c r="G8" i="3" s="1" a="1"/>
  <c r="G8" i="3" s="1"/>
  <c r="H8" i="3" s="1"/>
  <c r="B27" i="1"/>
  <c r="G3" i="3" s="1" a="1"/>
  <c r="G3" i="3" s="1"/>
  <c r="H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<sst xmlns="http://schemas.openxmlformats.org/spreadsheetml/2006/main" count="148" uniqueCount="78">
  <si>
    <t>Revenue</t>
  </si>
  <si>
    <t>SG&amp;A</t>
  </si>
  <si>
    <t>Int Exp</t>
  </si>
  <si>
    <t>EBIT</t>
  </si>
  <si>
    <t>Depr</t>
  </si>
  <si>
    <t>Amort</t>
  </si>
  <si>
    <t>EBITDA</t>
  </si>
  <si>
    <t>Tax</t>
  </si>
  <si>
    <t>Net</t>
  </si>
  <si>
    <t>Q1 2021</t>
  </si>
  <si>
    <t>Q2 2021</t>
  </si>
  <si>
    <t>Q3 2022</t>
  </si>
  <si>
    <t>Q1 2022</t>
  </si>
  <si>
    <t>Q2 2022</t>
  </si>
  <si>
    <t>Q3 2021</t>
  </si>
  <si>
    <t>Q4 2021</t>
  </si>
  <si>
    <t>Q4 2022</t>
  </si>
  <si>
    <t>Cash</t>
  </si>
  <si>
    <t>Receivables</t>
  </si>
  <si>
    <t>DP</t>
  </si>
  <si>
    <t>Defered Tax</t>
  </si>
  <si>
    <t>Current Asset</t>
  </si>
  <si>
    <t>Fixed Asset</t>
  </si>
  <si>
    <t>Right-to-Use</t>
  </si>
  <si>
    <t>Derivative</t>
  </si>
  <si>
    <t>Other asset</t>
  </si>
  <si>
    <t>Non-current</t>
  </si>
  <si>
    <t>Total Asset</t>
  </si>
  <si>
    <t>Bank loan</t>
  </si>
  <si>
    <t>Payable</t>
  </si>
  <si>
    <t>Other loan</t>
  </si>
  <si>
    <t>Derivative liab</t>
  </si>
  <si>
    <t>Benefit</t>
  </si>
  <si>
    <t>Current liab</t>
  </si>
  <si>
    <t>Total Liabilities</t>
  </si>
  <si>
    <t>Non-Current</t>
  </si>
  <si>
    <t>Cash Received</t>
  </si>
  <si>
    <t>Other ops received</t>
  </si>
  <si>
    <t>Cash payment</t>
  </si>
  <si>
    <t>Ops expense</t>
  </si>
  <si>
    <t>Int expense</t>
  </si>
  <si>
    <t>OCF</t>
  </si>
  <si>
    <t>Fixed asset</t>
  </si>
  <si>
    <t>ICF</t>
  </si>
  <si>
    <t>receive loan</t>
  </si>
  <si>
    <t>loan payment</t>
  </si>
  <si>
    <t>FCF</t>
  </si>
  <si>
    <t>Consumer Financing</t>
  </si>
  <si>
    <t>Rent financing</t>
  </si>
  <si>
    <t>Penalty</t>
  </si>
  <si>
    <t xml:space="preserve">Admin </t>
  </si>
  <si>
    <t>Other Rev</t>
  </si>
  <si>
    <t>Equity</t>
  </si>
  <si>
    <t>Tax Burden</t>
  </si>
  <si>
    <t>Interest Burden</t>
  </si>
  <si>
    <t>EBIT %</t>
  </si>
  <si>
    <t>Asset Turnover</t>
  </si>
  <si>
    <t>Financial leverage</t>
  </si>
  <si>
    <t>Return on Equity</t>
  </si>
  <si>
    <t>EBT</t>
  </si>
  <si>
    <t>EBIT Margin</t>
  </si>
  <si>
    <t>Financial Leverage</t>
  </si>
  <si>
    <t>Listed shares</t>
  </si>
  <si>
    <t>Price</t>
  </si>
  <si>
    <t>MC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</si>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</sst>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_-;_-@_-"/>
    <numFmt numFmtId="165" formatCode="0.0%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/>
    <xf numFmtId="164" fontId="0" fillId="0" borderId="0" xfId="1" applyFont="1"/>
    <xf numFmtId="164" fontId="5" fillId="0" borderId="0" xfId="1" applyFont="1" applyFill="1"/>
    <xf numFmtId="164" fontId="5" fillId="0" borderId="0" xfId="1" applyFont="1" applyFill="1" applyAlignment="1">
      <alignment horizontal="center"/>
    </xf>
    <xf numFmtId="0" fontId="0" fillId="0" borderId="0" xfId="0" applyFont="1"/>
    <xf numFmtId="165" fontId="0" fillId="0" borderId="0" xfId="3" applyNumberFormat="1" applyFont="1"/>
    <xf numFmtId="9" fontId="5" fillId="0" borderId="0" xfId="3" applyFont="1" applyFill="1" applyAlignment="1">
      <alignment horizontal="center"/>
    </xf>
    <xf numFmtId="165" fontId="5" fillId="0" borderId="0" xfId="3" applyNumberFormat="1" applyFont="1" applyFill="1" applyAlignment="1">
      <alignment horizontal="center"/>
    </xf>
    <xf numFmtId="165" fontId="5" fillId="3" borderId="0" xfId="3" applyNumberFormat="1" applyFont="1" applyFill="1" applyAlignment="1">
      <alignment horizontal="center"/>
    </xf>
    <xf numFmtId="165" fontId="0" fillId="0" borderId="0" xfId="3" applyNumberFormat="1" applyFont="1" applyAlignment="1">
      <alignment horizontal="center"/>
    </xf>
    <xf numFmtId="165" fontId="0" fillId="3" borderId="0" xfId="3" applyNumberFormat="1" applyFont="1" applyFill="1" applyAlignment="1">
      <alignment horizontal="center"/>
    </xf>
    <xf numFmtId="9" fontId="0" fillId="0" borderId="0" xfId="3" applyFont="1" applyAlignment="1">
      <alignment horizontal="center"/>
    </xf>
    <xf numFmtId="9" fontId="0" fillId="0" borderId="0" xfId="3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3" fontId="0" fillId="0" borderId="0" xfId="2" applyFont="1" applyAlignment="1">
      <alignment horizontal="center"/>
    </xf>
    <xf numFmtId="43" fontId="0" fillId="0" borderId="0" xfId="2" applyNumberFormat="1" applyFont="1"/>
    <xf numFmtId="0" fontId="6" fillId="0" borderId="0" xfId="0" applyFont="1"/>
    <xf numFmtId="167" fontId="0" fillId="0" borderId="0" xfId="2" applyNumberFormat="1" applyFont="1"/>
    <xf numFmtId="167" fontId="0" fillId="0" borderId="0" xfId="0" applyNumberFormat="1"/>
    <xf numFmtId="167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0" borderId="0" xfId="3" applyFont="1" applyAlignment="1">
      <alignment horizontal="center" vertical="center"/>
    </xf>
    <xf numFmtId="165" fontId="0" fillId="0" borderId="0" xfId="3" applyNumberFormat="1" applyFont="1" applyAlignment="1">
      <alignment horizontal="center" vertical="center"/>
    </xf>
    <xf numFmtId="0" fontId="0" fillId="3" borderId="0" xfId="0" applyFill="1"/>
    <xf numFmtId="9" fontId="0" fillId="3" borderId="0" xfId="3" applyFont="1" applyFill="1" applyAlignment="1">
      <alignment horizontal="center" vertical="center"/>
    </xf>
    <xf numFmtId="9" fontId="0" fillId="3" borderId="0" xfId="3" applyFont="1" applyFill="1"/>
    <xf numFmtId="0" fontId="4" fillId="3" borderId="0" xfId="0" applyFont="1" applyFill="1"/>
    <xf numFmtId="167" fontId="7" fillId="2" borderId="0" xfId="2" applyNumberFormat="1" applyFont="1" applyFill="1" applyAlignment="1">
      <alignment horizontal="center"/>
    </xf>
  </cellXfs>
  <cellStyles count="4">
    <cellStyle name="Comma" xfId="2" builtinId="3"/>
    <cellStyle name="Comma [0]" xfId="1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79A3-5C0C-4282-BCB1-6F1DC907636F}">
  <dimension ref="A2:J69"/>
  <sheetViews>
    <sheetView showGridLines="0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B54" sqref="B54"/>
    </sheetView>
  </sheetViews>
  <sheetFormatPr baseColWidth="10" defaultColWidth="8.83203125" defaultRowHeight="15" x14ac:dyDescent="0.2"/>
  <cols>
    <col min="1" max="1" width="19.1640625" bestFit="1" customWidth="1"/>
    <col min="2" max="10" width="17.6640625" customWidth="1"/>
  </cols>
  <sheetData>
    <row r="2" spans="1:10" x14ac:dyDescent="0.2">
      <c r="B2" s="1" t="s">
        <v>9</v>
      </c>
      <c r="C2" s="1" t="s">
        <v>10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11</v>
      </c>
      <c r="I2" s="1" t="s">
        <v>16</v>
      </c>
      <c r="J2" s="2"/>
    </row>
    <row r="3" spans="1:10" x14ac:dyDescent="0.2">
      <c r="A3" t="s">
        <v>47</v>
      </c>
      <c r="B3" s="6">
        <v>44466</v>
      </c>
      <c r="C3" s="6">
        <v>90313</v>
      </c>
      <c r="D3" s="6">
        <v>138296</v>
      </c>
      <c r="E3" s="6">
        <v>189383</v>
      </c>
      <c r="F3" s="6">
        <v>53465</v>
      </c>
      <c r="G3" s="6">
        <v>107601</v>
      </c>
      <c r="H3" s="6">
        <v>164063</v>
      </c>
      <c r="I3" s="6"/>
      <c r="J3" s="2"/>
    </row>
    <row r="4" spans="1:10" x14ac:dyDescent="0.2">
      <c r="A4" t="s">
        <v>48</v>
      </c>
      <c r="B4" s="6">
        <v>19992</v>
      </c>
      <c r="C4" s="6">
        <v>36794</v>
      </c>
      <c r="D4" s="6">
        <v>51808</v>
      </c>
      <c r="E4" s="6">
        <v>64874</v>
      </c>
      <c r="F4" s="6">
        <v>12455</v>
      </c>
      <c r="G4" s="6">
        <v>23629</v>
      </c>
      <c r="H4" s="6">
        <v>34417</v>
      </c>
      <c r="I4" s="6"/>
      <c r="J4" s="2"/>
    </row>
    <row r="5" spans="1:10" x14ac:dyDescent="0.2">
      <c r="A5" t="s">
        <v>50</v>
      </c>
      <c r="B5" s="6">
        <v>7261</v>
      </c>
      <c r="C5" s="6">
        <v>14942</v>
      </c>
      <c r="D5" s="6">
        <v>21343</v>
      </c>
      <c r="E5" s="6">
        <v>29453</v>
      </c>
      <c r="F5" s="6">
        <v>8012</v>
      </c>
      <c r="G5" s="6">
        <v>15330</v>
      </c>
      <c r="H5" s="6">
        <v>23905</v>
      </c>
      <c r="I5" s="6"/>
      <c r="J5" s="2"/>
    </row>
    <row r="6" spans="1:10" x14ac:dyDescent="0.2">
      <c r="A6" t="s">
        <v>49</v>
      </c>
      <c r="B6" s="6">
        <v>2941</v>
      </c>
      <c r="C6" s="6">
        <v>6641</v>
      </c>
      <c r="D6" s="6">
        <v>9533</v>
      </c>
      <c r="E6" s="6">
        <v>12361</v>
      </c>
      <c r="F6" s="6">
        <v>3299</v>
      </c>
      <c r="G6" s="6">
        <v>6561</v>
      </c>
      <c r="H6" s="6">
        <v>10802</v>
      </c>
      <c r="I6" s="6"/>
      <c r="J6" s="2"/>
    </row>
    <row r="7" spans="1:10" x14ac:dyDescent="0.2">
      <c r="A7" t="s">
        <v>51</v>
      </c>
      <c r="B7" s="6">
        <v>1151</v>
      </c>
      <c r="C7" s="6">
        <v>3643</v>
      </c>
      <c r="D7" s="6">
        <v>4015</v>
      </c>
      <c r="E7" s="6">
        <v>6383</v>
      </c>
      <c r="F7" s="6">
        <v>2110</v>
      </c>
      <c r="G7" s="6">
        <v>6609</v>
      </c>
      <c r="H7" s="6">
        <v>10383</v>
      </c>
      <c r="I7" s="6"/>
      <c r="J7" s="2"/>
    </row>
    <row r="8" spans="1:10" x14ac:dyDescent="0.2">
      <c r="B8" s="6"/>
      <c r="C8" s="6"/>
      <c r="D8" s="6"/>
      <c r="E8" s="6"/>
      <c r="F8" s="6"/>
      <c r="G8" s="6"/>
      <c r="H8" s="6"/>
      <c r="I8" s="6"/>
      <c r="J8" s="2"/>
    </row>
    <row r="9" spans="1:10" x14ac:dyDescent="0.2">
      <c r="A9" s="7" t="s">
        <v>0</v>
      </c>
      <c r="B9" s="5">
        <v>75966</v>
      </c>
      <c r="C9" s="5">
        <v>152581</v>
      </c>
      <c r="D9" s="5">
        <v>225343</v>
      </c>
      <c r="E9" s="5">
        <v>302894</v>
      </c>
      <c r="F9" s="5">
        <v>79420</v>
      </c>
      <c r="G9" s="5">
        <v>159906</v>
      </c>
      <c r="H9" s="5">
        <v>243874</v>
      </c>
      <c r="I9" s="5"/>
      <c r="J9" s="4"/>
    </row>
    <row r="10" spans="1:10" x14ac:dyDescent="0.2">
      <c r="A10" t="s">
        <v>1</v>
      </c>
      <c r="B10" s="4">
        <f>-12447-22607</f>
        <v>-35054</v>
      </c>
      <c r="C10" s="4">
        <f>-25040-44105</f>
        <v>-69145</v>
      </c>
      <c r="D10" s="4">
        <f>-37267-64308</f>
        <v>-101575</v>
      </c>
      <c r="E10" s="4">
        <f>-50448-92072</f>
        <v>-142520</v>
      </c>
      <c r="F10" s="4">
        <f>-22991-13247</f>
        <v>-36238</v>
      </c>
      <c r="G10" s="4">
        <f>-26896-46217</f>
        <v>-73113</v>
      </c>
      <c r="H10" s="4">
        <f>-68319-43252</f>
        <v>-111571</v>
      </c>
      <c r="I10" s="4"/>
      <c r="J10" s="4"/>
    </row>
    <row r="11" spans="1:10" x14ac:dyDescent="0.2">
      <c r="A11" t="s">
        <v>6</v>
      </c>
      <c r="B11" s="4">
        <f t="shared" ref="B11:I11" si="0">B9+B10</f>
        <v>40912</v>
      </c>
      <c r="C11" s="4">
        <f t="shared" si="0"/>
        <v>83436</v>
      </c>
      <c r="D11" s="4">
        <f t="shared" si="0"/>
        <v>123768</v>
      </c>
      <c r="E11" s="4">
        <f t="shared" si="0"/>
        <v>160374</v>
      </c>
      <c r="F11" s="4">
        <f t="shared" si="0"/>
        <v>43182</v>
      </c>
      <c r="G11" s="4">
        <f t="shared" si="0"/>
        <v>86793</v>
      </c>
      <c r="H11" s="4">
        <f t="shared" si="0"/>
        <v>132303</v>
      </c>
      <c r="I11" s="4">
        <f t="shared" si="0"/>
        <v>0</v>
      </c>
      <c r="J11" s="4"/>
    </row>
    <row r="12" spans="1:10" x14ac:dyDescent="0.2">
      <c r="A12" t="s">
        <v>4</v>
      </c>
      <c r="B12" s="4">
        <v>-9404</v>
      </c>
      <c r="C12" s="4">
        <v>-20645</v>
      </c>
      <c r="D12" s="4">
        <v>-50204</v>
      </c>
      <c r="E12" s="4">
        <v>-93384</v>
      </c>
      <c r="F12" s="4">
        <v>-8386</v>
      </c>
      <c r="G12" s="4">
        <v>-17095</v>
      </c>
      <c r="H12" s="4">
        <v>-29080</v>
      </c>
      <c r="I12" s="4"/>
      <c r="J12" s="4"/>
    </row>
    <row r="13" spans="1:10" x14ac:dyDescent="0.2">
      <c r="A13" t="s">
        <v>5</v>
      </c>
      <c r="B13" s="4">
        <v>0</v>
      </c>
      <c r="C13" s="4">
        <v>0</v>
      </c>
      <c r="D13" s="4">
        <v>0</v>
      </c>
      <c r="E13" s="4">
        <v>-590</v>
      </c>
      <c r="F13" s="4">
        <v>-363</v>
      </c>
      <c r="G13" s="4">
        <v>-233</v>
      </c>
      <c r="H13" s="4">
        <v>0</v>
      </c>
      <c r="I13" s="4"/>
      <c r="J13" s="4"/>
    </row>
    <row r="14" spans="1:10" x14ac:dyDescent="0.2">
      <c r="A14" t="s">
        <v>3</v>
      </c>
      <c r="B14" s="4">
        <f t="shared" ref="B14:I14" si="1">IFERROR(SUM(B11:B13),0)</f>
        <v>31508</v>
      </c>
      <c r="C14" s="4">
        <f t="shared" si="1"/>
        <v>62791</v>
      </c>
      <c r="D14" s="4">
        <f t="shared" si="1"/>
        <v>73564</v>
      </c>
      <c r="E14" s="4">
        <f t="shared" si="1"/>
        <v>66400</v>
      </c>
      <c r="F14" s="4">
        <f t="shared" si="1"/>
        <v>34433</v>
      </c>
      <c r="G14" s="4">
        <f t="shared" si="1"/>
        <v>69465</v>
      </c>
      <c r="H14" s="4">
        <f t="shared" si="1"/>
        <v>103223</v>
      </c>
      <c r="I14" s="4">
        <f t="shared" si="1"/>
        <v>0</v>
      </c>
      <c r="J14" s="4"/>
    </row>
    <row r="15" spans="1:10" x14ac:dyDescent="0.2">
      <c r="A15" t="s">
        <v>2</v>
      </c>
      <c r="B15" s="4">
        <v>-17114</v>
      </c>
      <c r="C15" s="4">
        <v>-32626</v>
      </c>
      <c r="D15" s="4">
        <v>-46392</v>
      </c>
      <c r="E15" s="4">
        <v>-58225</v>
      </c>
      <c r="F15" s="4">
        <v>-11792</v>
      </c>
      <c r="G15" s="4">
        <v>-24270</v>
      </c>
      <c r="H15" s="4">
        <v>-39035</v>
      </c>
      <c r="I15" s="4"/>
      <c r="J15" s="4"/>
    </row>
    <row r="16" spans="1:10" x14ac:dyDescent="0.2">
      <c r="A16" t="s">
        <v>59</v>
      </c>
      <c r="B16" s="4">
        <f t="shared" ref="B16:I16" si="2">B15+B14</f>
        <v>14394</v>
      </c>
      <c r="C16" s="4">
        <f t="shared" si="2"/>
        <v>30165</v>
      </c>
      <c r="D16" s="4">
        <f t="shared" si="2"/>
        <v>27172</v>
      </c>
      <c r="E16" s="4">
        <f t="shared" si="2"/>
        <v>8175</v>
      </c>
      <c r="F16" s="4">
        <f t="shared" si="2"/>
        <v>22641</v>
      </c>
      <c r="G16" s="4">
        <f t="shared" si="2"/>
        <v>45195</v>
      </c>
      <c r="H16" s="4">
        <f t="shared" si="2"/>
        <v>64188</v>
      </c>
      <c r="I16" s="4">
        <f t="shared" si="2"/>
        <v>0</v>
      </c>
      <c r="J16" s="4"/>
    </row>
    <row r="17" spans="1:10" x14ac:dyDescent="0.2">
      <c r="A17" t="s">
        <v>7</v>
      </c>
      <c r="B17" s="4">
        <v>-4265</v>
      </c>
      <c r="C17" s="4">
        <v>-4305</v>
      </c>
      <c r="D17" s="4">
        <v>-2937</v>
      </c>
      <c r="E17" s="4">
        <v>-15939</v>
      </c>
      <c r="F17" s="4">
        <v>-829</v>
      </c>
      <c r="G17" s="4">
        <v>-106</v>
      </c>
      <c r="H17" s="4">
        <v>1350</v>
      </c>
      <c r="I17" s="4"/>
      <c r="J17" s="4"/>
    </row>
    <row r="18" spans="1:10" x14ac:dyDescent="0.2">
      <c r="A18" t="s">
        <v>8</v>
      </c>
      <c r="B18" s="4">
        <f t="shared" ref="B18:H18" si="3">B16+B17</f>
        <v>10129</v>
      </c>
      <c r="C18" s="4">
        <f t="shared" si="3"/>
        <v>25860</v>
      </c>
      <c r="D18" s="4">
        <f t="shared" si="3"/>
        <v>24235</v>
      </c>
      <c r="E18" s="4">
        <f t="shared" si="3"/>
        <v>-7764</v>
      </c>
      <c r="F18" s="4">
        <f t="shared" si="3"/>
        <v>21812</v>
      </c>
      <c r="G18" s="4">
        <f t="shared" si="3"/>
        <v>45089</v>
      </c>
      <c r="H18" s="4">
        <f t="shared" si="3"/>
        <v>65538</v>
      </c>
      <c r="I18" s="4"/>
      <c r="J18" s="4"/>
    </row>
    <row r="19" spans="1:10" x14ac:dyDescent="0.2">
      <c r="A19" t="s">
        <v>62</v>
      </c>
      <c r="B19" s="20">
        <v>5687353997</v>
      </c>
      <c r="C19" s="20">
        <v>5687353997</v>
      </c>
      <c r="D19" s="20">
        <v>5687353997</v>
      </c>
      <c r="E19" s="20">
        <v>5687353997</v>
      </c>
      <c r="F19" s="20">
        <v>5687353997</v>
      </c>
      <c r="G19" s="20">
        <v>5687353997</v>
      </c>
      <c r="H19" s="20">
        <v>5687353997</v>
      </c>
      <c r="I19" s="4"/>
      <c r="J19" s="4"/>
    </row>
    <row r="20" spans="1:10" x14ac:dyDescent="0.2">
      <c r="A20" t="s">
        <v>63</v>
      </c>
      <c r="B20" s="4">
        <v>128</v>
      </c>
      <c r="C20" s="4">
        <v>141</v>
      </c>
      <c r="D20" s="4">
        <v>148</v>
      </c>
      <c r="E20" s="4">
        <v>150</v>
      </c>
      <c r="F20" s="4">
        <v>117</v>
      </c>
      <c r="G20" s="4">
        <v>106</v>
      </c>
      <c r="H20" s="4">
        <v>113</v>
      </c>
      <c r="I20" s="4"/>
      <c r="J20" s="4"/>
    </row>
    <row r="21" spans="1:10" x14ac:dyDescent="0.2">
      <c r="A21" t="s">
        <v>64</v>
      </c>
      <c r="B21" s="20">
        <f>B19*B20/1000000</f>
        <v>727981.31161600002</v>
      </c>
      <c r="C21" s="20">
        <f t="shared" ref="C21:H21" si="4">C19*C20/1000000</f>
        <v>801916.91357700003</v>
      </c>
      <c r="D21" s="20">
        <f t="shared" si="4"/>
        <v>841728.39155599999</v>
      </c>
      <c r="E21" s="20">
        <f t="shared" si="4"/>
        <v>853103.09955000004</v>
      </c>
      <c r="F21" s="20">
        <f t="shared" si="4"/>
        <v>665420.41764899995</v>
      </c>
      <c r="G21" s="20">
        <f t="shared" si="4"/>
        <v>602859.523682</v>
      </c>
      <c r="H21" s="20">
        <f t="shared" si="4"/>
        <v>642671.00166099996</v>
      </c>
      <c r="I21" s="4"/>
      <c r="J21" s="4"/>
    </row>
    <row r="22" spans="1:10" x14ac:dyDescent="0.2">
      <c r="I22" s="4"/>
      <c r="J22" s="4"/>
    </row>
    <row r="23" spans="1:10" x14ac:dyDescent="0.2">
      <c r="A23" t="s">
        <v>53</v>
      </c>
      <c r="B23" s="18">
        <f>B18/B16</f>
        <v>0.70369598443796022</v>
      </c>
      <c r="C23" s="18">
        <f>C18/C16</f>
        <v>0.85728493286921925</v>
      </c>
      <c r="D23" s="18">
        <f>D18/D16</f>
        <v>0.89191079051965261</v>
      </c>
      <c r="E23" s="18">
        <f>E18/E16</f>
        <v>-0.94972477064220184</v>
      </c>
      <c r="F23" s="18">
        <f>F18/F16</f>
        <v>0.963385009496047</v>
      </c>
      <c r="G23" s="18">
        <f>G18/G16</f>
        <v>0.99765460781059856</v>
      </c>
      <c r="H23" s="18">
        <f>H18/H16</f>
        <v>1.0210319685922602</v>
      </c>
      <c r="I23" s="18"/>
      <c r="J23" s="4"/>
    </row>
    <row r="24" spans="1:10" x14ac:dyDescent="0.2">
      <c r="A24" t="s">
        <v>54</v>
      </c>
      <c r="B24" s="18">
        <f>B16/B14</f>
        <v>0.45683635901993147</v>
      </c>
      <c r="C24" s="18">
        <f>C16/C14</f>
        <v>0.48040324250290645</v>
      </c>
      <c r="D24" s="18">
        <f>D16/D14</f>
        <v>0.36936545049208852</v>
      </c>
      <c r="E24" s="18">
        <f>E16/E14</f>
        <v>0.12311746987951808</v>
      </c>
      <c r="F24" s="18">
        <f>F16/F14</f>
        <v>0.65753782708448294</v>
      </c>
      <c r="G24" s="18">
        <f>G16/G14</f>
        <v>0.65061541783632049</v>
      </c>
      <c r="H24" s="18">
        <f>H16/H14</f>
        <v>0.62183815622487237</v>
      </c>
      <c r="I24" s="18"/>
      <c r="J24" s="4"/>
    </row>
    <row r="25" spans="1:10" x14ac:dyDescent="0.2">
      <c r="A25" t="s">
        <v>60</v>
      </c>
      <c r="B25" s="18">
        <f>B14/B9</f>
        <v>0.41476449990785352</v>
      </c>
      <c r="C25" s="18">
        <f>C14/C9</f>
        <v>0.41152568144133278</v>
      </c>
      <c r="D25" s="18">
        <f>D14/D9</f>
        <v>0.32645345096142325</v>
      </c>
      <c r="E25" s="18">
        <f>E14/E9</f>
        <v>0.21921860452831685</v>
      </c>
      <c r="F25" s="18">
        <f>F14/F9</f>
        <v>0.43355577940065476</v>
      </c>
      <c r="G25" s="18">
        <f>G14/G9</f>
        <v>0.43441146673670783</v>
      </c>
      <c r="H25" s="18">
        <f>H14/H9</f>
        <v>0.42326365254188636</v>
      </c>
      <c r="I25" s="18"/>
      <c r="J25" s="4"/>
    </row>
    <row r="26" spans="1:10" x14ac:dyDescent="0.2">
      <c r="A26" t="s">
        <v>56</v>
      </c>
      <c r="B26" s="18">
        <f>B9/B40</f>
        <v>3.0267943376800555E-2</v>
      </c>
      <c r="C26" s="18">
        <f>C9/C40</f>
        <v>6.2066502409952706E-2</v>
      </c>
      <c r="D26" s="18">
        <f>D9/D40</f>
        <v>9.6953120731144329E-2</v>
      </c>
      <c r="E26" s="18">
        <f>E9/E40</f>
        <v>0.13037579447305872</v>
      </c>
      <c r="F26" s="18">
        <f>F9/F40</f>
        <v>3.4237230121002875E-2</v>
      </c>
      <c r="G26" s="18">
        <f>G9/G40</f>
        <v>7.1022332332070018E-2</v>
      </c>
      <c r="H26" s="18">
        <f>H9/H40</f>
        <v>0.10081333077035962</v>
      </c>
      <c r="I26" s="18"/>
      <c r="J26" s="4"/>
    </row>
    <row r="27" spans="1:10" x14ac:dyDescent="0.2">
      <c r="A27" t="s">
        <v>61</v>
      </c>
      <c r="B27" s="18">
        <f t="shared" ref="B27:H27" si="5">B40/B51</f>
        <v>3.9111180371042771</v>
      </c>
      <c r="C27" s="18">
        <f t="shared" si="5"/>
        <v>3.7371517437326411</v>
      </c>
      <c r="D27" s="18">
        <f t="shared" si="5"/>
        <v>3.5404526849895581</v>
      </c>
      <c r="E27" s="18">
        <f t="shared" si="5"/>
        <v>3.7152251055044623</v>
      </c>
      <c r="F27" s="18">
        <f t="shared" si="5"/>
        <v>3.5966357760057552</v>
      </c>
      <c r="G27" s="18">
        <f t="shared" si="5"/>
        <v>3.3608025363995426</v>
      </c>
      <c r="H27" s="18">
        <f t="shared" si="5"/>
        <v>3.5312446171497971</v>
      </c>
      <c r="I27" s="18"/>
      <c r="J27" s="4"/>
    </row>
    <row r="28" spans="1:10" x14ac:dyDescent="0.2">
      <c r="B28" s="8"/>
      <c r="C28" s="8"/>
      <c r="D28" s="8"/>
      <c r="E28" s="8"/>
      <c r="F28" s="8"/>
      <c r="G28" s="8"/>
      <c r="H28" s="8"/>
      <c r="I28" s="18"/>
      <c r="J28" s="4"/>
    </row>
    <row r="29" spans="1:10" x14ac:dyDescent="0.2"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t="s">
        <v>17</v>
      </c>
      <c r="B30" s="4">
        <f>21732+16896</f>
        <v>38628</v>
      </c>
      <c r="C30" s="4">
        <f>23239+27350</f>
        <v>50589</v>
      </c>
      <c r="D30" s="4">
        <f>13952+19706</f>
        <v>33658</v>
      </c>
      <c r="E30" s="4">
        <f>80326+15311</f>
        <v>95637</v>
      </c>
      <c r="F30" s="4">
        <f>29990+24723</f>
        <v>54713</v>
      </c>
      <c r="G30" s="4">
        <f>24907+25934</f>
        <v>50841</v>
      </c>
      <c r="H30" s="4">
        <f>27384+38206</f>
        <v>65590</v>
      </c>
      <c r="I30" s="4"/>
      <c r="J30" s="4"/>
    </row>
    <row r="31" spans="1:10" x14ac:dyDescent="0.2">
      <c r="A31" t="s">
        <v>18</v>
      </c>
      <c r="B31" s="4">
        <f>1135983+1107223+107032</f>
        <v>2350238</v>
      </c>
      <c r="C31" s="4">
        <f>1180870+960780+147474</f>
        <v>2289124</v>
      </c>
      <c r="D31" s="4">
        <f>1197366+833006+142345</f>
        <v>2172717</v>
      </c>
      <c r="E31" s="4">
        <f>1193675+835778+90728</f>
        <v>2120181</v>
      </c>
      <c r="F31" s="4">
        <f>1317809+751709+90049</f>
        <v>2159567</v>
      </c>
      <c r="G31" s="4">
        <f>1341918+655894+89785</f>
        <v>2087597</v>
      </c>
      <c r="H31" s="4">
        <f>1434154+686842+2074+88511</f>
        <v>2211581</v>
      </c>
      <c r="I31" s="4"/>
      <c r="J31" s="4"/>
    </row>
    <row r="32" spans="1:10" x14ac:dyDescent="0.2">
      <c r="A32" t="s">
        <v>19</v>
      </c>
      <c r="B32" s="4">
        <v>3033</v>
      </c>
      <c r="C32" s="4">
        <v>2230</v>
      </c>
      <c r="D32" s="4">
        <v>1521</v>
      </c>
      <c r="E32" s="4">
        <v>1001</v>
      </c>
      <c r="F32" s="4">
        <v>3643</v>
      </c>
      <c r="G32" s="4">
        <v>2714</v>
      </c>
      <c r="H32" s="4">
        <v>2383</v>
      </c>
      <c r="I32" s="4"/>
      <c r="J32" s="4"/>
    </row>
    <row r="33" spans="1:10" x14ac:dyDescent="0.2">
      <c r="A33" t="s">
        <v>24</v>
      </c>
      <c r="B33" s="4">
        <v>0</v>
      </c>
      <c r="C33" s="4">
        <v>0</v>
      </c>
      <c r="D33" s="4">
        <v>72</v>
      </c>
      <c r="E33" s="4">
        <v>1887</v>
      </c>
      <c r="F33" s="4">
        <v>588</v>
      </c>
      <c r="G33" s="4">
        <v>6264</v>
      </c>
      <c r="H33" s="4">
        <v>3096</v>
      </c>
      <c r="I33" s="4"/>
      <c r="J33" s="4"/>
    </row>
    <row r="34" spans="1:10" x14ac:dyDescent="0.2">
      <c r="A34" s="3" t="s">
        <v>21</v>
      </c>
      <c r="B34" s="4">
        <f t="shared" ref="B34:I34" si="6">IFERROR(SUM(B30:B33),0)</f>
        <v>2391899</v>
      </c>
      <c r="C34" s="4">
        <f t="shared" si="6"/>
        <v>2341943</v>
      </c>
      <c r="D34" s="4">
        <f t="shared" si="6"/>
        <v>2207968</v>
      </c>
      <c r="E34" s="4">
        <f t="shared" si="6"/>
        <v>2218706</v>
      </c>
      <c r="F34" s="4">
        <f t="shared" si="6"/>
        <v>2218511</v>
      </c>
      <c r="G34" s="4">
        <f t="shared" si="6"/>
        <v>2147416</v>
      </c>
      <c r="H34" s="4">
        <f t="shared" si="6"/>
        <v>2282650</v>
      </c>
      <c r="I34" s="4">
        <f t="shared" si="6"/>
        <v>0</v>
      </c>
      <c r="J34" s="4"/>
    </row>
    <row r="35" spans="1:10" x14ac:dyDescent="0.2">
      <c r="A35" t="s">
        <v>20</v>
      </c>
      <c r="B35" s="4">
        <v>17498</v>
      </c>
      <c r="C35" s="4">
        <v>17361</v>
      </c>
      <c r="D35" s="4">
        <v>18651</v>
      </c>
      <c r="E35" s="4">
        <v>5609</v>
      </c>
      <c r="F35" s="4">
        <v>4698</v>
      </c>
      <c r="G35" s="4">
        <v>5238</v>
      </c>
      <c r="H35" s="4">
        <v>8415</v>
      </c>
      <c r="I35" s="4"/>
      <c r="J35" s="4"/>
    </row>
    <row r="36" spans="1:10" x14ac:dyDescent="0.2">
      <c r="A36" t="s">
        <v>23</v>
      </c>
      <c r="B36" s="4">
        <v>8448</v>
      </c>
      <c r="C36" s="4">
        <v>7669</v>
      </c>
      <c r="D36" s="4">
        <v>6016</v>
      </c>
      <c r="E36" s="4">
        <v>8653</v>
      </c>
      <c r="F36" s="4">
        <v>6666</v>
      </c>
      <c r="G36" s="4">
        <v>4815</v>
      </c>
      <c r="H36" s="4">
        <v>21012</v>
      </c>
      <c r="I36" s="4"/>
      <c r="J36" s="4"/>
    </row>
    <row r="37" spans="1:10" x14ac:dyDescent="0.2">
      <c r="A37" t="s">
        <v>22</v>
      </c>
      <c r="B37" s="4">
        <v>40025</v>
      </c>
      <c r="C37" s="4">
        <v>40213</v>
      </c>
      <c r="D37" s="4">
        <v>38820</v>
      </c>
      <c r="E37" s="4">
        <v>39824</v>
      </c>
      <c r="F37" s="4">
        <v>37692</v>
      </c>
      <c r="G37" s="4">
        <v>37824</v>
      </c>
      <c r="H37" s="4">
        <v>52118</v>
      </c>
      <c r="I37" s="4"/>
      <c r="J37" s="4"/>
    </row>
    <row r="38" spans="1:10" x14ac:dyDescent="0.2">
      <c r="A38" t="s">
        <v>25</v>
      </c>
      <c r="B38" s="4">
        <v>51914</v>
      </c>
      <c r="C38" s="4">
        <v>51161</v>
      </c>
      <c r="D38" s="4">
        <v>52792</v>
      </c>
      <c r="E38" s="4">
        <v>50446</v>
      </c>
      <c r="F38" s="4">
        <v>52130</v>
      </c>
      <c r="G38" s="4">
        <v>56196</v>
      </c>
      <c r="H38" s="4">
        <v>54870</v>
      </c>
      <c r="I38" s="4"/>
      <c r="J38" s="4"/>
    </row>
    <row r="39" spans="1:10" x14ac:dyDescent="0.2">
      <c r="A39" s="3" t="s">
        <v>26</v>
      </c>
      <c r="B39" s="4">
        <f t="shared" ref="B39:I39" si="7">IFERROR(SUM(B35:B38),0)</f>
        <v>117885</v>
      </c>
      <c r="C39" s="4">
        <f t="shared" si="7"/>
        <v>116404</v>
      </c>
      <c r="D39" s="4">
        <f t="shared" si="7"/>
        <v>116279</v>
      </c>
      <c r="E39" s="4">
        <f t="shared" si="7"/>
        <v>104532</v>
      </c>
      <c r="F39" s="4">
        <f t="shared" si="7"/>
        <v>101186</v>
      </c>
      <c r="G39" s="4">
        <f t="shared" si="7"/>
        <v>104073</v>
      </c>
      <c r="H39" s="4">
        <f t="shared" si="7"/>
        <v>136415</v>
      </c>
      <c r="I39" s="4">
        <f t="shared" si="7"/>
        <v>0</v>
      </c>
      <c r="J39" s="4"/>
    </row>
    <row r="40" spans="1:10" x14ac:dyDescent="0.2">
      <c r="A40" s="3" t="s">
        <v>27</v>
      </c>
      <c r="B40" s="4">
        <f t="shared" ref="B40:I40" si="8">B39+B34</f>
        <v>2509784</v>
      </c>
      <c r="C40" s="4">
        <f t="shared" si="8"/>
        <v>2458347</v>
      </c>
      <c r="D40" s="4">
        <f t="shared" si="8"/>
        <v>2324247</v>
      </c>
      <c r="E40" s="4">
        <f t="shared" si="8"/>
        <v>2323238</v>
      </c>
      <c r="F40" s="4">
        <f t="shared" si="8"/>
        <v>2319697</v>
      </c>
      <c r="G40" s="4">
        <f t="shared" si="8"/>
        <v>2251489</v>
      </c>
      <c r="H40" s="4">
        <f t="shared" si="8"/>
        <v>2419065</v>
      </c>
      <c r="I40" s="4">
        <f t="shared" si="8"/>
        <v>0</v>
      </c>
      <c r="J40" s="4"/>
    </row>
    <row r="41" spans="1:10" x14ac:dyDescent="0.2"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t="s">
        <v>28</v>
      </c>
      <c r="B42" s="4">
        <f>1113619+659587</f>
        <v>1773206</v>
      </c>
      <c r="C42" s="4">
        <f>1017602+692657</f>
        <v>1710259</v>
      </c>
      <c r="D42" s="4">
        <f>949652+626862</f>
        <v>1576514</v>
      </c>
      <c r="E42" s="4">
        <f>561886+1050871</f>
        <v>1612757</v>
      </c>
      <c r="F42" s="4">
        <f>997720+575569</f>
        <v>1573289</v>
      </c>
      <c r="G42" s="4">
        <f>925042+569462</f>
        <v>1494504</v>
      </c>
      <c r="H42" s="4">
        <f>676969+956122</f>
        <v>1633091</v>
      </c>
      <c r="I42" s="4"/>
      <c r="J42" s="4"/>
    </row>
    <row r="43" spans="1:10" x14ac:dyDescent="0.2">
      <c r="A43" t="s">
        <v>29</v>
      </c>
      <c r="B43" s="4">
        <f>9365</f>
        <v>9365</v>
      </c>
      <c r="C43" s="4">
        <f>7578</f>
        <v>7578</v>
      </c>
      <c r="D43" s="4">
        <v>8804</v>
      </c>
      <c r="E43" s="4">
        <v>846</v>
      </c>
      <c r="F43" s="4">
        <v>3698</v>
      </c>
      <c r="G43" s="4">
        <v>6120</v>
      </c>
      <c r="H43" s="4">
        <v>1078</v>
      </c>
      <c r="I43" s="4"/>
      <c r="J43" s="4"/>
    </row>
    <row r="44" spans="1:10" x14ac:dyDescent="0.2">
      <c r="A44" t="s">
        <v>30</v>
      </c>
      <c r="B44" s="4">
        <f>20036+40407</f>
        <v>60443</v>
      </c>
      <c r="C44" s="4">
        <f>18120+44267</f>
        <v>62387</v>
      </c>
      <c r="D44" s="4">
        <f>16095+46224</f>
        <v>62319</v>
      </c>
      <c r="E44" s="4">
        <f>47646+14269</f>
        <v>61915</v>
      </c>
      <c r="F44" s="4">
        <f>61397+12555</f>
        <v>73952</v>
      </c>
      <c r="G44" s="4">
        <f>11136+50045</f>
        <v>61181</v>
      </c>
      <c r="H44" s="4">
        <f>9529+50277</f>
        <v>59806</v>
      </c>
      <c r="I44" s="4"/>
      <c r="J44" s="4"/>
    </row>
    <row r="45" spans="1:10" x14ac:dyDescent="0.2">
      <c r="A45" t="s">
        <v>31</v>
      </c>
      <c r="B45" s="4">
        <v>1054</v>
      </c>
      <c r="C45" s="4">
        <v>617</v>
      </c>
      <c r="D45" s="4">
        <v>328</v>
      </c>
      <c r="E45" s="4">
        <v>179</v>
      </c>
      <c r="F45" s="4">
        <v>229</v>
      </c>
      <c r="G45" s="4">
        <v>10</v>
      </c>
      <c r="H45" s="4">
        <v>0</v>
      </c>
      <c r="I45" s="4"/>
      <c r="J45" s="4"/>
    </row>
    <row r="46" spans="1:10" x14ac:dyDescent="0.2">
      <c r="A46" s="3" t="s">
        <v>33</v>
      </c>
      <c r="B46" s="4">
        <f t="shared" ref="B46:I46" si="9">IFERROR(SUM(B42:B45),0)</f>
        <v>1844068</v>
      </c>
      <c r="C46" s="4">
        <f t="shared" si="9"/>
        <v>1780841</v>
      </c>
      <c r="D46" s="4">
        <f t="shared" si="9"/>
        <v>1647965</v>
      </c>
      <c r="E46" s="4">
        <f t="shared" si="9"/>
        <v>1675697</v>
      </c>
      <c r="F46" s="4">
        <f t="shared" si="9"/>
        <v>1651168</v>
      </c>
      <c r="G46" s="4">
        <f t="shared" si="9"/>
        <v>1561815</v>
      </c>
      <c r="H46" s="4">
        <f t="shared" si="9"/>
        <v>1693975</v>
      </c>
      <c r="I46" s="4">
        <f t="shared" si="9"/>
        <v>0</v>
      </c>
      <c r="J46" s="4"/>
    </row>
    <row r="47" spans="1:10" x14ac:dyDescent="0.2">
      <c r="A47" t="s">
        <v>30</v>
      </c>
      <c r="B47" s="4">
        <f>8381+1353</f>
        <v>9734</v>
      </c>
      <c r="C47" s="4">
        <f>2173+4745</f>
        <v>6918</v>
      </c>
      <c r="D47" s="4">
        <f>2595+5199</f>
        <v>7794</v>
      </c>
      <c r="E47" s="4">
        <f>2838+722</f>
        <v>3560</v>
      </c>
      <c r="F47" s="4">
        <f>1626+5590</f>
        <v>7216</v>
      </c>
      <c r="G47" s="4">
        <f>2025+2338</f>
        <v>4363</v>
      </c>
      <c r="H47" s="4">
        <f>3396+4619</f>
        <v>8015</v>
      </c>
      <c r="I47" s="4"/>
      <c r="J47" s="4"/>
    </row>
    <row r="48" spans="1:10" x14ac:dyDescent="0.2">
      <c r="A48" t="s">
        <v>32</v>
      </c>
      <c r="B48" s="4">
        <v>7590</v>
      </c>
      <c r="C48" s="4">
        <v>78803</v>
      </c>
      <c r="D48" s="4">
        <v>8511</v>
      </c>
      <c r="E48" s="4">
        <v>4950</v>
      </c>
      <c r="F48" s="4">
        <v>11961</v>
      </c>
      <c r="G48" s="4">
        <v>12409</v>
      </c>
      <c r="H48" s="4">
        <v>12416</v>
      </c>
      <c r="I48" s="4"/>
      <c r="J48" s="4"/>
    </row>
    <row r="49" spans="1:10" x14ac:dyDescent="0.2">
      <c r="A49" s="3" t="s">
        <v>35</v>
      </c>
      <c r="B49" s="4">
        <f>IFERROR(SUM(B47:B48),0)</f>
        <v>17324</v>
      </c>
      <c r="C49" s="4">
        <f t="shared" ref="C49:I49" si="10">IFERROR(SUM(C47:C48),0)</f>
        <v>85721</v>
      </c>
      <c r="D49" s="4">
        <f t="shared" si="10"/>
        <v>16305</v>
      </c>
      <c r="E49" s="4">
        <f t="shared" si="10"/>
        <v>8510</v>
      </c>
      <c r="F49" s="4">
        <f t="shared" si="10"/>
        <v>19177</v>
      </c>
      <c r="G49" s="4">
        <f t="shared" si="10"/>
        <v>16772</v>
      </c>
      <c r="H49" s="4">
        <f t="shared" si="10"/>
        <v>20431</v>
      </c>
      <c r="I49" s="4">
        <f t="shared" si="10"/>
        <v>0</v>
      </c>
      <c r="J49" s="4"/>
    </row>
    <row r="50" spans="1:10" x14ac:dyDescent="0.2">
      <c r="A50" s="3" t="s">
        <v>34</v>
      </c>
      <c r="B50" s="4">
        <v>1868079</v>
      </c>
      <c r="C50" s="4">
        <v>1800534</v>
      </c>
      <c r="D50" s="4">
        <v>1667764</v>
      </c>
      <c r="E50" s="4">
        <v>1697909</v>
      </c>
      <c r="F50" s="4">
        <v>1674734</v>
      </c>
      <c r="G50" s="4">
        <v>1581563</v>
      </c>
      <c r="H50" s="4">
        <v>1734019</v>
      </c>
      <c r="I50" s="4"/>
      <c r="J50" s="4"/>
    </row>
    <row r="51" spans="1:10" x14ac:dyDescent="0.2">
      <c r="A51" s="3" t="s">
        <v>52</v>
      </c>
      <c r="B51" s="4">
        <f>B40-B50</f>
        <v>641705</v>
      </c>
      <c r="C51" s="4">
        <f t="shared" ref="C51:I51" si="11">C40-C50</f>
        <v>657813</v>
      </c>
      <c r="D51" s="4">
        <f t="shared" si="11"/>
        <v>656483</v>
      </c>
      <c r="E51" s="4">
        <f t="shared" si="11"/>
        <v>625329</v>
      </c>
      <c r="F51" s="4">
        <f t="shared" si="11"/>
        <v>644963</v>
      </c>
      <c r="G51" s="4">
        <f t="shared" si="11"/>
        <v>669926</v>
      </c>
      <c r="H51" s="4">
        <f t="shared" si="11"/>
        <v>685046</v>
      </c>
      <c r="I51" s="4">
        <f t="shared" si="11"/>
        <v>0</v>
      </c>
      <c r="J51" s="4"/>
    </row>
    <row r="52" spans="1:10" x14ac:dyDescent="0.2"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t="s">
        <v>36</v>
      </c>
      <c r="B53" s="4">
        <v>326708</v>
      </c>
      <c r="C53" s="4">
        <v>727943</v>
      </c>
      <c r="D53" s="4">
        <v>1112067</v>
      </c>
      <c r="E53" s="4">
        <v>1488045</v>
      </c>
      <c r="F53" s="4">
        <v>349914</v>
      </c>
      <c r="G53" s="4">
        <f>730888+4767</f>
        <v>735655</v>
      </c>
      <c r="H53" s="4">
        <f>1096971+7116</f>
        <v>1104087</v>
      </c>
      <c r="I53" s="4"/>
      <c r="J53" s="4"/>
    </row>
    <row r="54" spans="1:10" x14ac:dyDescent="0.2">
      <c r="A54" t="s">
        <v>37</v>
      </c>
      <c r="B54" s="4">
        <v>45844</v>
      </c>
      <c r="C54" s="4">
        <f>1016+1146</f>
        <v>2162</v>
      </c>
      <c r="D54" s="4">
        <f>1416+1670</f>
        <v>3086</v>
      </c>
      <c r="E54" s="4">
        <f>8167+1970</f>
        <v>10137</v>
      </c>
      <c r="F54" s="4">
        <f>2383+204</f>
        <v>2587</v>
      </c>
      <c r="G54" s="4">
        <v>1045</v>
      </c>
      <c r="H54" s="4">
        <v>2537</v>
      </c>
      <c r="I54" s="4"/>
      <c r="J54" s="4"/>
    </row>
    <row r="55" spans="1:10" x14ac:dyDescent="0.2">
      <c r="A55" t="s">
        <v>38</v>
      </c>
      <c r="B55" s="4">
        <v>-231495</v>
      </c>
      <c r="C55" s="4">
        <v>-457563</v>
      </c>
      <c r="D55" s="4">
        <v>-679398</v>
      </c>
      <c r="E55" s="4">
        <v>-1034887</v>
      </c>
      <c r="F55" s="4">
        <v>-318205</v>
      </c>
      <c r="G55" s="4">
        <v>-590396</v>
      </c>
      <c r="H55" s="4">
        <v>-1034858</v>
      </c>
      <c r="I55" s="4"/>
      <c r="J55" s="4"/>
    </row>
    <row r="56" spans="1:10" x14ac:dyDescent="0.2">
      <c r="A56" t="s">
        <v>39</v>
      </c>
      <c r="B56" s="4">
        <f>-20774-15801</f>
        <v>-36575</v>
      </c>
      <c r="C56" s="4">
        <f>-37621-37188</f>
        <v>-74809</v>
      </c>
      <c r="D56" s="4">
        <f>-50648-55485</f>
        <v>-106133</v>
      </c>
      <c r="E56" s="4">
        <f>-20446-66650</f>
        <v>-87096</v>
      </c>
      <c r="F56" s="4">
        <f>-19018-4315</f>
        <v>-23333</v>
      </c>
      <c r="G56" s="4">
        <f>-8998-35173</f>
        <v>-44171</v>
      </c>
      <c r="H56" s="4">
        <f>-52293-9643</f>
        <v>-61936</v>
      </c>
      <c r="I56" s="4"/>
      <c r="J56" s="4"/>
    </row>
    <row r="57" spans="1:10" x14ac:dyDescent="0.2">
      <c r="A57" t="s">
        <v>40</v>
      </c>
      <c r="B57" s="4">
        <v>-17110</v>
      </c>
      <c r="C57" s="4">
        <f>-30686+244</f>
        <v>-30442</v>
      </c>
      <c r="D57" s="4">
        <v>-43140</v>
      </c>
      <c r="E57" s="4">
        <v>-58832</v>
      </c>
      <c r="F57" s="4">
        <f>-10498+76</f>
        <v>-10422</v>
      </c>
      <c r="G57" s="4">
        <f>-22416+174</f>
        <v>-22242</v>
      </c>
      <c r="H57" s="4">
        <f>-35219+402</f>
        <v>-34817</v>
      </c>
      <c r="I57" s="4"/>
      <c r="J57" s="4"/>
    </row>
    <row r="58" spans="1:10" x14ac:dyDescent="0.2">
      <c r="A58" s="3" t="s">
        <v>41</v>
      </c>
      <c r="B58" s="4">
        <f t="shared" ref="B58:I58" si="12">SUM(B53:B57)</f>
        <v>87372</v>
      </c>
      <c r="C58" s="4">
        <f t="shared" si="12"/>
        <v>167291</v>
      </c>
      <c r="D58" s="4">
        <f t="shared" si="12"/>
        <v>286482</v>
      </c>
      <c r="E58" s="4">
        <f t="shared" si="12"/>
        <v>317367</v>
      </c>
      <c r="F58" s="4">
        <f t="shared" si="12"/>
        <v>541</v>
      </c>
      <c r="G58" s="4">
        <f t="shared" si="12"/>
        <v>79891</v>
      </c>
      <c r="H58" s="4">
        <f t="shared" si="12"/>
        <v>-24987</v>
      </c>
      <c r="I58" s="4">
        <f t="shared" si="12"/>
        <v>0</v>
      </c>
      <c r="J58" s="4"/>
    </row>
    <row r="59" spans="1:10" x14ac:dyDescent="0.2"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t="s">
        <v>42</v>
      </c>
      <c r="B60" s="4">
        <v>-2669</v>
      </c>
      <c r="C60" s="4">
        <f>-5202+78</f>
        <v>-5124</v>
      </c>
      <c r="D60" s="4">
        <f>-6127+79</f>
        <v>-6048</v>
      </c>
      <c r="E60" s="4">
        <v>-9578</v>
      </c>
      <c r="F60" s="4">
        <f>-595+394</f>
        <v>-201</v>
      </c>
      <c r="G60" s="4">
        <f>411-3231</f>
        <v>-2820</v>
      </c>
      <c r="H60" s="4">
        <f>-20887+966</f>
        <v>-19921</v>
      </c>
      <c r="I60" s="4"/>
      <c r="J60" s="4"/>
    </row>
    <row r="61" spans="1:10" x14ac:dyDescent="0.2">
      <c r="A61" s="3" t="s">
        <v>43</v>
      </c>
      <c r="B61" s="4">
        <f t="shared" ref="B61:I61" si="13">B60</f>
        <v>-2669</v>
      </c>
      <c r="C61" s="4">
        <f t="shared" si="13"/>
        <v>-5124</v>
      </c>
      <c r="D61" s="4">
        <f t="shared" si="13"/>
        <v>-6048</v>
      </c>
      <c r="E61" s="4">
        <f t="shared" si="13"/>
        <v>-9578</v>
      </c>
      <c r="F61" s="4">
        <f t="shared" si="13"/>
        <v>-201</v>
      </c>
      <c r="G61" s="4">
        <f t="shared" si="13"/>
        <v>-2820</v>
      </c>
      <c r="H61" s="4">
        <f t="shared" si="13"/>
        <v>-19921</v>
      </c>
      <c r="I61" s="4">
        <f t="shared" si="13"/>
        <v>0</v>
      </c>
      <c r="J61" s="4"/>
    </row>
    <row r="62" spans="1:10" x14ac:dyDescent="0.2"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t="s">
        <v>44</v>
      </c>
      <c r="B63" s="4">
        <v>476859</v>
      </c>
      <c r="C63" s="4">
        <v>1647617</v>
      </c>
      <c r="D63" s="4">
        <v>2094105</v>
      </c>
      <c r="E63" s="4">
        <v>2590945</v>
      </c>
      <c r="F63" s="4">
        <v>425305</v>
      </c>
      <c r="G63" s="4">
        <v>538729</v>
      </c>
      <c r="H63" s="4">
        <v>835726</v>
      </c>
      <c r="I63" s="4"/>
      <c r="J63" s="4"/>
    </row>
    <row r="64" spans="1:10" x14ac:dyDescent="0.2">
      <c r="A64" t="s">
        <v>45</v>
      </c>
      <c r="B64" s="4">
        <v>-653494</v>
      </c>
      <c r="C64" s="4">
        <f>-1887201-3567</f>
        <v>-1890768</v>
      </c>
      <c r="D64" s="4">
        <v>-2467433</v>
      </c>
      <c r="E64" s="4">
        <f>-2928030-7156</f>
        <v>-2935186</v>
      </c>
      <c r="F64" s="4">
        <f>-464774-1796</f>
        <v>-466570</v>
      </c>
      <c r="G64" s="4">
        <f>-656982-3614</f>
        <v>-660596</v>
      </c>
      <c r="H64" s="4">
        <f>-815392-5473</f>
        <v>-820865</v>
      </c>
      <c r="I64" s="4"/>
      <c r="J64" s="4"/>
    </row>
    <row r="65" spans="1:10" x14ac:dyDescent="0.2">
      <c r="A65" s="3" t="s">
        <v>46</v>
      </c>
      <c r="B65" s="4">
        <f t="shared" ref="B65:I65" si="14">B63+B64</f>
        <v>-176635</v>
      </c>
      <c r="C65" s="4">
        <f t="shared" si="14"/>
        <v>-243151</v>
      </c>
      <c r="D65" s="4">
        <f t="shared" si="14"/>
        <v>-373328</v>
      </c>
      <c r="E65" s="4">
        <f t="shared" si="14"/>
        <v>-344241</v>
      </c>
      <c r="F65" s="4">
        <f t="shared" si="14"/>
        <v>-41265</v>
      </c>
      <c r="G65" s="4">
        <f t="shared" si="14"/>
        <v>-121867</v>
      </c>
      <c r="H65" s="4">
        <f t="shared" si="14"/>
        <v>14861</v>
      </c>
      <c r="I65" s="4">
        <f t="shared" si="14"/>
        <v>0</v>
      </c>
      <c r="J65" s="4"/>
    </row>
    <row r="66" spans="1:10" x14ac:dyDescent="0.2"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"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B69" s="4"/>
      <c r="C69" s="4"/>
      <c r="D69" s="4"/>
      <c r="E69" s="4"/>
      <c r="F69" s="4"/>
      <c r="G69" s="4"/>
      <c r="H69" s="4"/>
      <c r="I69" s="4"/>
      <c r="J69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282E-61FB-B74C-A2C2-7D776EACD0CC}">
  <dimension ref="A2:J59"/>
  <sheetViews>
    <sheetView showGridLines="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20" sqref="A20:XFD20"/>
    </sheetView>
  </sheetViews>
  <sheetFormatPr baseColWidth="10" defaultColWidth="8.83203125" defaultRowHeight="15" x14ac:dyDescent="0.2"/>
  <cols>
    <col min="1" max="1" width="19.1640625" bestFit="1" customWidth="1"/>
    <col min="2" max="10" width="17.6640625" customWidth="1"/>
  </cols>
  <sheetData>
    <row r="2" spans="1:10" x14ac:dyDescent="0.2">
      <c r="B2" s="1" t="s">
        <v>9</v>
      </c>
      <c r="C2" s="1" t="s">
        <v>10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11</v>
      </c>
      <c r="I2" s="1" t="s">
        <v>16</v>
      </c>
      <c r="J2" s="2"/>
    </row>
    <row r="3" spans="1:10" x14ac:dyDescent="0.2">
      <c r="A3" t="s">
        <v>47</v>
      </c>
      <c r="B3" s="10">
        <f>ABS(Data!B3/Data!B$9)</f>
        <v>0.58534081036253061</v>
      </c>
      <c r="C3" s="10">
        <f>ABS(Data!C3/Data!C$9)</f>
        <v>0.59190200614755439</v>
      </c>
      <c r="D3" s="10">
        <f>ABS(Data!D3/Data!D$9)</f>
        <v>0.61371331703225751</v>
      </c>
      <c r="E3" s="10">
        <f>ABS(Data!E3/Data!E$9)</f>
        <v>0.62524513526184078</v>
      </c>
      <c r="F3" s="10">
        <f>ABS(Data!F3/Data!F$9)</f>
        <v>0.67319315033996474</v>
      </c>
      <c r="G3" s="10">
        <f>ABS(Data!G3/Data!G$9)</f>
        <v>0.67290157967806086</v>
      </c>
      <c r="H3" s="11">
        <f>ABS(Data!H3/Data!H$9)</f>
        <v>0.67273674110401271</v>
      </c>
      <c r="I3" s="6"/>
      <c r="J3" s="2"/>
    </row>
    <row r="4" spans="1:10" x14ac:dyDescent="0.2">
      <c r="A4" t="s">
        <v>48</v>
      </c>
      <c r="B4" s="10">
        <f>ABS(Data!B4/Data!B$9)</f>
        <v>0.26317036568991392</v>
      </c>
      <c r="C4" s="10">
        <f>ABS(Data!C4/Data!C$9)</f>
        <v>0.24114404807938078</v>
      </c>
      <c r="D4" s="10">
        <f>ABS(Data!D4/Data!D$9)</f>
        <v>0.22990729687631745</v>
      </c>
      <c r="E4" s="10">
        <f>ABS(Data!E4/Data!E$9)</f>
        <v>0.2141805384061751</v>
      </c>
      <c r="F4" s="10">
        <f>ABS(Data!F4/Data!F$9)</f>
        <v>0.15682447746159658</v>
      </c>
      <c r="G4" s="10">
        <f>ABS(Data!G4/Data!G$9)</f>
        <v>0.14776806373744575</v>
      </c>
      <c r="H4" s="11">
        <f>ABS(Data!H4/Data!H$9)</f>
        <v>0.14112615530970912</v>
      </c>
      <c r="I4" s="6"/>
      <c r="J4" s="2"/>
    </row>
    <row r="5" spans="1:10" x14ac:dyDescent="0.2">
      <c r="A5" t="s">
        <v>50</v>
      </c>
      <c r="B5" s="10">
        <f>ABS(Data!B5/Data!B$9)</f>
        <v>9.5582234157386203E-2</v>
      </c>
      <c r="C5" s="10">
        <f>ABS(Data!C5/Data!C$9)</f>
        <v>9.7928313485951726E-2</v>
      </c>
      <c r="D5" s="10">
        <f>ABS(Data!D5/Data!D$9)</f>
        <v>9.4713392472808119E-2</v>
      </c>
      <c r="E5" s="10">
        <f>ABS(Data!E5/Data!E$9)</f>
        <v>9.7238637939345118E-2</v>
      </c>
      <c r="F5" s="10">
        <f>ABS(Data!F5/Data!F$9)</f>
        <v>0.10088139007806597</v>
      </c>
      <c r="G5" s="10">
        <f>ABS(Data!G5/Data!G$9)</f>
        <v>9.5868822933473416E-2</v>
      </c>
      <c r="H5" s="11">
        <f>ABS(Data!H5/Data!H$9)</f>
        <v>9.8021929356963022E-2</v>
      </c>
      <c r="I5" s="6"/>
      <c r="J5" s="2"/>
    </row>
    <row r="6" spans="1:10" x14ac:dyDescent="0.2">
      <c r="A6" t="s">
        <v>49</v>
      </c>
      <c r="B6" s="10">
        <f>ABS(Data!B6/Data!B$9)</f>
        <v>3.8714688149961825E-2</v>
      </c>
      <c r="C6" s="10">
        <f>ABS(Data!C6/Data!C$9)</f>
        <v>4.3524423093307819E-2</v>
      </c>
      <c r="D6" s="10">
        <f>ABS(Data!D6/Data!D$9)</f>
        <v>4.2304398184101567E-2</v>
      </c>
      <c r="E6" s="10">
        <f>ABS(Data!E6/Data!E$9)</f>
        <v>4.0809656183351271E-2</v>
      </c>
      <c r="F6" s="10">
        <f>ABS(Data!F6/Data!F$9)</f>
        <v>4.153865525056661E-2</v>
      </c>
      <c r="G6" s="10">
        <f>ABS(Data!G6/Data!G$9)</f>
        <v>4.1030355333758581E-2</v>
      </c>
      <c r="H6" s="11">
        <f>ABS(Data!H6/Data!H$9)</f>
        <v>4.4293364606313099E-2</v>
      </c>
      <c r="I6" s="6"/>
      <c r="J6" s="2"/>
    </row>
    <row r="7" spans="1:10" x14ac:dyDescent="0.2">
      <c r="A7" t="s">
        <v>51</v>
      </c>
      <c r="B7" s="10">
        <f>ABS(Data!B7/Data!B$9)</f>
        <v>1.5151515151515152E-2</v>
      </c>
      <c r="C7" s="10">
        <f>ABS(Data!C7/Data!C$9)</f>
        <v>2.38758429948683E-2</v>
      </c>
      <c r="D7" s="10">
        <f>ABS(Data!D7/Data!D$9)</f>
        <v>1.7817282986380762E-2</v>
      </c>
      <c r="E7" s="10">
        <f>ABS(Data!E7/Data!E$9)</f>
        <v>2.1073378805786844E-2</v>
      </c>
      <c r="F7" s="10">
        <f>ABS(Data!F7/Data!F$9)</f>
        <v>2.6567615210274492E-2</v>
      </c>
      <c r="G7" s="10">
        <f>ABS(Data!G7/Data!G$9)</f>
        <v>4.1330531687366327E-2</v>
      </c>
      <c r="H7" s="11">
        <f>ABS(Data!H7/Data!H$9)</f>
        <v>4.257526427581456E-2</v>
      </c>
      <c r="I7" s="6"/>
      <c r="J7" s="2"/>
    </row>
    <row r="8" spans="1:10" x14ac:dyDescent="0.2">
      <c r="B8" s="10"/>
      <c r="C8" s="10"/>
      <c r="D8" s="10"/>
      <c r="E8" s="10"/>
      <c r="F8" s="10"/>
      <c r="G8" s="10"/>
      <c r="H8" s="11"/>
      <c r="I8" s="6"/>
      <c r="J8" s="2"/>
    </row>
    <row r="9" spans="1:10" x14ac:dyDescent="0.2">
      <c r="A9" s="7" t="s">
        <v>0</v>
      </c>
      <c r="B9" s="12">
        <f>ABS(Data!B9/Data!B$9)</f>
        <v>1</v>
      </c>
      <c r="C9" s="12">
        <f>ABS(Data!C9/Data!C$9)</f>
        <v>1</v>
      </c>
      <c r="D9" s="12">
        <f>ABS(Data!D9/Data!D$9)</f>
        <v>1</v>
      </c>
      <c r="E9" s="12">
        <f>ABS(Data!E9/Data!E$9)</f>
        <v>1</v>
      </c>
      <c r="F9" s="12">
        <f>ABS(Data!F9/Data!F$9)</f>
        <v>1</v>
      </c>
      <c r="G9" s="12">
        <f>ABS(Data!G9/Data!G$9)</f>
        <v>1</v>
      </c>
      <c r="H9" s="13">
        <f>ABS(Data!H9/Data!H$9)</f>
        <v>1</v>
      </c>
      <c r="I9" s="9"/>
      <c r="J9" s="4"/>
    </row>
    <row r="10" spans="1:10" x14ac:dyDescent="0.2">
      <c r="A10" t="s">
        <v>1</v>
      </c>
      <c r="B10" s="12">
        <f>ABS(Data!B10/Data!B$9)</f>
        <v>0.46144327725561435</v>
      </c>
      <c r="C10" s="12">
        <f>ABS(Data!C10/Data!C$9)</f>
        <v>0.45316913639312889</v>
      </c>
      <c r="D10" s="12">
        <f>ABS(Data!D10/Data!D$9)</f>
        <v>0.45075728999791431</v>
      </c>
      <c r="E10" s="12">
        <f>ABS(Data!E10/Data!E$9)</f>
        <v>0.47052764333397162</v>
      </c>
      <c r="F10" s="12">
        <f>ABS(Data!F10/Data!F$9)</f>
        <v>0.45628305212792747</v>
      </c>
      <c r="G10" s="12">
        <f>ABS(Data!G10/Data!G$9)</f>
        <v>0.45722486961089642</v>
      </c>
      <c r="H10" s="13">
        <f>ABS(Data!H10/Data!H$9)</f>
        <v>0.45749444385215315</v>
      </c>
      <c r="I10" s="14"/>
      <c r="J10" s="4"/>
    </row>
    <row r="11" spans="1:10" x14ac:dyDescent="0.2">
      <c r="A11" t="s">
        <v>6</v>
      </c>
      <c r="B11" s="12">
        <f>ABS(Data!B11/Data!B$9)</f>
        <v>0.5385567227443856</v>
      </c>
      <c r="C11" s="12">
        <f>ABS(Data!C11/Data!C$9)</f>
        <v>0.54683086360687105</v>
      </c>
      <c r="D11" s="12">
        <f>ABS(Data!D11/Data!D$9)</f>
        <v>0.54924271000208569</v>
      </c>
      <c r="E11" s="12">
        <f>ABS(Data!E11/Data!E$9)</f>
        <v>0.52947235666602843</v>
      </c>
      <c r="F11" s="12">
        <f>ABS(Data!F11/Data!F$9)</f>
        <v>0.54371694787207248</v>
      </c>
      <c r="G11" s="12">
        <f>ABS(Data!G11/Data!G$9)</f>
        <v>0.54277513038910363</v>
      </c>
      <c r="H11" s="13">
        <f>ABS(Data!H11/Data!H$9)</f>
        <v>0.54250555614784679</v>
      </c>
      <c r="I11" s="14"/>
      <c r="J11" s="4"/>
    </row>
    <row r="12" spans="1:10" x14ac:dyDescent="0.2">
      <c r="A12" t="s">
        <v>4</v>
      </c>
      <c r="B12" s="12">
        <f>ABS(Data!B12/Data!B$9)</f>
        <v>0.12379222283653213</v>
      </c>
      <c r="C12" s="12">
        <f>ABS(Data!C12/Data!C$9)</f>
        <v>0.1353051821655383</v>
      </c>
      <c r="D12" s="12">
        <f>ABS(Data!D12/Data!D$9)</f>
        <v>0.22278925904066246</v>
      </c>
      <c r="E12" s="12">
        <f>ABS(Data!E12/Data!E$9)</f>
        <v>0.30830587598301717</v>
      </c>
      <c r="F12" s="12">
        <f>ABS(Data!F12/Data!F$9)</f>
        <v>0.1055905313523042</v>
      </c>
      <c r="G12" s="12">
        <f>ABS(Data!G12/Data!G$9)</f>
        <v>0.10690655760259152</v>
      </c>
      <c r="H12" s="13">
        <f>ABS(Data!H12/Data!H$9)</f>
        <v>0.11924190360596046</v>
      </c>
      <c r="I12" s="14"/>
      <c r="J12" s="4"/>
    </row>
    <row r="13" spans="1:10" x14ac:dyDescent="0.2">
      <c r="A13" t="s">
        <v>5</v>
      </c>
      <c r="B13" s="12">
        <f>ABS(Data!B13/Data!B$9)</f>
        <v>0</v>
      </c>
      <c r="C13" s="12">
        <f>ABS(Data!C13/Data!C$9)</f>
        <v>0</v>
      </c>
      <c r="D13" s="12">
        <f>ABS(Data!D13/Data!D$9)</f>
        <v>0</v>
      </c>
      <c r="E13" s="12">
        <f>ABS(Data!E13/Data!E$9)</f>
        <v>1.9478761546943815E-3</v>
      </c>
      <c r="F13" s="12">
        <f>ABS(Data!F13/Data!F$9)</f>
        <v>4.5706371191135738E-3</v>
      </c>
      <c r="G13" s="12">
        <f>ABS(Data!G13/Data!G$9)</f>
        <v>1.45710604980426E-3</v>
      </c>
      <c r="H13" s="13">
        <f>ABS(Data!H13/Data!H$9)</f>
        <v>0</v>
      </c>
      <c r="I13" s="14"/>
      <c r="J13" s="4"/>
    </row>
    <row r="14" spans="1:10" x14ac:dyDescent="0.2">
      <c r="A14" t="s">
        <v>3</v>
      </c>
      <c r="B14" s="12">
        <f>ABS(Data!B14/Data!B$9)</f>
        <v>0.41476449990785352</v>
      </c>
      <c r="C14" s="12">
        <f>ABS(Data!C14/Data!C$9)</f>
        <v>0.41152568144133278</v>
      </c>
      <c r="D14" s="12">
        <f>ABS(Data!D14/Data!D$9)</f>
        <v>0.32645345096142325</v>
      </c>
      <c r="E14" s="12">
        <f>ABS(Data!E14/Data!E$9)</f>
        <v>0.21921860452831685</v>
      </c>
      <c r="F14" s="12">
        <f>ABS(Data!F14/Data!F$9)</f>
        <v>0.43355577940065476</v>
      </c>
      <c r="G14" s="12">
        <f>ABS(Data!G14/Data!G$9)</f>
        <v>0.43441146673670783</v>
      </c>
      <c r="H14" s="13">
        <f>ABS(Data!H14/Data!H$9)</f>
        <v>0.42326365254188636</v>
      </c>
      <c r="I14" s="14"/>
      <c r="J14" s="4"/>
    </row>
    <row r="15" spans="1:10" x14ac:dyDescent="0.2">
      <c r="A15" t="s">
        <v>2</v>
      </c>
      <c r="B15" s="12">
        <f>ABS(Data!B15/Data!B$9)</f>
        <v>0.22528499591922702</v>
      </c>
      <c r="C15" s="12">
        <f>ABS(Data!C15/Data!C$9)</f>
        <v>0.21382740970369837</v>
      </c>
      <c r="D15" s="12">
        <f>ABS(Data!D15/Data!D$9)</f>
        <v>0.20587282498236023</v>
      </c>
      <c r="E15" s="12">
        <f>ABS(Data!E15/Data!E$9)</f>
        <v>0.19222896458827179</v>
      </c>
      <c r="F15" s="12">
        <f>ABS(Data!F15/Data!F$9)</f>
        <v>0.1484764542936288</v>
      </c>
      <c r="G15" s="12">
        <f>ABS(Data!G15/Data!G$9)</f>
        <v>0.15177666879291585</v>
      </c>
      <c r="H15" s="13">
        <f>ABS(Data!H15/Data!H$9)</f>
        <v>0.16006216324823475</v>
      </c>
      <c r="I15" s="14"/>
      <c r="J15" s="4"/>
    </row>
    <row r="16" spans="1:10" x14ac:dyDescent="0.2">
      <c r="A16" t="s">
        <v>59</v>
      </c>
      <c r="B16" s="12">
        <f>ABS(Data!B16/Data!B$9)</f>
        <v>0.18947950398862648</v>
      </c>
      <c r="C16" s="12">
        <f>ABS(Data!C16/Data!C$9)</f>
        <v>0.19769827173763443</v>
      </c>
      <c r="D16" s="12">
        <f>ABS(Data!D16/Data!D$9)</f>
        <v>0.12058062597906302</v>
      </c>
      <c r="E16" s="12">
        <f>ABS(Data!E16/Data!E$9)</f>
        <v>2.6989639940045031E-2</v>
      </c>
      <c r="F16" s="12">
        <f>ABS(Data!F16/Data!F$9)</f>
        <v>0.28507932510702594</v>
      </c>
      <c r="G16" s="12">
        <f>ABS(Data!G16/Data!G$9)</f>
        <v>0.28263479794379198</v>
      </c>
      <c r="H16" s="13">
        <f>ABS(Data!H16/Data!H$9)</f>
        <v>0.26320148929365161</v>
      </c>
      <c r="I16" s="14"/>
      <c r="J16" s="4"/>
    </row>
    <row r="17" spans="1:10" x14ac:dyDescent="0.2">
      <c r="A17" t="s">
        <v>7</v>
      </c>
      <c r="B17" s="12">
        <f>ABS(Data!B17/Data!B$9)</f>
        <v>5.6143537898533553E-2</v>
      </c>
      <c r="C17" s="12">
        <f>ABS(Data!C17/Data!C$9)</f>
        <v>2.8214522122675823E-2</v>
      </c>
      <c r="D17" s="12">
        <f>ABS(Data!D17/Data!D$9)</f>
        <v>1.3033464540722366E-2</v>
      </c>
      <c r="E17" s="12">
        <f>ABS(Data!E17/Data!E$9)</f>
        <v>5.2622369541819911E-2</v>
      </c>
      <c r="F17" s="12">
        <f>ABS(Data!F17/Data!F$9)</f>
        <v>1.0438176781667086E-2</v>
      </c>
      <c r="G17" s="12">
        <f>ABS(Data!G17/Data!G$9)</f>
        <v>6.628894475504359E-4</v>
      </c>
      <c r="H17" s="13">
        <f>ABS(Data!H17/Data!H$9)</f>
        <v>5.5356454562602003E-3</v>
      </c>
      <c r="I17" s="14"/>
      <c r="J17" s="4"/>
    </row>
    <row r="18" spans="1:10" x14ac:dyDescent="0.2">
      <c r="A18" t="s">
        <v>8</v>
      </c>
      <c r="B18" s="12">
        <f>ABS(Data!B18/Data!B$9)</f>
        <v>0.13333596609009293</v>
      </c>
      <c r="C18" s="12">
        <f>ABS(Data!C18/Data!C$9)</f>
        <v>0.1694837496149586</v>
      </c>
      <c r="D18" s="12">
        <f>ABS(Data!D18/Data!D$9)</f>
        <v>0.10754716143834066</v>
      </c>
      <c r="E18" s="12">
        <f>ABS(Data!E18/Data!E$9)</f>
        <v>2.563272960177488E-2</v>
      </c>
      <c r="F18" s="12">
        <f>ABS(Data!F18/Data!F$9)</f>
        <v>0.27464114832535885</v>
      </c>
      <c r="G18" s="12">
        <f>ABS(Data!G18/Data!G$9)</f>
        <v>0.28197190849624154</v>
      </c>
      <c r="H18" s="13">
        <f>ABS(Data!H18/Data!H$9)</f>
        <v>0.26873713474991184</v>
      </c>
      <c r="I18" s="14"/>
      <c r="J18" s="4"/>
    </row>
    <row r="19" spans="1:10" x14ac:dyDescent="0.2">
      <c r="B19" s="12"/>
      <c r="C19" s="12"/>
      <c r="D19" s="12"/>
      <c r="E19" s="12"/>
      <c r="F19" s="12"/>
      <c r="G19" s="12"/>
      <c r="H19" s="13"/>
      <c r="I19" s="14"/>
      <c r="J19" s="4"/>
    </row>
    <row r="20" spans="1:10" x14ac:dyDescent="0.2">
      <c r="A20" t="s">
        <v>17</v>
      </c>
      <c r="B20" s="12">
        <f>ABS(Data!B30/Data!B$40)</f>
        <v>1.5390965915791957E-2</v>
      </c>
      <c r="C20" s="12">
        <f>ABS(Data!C30/Data!C$40)</f>
        <v>2.0578461868889949E-2</v>
      </c>
      <c r="D20" s="12">
        <f>ABS(Data!D30/Data!D$40)</f>
        <v>1.4481249195976159E-2</v>
      </c>
      <c r="E20" s="12">
        <f>ABS(Data!E30/Data!E$40)</f>
        <v>4.1165390717610509E-2</v>
      </c>
      <c r="F20" s="12">
        <f>ABS(Data!F30/Data!F$40)</f>
        <v>2.3586270103379881E-2</v>
      </c>
      <c r="G20" s="12">
        <f>ABS(Data!G30/Data!G$40)</f>
        <v>2.2581056358703062E-2</v>
      </c>
      <c r="H20" s="13">
        <f>ABS(Data!H30/Data!H$40)</f>
        <v>2.7113781564364746E-2</v>
      </c>
      <c r="I20" s="14"/>
      <c r="J20" s="4"/>
    </row>
    <row r="21" spans="1:10" x14ac:dyDescent="0.2">
      <c r="A21" t="s">
        <v>18</v>
      </c>
      <c r="B21" s="12">
        <f>ABS(Data!B31/Data!B$40)</f>
        <v>0.93643038604118922</v>
      </c>
      <c r="C21" s="12">
        <f>ABS(Data!C31/Data!C$40)</f>
        <v>0.93116390810573124</v>
      </c>
      <c r="D21" s="12">
        <f>ABS(Data!D31/Data!D$40)</f>
        <v>0.93480469158398394</v>
      </c>
      <c r="E21" s="12">
        <f>ABS(Data!E31/Data!E$40)</f>
        <v>0.9125974179141354</v>
      </c>
      <c r="F21" s="12">
        <f>ABS(Data!F31/Data!F$40)</f>
        <v>0.93096943264572918</v>
      </c>
      <c r="G21" s="12">
        <f>ABS(Data!G31/Data!G$40)</f>
        <v>0.92720728371313388</v>
      </c>
      <c r="H21" s="13">
        <f>ABS(Data!H31/Data!H$40)</f>
        <v>0.91422967138129818</v>
      </c>
      <c r="I21" s="14"/>
      <c r="J21" s="4"/>
    </row>
    <row r="22" spans="1:10" x14ac:dyDescent="0.2">
      <c r="A22" t="s">
        <v>19</v>
      </c>
      <c r="B22" s="12">
        <f>ABS(Data!B32/Data!B$40)</f>
        <v>1.2084705297348297E-3</v>
      </c>
      <c r="C22" s="12">
        <f>ABS(Data!C32/Data!C$40)</f>
        <v>9.0711360113116663E-4</v>
      </c>
      <c r="D22" s="12">
        <f>ABS(Data!D32/Data!D$40)</f>
        <v>6.5440549132686845E-4</v>
      </c>
      <c r="E22" s="12">
        <f>ABS(Data!E32/Data!E$40)</f>
        <v>4.3086416458408479E-4</v>
      </c>
      <c r="F22" s="12">
        <f>ABS(Data!F32/Data!F$40)</f>
        <v>1.5704637286680114E-3</v>
      </c>
      <c r="G22" s="12">
        <f>ABS(Data!G32/Data!G$40)</f>
        <v>1.2054244990759449E-3</v>
      </c>
      <c r="H22" s="13">
        <f>ABS(Data!H32/Data!H$40)</f>
        <v>9.850913472767371E-4</v>
      </c>
      <c r="I22" s="14"/>
      <c r="J22" s="4"/>
    </row>
    <row r="23" spans="1:10" x14ac:dyDescent="0.2">
      <c r="A23" t="s">
        <v>24</v>
      </c>
      <c r="B23" s="12">
        <f>ABS(Data!B33/Data!B$40)</f>
        <v>0</v>
      </c>
      <c r="C23" s="12">
        <f>ABS(Data!C33/Data!C$40)</f>
        <v>0</v>
      </c>
      <c r="D23" s="12">
        <f>ABS(Data!D33/Data!D$40)</f>
        <v>3.097777473736655E-5</v>
      </c>
      <c r="E23" s="12">
        <f>ABS(Data!E33/Data!E$40)</f>
        <v>8.1222845012004791E-4</v>
      </c>
      <c r="F23" s="12">
        <f>ABS(Data!F33/Data!F$40)</f>
        <v>2.5348138140455411E-4</v>
      </c>
      <c r="G23" s="12">
        <f>ABS(Data!G33/Data!G$40)</f>
        <v>2.7821588291126451E-3</v>
      </c>
      <c r="H23" s="13">
        <f>ABS(Data!H33/Data!H$40)</f>
        <v>1.279833324032219E-3</v>
      </c>
      <c r="I23" s="14"/>
      <c r="J23" s="4"/>
    </row>
    <row r="24" spans="1:10" x14ac:dyDescent="0.2">
      <c r="A24" s="3" t="s">
        <v>21</v>
      </c>
      <c r="B24" s="12">
        <f>ABS(Data!B34/Data!B$40)</f>
        <v>0.95302982248671597</v>
      </c>
      <c r="C24" s="12">
        <f>ABS(Data!C34/Data!C$40)</f>
        <v>0.9526494835757523</v>
      </c>
      <c r="D24" s="12">
        <f>ABS(Data!D34/Data!D$40)</f>
        <v>0.94997132404602436</v>
      </c>
      <c r="E24" s="12">
        <f>ABS(Data!E34/Data!E$40)</f>
        <v>0.95500590124645002</v>
      </c>
      <c r="F24" s="12">
        <f>ABS(Data!F34/Data!F$40)</f>
        <v>0.95637964785918161</v>
      </c>
      <c r="G24" s="12">
        <f>ABS(Data!G34/Data!G$40)</f>
        <v>0.95377592340002548</v>
      </c>
      <c r="H24" s="13">
        <f>ABS(Data!H34/Data!H$40)</f>
        <v>0.94360837761697181</v>
      </c>
      <c r="I24" s="14"/>
      <c r="J24" s="4"/>
    </row>
    <row r="25" spans="1:10" x14ac:dyDescent="0.2">
      <c r="A25" t="s">
        <v>20</v>
      </c>
      <c r="B25" s="12">
        <f>ABS(Data!B35/Data!B$40)</f>
        <v>6.9719147145730466E-3</v>
      </c>
      <c r="C25" s="12">
        <f>ABS(Data!C35/Data!C$40)</f>
        <v>7.0620624346359566E-3</v>
      </c>
      <c r="D25" s="12">
        <f>ABS(Data!D35/Data!D$40)</f>
        <v>8.0245343975919939E-3</v>
      </c>
      <c r="E25" s="12">
        <f>ABS(Data!E35/Data!E$40)</f>
        <v>2.4143027963557757E-3</v>
      </c>
      <c r="F25" s="12">
        <f>ABS(Data!F35/Data!F$40)</f>
        <v>2.0252645065282232E-3</v>
      </c>
      <c r="G25" s="12">
        <f>ABS(Data!G35/Data!G$40)</f>
        <v>2.3264604002062633E-3</v>
      </c>
      <c r="H25" s="13">
        <f>ABS(Data!H35/Data!H$40)</f>
        <v>3.4786167382852467E-3</v>
      </c>
      <c r="I25" s="14"/>
      <c r="J25" s="4"/>
    </row>
    <row r="26" spans="1:10" x14ac:dyDescent="0.2">
      <c r="A26" t="s">
        <v>23</v>
      </c>
      <c r="B26" s="12">
        <f>ABS(Data!B36/Data!B$40)</f>
        <v>3.366026717837073E-3</v>
      </c>
      <c r="C26" s="12">
        <f>ABS(Data!C36/Data!C$40)</f>
        <v>3.1195758776120701E-3</v>
      </c>
      <c r="D26" s="12">
        <f>ABS(Data!D36/Data!D$40)</f>
        <v>2.5883651780555165E-3</v>
      </c>
      <c r="E26" s="12">
        <f>ABS(Data!E36/Data!E$40)</f>
        <v>3.7245430730730128E-3</v>
      </c>
      <c r="F26" s="12">
        <f>ABS(Data!F36/Data!F$40)</f>
        <v>2.8736511708210167E-3</v>
      </c>
      <c r="G26" s="12">
        <f>ABS(Data!G36/Data!G$40)</f>
        <v>2.1385847321483695E-3</v>
      </c>
      <c r="H26" s="13">
        <f>ABS(Data!H36/Data!H$40)</f>
        <v>8.6860005828698281E-3</v>
      </c>
      <c r="I26" s="14"/>
      <c r="J26" s="4"/>
    </row>
    <row r="27" spans="1:10" x14ac:dyDescent="0.2">
      <c r="A27" t="s">
        <v>22</v>
      </c>
      <c r="B27" s="12">
        <f>ABS(Data!B37/Data!B$40)</f>
        <v>1.5947587521475952E-2</v>
      </c>
      <c r="C27" s="12">
        <f>ABS(Data!C37/Data!C$40)</f>
        <v>1.6357739570532558E-2</v>
      </c>
      <c r="D27" s="12">
        <f>ABS(Data!D37/Data!D$40)</f>
        <v>1.6702183545896799E-2</v>
      </c>
      <c r="E27" s="12">
        <f>ABS(Data!E37/Data!E$40)</f>
        <v>1.7141592897499093E-2</v>
      </c>
      <c r="F27" s="12">
        <f>ABS(Data!F37/Data!F$40)</f>
        <v>1.6248673856973563E-2</v>
      </c>
      <c r="G27" s="12">
        <f>ABS(Data!G37/Data!G$40)</f>
        <v>1.6799549098396663E-2</v>
      </c>
      <c r="H27" s="13">
        <f>ABS(Data!H37/Data!H$40)</f>
        <v>2.1544687720255553E-2</v>
      </c>
      <c r="I27" s="14"/>
      <c r="J27" s="4"/>
    </row>
    <row r="28" spans="1:10" x14ac:dyDescent="0.2">
      <c r="A28" t="s">
        <v>25</v>
      </c>
      <c r="B28" s="12">
        <f>ABS(Data!B38/Data!B$40)</f>
        <v>2.0684648559397941E-2</v>
      </c>
      <c r="C28" s="12">
        <f>ABS(Data!C38/Data!C$40)</f>
        <v>2.081113854146709E-2</v>
      </c>
      <c r="D28" s="12">
        <f>ABS(Data!D38/Data!D$40)</f>
        <v>2.271359283243132E-2</v>
      </c>
      <c r="E28" s="12">
        <f>ABS(Data!E38/Data!E$40)</f>
        <v>2.1713659986622121E-2</v>
      </c>
      <c r="F28" s="12">
        <f>ABS(Data!F38/Data!F$40)</f>
        <v>2.247276260649559E-2</v>
      </c>
      <c r="G28" s="12">
        <f>ABS(Data!G38/Data!G$40)</f>
        <v>2.4959482369223213E-2</v>
      </c>
      <c r="H28" s="13">
        <f>ABS(Data!H38/Data!H$40)</f>
        <v>2.2682317341617526E-2</v>
      </c>
      <c r="I28" s="14"/>
      <c r="J28" s="4"/>
    </row>
    <row r="29" spans="1:10" x14ac:dyDescent="0.2">
      <c r="A29" s="3" t="s">
        <v>26</v>
      </c>
      <c r="B29" s="12">
        <f>ABS(Data!B39/Data!B$40)</f>
        <v>4.6970177513284014E-2</v>
      </c>
      <c r="C29" s="12">
        <f>ABS(Data!C39/Data!C$40)</f>
        <v>4.7350516424247674E-2</v>
      </c>
      <c r="D29" s="12">
        <f>ABS(Data!D39/Data!D$40)</f>
        <v>5.0028675953975629E-2</v>
      </c>
      <c r="E29" s="12">
        <f>ABS(Data!E39/Data!E$40)</f>
        <v>4.4994098753550003E-2</v>
      </c>
      <c r="F29" s="12">
        <f>ABS(Data!F39/Data!F$40)</f>
        <v>4.3620352140818393E-2</v>
      </c>
      <c r="G29" s="12">
        <f>ABS(Data!G39/Data!G$40)</f>
        <v>4.6224076599974503E-2</v>
      </c>
      <c r="H29" s="13">
        <f>ABS(Data!H39/Data!H$40)</f>
        <v>5.6391622383028153E-2</v>
      </c>
      <c r="I29" s="14"/>
      <c r="J29" s="4"/>
    </row>
    <row r="30" spans="1:10" x14ac:dyDescent="0.2">
      <c r="A30" s="3" t="s">
        <v>27</v>
      </c>
      <c r="B30" s="12">
        <f>ABS(Data!B40/Data!B$40)</f>
        <v>1</v>
      </c>
      <c r="C30" s="12">
        <f>ABS(Data!C40/Data!C$40)</f>
        <v>1</v>
      </c>
      <c r="D30" s="12">
        <f>ABS(Data!D40/Data!D$40)</f>
        <v>1</v>
      </c>
      <c r="E30" s="12">
        <f>ABS(Data!E40/Data!E$40)</f>
        <v>1</v>
      </c>
      <c r="F30" s="12">
        <f>ABS(Data!F40/Data!F$40)</f>
        <v>1</v>
      </c>
      <c r="G30" s="12">
        <f>ABS(Data!G40/Data!G$40)</f>
        <v>1</v>
      </c>
      <c r="H30" s="13">
        <f>ABS(Data!H40/Data!H$40)</f>
        <v>1</v>
      </c>
      <c r="I30" s="14"/>
      <c r="J30" s="4"/>
    </row>
    <row r="31" spans="1:10" x14ac:dyDescent="0.2">
      <c r="B31" s="12"/>
      <c r="C31" s="12"/>
      <c r="D31" s="12"/>
      <c r="E31" s="12"/>
      <c r="F31" s="12"/>
      <c r="G31" s="12"/>
      <c r="H31" s="13"/>
      <c r="I31" s="14"/>
      <c r="J31" s="4"/>
    </row>
    <row r="32" spans="1:10" x14ac:dyDescent="0.2">
      <c r="A32" t="s">
        <v>28</v>
      </c>
      <c r="B32" s="12">
        <f>ABS(Data!B42/Data!B$50)</f>
        <v>0.94921360392146159</v>
      </c>
      <c r="C32" s="12">
        <f>ABS(Data!C42/Data!C$50)</f>
        <v>0.94986209646693698</v>
      </c>
      <c r="D32" s="12">
        <f>ABS(Data!D42/Data!D$50)</f>
        <v>0.94528602368200776</v>
      </c>
      <c r="E32" s="12">
        <f>ABS(Data!E42/Data!E$50)</f>
        <v>0.9498489023852279</v>
      </c>
      <c r="F32" s="12">
        <f>ABS(Data!F42/Data!F$50)</f>
        <v>0.93942620141467237</v>
      </c>
      <c r="G32" s="12">
        <f>ABS(Data!G42/Data!G$50)</f>
        <v>0.94495382099859437</v>
      </c>
      <c r="H32" s="13">
        <f>ABS(Data!H42/Data!H$50)</f>
        <v>0.94179533211573807</v>
      </c>
      <c r="I32" s="14"/>
      <c r="J32" s="4"/>
    </row>
    <row r="33" spans="1:10" x14ac:dyDescent="0.2">
      <c r="A33" t="s">
        <v>29</v>
      </c>
      <c r="B33" s="12">
        <f>ABS(Data!B43/Data!B$50)</f>
        <v>5.0131712845120574E-3</v>
      </c>
      <c r="C33" s="12">
        <f>ABS(Data!C43/Data!C$50)</f>
        <v>4.2087514037502209E-3</v>
      </c>
      <c r="D33" s="12">
        <f>ABS(Data!D43/Data!D$50)</f>
        <v>5.2789243562038754E-3</v>
      </c>
      <c r="E33" s="12">
        <f>ABS(Data!E43/Data!E$50)</f>
        <v>4.982599185233131E-4</v>
      </c>
      <c r="F33" s="12">
        <f>ABS(Data!F43/Data!F$50)</f>
        <v>2.2081118553752416E-3</v>
      </c>
      <c r="G33" s="12">
        <f>ABS(Data!G43/Data!G$50)</f>
        <v>3.8695897665790109E-3</v>
      </c>
      <c r="H33" s="13">
        <f>ABS(Data!H43/Data!H$50)</f>
        <v>6.2167715578664363E-4</v>
      </c>
      <c r="I33" s="14"/>
      <c r="J33" s="4"/>
    </row>
    <row r="34" spans="1:10" x14ac:dyDescent="0.2">
      <c r="A34" t="s">
        <v>30</v>
      </c>
      <c r="B34" s="12">
        <f>ABS(Data!B44/Data!B$50)</f>
        <v>3.235569801919512E-2</v>
      </c>
      <c r="C34" s="12">
        <f>ABS(Data!C44/Data!C$50)</f>
        <v>3.464916519210412E-2</v>
      </c>
      <c r="D34" s="12">
        <f>ABS(Data!D44/Data!D$50)</f>
        <v>3.7366797700394062E-2</v>
      </c>
      <c r="E34" s="12">
        <f>ABS(Data!E44/Data!E$50)</f>
        <v>3.6465440727388804E-2</v>
      </c>
      <c r="F34" s="12">
        <f>ABS(Data!F44/Data!F$50)</f>
        <v>4.4157460229505105E-2</v>
      </c>
      <c r="G34" s="12">
        <f>ABS(Data!G44/Data!G$50)</f>
        <v>3.8683884233508242E-2</v>
      </c>
      <c r="H34" s="13">
        <f>ABS(Data!H44/Data!H$50)</f>
        <v>3.448981816231541E-2</v>
      </c>
      <c r="I34" s="14"/>
      <c r="J34" s="4"/>
    </row>
    <row r="35" spans="1:10" x14ac:dyDescent="0.2">
      <c r="A35" t="s">
        <v>31</v>
      </c>
      <c r="B35" s="12">
        <f>ABS(Data!B45/Data!B$50)</f>
        <v>5.6421596731187488E-4</v>
      </c>
      <c r="C35" s="12">
        <f>ABS(Data!C45/Data!C$50)</f>
        <v>3.4267611719634284E-4</v>
      </c>
      <c r="D35" s="12">
        <f>ABS(Data!D45/Data!D$50)</f>
        <v>1.9667051213481044E-4</v>
      </c>
      <c r="E35" s="12">
        <f>ABS(Data!E45/Data!E$50)</f>
        <v>1.0542378890741495E-4</v>
      </c>
      <c r="F35" s="12">
        <f>ABS(Data!F45/Data!F$50)</f>
        <v>1.367381327422743E-4</v>
      </c>
      <c r="G35" s="12">
        <f>ABS(Data!G45/Data!G$50)</f>
        <v>6.3228590957173382E-6</v>
      </c>
      <c r="H35" s="13">
        <f>ABS(Data!H45/Data!H$50)</f>
        <v>0</v>
      </c>
      <c r="I35" s="14"/>
      <c r="J35" s="4"/>
    </row>
    <row r="36" spans="1:10" x14ac:dyDescent="0.2">
      <c r="A36" s="3" t="s">
        <v>33</v>
      </c>
      <c r="B36" s="12">
        <f>ABS(Data!B46/Data!B$50)</f>
        <v>0.98714668919248061</v>
      </c>
      <c r="C36" s="12">
        <f>ABS(Data!C46/Data!C$50)</f>
        <v>0.98906268917998774</v>
      </c>
      <c r="D36" s="12">
        <f>ABS(Data!D46/Data!D$50)</f>
        <v>0.98812841625074055</v>
      </c>
      <c r="E36" s="12">
        <f>ABS(Data!E46/Data!E$50)</f>
        <v>0.98691802682004748</v>
      </c>
      <c r="F36" s="12">
        <f>ABS(Data!F46/Data!F$50)</f>
        <v>0.985928511632295</v>
      </c>
      <c r="G36" s="12">
        <f>ABS(Data!G46/Data!G$50)</f>
        <v>0.98751361785777736</v>
      </c>
      <c r="H36" s="13">
        <f>ABS(Data!H46/Data!H$50)</f>
        <v>0.97690682743384016</v>
      </c>
      <c r="I36" s="14"/>
      <c r="J36" s="4"/>
    </row>
    <row r="37" spans="1:10" x14ac:dyDescent="0.2">
      <c r="A37" t="s">
        <v>30</v>
      </c>
      <c r="B37" s="12">
        <f>ABS(Data!B47/Data!B$50)</f>
        <v>5.2107004039979041E-3</v>
      </c>
      <c r="C37" s="12">
        <f>ABS(Data!C47/Data!C$50)</f>
        <v>3.8421934826001619E-3</v>
      </c>
      <c r="D37" s="12">
        <f>ABS(Data!D47/Data!D$50)</f>
        <v>4.6733230840814407E-3</v>
      </c>
      <c r="E37" s="12">
        <f>ABS(Data!E47/Data!E$50)</f>
        <v>2.0966965838569674E-3</v>
      </c>
      <c r="F37" s="12">
        <f>ABS(Data!F47/Data!F$50)</f>
        <v>4.3087439557565558E-3</v>
      </c>
      <c r="G37" s="12">
        <f>ABS(Data!G47/Data!G$50)</f>
        <v>2.7586634234614744E-3</v>
      </c>
      <c r="H37" s="13">
        <f>ABS(Data!H47/Data!H$50)</f>
        <v>4.6222100219201747E-3</v>
      </c>
      <c r="I37" s="14"/>
      <c r="J37" s="4"/>
    </row>
    <row r="38" spans="1:10" x14ac:dyDescent="0.2">
      <c r="A38" t="s">
        <v>32</v>
      </c>
      <c r="B38" s="12">
        <f>ABS(Data!B48/Data!B$50)</f>
        <v>4.0629973357657785E-3</v>
      </c>
      <c r="C38" s="12">
        <f>ABS(Data!C48/Data!C$50)</f>
        <v>4.3766460394527404E-2</v>
      </c>
      <c r="D38" s="12">
        <f>ABS(Data!D48/Data!D$50)</f>
        <v>5.1032400267663766E-3</v>
      </c>
      <c r="E38" s="12">
        <f>ABS(Data!E48/Data!E$50)</f>
        <v>2.9153505871044915E-3</v>
      </c>
      <c r="F38" s="12">
        <f>ABS(Data!F48/Data!F$50)</f>
        <v>7.142029719346475E-3</v>
      </c>
      <c r="G38" s="12">
        <f>ABS(Data!G48/Data!G$50)</f>
        <v>7.8460358518756441E-3</v>
      </c>
      <c r="H38" s="13">
        <f>ABS(Data!H48/Data!H$50)</f>
        <v>7.1602444955908787E-3</v>
      </c>
      <c r="I38" s="14"/>
      <c r="J38" s="4"/>
    </row>
    <row r="39" spans="1:10" x14ac:dyDescent="0.2">
      <c r="A39" s="3" t="s">
        <v>35</v>
      </c>
      <c r="B39" s="12">
        <f>ABS(Data!B49/Data!B$50)</f>
        <v>9.2736977397636818E-3</v>
      </c>
      <c r="C39" s="12">
        <f>ABS(Data!C49/Data!C$50)</f>
        <v>4.7608653877127566E-2</v>
      </c>
      <c r="D39" s="12">
        <f>ABS(Data!D49/Data!D$50)</f>
        <v>9.7765631108478173E-3</v>
      </c>
      <c r="E39" s="12">
        <f>ABS(Data!E49/Data!E$50)</f>
        <v>5.0120471709614589E-3</v>
      </c>
      <c r="F39" s="12">
        <f>ABS(Data!F49/Data!F$50)</f>
        <v>1.1450773675103032E-2</v>
      </c>
      <c r="G39" s="12">
        <f>ABS(Data!G49/Data!G$50)</f>
        <v>1.060469927533712E-2</v>
      </c>
      <c r="H39" s="13">
        <f>ABS(Data!H49/Data!H$50)</f>
        <v>1.1782454517511054E-2</v>
      </c>
      <c r="I39" s="14"/>
      <c r="J39" s="4"/>
    </row>
    <row r="40" spans="1:10" x14ac:dyDescent="0.2">
      <c r="A40" s="3" t="s">
        <v>34</v>
      </c>
      <c r="B40" s="12">
        <f>ABS(Data!B50/Data!B$50)</f>
        <v>1</v>
      </c>
      <c r="C40" s="12">
        <f>ABS(Data!C50/Data!C$50)</f>
        <v>1</v>
      </c>
      <c r="D40" s="12">
        <f>ABS(Data!D50/Data!D$50)</f>
        <v>1</v>
      </c>
      <c r="E40" s="12">
        <f>ABS(Data!E50/Data!E$50)</f>
        <v>1</v>
      </c>
      <c r="F40" s="12">
        <f>ABS(Data!F50/Data!F$50)</f>
        <v>1</v>
      </c>
      <c r="G40" s="12">
        <f>ABS(Data!G50/Data!G$50)</f>
        <v>1</v>
      </c>
      <c r="H40" s="13">
        <f>ABS(Data!H50/Data!H$50)</f>
        <v>1</v>
      </c>
      <c r="I40" s="14"/>
      <c r="J40" s="4"/>
    </row>
    <row r="41" spans="1:10" x14ac:dyDescent="0.2">
      <c r="A41" s="3" t="s">
        <v>52</v>
      </c>
      <c r="B41" s="12">
        <f>ABS(Data!B51/Data!B$40)</f>
        <v>0.25568136540833791</v>
      </c>
      <c r="C41" s="12">
        <f>ABS(Data!C51/Data!C$40)</f>
        <v>0.26758346156990859</v>
      </c>
      <c r="D41" s="12">
        <f>ABS(Data!D51/Data!D$40)</f>
        <v>0.28244975684598067</v>
      </c>
      <c r="E41" s="12">
        <f>ABS(Data!E51/Data!E$40)</f>
        <v>0.26916269448072044</v>
      </c>
      <c r="F41" s="12">
        <f>ABS(Data!F51/Data!F$40)</f>
        <v>0.27803760577351266</v>
      </c>
      <c r="G41" s="12">
        <f>ABS(Data!G51/Data!G$40)</f>
        <v>0.29754797824906093</v>
      </c>
      <c r="H41" s="13">
        <f>ABS(Data!H51/Data!H$40)</f>
        <v>0.28318627238209804</v>
      </c>
      <c r="I41" s="14"/>
      <c r="J41" s="4"/>
    </row>
    <row r="42" spans="1:10" x14ac:dyDescent="0.2">
      <c r="B42" s="14"/>
      <c r="C42" s="14"/>
      <c r="D42" s="14"/>
      <c r="E42" s="14"/>
      <c r="F42" s="14"/>
      <c r="G42" s="14"/>
      <c r="H42" s="15"/>
      <c r="I42" s="14"/>
      <c r="J42" s="4"/>
    </row>
    <row r="43" spans="1:10" x14ac:dyDescent="0.2">
      <c r="B43" s="14"/>
      <c r="C43" s="14"/>
      <c r="D43" s="14"/>
      <c r="E43" s="14"/>
      <c r="F43" s="14"/>
      <c r="G43" s="14"/>
      <c r="H43" s="15"/>
      <c r="I43" s="14"/>
      <c r="J43" s="4"/>
    </row>
    <row r="44" spans="1:10" x14ac:dyDescent="0.2">
      <c r="B44" s="14"/>
      <c r="C44" s="14"/>
      <c r="D44" s="14"/>
      <c r="E44" s="14"/>
      <c r="F44" s="14"/>
      <c r="G44" s="14"/>
      <c r="H44" s="15"/>
      <c r="I44" s="14"/>
      <c r="J44" s="4"/>
    </row>
    <row r="45" spans="1:10" x14ac:dyDescent="0.2">
      <c r="B45" s="14"/>
      <c r="C45" s="14"/>
      <c r="D45" s="14"/>
      <c r="E45" s="14"/>
      <c r="F45" s="14"/>
      <c r="G45" s="14"/>
      <c r="H45" s="15"/>
      <c r="I45" s="14"/>
      <c r="J45" s="4"/>
    </row>
    <row r="46" spans="1:10" x14ac:dyDescent="0.2">
      <c r="B46" s="14"/>
      <c r="C46" s="14"/>
      <c r="D46" s="14"/>
      <c r="E46" s="14"/>
      <c r="F46" s="14"/>
      <c r="G46" s="14"/>
      <c r="H46" s="15"/>
      <c r="I46" s="14"/>
      <c r="J46" s="4"/>
    </row>
    <row r="47" spans="1:10" x14ac:dyDescent="0.2">
      <c r="B47" s="14"/>
      <c r="C47" s="14"/>
      <c r="D47" s="14"/>
      <c r="E47" s="14"/>
      <c r="F47" s="14"/>
      <c r="G47" s="14"/>
      <c r="H47" s="15"/>
      <c r="I47" s="14"/>
      <c r="J47" s="4"/>
    </row>
    <row r="48" spans="1:10" x14ac:dyDescent="0.2">
      <c r="A48" s="3"/>
      <c r="B48" s="14"/>
      <c r="C48" s="14"/>
      <c r="D48" s="14"/>
      <c r="E48" s="14"/>
      <c r="F48" s="14"/>
      <c r="G48" s="14"/>
      <c r="H48" s="15"/>
      <c r="I48" s="14"/>
      <c r="J48" s="4"/>
    </row>
    <row r="49" spans="1:10" x14ac:dyDescent="0.2">
      <c r="B49" s="14"/>
      <c r="C49" s="14"/>
      <c r="D49" s="14"/>
      <c r="E49" s="14"/>
      <c r="F49" s="14"/>
      <c r="G49" s="14"/>
      <c r="H49" s="15"/>
      <c r="I49" s="14"/>
      <c r="J49" s="4"/>
    </row>
    <row r="50" spans="1:10" x14ac:dyDescent="0.2">
      <c r="B50" s="14"/>
      <c r="C50" s="14"/>
      <c r="D50" s="14"/>
      <c r="E50" s="14"/>
      <c r="F50" s="14"/>
      <c r="G50" s="14"/>
      <c r="H50" s="15"/>
      <c r="I50" s="14"/>
      <c r="J50" s="4"/>
    </row>
    <row r="51" spans="1:10" x14ac:dyDescent="0.2">
      <c r="A51" s="3"/>
      <c r="B51" s="14"/>
      <c r="C51" s="14"/>
      <c r="D51" s="14"/>
      <c r="E51" s="14"/>
      <c r="F51" s="14"/>
      <c r="G51" s="14"/>
      <c r="H51" s="15"/>
      <c r="I51" s="14"/>
      <c r="J51" s="4"/>
    </row>
    <row r="52" spans="1:10" x14ac:dyDescent="0.2">
      <c r="B52" s="14"/>
      <c r="C52" s="14"/>
      <c r="D52" s="14"/>
      <c r="E52" s="14"/>
      <c r="F52" s="14"/>
      <c r="G52" s="14"/>
      <c r="H52" s="15"/>
      <c r="I52" s="14"/>
      <c r="J52" s="4"/>
    </row>
    <row r="53" spans="1:10" x14ac:dyDescent="0.2">
      <c r="B53" s="14"/>
      <c r="C53" s="14"/>
      <c r="D53" s="14"/>
      <c r="E53" s="14"/>
      <c r="F53" s="14"/>
      <c r="G53" s="14"/>
      <c r="H53" s="15"/>
      <c r="I53" s="14"/>
      <c r="J53" s="4"/>
    </row>
    <row r="54" spans="1:10" x14ac:dyDescent="0.2">
      <c r="B54" s="14"/>
      <c r="C54" s="14"/>
      <c r="D54" s="14"/>
      <c r="E54" s="14"/>
      <c r="F54" s="14"/>
      <c r="G54" s="14"/>
      <c r="H54" s="15"/>
      <c r="I54" s="14"/>
      <c r="J54" s="4"/>
    </row>
    <row r="55" spans="1:10" x14ac:dyDescent="0.2">
      <c r="A55" s="3"/>
      <c r="B55" s="14"/>
      <c r="C55" s="14"/>
      <c r="D55" s="14"/>
      <c r="E55" s="14"/>
      <c r="F55" s="14"/>
      <c r="G55" s="14"/>
      <c r="H55" s="15"/>
      <c r="I55" s="14"/>
      <c r="J55" s="4"/>
    </row>
    <row r="56" spans="1:10" x14ac:dyDescent="0.2"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"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"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B59" s="4"/>
      <c r="C59" s="4"/>
      <c r="D59" s="4"/>
      <c r="E59" s="4"/>
      <c r="F59" s="4"/>
      <c r="G59" s="4"/>
      <c r="H59" s="4"/>
      <c r="I59" s="4"/>
      <c r="J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0B98-769E-F848-A2E9-95C81BA711CB}">
  <dimension ref="A1:H10"/>
  <sheetViews>
    <sheetView showGridLines="0" workbookViewId="0">
      <selection activeCell="H4" sqref="H4"/>
    </sheetView>
  </sheetViews>
  <sheetFormatPr baseColWidth="10" defaultRowHeight="15" x14ac:dyDescent="0.2"/>
  <cols>
    <col min="3" max="8" width="18.83203125" customWidth="1"/>
  </cols>
  <sheetData>
    <row r="1" spans="1:8" x14ac:dyDescent="0.2">
      <c r="C1" s="19">
        <v>1</v>
      </c>
      <c r="D1" s="19">
        <v>2</v>
      </c>
      <c r="E1" s="19">
        <v>3</v>
      </c>
      <c r="F1" s="19">
        <v>4</v>
      </c>
      <c r="G1" s="19">
        <v>5</v>
      </c>
    </row>
    <row r="2" spans="1:8" x14ac:dyDescent="0.2"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</row>
    <row r="3" spans="1:8" x14ac:dyDescent="0.2">
      <c r="A3" s="19">
        <v>2</v>
      </c>
      <c r="B3" s="16" t="s">
        <v>9</v>
      </c>
      <c r="C3" s="17" cm="1">
        <f t="array" ref="C3">INDEX(Data!$A$23:$H$27,DuPont!C$1,DuPont!$A3)</f>
        <v>0.70369598443796022</v>
      </c>
      <c r="D3" s="17" cm="1">
        <f t="array" ref="D3">INDEX(Data!$A$23:$H$27,DuPont!D1,DuPont!$A3)</f>
        <v>0.45683635901993147</v>
      </c>
      <c r="E3" s="17" cm="1">
        <f t="array" ref="E3">INDEX(Data!$A$23:$H$27,DuPont!E1,DuPont!$A3)</f>
        <v>0.41476449990785352</v>
      </c>
      <c r="F3" s="17" cm="1">
        <f t="array" ref="F3">INDEX(Data!$A$23:$H$27,DuPont!F1,DuPont!$A3)</f>
        <v>3.0267943376800555E-2</v>
      </c>
      <c r="G3" s="17" cm="1">
        <f t="array" ref="G3">INDEX(Data!$A$23:$H$27,DuPont!G1,DuPont!$A3)</f>
        <v>3.9111180371042771</v>
      </c>
      <c r="H3" s="8">
        <f t="shared" ref="H3:H9" si="0">C3*D3*E3*F3*G3</f>
        <v>1.5784511574633207E-2</v>
      </c>
    </row>
    <row r="4" spans="1:8" x14ac:dyDescent="0.2">
      <c r="A4" s="19">
        <v>3</v>
      </c>
      <c r="B4" s="16" t="s">
        <v>10</v>
      </c>
      <c r="C4" s="17" cm="1">
        <f t="array" ref="C4">INDEX(Data!$A$23:$H$27,DuPont!C$1,DuPont!$A4)</f>
        <v>0.85728493286921925</v>
      </c>
      <c r="D4" s="17" cm="1">
        <f t="array" ref="D4">INDEX(Data!$A$23:$H$27,DuPont!D$1,DuPont!$A4)</f>
        <v>0.48040324250290645</v>
      </c>
      <c r="E4" s="17" cm="1">
        <f t="array" ref="E4">INDEX(Data!$A$23:$H$27,DuPont!E$1,DuPont!$A4)</f>
        <v>0.41152568144133278</v>
      </c>
      <c r="F4" s="17" cm="1">
        <f t="array" ref="F4">INDEX(Data!$A$23:$H$27,DuPont!F$1,DuPont!$A4)</f>
        <v>6.2066502409952706E-2</v>
      </c>
      <c r="G4" s="17" cm="1">
        <f t="array" ref="G4">INDEX(Data!$A$23:$H$27,DuPont!G$1,DuPont!$A4)</f>
        <v>3.7371517437326411</v>
      </c>
      <c r="H4" s="8">
        <f t="shared" si="0"/>
        <v>3.931208413333271E-2</v>
      </c>
    </row>
    <row r="5" spans="1:8" x14ac:dyDescent="0.2">
      <c r="A5" s="19">
        <v>4</v>
      </c>
      <c r="B5" s="16" t="s">
        <v>14</v>
      </c>
      <c r="C5" s="17" cm="1">
        <f t="array" ref="C5">INDEX(Data!$A$23:$H$27,DuPont!C$1,DuPont!$A5)</f>
        <v>0.89191079051965261</v>
      </c>
      <c r="D5" s="17" cm="1">
        <f t="array" ref="D5">INDEX(Data!$A$23:$H$27,DuPont!D$1,DuPont!$A5)</f>
        <v>0.36936545049208852</v>
      </c>
      <c r="E5" s="17" cm="1">
        <f t="array" ref="E5">INDEX(Data!$A$23:$H$27,DuPont!E$1,DuPont!$A5)</f>
        <v>0.32645345096142325</v>
      </c>
      <c r="F5" s="17" cm="1">
        <f t="array" ref="F5">INDEX(Data!$A$23:$H$27,DuPont!F$1,DuPont!$A5)</f>
        <v>9.6953120731144329E-2</v>
      </c>
      <c r="G5" s="17" cm="1">
        <f t="array" ref="G5">INDEX(Data!$A$23:$H$27,DuPont!G$1,DuPont!$A5)</f>
        <v>3.5404526849895581</v>
      </c>
      <c r="H5" s="8">
        <f t="shared" si="0"/>
        <v>3.6916416723662304E-2</v>
      </c>
    </row>
    <row r="6" spans="1:8" x14ac:dyDescent="0.2">
      <c r="A6" s="19">
        <v>5</v>
      </c>
      <c r="B6" s="16" t="s">
        <v>15</v>
      </c>
      <c r="C6" s="17" cm="1">
        <f t="array" ref="C6">INDEX(Data!$A$23:$H$27,DuPont!C$1,DuPont!$A6)</f>
        <v>-0.94972477064220184</v>
      </c>
      <c r="D6" s="17" cm="1">
        <f t="array" ref="D6">INDEX(Data!$A$23:$H$27,DuPont!D$1,DuPont!$A6)</f>
        <v>0.12311746987951808</v>
      </c>
      <c r="E6" s="17" cm="1">
        <f t="array" ref="E6">INDEX(Data!$A$23:$H$27,DuPont!E$1,DuPont!$A6)</f>
        <v>0.21921860452831685</v>
      </c>
      <c r="F6" s="17" cm="1">
        <f t="array" ref="F6">INDEX(Data!$A$23:$H$27,DuPont!F$1,DuPont!$A6)</f>
        <v>0.13037579447305872</v>
      </c>
      <c r="G6" s="17" cm="1">
        <f t="array" ref="G6">INDEX(Data!$A$23:$H$27,DuPont!G$1,DuPont!$A6)</f>
        <v>3.7152251055044623</v>
      </c>
      <c r="H6" s="8">
        <f t="shared" si="0"/>
        <v>-1.241586428903825E-2</v>
      </c>
    </row>
    <row r="7" spans="1:8" x14ac:dyDescent="0.2">
      <c r="A7" s="19">
        <v>6</v>
      </c>
      <c r="B7" s="16" t="s">
        <v>12</v>
      </c>
      <c r="C7" s="17" cm="1">
        <f t="array" ref="C7">INDEX(Data!$A$23:$H$27,DuPont!C$1,DuPont!$A7)</f>
        <v>0.963385009496047</v>
      </c>
      <c r="D7" s="17" cm="1">
        <f t="array" ref="D7">INDEX(Data!$A$23:$H$27,DuPont!D$1,DuPont!$A7)</f>
        <v>0.65753782708448294</v>
      </c>
      <c r="E7" s="17" cm="1">
        <f t="array" ref="E7">INDEX(Data!$A$23:$H$27,DuPont!E$1,DuPont!$A7)</f>
        <v>0.43355577940065476</v>
      </c>
      <c r="F7" s="17" cm="1">
        <f t="array" ref="F7">INDEX(Data!$A$23:$H$27,DuPont!F$1,DuPont!$A7)</f>
        <v>3.4237230121002875E-2</v>
      </c>
      <c r="G7" s="17" cm="1">
        <f t="array" ref="G7">INDEX(Data!$A$23:$H$27,DuPont!G$1,DuPont!$A7)</f>
        <v>3.5966357760057552</v>
      </c>
      <c r="H7" s="8">
        <f t="shared" si="0"/>
        <v>3.3818994267888237E-2</v>
      </c>
    </row>
    <row r="8" spans="1:8" x14ac:dyDescent="0.2">
      <c r="A8" s="19">
        <v>7</v>
      </c>
      <c r="B8" s="16" t="s">
        <v>13</v>
      </c>
      <c r="C8" s="17" cm="1">
        <f t="array" ref="C8">INDEX(Data!$A$23:$H$27,DuPont!C$1,DuPont!$A8)</f>
        <v>0.99765460781059856</v>
      </c>
      <c r="D8" s="17" cm="1">
        <f t="array" ref="D8">INDEX(Data!$A$23:$H$27,DuPont!D$1,DuPont!$A8)</f>
        <v>0.65061541783632049</v>
      </c>
      <c r="E8" s="17" cm="1">
        <f t="array" ref="E8">INDEX(Data!$A$23:$H$27,DuPont!E$1,DuPont!$A8)</f>
        <v>0.43441146673670783</v>
      </c>
      <c r="F8" s="17" cm="1">
        <f t="array" ref="F8">INDEX(Data!$A$23:$H$27,DuPont!F$1,DuPont!$A8)</f>
        <v>7.1022332332070018E-2</v>
      </c>
      <c r="G8" s="17" cm="1">
        <f t="array" ref="G8">INDEX(Data!$A$23:$H$27,DuPont!G$1,DuPont!$A8)</f>
        <v>3.3608025363995426</v>
      </c>
      <c r="H8" s="8">
        <f t="shared" si="0"/>
        <v>6.7304448551033999E-2</v>
      </c>
    </row>
    <row r="9" spans="1:8" x14ac:dyDescent="0.2">
      <c r="A9" s="19">
        <v>8</v>
      </c>
      <c r="B9" s="16" t="s">
        <v>11</v>
      </c>
      <c r="C9" s="17" cm="1">
        <f t="array" ref="C9">INDEX(Data!$A$23:$H$27,DuPont!C$1,DuPont!$A9)</f>
        <v>1.0210319685922602</v>
      </c>
      <c r="D9" s="17" cm="1">
        <f t="array" ref="D9">INDEX(Data!$A$23:$H$27,DuPont!D$1,DuPont!$A9)</f>
        <v>0.62183815622487237</v>
      </c>
      <c r="E9" s="17" cm="1">
        <f t="array" ref="E9">INDEX(Data!$A$23:$H$27,DuPont!E$1,DuPont!$A9)</f>
        <v>0.42326365254188636</v>
      </c>
      <c r="F9" s="17" cm="1">
        <f t="array" ref="F9">INDEX(Data!$A$23:$H$27,DuPont!F$1,DuPont!$A9)</f>
        <v>0.10081333077035962</v>
      </c>
      <c r="G9" s="17" cm="1">
        <f t="array" ref="G9">INDEX(Data!$A$23:$H$27,DuPont!G$1,DuPont!$A9)</f>
        <v>3.5312446171497971</v>
      </c>
      <c r="H9" s="8">
        <f t="shared" si="0"/>
        <v>9.5669487888404556E-2</v>
      </c>
    </row>
    <row r="10" spans="1:8" x14ac:dyDescent="0.2">
      <c r="A10" s="19">
        <v>9</v>
      </c>
      <c r="B10" s="16" t="s">
        <v>16</v>
      </c>
      <c r="C10" s="17"/>
      <c r="D10" s="17"/>
      <c r="E10" s="17"/>
      <c r="F10" s="17"/>
      <c r="G1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F2F-9B29-754F-A77A-0504DF5D99C5}">
  <dimension ref="A2:U19"/>
  <sheetViews>
    <sheetView showGridLines="0" tabSelected="1" workbookViewId="0">
      <selection activeCell="B17" sqref="B17"/>
    </sheetView>
  </sheetViews>
  <sheetFormatPr baseColWidth="10" defaultRowHeight="15" x14ac:dyDescent="0.2"/>
  <cols>
    <col min="1" max="1" width="18.83203125" customWidth="1"/>
    <col min="2" max="9" width="14.83203125" customWidth="1"/>
  </cols>
  <sheetData>
    <row r="2" spans="1:21" x14ac:dyDescent="0.2">
      <c r="B2" s="24" t="s">
        <v>9</v>
      </c>
      <c r="C2" s="24" t="s">
        <v>10</v>
      </c>
      <c r="D2" s="24" t="s">
        <v>14</v>
      </c>
      <c r="E2" s="24" t="s">
        <v>15</v>
      </c>
      <c r="F2" s="24" t="s">
        <v>12</v>
      </c>
      <c r="G2" s="24" t="s">
        <v>13</v>
      </c>
      <c r="H2" s="24" t="s">
        <v>11</v>
      </c>
      <c r="I2" s="24" t="s">
        <v>16</v>
      </c>
      <c r="J2" s="24" t="s">
        <v>65</v>
      </c>
      <c r="K2" s="24" t="s">
        <v>66</v>
      </c>
      <c r="L2" s="24" t="s">
        <v>67</v>
      </c>
      <c r="M2" s="24" t="s">
        <v>68</v>
      </c>
      <c r="N2" s="24" t="s">
        <v>69</v>
      </c>
      <c r="O2" s="24" t="s">
        <v>70</v>
      </c>
      <c r="P2" s="24" t="s">
        <v>71</v>
      </c>
      <c r="Q2" s="24" t="s">
        <v>72</v>
      </c>
      <c r="R2" s="24" t="s">
        <v>73</v>
      </c>
      <c r="S2" s="24" t="s">
        <v>74</v>
      </c>
      <c r="T2" s="24" t="s">
        <v>75</v>
      </c>
      <c r="U2" s="24" t="s">
        <v>76</v>
      </c>
    </row>
    <row r="3" spans="1:21" x14ac:dyDescent="0.2">
      <c r="A3" s="27" t="s">
        <v>36</v>
      </c>
      <c r="B3" s="23">
        <f>Data!B53</f>
        <v>326708</v>
      </c>
      <c r="C3" s="23">
        <f>Data!C53</f>
        <v>727943</v>
      </c>
      <c r="D3" s="23">
        <f>Data!D53</f>
        <v>1112067</v>
      </c>
      <c r="E3" s="23">
        <f>Data!E53</f>
        <v>1488045</v>
      </c>
      <c r="F3" s="23">
        <f>Data!F53</f>
        <v>349914</v>
      </c>
      <c r="G3" s="23">
        <f>Data!G53</f>
        <v>735655</v>
      </c>
      <c r="H3" s="23">
        <f>Data!H53</f>
        <v>1104087</v>
      </c>
      <c r="I3" s="23">
        <f t="shared" ref="I3:U11" si="0">H3*(1+I4)</f>
        <v>1137209.6100000001</v>
      </c>
      <c r="J3" s="21">
        <f t="shared" si="0"/>
        <v>1171325.8983000002</v>
      </c>
      <c r="K3" s="21">
        <f t="shared" si="0"/>
        <v>1206465.6752490003</v>
      </c>
      <c r="L3" s="21">
        <f t="shared" si="0"/>
        <v>1242659.6455064705</v>
      </c>
      <c r="M3" s="21">
        <f t="shared" si="0"/>
        <v>1279939.4348716645</v>
      </c>
      <c r="N3" s="21">
        <f t="shared" si="0"/>
        <v>1318337.6179178145</v>
      </c>
      <c r="O3" s="21">
        <f t="shared" si="0"/>
        <v>1357887.746455349</v>
      </c>
      <c r="P3" s="21">
        <f t="shared" si="0"/>
        <v>1398624.3788490095</v>
      </c>
      <c r="Q3" s="21">
        <f t="shared" si="0"/>
        <v>1440583.1102144797</v>
      </c>
      <c r="R3" s="21">
        <f t="shared" si="0"/>
        <v>1483800.6035209142</v>
      </c>
      <c r="S3" s="21">
        <f t="shared" si="0"/>
        <v>1528314.6216265417</v>
      </c>
      <c r="T3" s="21">
        <f t="shared" si="0"/>
        <v>1574164.0602753381</v>
      </c>
      <c r="U3" s="21">
        <f t="shared" si="0"/>
        <v>1621388.9820835984</v>
      </c>
    </row>
    <row r="4" spans="1:21" x14ac:dyDescent="0.2">
      <c r="A4" s="27"/>
      <c r="B4" s="23"/>
      <c r="C4" s="25"/>
      <c r="D4" s="23"/>
      <c r="E4" s="23"/>
      <c r="F4" s="26">
        <f t="shared" ref="F4:H12" si="1">(F3/B3)-1</f>
        <v>7.1029788067632271E-2</v>
      </c>
      <c r="G4" s="26">
        <f t="shared" si="1"/>
        <v>1.0594236087166253E-2</v>
      </c>
      <c r="H4" s="26">
        <f t="shared" si="1"/>
        <v>-7.1758266363447509E-3</v>
      </c>
      <c r="I4" s="28">
        <v>0.03</v>
      </c>
      <c r="J4" s="29">
        <v>0.03</v>
      </c>
      <c r="K4" s="29">
        <v>0.03</v>
      </c>
      <c r="L4" s="29">
        <v>0.03</v>
      </c>
      <c r="M4" s="29">
        <v>0.03</v>
      </c>
      <c r="N4" s="29">
        <v>0.03</v>
      </c>
      <c r="O4" s="29">
        <v>0.03</v>
      </c>
      <c r="P4" s="29">
        <v>0.03</v>
      </c>
      <c r="Q4" s="29">
        <v>0.03</v>
      </c>
      <c r="R4" s="29">
        <v>0.03</v>
      </c>
      <c r="S4" s="29">
        <v>0.03</v>
      </c>
      <c r="T4" s="29">
        <v>0.03</v>
      </c>
      <c r="U4" s="29">
        <v>0.03</v>
      </c>
    </row>
    <row r="5" spans="1:21" x14ac:dyDescent="0.2">
      <c r="A5" s="27" t="s">
        <v>37</v>
      </c>
      <c r="B5" s="23">
        <f>Data!B54</f>
        <v>45844</v>
      </c>
      <c r="C5" s="23">
        <f>Data!C54</f>
        <v>2162</v>
      </c>
      <c r="D5" s="23">
        <f>Data!D54</f>
        <v>3086</v>
      </c>
      <c r="E5" s="23">
        <f>Data!E54</f>
        <v>10137</v>
      </c>
      <c r="F5" s="23">
        <f>Data!F54</f>
        <v>2587</v>
      </c>
      <c r="G5" s="23">
        <f>Data!G54</f>
        <v>1045</v>
      </c>
      <c r="H5" s="23">
        <f>Data!H54</f>
        <v>2537</v>
      </c>
      <c r="I5" s="23">
        <f t="shared" ref="I5:U5" si="2">H5*(1+I6)</f>
        <v>2587.7400000000002</v>
      </c>
      <c r="J5" s="21">
        <f t="shared" si="2"/>
        <v>2639.4948000000004</v>
      </c>
      <c r="K5" s="21">
        <f t="shared" si="2"/>
        <v>2692.2846960000006</v>
      </c>
      <c r="L5" s="21">
        <f t="shared" si="2"/>
        <v>2746.1303899200007</v>
      </c>
      <c r="M5" s="21">
        <f t="shared" si="2"/>
        <v>2801.0529977184005</v>
      </c>
      <c r="N5" s="21">
        <f t="shared" si="2"/>
        <v>2857.0740576727685</v>
      </c>
      <c r="O5" s="21">
        <f t="shared" si="2"/>
        <v>2914.215538826224</v>
      </c>
      <c r="P5" s="21">
        <f t="shared" si="2"/>
        <v>2972.4998496027483</v>
      </c>
      <c r="Q5" s="21">
        <f t="shared" si="2"/>
        <v>3031.9498465948031</v>
      </c>
      <c r="R5" s="21">
        <f t="shared" si="2"/>
        <v>3092.5888435266993</v>
      </c>
      <c r="S5" s="21">
        <f t="shared" si="2"/>
        <v>3154.4406203972335</v>
      </c>
      <c r="T5" s="21">
        <f t="shared" si="2"/>
        <v>3217.5294328051782</v>
      </c>
      <c r="U5" s="21">
        <f t="shared" si="2"/>
        <v>3281.880021461282</v>
      </c>
    </row>
    <row r="6" spans="1:21" x14ac:dyDescent="0.2">
      <c r="A6" s="27"/>
      <c r="B6" s="23"/>
      <c r="C6" s="23"/>
      <c r="D6" s="23"/>
      <c r="E6" s="23"/>
      <c r="F6" s="25">
        <f t="shared" ref="F6:I8" si="3">(F5/B5)-1</f>
        <v>-0.9435694965535294</v>
      </c>
      <c r="G6" s="25">
        <f t="shared" si="3"/>
        <v>-0.5166512488436632</v>
      </c>
      <c r="H6" s="25">
        <f t="shared" si="3"/>
        <v>-0.177900194426442</v>
      </c>
      <c r="I6" s="28">
        <v>0.02</v>
      </c>
      <c r="J6" s="29">
        <v>0.02</v>
      </c>
      <c r="K6" s="29">
        <v>0.02</v>
      </c>
      <c r="L6" s="29">
        <v>0.02</v>
      </c>
      <c r="M6" s="29">
        <v>0.02</v>
      </c>
      <c r="N6" s="29">
        <v>0.02</v>
      </c>
      <c r="O6" s="29">
        <v>0.02</v>
      </c>
      <c r="P6" s="29">
        <v>0.02</v>
      </c>
      <c r="Q6" s="29">
        <v>0.02</v>
      </c>
      <c r="R6" s="29">
        <v>0.02</v>
      </c>
      <c r="S6" s="29">
        <v>0.02</v>
      </c>
      <c r="T6" s="29">
        <v>0.02</v>
      </c>
      <c r="U6" s="29">
        <v>0.02</v>
      </c>
    </row>
    <row r="7" spans="1:21" x14ac:dyDescent="0.2">
      <c r="A7" s="27" t="s">
        <v>38</v>
      </c>
      <c r="B7" s="23">
        <f>Data!B55</f>
        <v>-231495</v>
      </c>
      <c r="C7" s="23">
        <f>Data!C55</f>
        <v>-457563</v>
      </c>
      <c r="D7" s="23">
        <f>Data!D55</f>
        <v>-679398</v>
      </c>
      <c r="E7" s="23">
        <f>Data!E55</f>
        <v>-1034887</v>
      </c>
      <c r="F7" s="23">
        <f>Data!F55</f>
        <v>-318205</v>
      </c>
      <c r="G7" s="23">
        <f>Data!G55</f>
        <v>-590396</v>
      </c>
      <c r="H7" s="23">
        <f>Data!H55</f>
        <v>-1034858</v>
      </c>
      <c r="I7" s="23">
        <f t="shared" ref="I7:U7" si="4">H7*(1+I8)</f>
        <v>-1138343.8</v>
      </c>
      <c r="J7" s="21">
        <f t="shared" si="4"/>
        <v>-1252178.1800000002</v>
      </c>
      <c r="K7" s="21">
        <f t="shared" si="4"/>
        <v>-1377395.9980000004</v>
      </c>
      <c r="L7" s="21">
        <f t="shared" si="4"/>
        <v>-1515135.5978000006</v>
      </c>
      <c r="M7" s="21">
        <f t="shared" si="4"/>
        <v>-1666649.1575800008</v>
      </c>
      <c r="N7" s="21">
        <f t="shared" si="4"/>
        <v>-1833314.073338001</v>
      </c>
      <c r="O7" s="21">
        <f t="shared" si="4"/>
        <v>-2016645.4806718014</v>
      </c>
      <c r="P7" s="21">
        <f t="shared" si="4"/>
        <v>-2218310.0287389816</v>
      </c>
      <c r="Q7" s="21">
        <f t="shared" si="4"/>
        <v>-2440141.0316128801</v>
      </c>
      <c r="R7" s="21">
        <f t="shared" si="4"/>
        <v>-2684155.1347741685</v>
      </c>
      <c r="S7" s="21">
        <f t="shared" si="4"/>
        <v>-2952570.6482515857</v>
      </c>
      <c r="T7" s="21">
        <f t="shared" si="4"/>
        <v>-3247827.7130767447</v>
      </c>
      <c r="U7" s="21">
        <f t="shared" si="4"/>
        <v>-3572610.4843844194</v>
      </c>
    </row>
    <row r="8" spans="1:21" x14ac:dyDescent="0.2">
      <c r="A8" s="27"/>
      <c r="B8" s="23"/>
      <c r="C8" s="23"/>
      <c r="D8" s="23"/>
      <c r="E8" s="23"/>
      <c r="F8" s="25">
        <f t="shared" ref="F8:H8" si="5">(F7/B7)-1</f>
        <v>0.37456532538499743</v>
      </c>
      <c r="G8" s="25">
        <f t="shared" si="5"/>
        <v>0.29030537871287665</v>
      </c>
      <c r="H8" s="25">
        <f t="shared" si="5"/>
        <v>0.52319847865316049</v>
      </c>
      <c r="I8" s="28">
        <v>0.1</v>
      </c>
      <c r="J8" s="28">
        <v>0.1</v>
      </c>
      <c r="K8" s="28">
        <v>0.1</v>
      </c>
      <c r="L8" s="28">
        <v>0.1</v>
      </c>
      <c r="M8" s="28">
        <v>0.1</v>
      </c>
      <c r="N8" s="28">
        <v>0.1</v>
      </c>
      <c r="O8" s="28">
        <v>0.1</v>
      </c>
      <c r="P8" s="28">
        <v>0.1</v>
      </c>
      <c r="Q8" s="28">
        <v>0.1</v>
      </c>
      <c r="R8" s="28">
        <v>0.1</v>
      </c>
      <c r="S8" s="28">
        <v>0.1</v>
      </c>
      <c r="T8" s="28">
        <v>0.1</v>
      </c>
      <c r="U8" s="28">
        <v>0.1</v>
      </c>
    </row>
    <row r="9" spans="1:21" x14ac:dyDescent="0.2">
      <c r="A9" s="27" t="s">
        <v>39</v>
      </c>
      <c r="B9" s="23">
        <f>Data!B56</f>
        <v>-36575</v>
      </c>
      <c r="C9" s="23">
        <f>Data!C56</f>
        <v>-74809</v>
      </c>
      <c r="D9" s="23">
        <f>Data!D56</f>
        <v>-106133</v>
      </c>
      <c r="E9" s="23">
        <f>Data!E56</f>
        <v>-87096</v>
      </c>
      <c r="F9" s="23">
        <f>Data!F56</f>
        <v>-23333</v>
      </c>
      <c r="G9" s="23">
        <f>Data!G56</f>
        <v>-44171</v>
      </c>
      <c r="H9" s="23">
        <f>Data!H56</f>
        <v>-61936</v>
      </c>
      <c r="I9" s="23">
        <f t="shared" ref="I9:U9" si="6">H9*(1+I10)</f>
        <v>-68129.600000000006</v>
      </c>
      <c r="J9" s="21">
        <f t="shared" si="6"/>
        <v>-74942.560000000012</v>
      </c>
      <c r="K9" s="21">
        <f t="shared" si="6"/>
        <v>-82436.816000000021</v>
      </c>
      <c r="L9" s="21">
        <f t="shared" si="6"/>
        <v>-90680.497600000032</v>
      </c>
      <c r="M9" s="21">
        <f t="shared" si="6"/>
        <v>-99748.54736000004</v>
      </c>
      <c r="N9" s="21">
        <f t="shared" si="6"/>
        <v>-109723.40209600005</v>
      </c>
      <c r="O9" s="21">
        <f t="shared" si="6"/>
        <v>-120695.74230560007</v>
      </c>
      <c r="P9" s="21">
        <f t="shared" si="6"/>
        <v>-132765.3165361601</v>
      </c>
      <c r="Q9" s="21">
        <f t="shared" si="6"/>
        <v>-146041.84818977612</v>
      </c>
      <c r="R9" s="21">
        <f t="shared" si="6"/>
        <v>-160646.03300875376</v>
      </c>
      <c r="S9" s="21">
        <f t="shared" si="6"/>
        <v>-176710.63630962916</v>
      </c>
      <c r="T9" s="21">
        <f t="shared" si="6"/>
        <v>-194381.69994059208</v>
      </c>
      <c r="U9" s="21">
        <f t="shared" si="6"/>
        <v>-213819.8699346513</v>
      </c>
    </row>
    <row r="10" spans="1:21" x14ac:dyDescent="0.2">
      <c r="A10" s="27"/>
      <c r="B10" s="23"/>
      <c r="C10" s="23"/>
      <c r="D10" s="23"/>
      <c r="E10" s="23"/>
      <c r="F10" s="26">
        <f t="shared" ref="F10:H10" si="7">(F9/B9)-1</f>
        <v>-0.3620505809979494</v>
      </c>
      <c r="G10" s="26">
        <f t="shared" si="7"/>
        <v>-0.40954965311660363</v>
      </c>
      <c r="H10" s="26">
        <f t="shared" si="7"/>
        <v>-0.41643032798469848</v>
      </c>
      <c r="I10" s="28">
        <v>0.1</v>
      </c>
      <c r="J10" s="29">
        <v>0.1</v>
      </c>
      <c r="K10" s="29">
        <v>0.1</v>
      </c>
      <c r="L10" s="29">
        <v>0.1</v>
      </c>
      <c r="M10" s="29">
        <v>0.1</v>
      </c>
      <c r="N10" s="29">
        <v>0.1</v>
      </c>
      <c r="O10" s="29">
        <v>0.1</v>
      </c>
      <c r="P10" s="29">
        <v>0.1</v>
      </c>
      <c r="Q10" s="29">
        <v>0.1</v>
      </c>
      <c r="R10" s="29">
        <v>0.1</v>
      </c>
      <c r="S10" s="29">
        <v>0.1</v>
      </c>
      <c r="T10" s="29">
        <v>0.1</v>
      </c>
      <c r="U10" s="29">
        <v>0.1</v>
      </c>
    </row>
    <row r="11" spans="1:21" x14ac:dyDescent="0.2">
      <c r="A11" s="27" t="s">
        <v>40</v>
      </c>
      <c r="B11" s="23">
        <f>Data!B57</f>
        <v>-17110</v>
      </c>
      <c r="C11" s="23">
        <f>Data!C57</f>
        <v>-30442</v>
      </c>
      <c r="D11" s="23">
        <f>Data!D57</f>
        <v>-43140</v>
      </c>
      <c r="E11" s="23">
        <f>Data!E57</f>
        <v>-58832</v>
      </c>
      <c r="F11" s="23">
        <f>Data!F57</f>
        <v>-10422</v>
      </c>
      <c r="G11" s="23">
        <f>Data!G57</f>
        <v>-22242</v>
      </c>
      <c r="H11" s="23">
        <f>Data!H57</f>
        <v>-34817</v>
      </c>
      <c r="I11" s="23">
        <f t="shared" ref="I11:U11" si="8">H11*(1+I12)</f>
        <v>-36557.85</v>
      </c>
      <c r="J11" s="21">
        <f t="shared" si="8"/>
        <v>-38385.7425</v>
      </c>
      <c r="K11" s="21">
        <f t="shared" si="8"/>
        <v>-40305.029625000003</v>
      </c>
      <c r="L11" s="21">
        <f t="shared" si="8"/>
        <v>-42320.281106250004</v>
      </c>
      <c r="M11" s="21">
        <f t="shared" si="8"/>
        <v>-44436.295161562506</v>
      </c>
      <c r="N11" s="21">
        <f t="shared" si="8"/>
        <v>-46658.109919640636</v>
      </c>
      <c r="O11" s="21">
        <f t="shared" si="8"/>
        <v>-48991.015415622671</v>
      </c>
      <c r="P11" s="21">
        <f t="shared" si="8"/>
        <v>-51440.566186403805</v>
      </c>
      <c r="Q11" s="21">
        <f t="shared" si="8"/>
        <v>-54012.594495723999</v>
      </c>
      <c r="R11" s="21">
        <f t="shared" si="8"/>
        <v>-56713.224220510201</v>
      </c>
      <c r="S11" s="21">
        <f t="shared" si="8"/>
        <v>-59548.885431535717</v>
      </c>
      <c r="T11" s="21">
        <f t="shared" si="8"/>
        <v>-62526.329703112504</v>
      </c>
      <c r="U11" s="21">
        <f t="shared" si="8"/>
        <v>-65652.646188268132</v>
      </c>
    </row>
    <row r="12" spans="1:21" x14ac:dyDescent="0.2">
      <c r="A12" s="27"/>
      <c r="B12" s="23"/>
      <c r="C12" s="23"/>
      <c r="D12" s="23"/>
      <c r="E12" s="23"/>
      <c r="F12" s="26">
        <f t="shared" ref="F12:H12" si="9">(F11/B11)-1</f>
        <v>-0.39088252483927532</v>
      </c>
      <c r="G12" s="26">
        <f t="shared" si="9"/>
        <v>-0.26936469351553771</v>
      </c>
      <c r="H12" s="26">
        <f t="shared" si="9"/>
        <v>-0.19292999536393141</v>
      </c>
      <c r="I12" s="28">
        <v>0.05</v>
      </c>
      <c r="J12" s="28">
        <v>0.05</v>
      </c>
      <c r="K12" s="28">
        <v>0.05</v>
      </c>
      <c r="L12" s="28">
        <v>0.05</v>
      </c>
      <c r="M12" s="28">
        <v>0.05</v>
      </c>
      <c r="N12" s="28">
        <v>0.05</v>
      </c>
      <c r="O12" s="28">
        <v>0.05</v>
      </c>
      <c r="P12" s="28">
        <v>0.05</v>
      </c>
      <c r="Q12" s="28">
        <v>0.05</v>
      </c>
      <c r="R12" s="28">
        <v>0.05</v>
      </c>
      <c r="S12" s="28">
        <v>0.05</v>
      </c>
      <c r="T12" s="28">
        <v>0.05</v>
      </c>
      <c r="U12" s="28">
        <v>0.05</v>
      </c>
    </row>
    <row r="13" spans="1:21" x14ac:dyDescent="0.2">
      <c r="A13" s="30" t="s">
        <v>41</v>
      </c>
      <c r="B13" s="23">
        <f>Data!B58</f>
        <v>87372</v>
      </c>
      <c r="C13" s="23">
        <f>Data!C58</f>
        <v>167291</v>
      </c>
      <c r="D13" s="23">
        <f>Data!D58</f>
        <v>286482</v>
      </c>
      <c r="E13" s="23">
        <f>Data!E58</f>
        <v>317367</v>
      </c>
      <c r="F13" s="23">
        <f>Data!F58</f>
        <v>541</v>
      </c>
      <c r="G13" s="23">
        <f>Data!G58</f>
        <v>79891</v>
      </c>
      <c r="H13" s="23">
        <f>Data!H58</f>
        <v>-24987</v>
      </c>
      <c r="I13" s="23">
        <f>I3+I5+I7+I9+I11</f>
        <v>-103233.89999999997</v>
      </c>
      <c r="J13" s="23">
        <f t="shared" ref="J13:U13" si="10">J3+J5+J7+J9+J11</f>
        <v>-191541.08939999994</v>
      </c>
      <c r="K13" s="23">
        <f t="shared" si="10"/>
        <v>-290979.88368000014</v>
      </c>
      <c r="L13" s="23">
        <f t="shared" si="10"/>
        <v>-402730.60060986015</v>
      </c>
      <c r="M13" s="23">
        <f t="shared" si="10"/>
        <v>-528093.51223218045</v>
      </c>
      <c r="N13" s="23">
        <f t="shared" si="10"/>
        <v>-668500.89337815426</v>
      </c>
      <c r="O13" s="23">
        <f t="shared" si="10"/>
        <v>-825530.27639884874</v>
      </c>
      <c r="P13" s="23">
        <f t="shared" si="10"/>
        <v>-1000919.0327629332</v>
      </c>
      <c r="Q13" s="23">
        <f t="shared" si="10"/>
        <v>-1196580.4142373055</v>
      </c>
      <c r="R13" s="23">
        <f t="shared" si="10"/>
        <v>-1414621.1996389914</v>
      </c>
      <c r="S13" s="23">
        <f t="shared" si="10"/>
        <v>-1657361.1077458116</v>
      </c>
      <c r="T13" s="23">
        <f t="shared" si="10"/>
        <v>-1927354.153012306</v>
      </c>
      <c r="U13" s="23">
        <f t="shared" si="10"/>
        <v>-2227412.138402279</v>
      </c>
    </row>
    <row r="14" spans="1:21" x14ac:dyDescent="0.2">
      <c r="B14" s="22"/>
      <c r="C14" s="22"/>
      <c r="D14" s="22"/>
      <c r="E14" s="22"/>
      <c r="F14" s="22"/>
      <c r="G14" s="22"/>
      <c r="H14" s="22"/>
      <c r="I14" s="22"/>
    </row>
    <row r="15" spans="1:21" x14ac:dyDescent="0.2">
      <c r="B15" s="31" t="s">
        <v>77</v>
      </c>
      <c r="C15" s="22"/>
      <c r="D15" s="22"/>
      <c r="E15" s="22"/>
      <c r="F15" s="22"/>
      <c r="G15" s="22"/>
      <c r="H15" s="22"/>
      <c r="I15" s="22"/>
    </row>
    <row r="16" spans="1:21" x14ac:dyDescent="0.2">
      <c r="B16" s="22"/>
      <c r="C16" s="22"/>
      <c r="D16" s="22"/>
      <c r="E16" s="22"/>
      <c r="F16" s="22"/>
      <c r="G16" s="22"/>
      <c r="H16" s="22"/>
      <c r="I16" s="22"/>
    </row>
    <row r="17" spans="2:9" x14ac:dyDescent="0.2">
      <c r="B17" s="22"/>
      <c r="C17" s="22"/>
      <c r="D17" s="22"/>
      <c r="E17" s="22"/>
      <c r="F17" s="22"/>
      <c r="G17" s="22"/>
      <c r="H17" s="22"/>
      <c r="I17" s="22"/>
    </row>
    <row r="18" spans="2:9" x14ac:dyDescent="0.2">
      <c r="B18" s="21"/>
      <c r="C18" s="21"/>
      <c r="D18" s="21"/>
      <c r="E18" s="21"/>
      <c r="F18" s="21"/>
      <c r="G18" s="21"/>
      <c r="H18" s="21"/>
      <c r="I18" s="21"/>
    </row>
    <row r="19" spans="2:9" x14ac:dyDescent="0.2">
      <c r="B19" s="21"/>
      <c r="C19" s="21"/>
      <c r="D19" s="21"/>
      <c r="E19" s="21"/>
      <c r="F19" s="21"/>
      <c r="G19" s="21"/>
      <c r="H19" s="21"/>
      <c r="I19" s="21"/>
    </row>
  </sheetData>
  <phoneticPr fontId="2" type="noConversion"/>
  <pageMargins left="0.7" right="0.7" top="0.75" bottom="0.75" header="0.3" footer="0.3"/>
  <ignoredErrors>
    <ignoredError sqref="F5:H5 F7:H7 F11:H11 F9: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Common Size</vt:lpstr>
      <vt:lpstr>DuPont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Sotaronggal Manurung</cp:lastModifiedBy>
  <dcterms:created xsi:type="dcterms:W3CDTF">2022-12-06T23:58:23Z</dcterms:created>
  <dcterms:modified xsi:type="dcterms:W3CDTF">2022-12-07T10:00:24Z</dcterms:modified>
</cp:coreProperties>
</file>