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Akademik\Semester 5\Pengolahan Sinyal Digital\Proyek\"/>
    </mc:Choice>
  </mc:AlternateContent>
  <xr:revisionPtr revIDLastSave="0" documentId="13_ncr:1_{C84C37B2-9609-442F-9DA9-FF8A10A0315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14" i="1" l="1"/>
  <c r="Y114" i="1" s="1"/>
  <c r="X113" i="1"/>
  <c r="Y113" i="1"/>
  <c r="X112" i="1"/>
  <c r="Y112" i="1" s="1"/>
  <c r="X111" i="1"/>
  <c r="Y111" i="1" s="1"/>
  <c r="X110" i="1"/>
  <c r="Y110" i="1" s="1"/>
  <c r="X109" i="1"/>
  <c r="Y109" i="1" s="1"/>
  <c r="X108" i="1"/>
  <c r="Y108" i="1" s="1"/>
  <c r="X107" i="1"/>
  <c r="Y107" i="1" s="1"/>
  <c r="X106" i="1"/>
  <c r="Y106" i="1" s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85" i="1"/>
  <c r="U85" i="1"/>
  <c r="T114" i="1"/>
  <c r="U114" i="1"/>
  <c r="T113" i="1"/>
  <c r="U113" i="1" s="1"/>
  <c r="T112" i="1"/>
  <c r="U112" i="1" s="1"/>
  <c r="T111" i="1"/>
  <c r="U111" i="1" s="1"/>
  <c r="T110" i="1"/>
  <c r="U110" i="1"/>
  <c r="T109" i="1"/>
  <c r="U109" i="1"/>
  <c r="T108" i="1"/>
  <c r="U108" i="1"/>
  <c r="T107" i="1"/>
  <c r="U107" i="1" s="1"/>
  <c r="T106" i="1"/>
  <c r="U106" i="1" s="1"/>
  <c r="P114" i="1"/>
  <c r="Q114" i="1" s="1"/>
  <c r="P113" i="1"/>
  <c r="Q113" i="1" s="1"/>
  <c r="P112" i="1"/>
  <c r="Q112" i="1" s="1"/>
  <c r="P111" i="1"/>
  <c r="Q111" i="1" s="1"/>
  <c r="P110" i="1"/>
  <c r="Q110" i="1"/>
  <c r="P109" i="1"/>
  <c r="Q109" i="1" s="1"/>
  <c r="P108" i="1"/>
  <c r="Q108" i="1"/>
  <c r="P107" i="1"/>
  <c r="Q107" i="1" s="1"/>
  <c r="P106" i="1"/>
  <c r="Q106" i="1" s="1"/>
  <c r="L114" i="1"/>
  <c r="M114" i="1"/>
  <c r="L113" i="1"/>
  <c r="M113" i="1" s="1"/>
  <c r="L112" i="1"/>
  <c r="M112" i="1" s="1"/>
  <c r="L111" i="1"/>
  <c r="M111" i="1"/>
  <c r="L110" i="1"/>
  <c r="M110" i="1" s="1"/>
  <c r="L109" i="1"/>
  <c r="M109" i="1" s="1"/>
  <c r="L108" i="1"/>
  <c r="M108" i="1"/>
  <c r="L107" i="1"/>
  <c r="M107" i="1" s="1"/>
  <c r="L106" i="1"/>
  <c r="M106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85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X83" i="1" a="1"/>
  <c r="X83" i="1" s="1"/>
  <c r="X82" i="1" a="1"/>
  <c r="X82" i="1" s="1"/>
  <c r="X81" i="1" a="1"/>
  <c r="X81" i="1" s="1"/>
  <c r="X80" i="1" a="1"/>
  <c r="X80" i="1" s="1"/>
  <c r="X79" i="1" a="1"/>
  <c r="X79" i="1" s="1"/>
  <c r="T83" i="1" a="1"/>
  <c r="T83" i="1" s="1"/>
  <c r="T82" i="1" a="1"/>
  <c r="T82" i="1" s="1"/>
  <c r="T81" i="1" a="1"/>
  <c r="T81" i="1" s="1"/>
  <c r="T80" i="1" a="1"/>
  <c r="T80" i="1" s="1"/>
  <c r="T79" i="1" a="1"/>
  <c r="T79" i="1" s="1"/>
  <c r="P83" i="1" a="1"/>
  <c r="P83" i="1" s="1"/>
  <c r="P82" i="1" a="1"/>
  <c r="P82" i="1" s="1"/>
  <c r="P79" i="1" a="1"/>
  <c r="P79" i="1" s="1"/>
  <c r="P81" i="1" a="1"/>
  <c r="P81" i="1" s="1"/>
  <c r="P80" i="1" a="1"/>
  <c r="P80" i="1" s="1"/>
  <c r="X78" i="1"/>
  <c r="L83" i="1" a="1"/>
  <c r="L83" i="1" s="1"/>
  <c r="L82" i="1" a="1"/>
  <c r="L82" i="1" s="1"/>
  <c r="L81" i="1" a="1"/>
  <c r="L81" i="1" s="1"/>
  <c r="L80" i="1" a="1"/>
  <c r="L80" i="1" s="1"/>
  <c r="L79" i="1" a="1"/>
  <c r="L79" i="1" s="1"/>
  <c r="G97" i="1" a="1"/>
  <c r="G97" i="1" s="1"/>
  <c r="F97" i="1" a="1"/>
  <c r="F97" i="1" s="1"/>
  <c r="E97" i="1" a="1"/>
  <c r="E97" i="1" s="1"/>
  <c r="D97" i="1" a="1"/>
  <c r="D97" i="1" s="1"/>
  <c r="C97" i="1" a="1"/>
  <c r="C97" i="1" s="1"/>
  <c r="T78" i="1"/>
  <c r="P78" i="1"/>
  <c r="L78" i="1"/>
  <c r="R6" i="1" l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Q8" i="1" a="1"/>
  <c r="Q8" i="1" s="1"/>
  <c r="Q9" i="1" a="1"/>
  <c r="Q9" i="1" s="1"/>
  <c r="Q10" i="1" a="1"/>
  <c r="Q10" i="1" s="1"/>
  <c r="Q11" i="1" a="1"/>
  <c r="Q11" i="1" s="1"/>
  <c r="Q12" i="1" a="1"/>
  <c r="Q12" i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P8" i="1" a="1"/>
  <c r="P8" i="1" s="1"/>
  <c r="P9" i="1" a="1"/>
  <c r="P9" i="1" s="1"/>
  <c r="P10" i="1" a="1"/>
  <c r="P10" i="1" s="1"/>
  <c r="P11" i="1" a="1"/>
  <c r="P11" i="1" s="1"/>
  <c r="P12" i="1" a="1"/>
  <c r="P12" i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/>
  <c r="P55" i="1" a="1"/>
  <c r="P55" i="1" s="1"/>
  <c r="O8" i="1" a="1"/>
  <c r="O8" i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N8" i="1" a="1"/>
  <c r="N8" i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7" i="1" a="1"/>
  <c r="N7" i="1" s="1"/>
  <c r="R7" i="1" s="1"/>
  <c r="S7" i="1" s="1"/>
  <c r="H97" i="1"/>
  <c r="I97" i="1" s="1"/>
  <c r="Q7" i="1" a="1"/>
  <c r="Q7" i="1" s="1"/>
  <c r="P7" i="1" a="1"/>
  <c r="P7" i="1" s="1"/>
  <c r="O7" i="1" a="1"/>
  <c r="O7" i="1" s="1"/>
  <c r="M8" i="1" a="1"/>
  <c r="M8" i="1" s="1"/>
  <c r="M9" i="1" a="1"/>
  <c r="M9" i="1" s="1"/>
  <c r="M10" i="1" a="1"/>
  <c r="M10" i="1" s="1"/>
  <c r="M11" i="1" a="1"/>
  <c r="M11" i="1" s="1"/>
  <c r="M12" i="1" a="1"/>
  <c r="M12" i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7" i="1" a="1"/>
  <c r="M7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6" i="1"/>
  <c r="B97" i="1" l="1"/>
  <c r="B100" i="1"/>
  <c r="B99" i="1"/>
  <c r="B98" i="1"/>
  <c r="C25" i="1"/>
  <c r="C24" i="1"/>
  <c r="F9" i="1" l="1"/>
  <c r="F10" i="1"/>
  <c r="F11" i="1"/>
  <c r="F8" i="1"/>
  <c r="D15" i="1" s="1"/>
  <c r="E72" i="1" l="1"/>
  <c r="E73" i="1"/>
  <c r="E71" i="1"/>
  <c r="E74" i="1"/>
  <c r="E75" i="1"/>
  <c r="D16" i="1"/>
  <c r="D17" i="1" s="1"/>
  <c r="D18" i="1" l="1"/>
  <c r="D19" i="1" s="1"/>
  <c r="C26" i="1" s="1"/>
  <c r="D26" i="1" s="1"/>
  <c r="D37" i="1" l="1"/>
  <c r="D36" i="1"/>
  <c r="D35" i="1"/>
  <c r="D38" i="1"/>
  <c r="D39" i="1"/>
  <c r="C29" i="1"/>
  <c r="C31" i="1" s="1"/>
  <c r="C28" i="1"/>
  <c r="F37" i="1" l="1"/>
  <c r="D45" i="1" s="1"/>
  <c r="D53" i="1"/>
  <c r="E37" i="1"/>
  <c r="C45" i="1" s="1"/>
  <c r="C51" i="1"/>
  <c r="C53" i="1"/>
  <c r="C52" i="1"/>
  <c r="E39" i="1"/>
  <c r="F39" i="1"/>
  <c r="E38" i="1"/>
  <c r="F38" i="1"/>
  <c r="D51" i="1"/>
  <c r="E35" i="1"/>
  <c r="C43" i="1" s="1"/>
  <c r="E43" i="1" s="1"/>
  <c r="F35" i="1"/>
  <c r="D43" i="1" s="1"/>
  <c r="F43" i="1" s="1"/>
  <c r="E36" i="1"/>
  <c r="C44" i="1" s="1"/>
  <c r="E44" i="1" s="1"/>
  <c r="D52" i="1"/>
  <c r="F36" i="1"/>
  <c r="D44" i="1" s="1"/>
  <c r="F44" i="1" s="1"/>
  <c r="D57" i="1" l="1"/>
  <c r="E51" i="1"/>
  <c r="H51" i="1" s="1"/>
  <c r="C57" i="1"/>
  <c r="F51" i="1"/>
  <c r="C58" i="1"/>
  <c r="F52" i="1"/>
  <c r="E52" i="1"/>
  <c r="D58" i="1"/>
  <c r="D59" i="1"/>
  <c r="F53" i="1"/>
  <c r="C59" i="1"/>
  <c r="E53" i="1"/>
  <c r="G52" i="1" l="1"/>
  <c r="H52" i="1"/>
  <c r="G53" i="1"/>
  <c r="H53" i="1"/>
  <c r="G51" i="1"/>
  <c r="F57" i="1" l="1"/>
  <c r="E57" i="1"/>
  <c r="E59" i="1"/>
  <c r="C67" i="1" s="1"/>
  <c r="F59" i="1"/>
  <c r="D67" i="1" s="1"/>
  <c r="E58" i="1"/>
  <c r="F58" i="1"/>
  <c r="G75" i="1" l="1"/>
  <c r="H75" i="1"/>
  <c r="G85" i="1" s="1"/>
  <c r="H90" i="1" s="1"/>
  <c r="D64" i="1"/>
  <c r="D63" i="1"/>
  <c r="D65" i="1"/>
  <c r="D66" i="1"/>
  <c r="C66" i="1"/>
  <c r="C65" i="1"/>
  <c r="C64" i="1"/>
  <c r="C63" i="1"/>
  <c r="F85" i="1" l="1"/>
  <c r="H91" i="1" s="1"/>
  <c r="H85" i="1"/>
  <c r="H89" i="1" s="1"/>
  <c r="E85" i="1"/>
  <c r="H92" i="1" s="1"/>
  <c r="D85" i="1"/>
  <c r="H93" i="1" s="1"/>
  <c r="C85" i="1"/>
  <c r="H94" i="1" s="1"/>
  <c r="G71" i="1"/>
  <c r="H71" i="1"/>
  <c r="H72" i="1"/>
  <c r="G82" i="1" s="1"/>
  <c r="E90" i="1" s="1"/>
  <c r="G72" i="1"/>
  <c r="H73" i="1"/>
  <c r="G83" i="1" s="1"/>
  <c r="F90" i="1" s="1"/>
  <c r="G73" i="1"/>
  <c r="G74" i="1"/>
  <c r="H74" i="1"/>
  <c r="G84" i="1" s="1"/>
  <c r="G90" i="1" s="1"/>
  <c r="H82" i="1" l="1"/>
  <c r="E89" i="1" s="1"/>
  <c r="F82" i="1"/>
  <c r="E91" i="1" s="1"/>
  <c r="E82" i="1"/>
  <c r="E92" i="1" s="1"/>
  <c r="D82" i="1"/>
  <c r="E93" i="1" s="1"/>
  <c r="C82" i="1"/>
  <c r="E94" i="1" s="1"/>
  <c r="F81" i="1"/>
  <c r="D91" i="1" s="1"/>
  <c r="H81" i="1"/>
  <c r="D89" i="1" s="1"/>
  <c r="C81" i="1"/>
  <c r="D94" i="1" s="1"/>
  <c r="D81" i="1"/>
  <c r="D93" i="1" s="1"/>
  <c r="E81" i="1"/>
  <c r="D92" i="1" s="1"/>
  <c r="G98" i="1" a="1"/>
  <c r="G98" i="1" s="1"/>
  <c r="G100" i="1" a="1"/>
  <c r="G100" i="1" s="1"/>
  <c r="G99" i="1" a="1"/>
  <c r="G99" i="1" s="1"/>
  <c r="H84" i="1"/>
  <c r="G89" i="1" s="1"/>
  <c r="F84" i="1"/>
  <c r="G91" i="1" s="1"/>
  <c r="C84" i="1"/>
  <c r="G94" i="1" s="1"/>
  <c r="E84" i="1"/>
  <c r="G92" i="1" s="1"/>
  <c r="D84" i="1"/>
  <c r="G93" i="1" s="1"/>
  <c r="H83" i="1"/>
  <c r="F89" i="1" s="1"/>
  <c r="F83" i="1"/>
  <c r="F91" i="1" s="1"/>
  <c r="C83" i="1"/>
  <c r="F94" i="1" s="1"/>
  <c r="D83" i="1"/>
  <c r="F93" i="1" s="1"/>
  <c r="E83" i="1"/>
  <c r="F92" i="1" s="1"/>
  <c r="G81" i="1"/>
  <c r="D90" i="1" s="1"/>
  <c r="F100" i="1" l="1" a="1"/>
  <c r="F100" i="1" s="1"/>
  <c r="F98" i="1" a="1"/>
  <c r="F98" i="1" s="1"/>
  <c r="F99" i="1" a="1"/>
  <c r="F99" i="1" s="1"/>
  <c r="E98" i="1" a="1"/>
  <c r="E98" i="1" s="1"/>
  <c r="E99" i="1" a="1"/>
  <c r="E99" i="1" s="1"/>
  <c r="E100" i="1" a="1"/>
  <c r="E100" i="1" s="1"/>
  <c r="C100" i="1" a="1"/>
  <c r="C100" i="1" s="1"/>
  <c r="H100" i="1" s="1"/>
  <c r="I100" i="1" s="1"/>
  <c r="C99" i="1" a="1"/>
  <c r="C99" i="1" s="1"/>
  <c r="H99" i="1" s="1"/>
  <c r="I99" i="1" s="1"/>
  <c r="C98" i="1" a="1"/>
  <c r="C98" i="1" s="1"/>
  <c r="D100" i="1" a="1"/>
  <c r="D100" i="1" s="1"/>
  <c r="D98" i="1" a="1"/>
  <c r="D98" i="1" s="1"/>
  <c r="D99" i="1" a="1"/>
  <c r="D99" i="1" s="1"/>
  <c r="H98" i="1" l="1"/>
  <c r="I9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<sst xmlns="http://schemas.openxmlformats.org/spreadsheetml/2006/main" count="154" uniqueCount="94">
  <si>
    <t>SOAL 2 : DESAIN BSF</t>
  </si>
  <si>
    <r>
      <t>ω</t>
    </r>
    <r>
      <rPr>
        <vertAlign val="subscript"/>
        <sz val="11"/>
        <color theme="1"/>
        <rFont val="Calibri"/>
        <family val="2"/>
      </rPr>
      <t>p2</t>
    </r>
  </si>
  <si>
    <r>
      <t>ω</t>
    </r>
    <r>
      <rPr>
        <vertAlign val="subscript"/>
        <sz val="11"/>
        <color theme="1"/>
        <rFont val="Calibri"/>
        <family val="2"/>
      </rPr>
      <t>p1</t>
    </r>
    <r>
      <rPr>
        <sz val="11"/>
        <color theme="1"/>
        <rFont val="Calibri"/>
        <family val="2"/>
      </rPr>
      <t xml:space="preserve"> (rad)</t>
    </r>
  </si>
  <si>
    <r>
      <t>ωs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 xml:space="preserve"> (rad)</t>
    </r>
  </si>
  <si>
    <r>
      <t>ωs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(rad)</t>
    </r>
  </si>
  <si>
    <r>
      <t>ω</t>
    </r>
    <r>
      <rPr>
        <vertAlign val="subscript"/>
        <sz val="11"/>
        <color theme="1"/>
        <rFont val="Calibri"/>
        <family val="2"/>
      </rPr>
      <t>p2</t>
    </r>
    <r>
      <rPr>
        <sz val="11"/>
        <color theme="1"/>
        <rFont val="Calibri"/>
        <family val="2"/>
      </rPr>
      <t xml:space="preserve"> (rad)</t>
    </r>
  </si>
  <si>
    <t>Spesifikasi BSF Digital</t>
  </si>
  <si>
    <t xml:space="preserve">Spesifikasi BSF Analog </t>
  </si>
  <si>
    <r>
      <t>Sistem kaskade orde dua H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(z)</t>
    </r>
  </si>
  <si>
    <r>
      <t>Sistem kaskade orde dua H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(s)</t>
    </r>
  </si>
  <si>
    <r>
      <t>Ω</t>
    </r>
    <r>
      <rPr>
        <vertAlign val="subscript"/>
        <sz val="11"/>
        <color theme="1"/>
        <rFont val="Calibri"/>
        <family val="2"/>
      </rPr>
      <t>p1</t>
    </r>
  </si>
  <si>
    <r>
      <t>Ω</t>
    </r>
    <r>
      <rPr>
        <vertAlign val="subscript"/>
        <sz val="11"/>
        <color theme="1"/>
        <rFont val="Calibri"/>
        <family val="2"/>
      </rPr>
      <t>s1</t>
    </r>
  </si>
  <si>
    <r>
      <t>Ω</t>
    </r>
    <r>
      <rPr>
        <vertAlign val="subscript"/>
        <sz val="11"/>
        <color theme="1"/>
        <rFont val="Calibri"/>
        <family val="2"/>
      </rPr>
      <t>s2</t>
    </r>
  </si>
  <si>
    <r>
      <t>Ω</t>
    </r>
    <r>
      <rPr>
        <vertAlign val="subscript"/>
        <sz val="11"/>
        <color theme="1"/>
        <rFont val="Calibri"/>
        <family val="2"/>
      </rPr>
      <t>p2</t>
    </r>
  </si>
  <si>
    <t>SPESIFIKASI</t>
  </si>
  <si>
    <t>Spesifikasi Filter LP Prototip Analog Untuk Transformasi Frekuensi</t>
  </si>
  <si>
    <t>C2</t>
  </si>
  <si>
    <t>C1</t>
  </si>
  <si>
    <t>B</t>
  </si>
  <si>
    <t>C</t>
  </si>
  <si>
    <t>DESAIN FILTER LP ANALOG BUTTERWORTH</t>
  </si>
  <si>
    <t>N</t>
  </si>
  <si>
    <t>Ωc</t>
  </si>
  <si>
    <t>Ωp</t>
  </si>
  <si>
    <t>Ωs</t>
  </si>
  <si>
    <r>
      <t>C</t>
    </r>
    <r>
      <rPr>
        <vertAlign val="subscript"/>
        <sz val="11"/>
        <color theme="1"/>
        <rFont val="Calibri"/>
        <family val="2"/>
        <scheme val="minor"/>
      </rPr>
      <t>p</t>
    </r>
  </si>
  <si>
    <r>
      <t>C</t>
    </r>
    <r>
      <rPr>
        <vertAlign val="subscript"/>
        <sz val="11"/>
        <color theme="1"/>
        <rFont val="Calibri"/>
        <family val="2"/>
        <scheme val="minor"/>
      </rPr>
      <t>s</t>
    </r>
  </si>
  <si>
    <r>
      <t>R</t>
    </r>
    <r>
      <rPr>
        <vertAlign val="subscript"/>
        <sz val="11"/>
        <color theme="1"/>
        <rFont val="Calibri"/>
        <family val="2"/>
      </rPr>
      <t>p</t>
    </r>
    <r>
      <rPr>
        <sz val="11"/>
        <color theme="1"/>
        <rFont val="Calibri"/>
        <family val="2"/>
      </rPr>
      <t xml:space="preserve"> &gt;= (dB)</t>
    </r>
  </si>
  <si>
    <r>
      <t>A</t>
    </r>
    <r>
      <rPr>
        <vertAlign val="subscript"/>
        <sz val="11"/>
        <color theme="1"/>
        <rFont val="Calibri"/>
        <family val="2"/>
      </rPr>
      <t>s</t>
    </r>
    <r>
      <rPr>
        <sz val="11"/>
        <color theme="1"/>
        <rFont val="Calibri"/>
        <family val="2"/>
      </rPr>
      <t xml:space="preserve"> &lt;= (dB)</t>
    </r>
  </si>
  <si>
    <t>Pole</t>
  </si>
  <si>
    <t>Sudut pole</t>
  </si>
  <si>
    <r>
      <t>Re{p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}</t>
    </r>
  </si>
  <si>
    <r>
      <t>Im{p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}</t>
    </r>
  </si>
  <si>
    <t>REALISASI FILTER LP ANALOG DALAM  CASCADE ORDE DUA</t>
  </si>
  <si>
    <t>POLES DENGAN PARAMETER BUTTERWORTH</t>
  </si>
  <si>
    <t>Stage</t>
  </si>
  <si>
    <t>Re {pole 1}</t>
  </si>
  <si>
    <t>Im {pole 1}</t>
  </si>
  <si>
    <t>Re {konj. pole 1}</t>
  </si>
  <si>
    <t>Im {konj. pole 1}</t>
  </si>
  <si>
    <t>FILTER BUTTERWORTH YANG DIDAPAT</t>
  </si>
  <si>
    <t>TRANSFORMASI FREKUENSI DARI LP ANALOG ORDE SATU KE BS ANALOG ORDE DUA</t>
  </si>
  <si>
    <t>Parameter Poles</t>
  </si>
  <si>
    <t>|a1|</t>
  </si>
  <si>
    <t>Re{D}</t>
  </si>
  <si>
    <t>Im{D}</t>
  </si>
  <si>
    <t>|D|</t>
  </si>
  <si>
    <t>arg(a1)</t>
  </si>
  <si>
    <t>arg(D)</t>
  </si>
  <si>
    <t>Parameter C dan D</t>
  </si>
  <si>
    <t>Re{c}</t>
  </si>
  <si>
    <t>Im{c}</t>
  </si>
  <si>
    <t>Re{d}</t>
  </si>
  <si>
    <t>Im{d}</t>
  </si>
  <si>
    <t>Poles dari BSF</t>
  </si>
  <si>
    <r>
      <t>Re{p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}</t>
    </r>
  </si>
  <si>
    <r>
      <t>Im{p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}</t>
    </r>
  </si>
  <si>
    <t>Koefisien Filter Kaskade Orde Dua BSF Analog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</si>
  <si>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</si>
  <si>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</si>
  <si>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</si>
  <si>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</si>
  <si>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</si>
  <si>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</si>
  <si>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t>TRANSFORMASI BILINIER BS ANALOG ORDE DUA KE BS DIGITAL ORDE DUA</t>
  </si>
  <si>
    <t>Filter Kaskade Orde Dua</t>
  </si>
  <si>
    <t>VERIFIKASI BS FILTER DIGITAL</t>
  </si>
  <si>
    <t>k</t>
  </si>
  <si>
    <t>Stage 1</t>
  </si>
  <si>
    <t>Stage 2</t>
  </si>
  <si>
    <t>Stage 3</t>
  </si>
  <si>
    <t>Stage 4</t>
  </si>
  <si>
    <t>Stage 5</t>
  </si>
  <si>
    <t>ω</t>
  </si>
  <si>
    <r>
      <t>|H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(ω)|</t>
    </r>
  </si>
  <si>
    <t>dB</t>
  </si>
  <si>
    <r>
      <t>|H</t>
    </r>
    <r>
      <rPr>
        <vertAlign val="subscript"/>
        <sz val="11"/>
        <color theme="1"/>
        <rFont val="Calibri"/>
        <family val="2"/>
      </rPr>
      <t>4</t>
    </r>
    <r>
      <rPr>
        <sz val="11"/>
        <color theme="1"/>
        <rFont val="Calibri"/>
        <family val="2"/>
      </rPr>
      <t>(ω)|</t>
    </r>
  </si>
  <si>
    <r>
      <t>|H</t>
    </r>
    <r>
      <rPr>
        <vertAlign val="subscript"/>
        <sz val="11"/>
        <color theme="1"/>
        <rFont val="Calibri"/>
        <family val="2"/>
      </rPr>
      <t>5</t>
    </r>
    <r>
      <rPr>
        <sz val="11"/>
        <color theme="1"/>
        <rFont val="Calibri"/>
        <family val="2"/>
      </rPr>
      <t>(ω)|</t>
    </r>
  </si>
  <si>
    <r>
      <t>|H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(ω)|</t>
    </r>
  </si>
  <si>
    <r>
      <t>|H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(ω)|</t>
    </r>
  </si>
  <si>
    <t>|H(ω)|</t>
  </si>
  <si>
    <r>
      <t>ω</t>
    </r>
    <r>
      <rPr>
        <vertAlign val="subscript"/>
        <sz val="11"/>
        <color theme="1"/>
        <rFont val="Calibri"/>
        <family val="2"/>
      </rPr>
      <t>p1</t>
    </r>
  </si>
  <si>
    <r>
      <t>ω</t>
    </r>
    <r>
      <rPr>
        <vertAlign val="subscript"/>
        <sz val="11"/>
        <color theme="1"/>
        <rFont val="Calibri"/>
        <family val="2"/>
      </rPr>
      <t>s1</t>
    </r>
    <r>
      <rPr>
        <sz val="11"/>
        <color theme="1"/>
        <rFont val="Calibri"/>
        <family val="2"/>
      </rPr>
      <t xml:space="preserve"> </t>
    </r>
  </si>
  <si>
    <r>
      <t>ω</t>
    </r>
    <r>
      <rPr>
        <vertAlign val="subscript"/>
        <sz val="11"/>
        <color theme="1"/>
        <rFont val="Calibri"/>
        <family val="2"/>
      </rPr>
      <t>s2</t>
    </r>
  </si>
  <si>
    <t>Verifikasi Band Stop Filter Digital</t>
  </si>
  <si>
    <t>Sampel</t>
  </si>
  <si>
    <t>Verifikasi Penguatan Filter</t>
  </si>
  <si>
    <t>n</t>
  </si>
  <si>
    <t>x[n]</t>
  </si>
  <si>
    <t>y[n]</t>
  </si>
  <si>
    <r>
      <t>ω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 xml:space="preserve"> = ω</t>
    </r>
    <r>
      <rPr>
        <vertAlign val="subscript"/>
        <sz val="11"/>
        <color theme="1"/>
        <rFont val="Calibri"/>
        <family val="2"/>
      </rPr>
      <t>p1</t>
    </r>
    <r>
      <rPr>
        <sz val="11"/>
        <color theme="1"/>
        <rFont val="Calibri"/>
        <family val="2"/>
      </rPr>
      <t xml:space="preserve"> </t>
    </r>
  </si>
  <si>
    <r>
      <t>ω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 xml:space="preserve"> = ω</t>
    </r>
    <r>
      <rPr>
        <vertAlign val="subscript"/>
        <sz val="11"/>
        <color theme="1"/>
        <rFont val="Calibri"/>
        <family val="2"/>
      </rPr>
      <t>s1</t>
    </r>
    <r>
      <rPr>
        <sz val="11"/>
        <color theme="1"/>
        <rFont val="Calibri"/>
        <family val="2"/>
      </rPr>
      <t xml:space="preserve"> </t>
    </r>
  </si>
  <si>
    <r>
      <t>ω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 xml:space="preserve"> = ωs2 </t>
    </r>
  </si>
  <si>
    <r>
      <t>ω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 xml:space="preserve"> = ω</t>
    </r>
    <r>
      <rPr>
        <vertAlign val="subscript"/>
        <sz val="11"/>
        <color theme="1"/>
        <rFont val="Calibri"/>
        <family val="2"/>
      </rPr>
      <t>p2</t>
    </r>
    <r>
      <rPr>
        <sz val="11"/>
        <color theme="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</si>
</sst>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KURVA</a:t>
            </a:r>
            <a:r>
              <a:rPr lang="en-ID" baseline="0"/>
              <a:t> SPEKTRUM BAND STOP FILTER 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923230226296284E-2"/>
          <c:y val="0.13453028654334423"/>
          <c:w val="0.89983175364180634"/>
          <c:h val="0.67022125498730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Sheet1!$L$6:$L$55</c:f>
              <c:numCache>
                <c:formatCode>General</c:formatCode>
                <c:ptCount val="50"/>
                <c:pt idx="0">
                  <c:v>0</c:v>
                </c:pt>
                <c:pt idx="1">
                  <c:v>6.2831853071795868E-2</c:v>
                </c:pt>
                <c:pt idx="2">
                  <c:v>0.12566370614359174</c:v>
                </c:pt>
                <c:pt idx="3">
                  <c:v>0.18849555921538758</c:v>
                </c:pt>
                <c:pt idx="4">
                  <c:v>0.25132741228718347</c:v>
                </c:pt>
                <c:pt idx="5">
                  <c:v>0.31415926535897931</c:v>
                </c:pt>
                <c:pt idx="6">
                  <c:v>0.37699111843077515</c:v>
                </c:pt>
                <c:pt idx="7">
                  <c:v>0.43982297150257105</c:v>
                </c:pt>
                <c:pt idx="8">
                  <c:v>0.50265482457436694</c:v>
                </c:pt>
                <c:pt idx="9">
                  <c:v>0.56548667764616278</c:v>
                </c:pt>
                <c:pt idx="10">
                  <c:v>0.62831853071795862</c:v>
                </c:pt>
                <c:pt idx="11">
                  <c:v>0.69115038378975446</c:v>
                </c:pt>
                <c:pt idx="12">
                  <c:v>0.7539822368615503</c:v>
                </c:pt>
                <c:pt idx="13">
                  <c:v>0.81681408993334625</c:v>
                </c:pt>
                <c:pt idx="14">
                  <c:v>0.87964594300514209</c:v>
                </c:pt>
                <c:pt idx="15">
                  <c:v>0.94247779607693782</c:v>
                </c:pt>
                <c:pt idx="16">
                  <c:v>1.0053096491487339</c:v>
                </c:pt>
                <c:pt idx="17">
                  <c:v>1.0681415022205298</c:v>
                </c:pt>
                <c:pt idx="18">
                  <c:v>1.1309733552923256</c:v>
                </c:pt>
                <c:pt idx="19">
                  <c:v>1.1938052083641213</c:v>
                </c:pt>
                <c:pt idx="20">
                  <c:v>1.2566370614359172</c:v>
                </c:pt>
                <c:pt idx="21">
                  <c:v>1.3194689145077132</c:v>
                </c:pt>
                <c:pt idx="22">
                  <c:v>1.3823007675795089</c:v>
                </c:pt>
                <c:pt idx="23">
                  <c:v>1.4451326206513047</c:v>
                </c:pt>
                <c:pt idx="24">
                  <c:v>1.5079644737231006</c:v>
                </c:pt>
                <c:pt idx="25">
                  <c:v>1.5707963267948966</c:v>
                </c:pt>
                <c:pt idx="26">
                  <c:v>1.6336281798666925</c:v>
                </c:pt>
                <c:pt idx="27">
                  <c:v>1.6964600329384882</c:v>
                </c:pt>
                <c:pt idx="28">
                  <c:v>1.7592918860102842</c:v>
                </c:pt>
                <c:pt idx="29">
                  <c:v>1.8221237390820801</c:v>
                </c:pt>
                <c:pt idx="30">
                  <c:v>1.8849555921538756</c:v>
                </c:pt>
                <c:pt idx="31">
                  <c:v>1.9477874452256716</c:v>
                </c:pt>
                <c:pt idx="32">
                  <c:v>2.0106192982974678</c:v>
                </c:pt>
                <c:pt idx="33">
                  <c:v>2.0734511513692637</c:v>
                </c:pt>
                <c:pt idx="34">
                  <c:v>2.1362830044410597</c:v>
                </c:pt>
                <c:pt idx="35">
                  <c:v>2.1991148575128552</c:v>
                </c:pt>
                <c:pt idx="36">
                  <c:v>2.2619467105846511</c:v>
                </c:pt>
                <c:pt idx="37">
                  <c:v>2.3247785636564471</c:v>
                </c:pt>
                <c:pt idx="38">
                  <c:v>2.3876104167282426</c:v>
                </c:pt>
                <c:pt idx="39">
                  <c:v>2.4504422698000385</c:v>
                </c:pt>
                <c:pt idx="40">
                  <c:v>2.5132741228718345</c:v>
                </c:pt>
                <c:pt idx="41">
                  <c:v>2.57610597594363</c:v>
                </c:pt>
                <c:pt idx="42">
                  <c:v>2.6389378290154264</c:v>
                </c:pt>
                <c:pt idx="43">
                  <c:v>2.7017696820872219</c:v>
                </c:pt>
                <c:pt idx="44">
                  <c:v>2.7646015351590179</c:v>
                </c:pt>
                <c:pt idx="45">
                  <c:v>2.8274333882308138</c:v>
                </c:pt>
                <c:pt idx="46">
                  <c:v>2.8902652413026093</c:v>
                </c:pt>
                <c:pt idx="47">
                  <c:v>2.9530970943744057</c:v>
                </c:pt>
                <c:pt idx="48">
                  <c:v>3.0159289474462012</c:v>
                </c:pt>
                <c:pt idx="49">
                  <c:v>3.0787608005179972</c:v>
                </c:pt>
              </c:numCache>
            </c:numRef>
          </c:cat>
          <c:val>
            <c:numRef>
              <c:f>Sheet1!$S$6:$S$55</c:f>
              <c:numCache>
                <c:formatCode>General</c:formatCode>
                <c:ptCount val="50"/>
                <c:pt idx="0">
                  <c:v>0</c:v>
                </c:pt>
                <c:pt idx="1">
                  <c:v>-3.2536408721514E-12</c:v>
                </c:pt>
                <c:pt idx="2">
                  <c:v>-3.5206303612190372E-9</c:v>
                </c:pt>
                <c:pt idx="3">
                  <c:v>-2.2136685111250023E-7</c:v>
                </c:pt>
                <c:pt idx="4">
                  <c:v>-4.4446936724437223E-6</c:v>
                </c:pt>
                <c:pt idx="5">
                  <c:v>-4.8620047648106759E-5</c:v>
                </c:pt>
                <c:pt idx="6">
                  <c:v>-3.6818714370733289E-4</c:v>
                </c:pt>
                <c:pt idx="7">
                  <c:v>-2.1971452223124811E-3</c:v>
                </c:pt>
                <c:pt idx="8">
                  <c:v>-1.1180855520674972E-2</c:v>
                </c:pt>
                <c:pt idx="9">
                  <c:v>-5.106903664073259E-2</c:v>
                </c:pt>
                <c:pt idx="10">
                  <c:v>-0.2155496752103214</c:v>
                </c:pt>
                <c:pt idx="11">
                  <c:v>-0.83494040136678038</c:v>
                </c:pt>
                <c:pt idx="12">
                  <c:v>-2.74194104754151</c:v>
                </c:pt>
                <c:pt idx="13">
                  <c:v>-6.7644166826931222</c:v>
                </c:pt>
                <c:pt idx="14">
                  <c:v>-12.521078801446418</c:v>
                </c:pt>
                <c:pt idx="15">
                  <c:v>-19.258433218731358</c:v>
                </c:pt>
                <c:pt idx="16">
                  <c:v>-26.761556456173206</c:v>
                </c:pt>
                <c:pt idx="17">
                  <c:v>-35.206976810159453</c:v>
                </c:pt>
                <c:pt idx="18">
                  <c:v>-45.032529024776984</c:v>
                </c:pt>
                <c:pt idx="19">
                  <c:v>-57.050193520636441</c:v>
                </c:pt>
                <c:pt idx="20">
                  <c:v>-72.940788021794702</c:v>
                </c:pt>
                <c:pt idx="21">
                  <c:v>-97.241007733180766</c:v>
                </c:pt>
                <c:pt idx="22">
                  <c:v>-154.69484631940682</c:v>
                </c:pt>
                <c:pt idx="23">
                  <c:v>-131.20737541621281</c:v>
                </c:pt>
                <c:pt idx="24">
                  <c:v>-90.151008529029184</c:v>
                </c:pt>
                <c:pt idx="25">
                  <c:v>-69.387472242669247</c:v>
                </c:pt>
                <c:pt idx="26">
                  <c:v>-55.274096159554851</c:v>
                </c:pt>
                <c:pt idx="27">
                  <c:v>-44.46740420994707</c:v>
                </c:pt>
                <c:pt idx="28">
                  <c:v>-35.616351358003627</c:v>
                </c:pt>
                <c:pt idx="29">
                  <c:v>-28.039978851156285</c:v>
                </c:pt>
                <c:pt idx="30">
                  <c:v>-21.355965416837009</c:v>
                </c:pt>
                <c:pt idx="31">
                  <c:v>-15.362875111367408</c:v>
                </c:pt>
                <c:pt idx="32">
                  <c:v>-10.043978131075368</c:v>
                </c:pt>
                <c:pt idx="33">
                  <c:v>-5.6480248130281332</c:v>
                </c:pt>
                <c:pt idx="34">
                  <c:v>-2.6122542299711879</c:v>
                </c:pt>
                <c:pt idx="35">
                  <c:v>-1.0143336601051998</c:v>
                </c:pt>
                <c:pt idx="36">
                  <c:v>-0.35544869475582469</c:v>
                </c:pt>
                <c:pt idx="37">
                  <c:v>-0.11860036780376856</c:v>
                </c:pt>
                <c:pt idx="38">
                  <c:v>-3.8338018314500878E-2</c:v>
                </c:pt>
                <c:pt idx="39">
                  <c:v>-1.1963467518049189E-2</c:v>
                </c:pt>
                <c:pt idx="40">
                  <c:v>-3.5559673270681284E-3</c:v>
                </c:pt>
                <c:pt idx="41">
                  <c:v>-9.8727447261594118E-4</c:v>
                </c:pt>
                <c:pt idx="42">
                  <c:v>-2.4944592888018148E-4</c:v>
                </c:pt>
                <c:pt idx="43">
                  <c:v>-5.536019000669679E-5</c:v>
                </c:pt>
                <c:pt idx="44">
                  <c:v>-1.0260178071488305E-5</c:v>
                </c:pt>
                <c:pt idx="45">
                  <c:v>-1.470281551916214E-6</c:v>
                </c:pt>
                <c:pt idx="46">
                  <c:v>-1.4337307484616561E-7</c:v>
                </c:pt>
                <c:pt idx="47">
                  <c:v>-7.4980211790725974E-9</c:v>
                </c:pt>
                <c:pt idx="48">
                  <c:v>-1.2339148531116885E-10</c:v>
                </c:pt>
                <c:pt idx="49">
                  <c:v>-1.0704034878741553E-13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8-4711-A8C4-AE58B8490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835832"/>
        <c:axId val="565833208"/>
      </c:lineChart>
      <c:catAx>
        <c:axId val="56583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33208"/>
        <c:crosses val="autoZero"/>
        <c:auto val="1"/>
        <c:lblAlgn val="ctr"/>
        <c:lblOffset val="100"/>
        <c:tickLblSkip val="4"/>
        <c:noMultiLvlLbl val="0"/>
      </c:catAx>
      <c:valAx>
        <c:axId val="56583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35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VERIFIKASI</a:t>
            </a:r>
            <a:r>
              <a:rPr lang="en-ID" baseline="0"/>
              <a:t> PENGUATAN FILTER y[n] = cos(</a:t>
            </a:r>
            <a:r>
              <a:rPr lang="el-GR" baseline="0"/>
              <a:t> ω</a:t>
            </a:r>
            <a:r>
              <a:rPr lang="en-ID" baseline="-25000"/>
              <a:t>p1</a:t>
            </a:r>
            <a:r>
              <a:rPr lang="en-ID" baseline="0"/>
              <a:t>)n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Sheet1!$L$84</c:f>
              <c:strCache>
                <c:ptCount val="1"/>
                <c:pt idx="0">
                  <c:v>x[n]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Sheet1!$K$85:$K$114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Sheet1!$L$85:$L$114</c:f>
              <c:numCache>
                <c:formatCode>General</c:formatCode>
                <c:ptCount val="30"/>
                <c:pt idx="0">
                  <c:v>1</c:v>
                </c:pt>
                <c:pt idx="1">
                  <c:v>0.7648421872844885</c:v>
                </c:pt>
                <c:pt idx="2">
                  <c:v>0.16996714290024104</c:v>
                </c:pt>
                <c:pt idx="3">
                  <c:v>-0.50484610459985713</c:v>
                </c:pt>
                <c:pt idx="4">
                  <c:v>-0.94222234066865806</c:v>
                </c:pt>
                <c:pt idx="5">
                  <c:v>-0.93645668729079634</c:v>
                </c:pt>
                <c:pt idx="6">
                  <c:v>-0.4902608213407002</c:v>
                </c:pt>
                <c:pt idx="7">
                  <c:v>0.18651236942257488</c:v>
                </c:pt>
                <c:pt idx="8">
                  <c:v>0.77556587851024961</c:v>
                </c:pt>
                <c:pt idx="9">
                  <c:v>0.9998586363834151</c:v>
                </c:pt>
                <c:pt idx="10">
                  <c:v>0.7539022543433046</c:v>
                </c:pt>
                <c:pt idx="11">
                  <c:v>0.15337386203786524</c:v>
                </c:pt>
                <c:pt idx="12">
                  <c:v>-0.51928865411668412</c:v>
                </c:pt>
                <c:pt idx="13">
                  <c:v>-0.9477216021311119</c:v>
                </c:pt>
                <c:pt idx="14">
                  <c:v>-0.93042627210475393</c:v>
                </c:pt>
                <c:pt idx="15">
                  <c:v>-0.47553692799599251</c:v>
                </c:pt>
                <c:pt idx="16">
                  <c:v>0.20300486381875041</c:v>
                </c:pt>
                <c:pt idx="17">
                  <c:v>0.78607029614103829</c:v>
                </c:pt>
                <c:pt idx="18">
                  <c:v>0.99943458550100472</c:v>
                </c:pt>
                <c:pt idx="19">
                  <c:v>0.74274917270367069</c:v>
                </c:pt>
                <c:pt idx="20">
                  <c:v>0.13673721820783361</c:v>
                </c:pt>
                <c:pt idx="21">
                  <c:v>-0.53358438658911767</c:v>
                </c:pt>
                <c:pt idx="22">
                  <c:v>-0.95295291688717976</c:v>
                </c:pt>
                <c:pt idx="23">
                  <c:v>-0.92413280007313092</c:v>
                </c:pt>
                <c:pt idx="24">
                  <c:v>-0.46067858741136569</c:v>
                </c:pt>
                <c:pt idx="25">
                  <c:v>0.21943996321145931</c:v>
                </c:pt>
                <c:pt idx="26">
                  <c:v>0.79635247029192313</c:v>
                </c:pt>
                <c:pt idx="27">
                  <c:v>0.99872796724350166</c:v>
                </c:pt>
                <c:pt idx="28">
                  <c:v>0.73138609564549917</c:v>
                </c:pt>
                <c:pt idx="29">
                  <c:v>0.12006191504243026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14-423B-B777-10B9167BD87C}"/>
            </c:ext>
          </c:extLst>
        </c:ser>
        <c:ser>
          <c:idx val="1"/>
          <c:order val="1"/>
          <c:tx>
            <c:strRef>
              <c:f>Sheet1!$M$84</c:f>
              <c:strCache>
                <c:ptCount val="1"/>
                <c:pt idx="0">
                  <c:v>y[n]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Sheet1!$K$85:$K$114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Sheet1!$M$85:$M$114</c:f>
              <c:numCache>
                <c:formatCode>General</c:formatCode>
                <c:ptCount val="30"/>
                <c:pt idx="0">
                  <c:v>0.89125093813374812</c:v>
                </c:pt>
                <c:pt idx="1">
                  <c:v>0.68166631694156832</c:v>
                </c:pt>
                <c:pt idx="2">
                  <c:v>0.15148337556175265</c:v>
                </c:pt>
                <c:pt idx="3">
                  <c:v>-0.44994456433779095</c:v>
                </c:pt>
                <c:pt idx="4">
                  <c:v>-0.83975654505151764</c:v>
                </c:pt>
                <c:pt idx="5">
                  <c:v>-0.83461790106954437</c:v>
                </c:pt>
                <c:pt idx="6">
                  <c:v>-0.43694541695012096</c:v>
                </c:pt>
                <c:pt idx="7">
                  <c:v>0.16622932422141809</c:v>
                </c:pt>
                <c:pt idx="8">
                  <c:v>0.69122381680678457</c:v>
                </c:pt>
                <c:pt idx="9">
                  <c:v>0.891124947677849</c:v>
                </c:pt>
                <c:pt idx="10">
                  <c:v>0.67191609144461795</c:v>
                </c:pt>
                <c:pt idx="11">
                  <c:v>0.13669459842644346</c:v>
                </c:pt>
                <c:pt idx="12">
                  <c:v>-0.46281650014370618</c:v>
                </c:pt>
                <c:pt idx="13">
                  <c:v>-0.84465776698897244</c:v>
                </c:pt>
                <c:pt idx="14">
                  <c:v>-0.82924328787764801</c:v>
                </c:pt>
                <c:pt idx="15">
                  <c:v>-0.42382273319366898</c:v>
                </c:pt>
                <c:pt idx="16">
                  <c:v>0.1809282753241751</c:v>
                </c:pt>
                <c:pt idx="17">
                  <c:v>0.7005858888747738</c:v>
                </c:pt>
                <c:pt idx="18">
                  <c:v>0.89074701193108419</c:v>
                </c:pt>
                <c:pt idx="19">
                  <c:v>0.66197589697021197</c:v>
                </c:pt>
                <c:pt idx="20">
                  <c:v>0.12186717400553072</c:v>
                </c:pt>
                <c:pt idx="21">
                  <c:v>-0.47555758512107177</c:v>
                </c:pt>
                <c:pt idx="22">
                  <c:v>-0.8493201811729908</c:v>
                </c:pt>
                <c:pt idx="23">
                  <c:v>-0.82363422502534556</c:v>
                </c:pt>
                <c:pt idx="24">
                  <c:v>-0.41058022320850956</c:v>
                </c:pt>
                <c:pt idx="25">
                  <c:v>0.1955760730762483</c:v>
                </c:pt>
                <c:pt idx="26">
                  <c:v>0.70974988623280444</c:v>
                </c:pt>
                <c:pt idx="27">
                  <c:v>0.89011723774618234</c:v>
                </c:pt>
                <c:pt idx="28">
                  <c:v>0.6518485438820304</c:v>
                </c:pt>
                <c:pt idx="29">
                  <c:v>0.10700529441570034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4-423B-B777-10B9167BD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795696"/>
        <c:axId val="404555264"/>
      </c:lineChart>
      <c:catAx>
        <c:axId val="56579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555264"/>
        <c:crosses val="autoZero"/>
        <c:auto val="1"/>
        <c:lblAlgn val="ctr"/>
        <c:lblOffset val="100"/>
        <c:noMultiLvlLbl val="0"/>
      </c:catAx>
      <c:valAx>
        <c:axId val="40455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9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600" b="0" i="0" baseline="0">
                <a:effectLst/>
              </a:rPr>
              <a:t>VERIFIKASI PENGUATAN FILTER y[n] = cos(</a:t>
            </a:r>
            <a:r>
              <a:rPr lang="el-GR" sz="1600" b="0" i="0" baseline="0">
                <a:effectLst/>
              </a:rPr>
              <a:t> ω</a:t>
            </a:r>
            <a:r>
              <a:rPr lang="en-ID" sz="1600" b="0" i="0" baseline="-25000">
                <a:effectLst/>
              </a:rPr>
              <a:t>s1</a:t>
            </a:r>
            <a:r>
              <a:rPr lang="en-ID" sz="1600" b="0" i="0" baseline="0">
                <a:effectLst/>
              </a:rPr>
              <a:t>)n</a:t>
            </a:r>
            <a:endParaRPr lang="en-ID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Sheet1!$P$84</c:f>
              <c:strCache>
                <c:ptCount val="1"/>
                <c:pt idx="0">
                  <c:v>x[n]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Sheet1!$O$85:$O$114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Sheet1!$P$85:$P$114</c:f>
              <c:numCache>
                <c:formatCode>General</c:formatCode>
                <c:ptCount val="30"/>
                <c:pt idx="0">
                  <c:v>1</c:v>
                </c:pt>
                <c:pt idx="1">
                  <c:v>0.36235775447667362</c:v>
                </c:pt>
                <c:pt idx="2">
                  <c:v>-0.73739371554124544</c:v>
                </c:pt>
                <c:pt idx="3">
                  <c:v>-0.89675841633414721</c:v>
                </c:pt>
                <c:pt idx="4">
                  <c:v>8.7498983439446398E-2</c:v>
                </c:pt>
                <c:pt idx="5">
                  <c:v>0.96017028665036597</c:v>
                </c:pt>
                <c:pt idx="6">
                  <c:v>0.60835131453225522</c:v>
                </c:pt>
                <c:pt idx="7">
                  <c:v>-0.51928865411668557</c:v>
                </c:pt>
                <c:pt idx="8">
                  <c:v>-0.98468785579412699</c:v>
                </c:pt>
                <c:pt idx="9">
                  <c:v>-0.19432990645533654</c:v>
                </c:pt>
                <c:pt idx="10">
                  <c:v>0.84385395873249214</c:v>
                </c:pt>
                <c:pt idx="11">
                  <c:v>0.80588395764045073</c:v>
                </c:pt>
                <c:pt idx="12">
                  <c:v>-0.25981735621375412</c:v>
                </c:pt>
                <c:pt idx="13">
                  <c:v>-0.99417762518381514</c:v>
                </c:pt>
                <c:pt idx="14">
                  <c:v>-0.46067858741136253</c:v>
                </c:pt>
                <c:pt idx="15">
                  <c:v>0.66031670824408017</c:v>
                </c:pt>
                <c:pt idx="16">
                  <c:v>0.93922034669687082</c:v>
                </c:pt>
                <c:pt idx="17">
                  <c:v>2.035084333168298E-2</c:v>
                </c:pt>
                <c:pt idx="18">
                  <c:v>-0.92447177491412025</c:v>
                </c:pt>
                <c:pt idx="19">
                  <c:v>-0.69032987620157249</c:v>
                </c:pt>
                <c:pt idx="20">
                  <c:v>0.42417900733699698</c:v>
                </c:pt>
                <c:pt idx="21">
                  <c:v>0.99773898139113038</c:v>
                </c:pt>
                <c:pt idx="22">
                  <c:v>0.29889790636447161</c:v>
                </c:pt>
                <c:pt idx="23">
                  <c:v>-0.7811230330551121</c:v>
                </c:pt>
                <c:pt idx="24">
                  <c:v>-0.8649898828201904</c:v>
                </c:pt>
                <c:pt idx="25">
                  <c:v>0.15425144988758405</c:v>
                </c:pt>
                <c:pt idx="26">
                  <c:v>0.97677830083226103</c:v>
                </c:pt>
                <c:pt idx="27">
                  <c:v>0.55363493353465498</c:v>
                </c:pt>
                <c:pt idx="28">
                  <c:v>-0.5755504782013432</c:v>
                </c:pt>
                <c:pt idx="29">
                  <c:v>-0.97074529127268239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86-4C41-8217-D4851F8B8602}"/>
            </c:ext>
          </c:extLst>
        </c:ser>
        <c:ser>
          <c:idx val="1"/>
          <c:order val="1"/>
          <c:tx>
            <c:strRef>
              <c:f>Sheet1!$Q$84</c:f>
              <c:strCache>
                <c:ptCount val="1"/>
                <c:pt idx="0">
                  <c:v>y[n]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Sheet1!$O$85:$O$114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Sheet1!$Q$85:$Q$114</c:f>
              <c:numCache>
                <c:formatCode>General</c:formatCode>
                <c:ptCount val="30"/>
                <c:pt idx="0">
                  <c:v>2.2964071920460703E-3</c:v>
                </c:pt>
                <c:pt idx="1">
                  <c:v>8.3212095347389749E-4</c:v>
                </c:pt>
                <c:pt idx="2">
                  <c:v>-1.6933562317384906E-3</c:v>
                </c:pt>
                <c:pt idx="3">
                  <c:v>-2.0593224767975807E-3</c:v>
                </c:pt>
                <c:pt idx="4">
                  <c:v>2.0093329486706472E-4</c:v>
                </c:pt>
                <c:pt idx="5">
                  <c:v>2.2049419518528376E-3</c:v>
                </c:pt>
                <c:pt idx="6">
                  <c:v>1.3970223339825525E-3</c:v>
                </c:pt>
                <c:pt idx="7">
                  <c:v>-1.1924982000614814E-3</c:v>
                </c:pt>
                <c:pt idx="8">
                  <c:v>-2.2612442739660577E-3</c:v>
                </c:pt>
                <c:pt idx="9">
                  <c:v>-4.4626059481367496E-4</c:v>
                </c:pt>
                <c:pt idx="10">
                  <c:v>1.9378322998698434E-3</c:v>
                </c:pt>
                <c:pt idx="11">
                  <c:v>1.8506377162800822E-3</c:v>
                </c:pt>
                <c:pt idx="12">
                  <c:v>-5.9664644542766095E-4</c:v>
                </c:pt>
                <c:pt idx="13">
                  <c:v>-2.2830366486433959E-3</c:v>
                </c:pt>
                <c:pt idx="14">
                  <c:v>-1.0579056213530775E-3</c:v>
                </c:pt>
                <c:pt idx="15">
                  <c:v>1.5163560378398926E-3</c:v>
                </c:pt>
                <c:pt idx="16">
                  <c:v>2.156832359070699E-3</c:v>
                </c:pt>
                <c:pt idx="17">
                  <c:v>4.6733822991079617E-5</c:v>
                </c:pt>
                <c:pt idx="18">
                  <c:v>-2.1229636327563823E-3</c:v>
                </c:pt>
                <c:pt idx="19">
                  <c:v>-1.585278492593565E-3</c:v>
                </c:pt>
                <c:pt idx="20">
                  <c:v>9.7408772316364301E-4</c:v>
                </c:pt>
                <c:pt idx="21">
                  <c:v>2.2912149726513125E-3</c:v>
                </c:pt>
                <c:pt idx="22">
                  <c:v>6.8639130186288566E-4</c:v>
                </c:pt>
                <c:pt idx="23">
                  <c:v>-1.7937765509806003E-3</c:v>
                </c:pt>
                <c:pt idx="24">
                  <c:v>-1.986368987955373E-3</c:v>
                </c:pt>
                <c:pt idx="25">
                  <c:v>3.5422413890538203E-4</c:v>
                </c:pt>
                <c:pt idx="26">
                  <c:v>2.2430807150657451E-3</c:v>
                </c:pt>
                <c:pt idx="27">
                  <c:v>1.2713712431369302E-3</c:v>
                </c:pt>
                <c:pt idx="28">
                  <c:v>-1.3216982575271199E-3</c:v>
                </c:pt>
                <c:pt idx="29">
                  <c:v>-2.2292264685234457E-3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86-4C41-8217-D4851F8B8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480176"/>
        <c:axId val="770479520"/>
      </c:lineChart>
      <c:catAx>
        <c:axId val="77048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479520"/>
        <c:crosses val="autoZero"/>
        <c:auto val="1"/>
        <c:lblAlgn val="ctr"/>
        <c:lblOffset val="100"/>
        <c:noMultiLvlLbl val="0"/>
      </c:catAx>
      <c:valAx>
        <c:axId val="7704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48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600" b="0" i="0" baseline="0">
                <a:effectLst/>
              </a:rPr>
              <a:t>VERIFIKASI PENGUATAN FILTER y[n] = cos(</a:t>
            </a:r>
            <a:r>
              <a:rPr lang="el-GR" sz="1600" b="0" i="0" baseline="0">
                <a:effectLst/>
              </a:rPr>
              <a:t> ω</a:t>
            </a:r>
            <a:r>
              <a:rPr lang="en-ID" sz="1600" b="0" i="0" baseline="-25000">
                <a:effectLst/>
              </a:rPr>
              <a:t>s2</a:t>
            </a:r>
            <a:r>
              <a:rPr lang="en-ID" sz="1600" b="0" i="0" baseline="0">
                <a:effectLst/>
              </a:rPr>
              <a:t>)n</a:t>
            </a:r>
            <a:endParaRPr lang="en-ID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Sheet1!$T$84</c:f>
              <c:strCache>
                <c:ptCount val="1"/>
                <c:pt idx="0">
                  <c:v>x[n]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Sheet1!$S$85:$S$114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Sheet1!$T$85:$T$114</c:f>
              <c:numCache>
                <c:formatCode>General</c:formatCode>
                <c:ptCount val="30"/>
                <c:pt idx="0">
                  <c:v>1</c:v>
                </c:pt>
                <c:pt idx="1">
                  <c:v>-0.22720209469308711</c:v>
                </c:pt>
                <c:pt idx="2">
                  <c:v>-0.89675841633414699</c:v>
                </c:pt>
                <c:pt idx="3">
                  <c:v>0.63469287594263468</c:v>
                </c:pt>
                <c:pt idx="4">
                  <c:v>0.60835131453225455</c:v>
                </c:pt>
                <c:pt idx="5">
                  <c:v>-0.91113026188467694</c:v>
                </c:pt>
                <c:pt idx="6">
                  <c:v>-0.19432990645533479</c:v>
                </c:pt>
                <c:pt idx="7">
                  <c:v>0.99943458550100472</c:v>
                </c:pt>
                <c:pt idx="8">
                  <c:v>-0.25981735621375585</c:v>
                </c:pt>
                <c:pt idx="9">
                  <c:v>-0.88137249036223464</c:v>
                </c:pt>
                <c:pt idx="10">
                  <c:v>0.66031670824408017</c:v>
                </c:pt>
                <c:pt idx="11">
                  <c:v>0.58132181181443565</c:v>
                </c:pt>
                <c:pt idx="12">
                  <c:v>-0.92447177491412169</c:v>
                </c:pt>
                <c:pt idx="13">
                  <c:v>-0.16123796432418536</c:v>
                </c:pt>
                <c:pt idx="14">
                  <c:v>0.99773898139113038</c:v>
                </c:pt>
                <c:pt idx="15">
                  <c:v>-0.29213880873383619</c:v>
                </c:pt>
                <c:pt idx="16">
                  <c:v>-0.86498988282018863</c:v>
                </c:pt>
                <c:pt idx="17">
                  <c:v>0.68519383526398692</c:v>
                </c:pt>
                <c:pt idx="18">
                  <c:v>0.55363493353465498</c:v>
                </c:pt>
                <c:pt idx="19">
                  <c:v>-0.93676786845266957</c:v>
                </c:pt>
                <c:pt idx="20">
                  <c:v>-0.12796368962740468</c:v>
                </c:pt>
                <c:pt idx="21">
                  <c:v>0.99491510510867298</c:v>
                </c:pt>
                <c:pt idx="22">
                  <c:v>-0.3241299022175636</c:v>
                </c:pt>
                <c:pt idx="23">
                  <c:v>-0.84762911963568288</c:v>
                </c:pt>
                <c:pt idx="24">
                  <c:v>0.70929612522573282</c:v>
                </c:pt>
                <c:pt idx="25">
                  <c:v>0.52532198881772973</c:v>
                </c:pt>
                <c:pt idx="26">
                  <c:v>-0.94800463772118548</c:v>
                </c:pt>
                <c:pt idx="27">
                  <c:v>-9.454470987969997E-2</c:v>
                </c:pt>
                <c:pt idx="28">
                  <c:v>0.99096614997482102</c:v>
                </c:pt>
                <c:pt idx="29">
                  <c:v>-0.35575446020874757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0-4B04-BB94-1E4D9556ECE1}"/>
            </c:ext>
          </c:extLst>
        </c:ser>
        <c:ser>
          <c:idx val="1"/>
          <c:order val="1"/>
          <c:tx>
            <c:strRef>
              <c:f>Sheet1!$U$84</c:f>
              <c:strCache>
                <c:ptCount val="1"/>
                <c:pt idx="0">
                  <c:v>y[n]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Sheet1!$S$85:$S$114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Sheet1!$U$85:$U$114</c:f>
              <c:numCache>
                <c:formatCode>General</c:formatCode>
                <c:ptCount val="30"/>
                <c:pt idx="0">
                  <c:v>2.9543938427926259E-2</c:v>
                </c:pt>
                <c:pt idx="1">
                  <c:v>-6.7124446963084377E-3</c:v>
                </c:pt>
                <c:pt idx="2">
                  <c:v>-2.6493775436900704E-2</c:v>
                </c:pt>
                <c:pt idx="3">
                  <c:v>1.8751327247492639E-2</c:v>
                </c:pt>
                <c:pt idx="4">
                  <c:v>1.7973093779088931E-2</c:v>
                </c:pt>
                <c:pt idx="5">
                  <c:v>-2.6918376356941224E-2</c:v>
                </c:pt>
                <c:pt idx="6">
                  <c:v>-5.7412707910210817E-3</c:v>
                </c:pt>
                <c:pt idx="7">
                  <c:v>2.9527233856781691E-2</c:v>
                </c:pt>
                <c:pt idx="8">
                  <c:v>-7.6760279744857883E-3</c:v>
                </c:pt>
                <c:pt idx="9">
                  <c:v>-2.6039214587329891E-2</c:v>
                </c:pt>
                <c:pt idx="10">
                  <c:v>1.9508356171294053E-2</c:v>
                </c:pt>
                <c:pt idx="11">
                  <c:v>1.7174535815056225E-2</c:v>
                </c:pt>
                <c:pt idx="12">
                  <c:v>-2.7312537196418518E-2</c:v>
                </c:pt>
                <c:pt idx="13">
                  <c:v>-4.7636044902379035E-3</c:v>
                </c:pt>
                <c:pt idx="14">
                  <c:v>2.9477139033361421E-2</c:v>
                </c:pt>
                <c:pt idx="15">
                  <c:v>-8.6309309776401843E-3</c:v>
                </c:pt>
                <c:pt idx="16">
                  <c:v>-2.5555207838818806E-2</c:v>
                </c:pt>
                <c:pt idx="17">
                  <c:v>2.024332448023388E-2</c:v>
                </c:pt>
                <c:pt idx="18">
                  <c:v>1.6356556387896896E-2</c:v>
                </c:pt>
                <c:pt idx="19">
                  <c:v>-2.7675812226825396E-2</c:v>
                </c:pt>
                <c:pt idx="20">
                  <c:v>-3.7805513673623103E-3</c:v>
                </c:pt>
                <c:pt idx="21">
                  <c:v>2.9393710606344416E-2</c:v>
                </c:pt>
                <c:pt idx="22">
                  <c:v>-9.5760738737654602E-3</c:v>
                </c:pt>
                <c:pt idx="23">
                  <c:v>-2.5042302520233959E-2</c:v>
                </c:pt>
                <c:pt idx="24">
                  <c:v>2.0955401050835726E-2</c:v>
                </c:pt>
                <c:pt idx="25">
                  <c:v>1.5520080492466773E-2</c:v>
                </c:pt>
                <c:pt idx="26">
                  <c:v>-2.800779064622325E-2</c:v>
                </c:pt>
                <c:pt idx="27">
                  <c:v>-2.7932230873720077E-3</c:v>
                </c:pt>
                <c:pt idx="28">
                  <c:v>2.9277042919015256E-2</c:v>
                </c:pt>
                <c:pt idx="29">
                  <c:v>-1.0510387867867382E-2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0-4B04-BB94-1E4D9556E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8316944"/>
        <c:axId val="568317600"/>
      </c:lineChart>
      <c:catAx>
        <c:axId val="56831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317600"/>
        <c:crosses val="autoZero"/>
        <c:auto val="1"/>
        <c:lblAlgn val="ctr"/>
        <c:lblOffset val="100"/>
        <c:noMultiLvlLbl val="0"/>
      </c:catAx>
      <c:valAx>
        <c:axId val="56831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31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0" i="0" baseline="0">
                <a:effectLst/>
              </a:rPr>
              <a:t>VERIFIKASI PENGUATAN FILTER y[n] = cos(</a:t>
            </a:r>
            <a:r>
              <a:rPr lang="el-GR" sz="1400" b="0" i="0" baseline="0">
                <a:effectLst/>
              </a:rPr>
              <a:t> ω</a:t>
            </a:r>
            <a:r>
              <a:rPr lang="en-ID" sz="1400" b="0" i="0" baseline="-25000">
                <a:effectLst/>
              </a:rPr>
              <a:t>p2</a:t>
            </a:r>
            <a:r>
              <a:rPr lang="en-ID" sz="1400" b="0" i="0" baseline="0">
                <a:effectLst/>
              </a:rPr>
              <a:t>)n</a:t>
            </a:r>
            <a:endParaRPr lang="en-ID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Sheet1!$X$84</c:f>
              <c:strCache>
                <c:ptCount val="1"/>
                <c:pt idx="0">
                  <c:v>x[n]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Sheet1!$W$85:$W$114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Sheet1!$X$85:$X$114</c:f>
              <c:numCache>
                <c:formatCode>General</c:formatCode>
                <c:ptCount val="30"/>
                <c:pt idx="0">
                  <c:v>1</c:v>
                </c:pt>
                <c:pt idx="1">
                  <c:v>-0.58850111725534582</c:v>
                </c:pt>
                <c:pt idx="2">
                  <c:v>-0.30733286997841935</c:v>
                </c:pt>
                <c:pt idx="3">
                  <c:v>0.95023259195852927</c:v>
                </c:pt>
                <c:pt idx="4">
                  <c:v>-0.81109301406165601</c:v>
                </c:pt>
                <c:pt idx="5">
                  <c:v>4.4256979880507854E-3</c:v>
                </c:pt>
                <c:pt idx="6">
                  <c:v>0.80588395764044973</c:v>
                </c:pt>
                <c:pt idx="7">
                  <c:v>-0.95295291688718087</c:v>
                </c:pt>
                <c:pt idx="8">
                  <c:v>0.31574375491924334</c:v>
                </c:pt>
                <c:pt idx="9">
                  <c:v>0.58132181181443565</c:v>
                </c:pt>
                <c:pt idx="10">
                  <c:v>-0.99996082639463713</c:v>
                </c:pt>
                <c:pt idx="11">
                  <c:v>0.59563431527521149</c:v>
                </c:pt>
                <c:pt idx="12">
                  <c:v>0.29889790636446822</c:v>
                </c:pt>
                <c:pt idx="13">
                  <c:v>-0.9474378189567576</c:v>
                </c:pt>
                <c:pt idx="14">
                  <c:v>0.81623852360757243</c:v>
                </c:pt>
                <c:pt idx="15">
                  <c:v>-1.3276747223059479E-2</c:v>
                </c:pt>
                <c:pt idx="16">
                  <c:v>-0.80061176245899357</c:v>
                </c:pt>
                <c:pt idx="17">
                  <c:v>0.95559858061284153</c:v>
                </c:pt>
                <c:pt idx="18">
                  <c:v>-0.3241299022175636</c:v>
                </c:pt>
                <c:pt idx="19">
                  <c:v>-0.57409696143103361</c:v>
                </c:pt>
                <c:pt idx="20">
                  <c:v>0.99984330864769122</c:v>
                </c:pt>
                <c:pt idx="21">
                  <c:v>-0.60272084700786066</c:v>
                </c:pt>
                <c:pt idx="22">
                  <c:v>-0.29043952493325992</c:v>
                </c:pt>
                <c:pt idx="23">
                  <c:v>0.94456881684453486</c:v>
                </c:pt>
                <c:pt idx="24">
                  <c:v>-0.82132008314187521</c:v>
                </c:pt>
                <c:pt idx="25">
                  <c:v>2.2126756261962838E-2</c:v>
                </c:pt>
                <c:pt idx="26">
                  <c:v>0.79527684157907574</c:v>
                </c:pt>
                <c:pt idx="27">
                  <c:v>-0.95816937585513662</c:v>
                </c:pt>
                <c:pt idx="28">
                  <c:v>0.33249065484213908</c:v>
                </c:pt>
                <c:pt idx="29">
                  <c:v>0.5668271321520203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4-48E5-AC95-7AF00368305A}"/>
            </c:ext>
          </c:extLst>
        </c:ser>
        <c:ser>
          <c:idx val="1"/>
          <c:order val="1"/>
          <c:tx>
            <c:strRef>
              <c:f>Sheet1!$Y$84</c:f>
              <c:strCache>
                <c:ptCount val="1"/>
                <c:pt idx="0">
                  <c:v>y[n]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Sheet1!$W$85:$W$114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Sheet1!$Y$85:$Y$114</c:f>
              <c:numCache>
                <c:formatCode>General</c:formatCode>
                <c:ptCount val="30"/>
                <c:pt idx="0">
                  <c:v>0.89125093813374667</c:v>
                </c:pt>
                <c:pt idx="1">
                  <c:v>-0.52450217284658507</c:v>
                </c:pt>
                <c:pt idx="2">
                  <c:v>-0.27391070868760303</c:v>
                </c:pt>
                <c:pt idx="3">
                  <c:v>0.84689568902830092</c:v>
                </c:pt>
                <c:pt idx="4">
                  <c:v>-0.72288740969617915</c:v>
                </c:pt>
                <c:pt idx="5">
                  <c:v>3.944407483746898E-3</c:v>
                </c:pt>
                <c:pt idx="6">
                  <c:v>0.71824483327398747</c:v>
                </c:pt>
                <c:pt idx="7">
                  <c:v>-0.84932018117299035</c:v>
                </c:pt>
                <c:pt idx="8">
                  <c:v>0.28140691778164745</c:v>
                </c:pt>
                <c:pt idx="9">
                  <c:v>0.51810361013722517</c:v>
                </c:pt>
                <c:pt idx="10">
                  <c:v>-0.89121602462121685</c:v>
                </c:pt>
                <c:pt idx="11">
                  <c:v>0.5308596422736841</c:v>
                </c:pt>
                <c:pt idx="12">
                  <c:v>0.26639303945354509</c:v>
                </c:pt>
                <c:pt idx="13">
                  <c:v>-0.84440484496860102</c:v>
                </c:pt>
                <c:pt idx="14">
                  <c:v>0.7274733499061532</c:v>
                </c:pt>
                <c:pt idx="15">
                  <c:v>-1.1832913417916377E-2</c:v>
                </c:pt>
                <c:pt idx="16">
                  <c:v>-0.71354598437249039</c:v>
                </c:pt>
                <c:pt idx="17">
                  <c:v>0.85167813145047189</c:v>
                </c:pt>
                <c:pt idx="18">
                  <c:v>-0.28888107942860314</c:v>
                </c:pt>
                <c:pt idx="19">
                  <c:v>-0.51166445545514205</c:v>
                </c:pt>
                <c:pt idx="20">
                  <c:v>0.89111128681900409</c:v>
                </c:pt>
                <c:pt idx="21">
                  <c:v>-0.53717552032852223</c:v>
                </c:pt>
                <c:pt idx="22">
                  <c:v>-0.2588544990678876</c:v>
                </c:pt>
                <c:pt idx="23">
                  <c:v>0.84184784414457481</c:v>
                </c:pt>
                <c:pt idx="24">
                  <c:v>-0.73200229460828325</c:v>
                </c:pt>
                <c:pt idx="25">
                  <c:v>1.9720492276331138E-2</c:v>
                </c:pt>
                <c:pt idx="26">
                  <c:v>0.70879123113339426</c:v>
                </c:pt>
                <c:pt idx="27">
                  <c:v>-0.85396935512191707</c:v>
                </c:pt>
                <c:pt idx="28">
                  <c:v>0.29633260804876022</c:v>
                </c:pt>
                <c:pt idx="29">
                  <c:v>0.50518521329014932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C4-48E5-AC95-7AF003683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395400"/>
        <c:axId val="775394744"/>
      </c:lineChart>
      <c:catAx>
        <c:axId val="775395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94744"/>
        <c:crosses val="autoZero"/>
        <c:auto val="1"/>
        <c:lblAlgn val="ctr"/>
        <c:lblOffset val="100"/>
        <c:noMultiLvlLbl val="0"/>
      </c:catAx>
      <c:valAx>
        <c:axId val="77539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95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182880</xdr:colOff>
      <xdr:row>14</xdr:row>
      <xdr:rowOff>3810</xdr:rowOff>
    </xdr:from>
    <xdr:ext cx="193065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27E1124-9A29-40DE-9AE2-B8A3A64AC5F9}"/>
                </a:ext>
              </a:extLst>
            </xdr:cNvPr>
            <xdr:cNvSpPr txBox="1"/>
          </xdr:nvSpPr>
          <xdr:spPr>
            <a:xfrm>
              <a:off x="1965960" y="2670810"/>
              <a:ext cx="193065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27E1124-9A29-40DE-9AE2-B8A3A64AC5F9}"/>
                </a:ext>
              </a:extLst>
            </xdr:cNvPr>
            <xdr:cNvSpPr txBox="1"/>
          </xdr:nvSpPr>
          <xdr:spPr>
            <a:xfrm>
              <a:off x="1965960" y="2670810"/>
              <a:ext cx="193065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Ω</a:t>
              </a:r>
              <a:r>
                <a:rPr lang="en-ID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en-ID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ID" sz="1100"/>
            </a:p>
          </xdr:txBody>
        </xdr:sp>
      </mc:Fallback>
    </mc:AlternateContent>
    <xdr:clientData/>
  </xdr:oneCellAnchor>
  <xdr:twoCellAnchor>
    <xdr:from>
      <xdr:col>9</xdr:col>
      <xdr:colOff>595449</xdr:colOff>
      <xdr:row>56</xdr:row>
      <xdr:rowOff>3810</xdr:rowOff>
    </xdr:from>
    <xdr:to>
      <xdr:col>19</xdr:col>
      <xdr:colOff>21772</xdr:colOff>
      <xdr:row>75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EEA28E-7499-477E-B17F-16991A2C4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594360</xdr:colOff>
      <xdr:row>114</xdr:row>
      <xdr:rowOff>163830</xdr:rowOff>
    </xdr:from>
    <xdr:to>
      <xdr:col>7</xdr:col>
      <xdr:colOff>632460</xdr:colOff>
      <xdr:row>129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ACE3EA-03CC-4EFE-A301-069644115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114</xdr:row>
      <xdr:rowOff>179070</xdr:rowOff>
    </xdr:from>
    <xdr:to>
      <xdr:col>16</xdr:col>
      <xdr:colOff>396240</xdr:colOff>
      <xdr:row>130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95A7D9-4C12-4819-9A8C-77587425E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571500</xdr:colOff>
      <xdr:row>114</xdr:row>
      <xdr:rowOff>163830</xdr:rowOff>
    </xdr:from>
    <xdr:to>
      <xdr:col>25</xdr:col>
      <xdr:colOff>76200</xdr:colOff>
      <xdr:row>129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0E0706-1DDE-4ACE-B197-E0810F24A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320040</xdr:colOff>
      <xdr:row>114</xdr:row>
      <xdr:rowOff>148590</xdr:rowOff>
    </xdr:from>
    <xdr:to>
      <xdr:col>33</xdr:col>
      <xdr:colOff>243840</xdr:colOff>
      <xdr:row>130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16E20C-8660-4ACE-A57B-A5F9BE556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14"/>
  <sheetViews>
    <sheetView showGridLines="0" tabSelected="1" topLeftCell="A82" zoomScaleNormal="100" workbookViewId="0">
      <selection activeCell="G3" sqref="G3"/>
    </sheetView>
  </sheetViews>
  <sheetFormatPr defaultRowHeight="14.4" x14ac:dyDescent="0.3"/>
  <cols>
    <col min="1" max="1" width="8.88671875" style="1"/>
    <col min="2" max="2" width="17.109375" style="1" customWidth="1"/>
    <col min="3" max="3" width="10.33203125" style="1" customWidth="1"/>
    <col min="4" max="4" width="11.109375" style="1" customWidth="1"/>
    <col min="5" max="5" width="16.77734375" style="1" customWidth="1"/>
    <col min="6" max="6" width="14.88671875" style="1" customWidth="1"/>
    <col min="7" max="8" width="13" style="1" customWidth="1"/>
    <col min="9" max="18" width="8.88671875" style="1"/>
    <col min="19" max="19" width="12.6640625" style="1" bestFit="1" customWidth="1"/>
    <col min="20" max="16384" width="8.88671875" style="1"/>
  </cols>
  <sheetData>
    <row r="2" spans="1:19" x14ac:dyDescent="0.3">
      <c r="A2" s="1" t="s">
        <v>0</v>
      </c>
    </row>
    <row r="4" spans="1:19" x14ac:dyDescent="0.3">
      <c r="B4" s="16" t="s">
        <v>14</v>
      </c>
      <c r="C4" s="17"/>
      <c r="D4" s="17"/>
      <c r="E4" s="17"/>
      <c r="F4" s="18"/>
      <c r="K4" s="20" t="s">
        <v>84</v>
      </c>
      <c r="L4" s="21"/>
      <c r="M4" s="21"/>
      <c r="N4" s="21"/>
      <c r="O4" s="21"/>
      <c r="P4" s="21"/>
      <c r="Q4" s="21"/>
      <c r="R4" s="21"/>
      <c r="S4" s="22"/>
    </row>
    <row r="5" spans="1:19" ht="15.6" x14ac:dyDescent="0.3">
      <c r="B5" s="6"/>
      <c r="C5" s="7"/>
      <c r="D5" s="7"/>
      <c r="E5" s="7"/>
      <c r="F5" s="8"/>
      <c r="K5" s="3" t="s">
        <v>85</v>
      </c>
      <c r="L5" s="2" t="s">
        <v>73</v>
      </c>
      <c r="M5" s="2" t="s">
        <v>74</v>
      </c>
      <c r="N5" s="2" t="s">
        <v>78</v>
      </c>
      <c r="O5" s="2" t="s">
        <v>79</v>
      </c>
      <c r="P5" s="2" t="s">
        <v>76</v>
      </c>
      <c r="Q5" s="2" t="s">
        <v>77</v>
      </c>
      <c r="R5" s="2" t="s">
        <v>80</v>
      </c>
      <c r="S5" s="3" t="s">
        <v>75</v>
      </c>
    </row>
    <row r="6" spans="1:19" x14ac:dyDescent="0.3">
      <c r="B6" s="19" t="s">
        <v>6</v>
      </c>
      <c r="C6" s="19"/>
      <c r="D6" s="7"/>
      <c r="E6" s="19" t="s">
        <v>7</v>
      </c>
      <c r="F6" s="19"/>
      <c r="K6" s="3">
        <v>0</v>
      </c>
      <c r="L6" s="3">
        <f>PI()*K6/50</f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f>PRODUCT(M6:Q6)</f>
        <v>0</v>
      </c>
      <c r="S6" s="3">
        <v>0</v>
      </c>
    </row>
    <row r="7" spans="1:19" ht="15.6" x14ac:dyDescent="0.3">
      <c r="B7" s="19" t="s">
        <v>8</v>
      </c>
      <c r="C7" s="19"/>
      <c r="D7" s="7"/>
      <c r="E7" s="19" t="s">
        <v>9</v>
      </c>
      <c r="F7" s="19"/>
      <c r="K7" s="3">
        <v>1</v>
      </c>
      <c r="L7" s="3">
        <f t="shared" ref="L7:L55" si="0">PI()*K7/50</f>
        <v>6.2831853071795868E-2</v>
      </c>
      <c r="M7" s="3" cm="1">
        <f t="array" ref="M7">SQRT((SUM(D$92:D$94*COS($C$92:$C$94*$L7)))^2+(SUM(D$92:D$94*SIN($C$92:$C$94*$L7)))^2)/SQRT((SUM(D$89:D$91*COS($C$89:$C$91*$L7)))^2+(SUM(D$89:D$91*SIN($C$89:$C$91*$L7)))^2)</f>
        <v>4.3520402590982243</v>
      </c>
      <c r="N7" s="3" cm="1">
        <f t="array" ref="N7">SQRT((SUM(E$92:E$94*COS($C$92:$C$94*$L7)))^2+(SUM(E$92:E$94*SIN($C$92:$C$94*$L7)))^2)/SQRT((SUM(E$89:E$91*COS($C$89:$C$91*$L7)))^2+(SUM(E$89:E$91*SIN($C$89:$C$91*$L7)))^2)</f>
        <v>0.23047789567056773</v>
      </c>
      <c r="O7" s="3" cm="1">
        <f t="array" ref="O7">SQRT((SUM(F$92:F$94*COS($C$92:$C$94*$L7)))^2+(SUM(F$92:F$94*SIN($C$92:$C$94*$L7)))^2)/SQRT((SUM(F$89:F$91*COS($C$89:$C$91*$L7)))^2+(SUM(F$89:F$91*SIN($C$89:$C$91*$L7)))^2)</f>
        <v>3.079357661781688</v>
      </c>
      <c r="P7" s="3" cm="1">
        <f t="array" ref="P7">SQRT((SUM(G$92:G$94*COS($C$92:$C$94*$L7)))^2+(SUM(G$92:G$94*SIN($C$92:$C$94*$L7)))^2)/SQRT((SUM(G$89:G$91*COS($C$89:$C$91*$L7)))^2+(SUM(G$89:G$91*SIN($C$89:$C$91*$L7)))^2)</f>
        <v>0.32436405401792018</v>
      </c>
      <c r="Q7" s="3" cm="1">
        <f t="array" ref="Q7">SQRT((SUM(H$92:H$94*COS($C$92:$C$94*$L7)))^2+(SUM(H$92:H$94*SIN($C$92:$C$94*$L7)))^2)/SQRT((SUM(H$89:H$91*COS($C$89:$C$91*$L7)))^2+(SUM(H$89:H$91*SIN($C$89:$C$91*$L7)))^2)</f>
        <v>0.99812506472384255</v>
      </c>
      <c r="R7" s="3">
        <f>PRODUCT(M7:Q7)</f>
        <v>0.99999999999962541</v>
      </c>
      <c r="S7" s="3">
        <f>20*LOG10(R7)</f>
        <v>-3.2536408721514E-12</v>
      </c>
    </row>
    <row r="8" spans="1:19" ht="15.6" x14ac:dyDescent="0.3">
      <c r="B8" s="2" t="s">
        <v>2</v>
      </c>
      <c r="C8" s="3">
        <v>0.7</v>
      </c>
      <c r="D8" s="7"/>
      <c r="E8" s="2" t="s">
        <v>10</v>
      </c>
      <c r="F8" s="3">
        <f>TAN(C8/2)</f>
        <v>0.36502849483042454</v>
      </c>
      <c r="K8" s="3">
        <v>2</v>
      </c>
      <c r="L8" s="3">
        <f t="shared" si="0"/>
        <v>0.12566370614359174</v>
      </c>
      <c r="M8" s="3" cm="1">
        <f t="array" ref="M8">SQRT((SUM(D$92:D$94*COS($C$92:$C$94*$L8)))^2+(SUM(D$92:D$94*SIN($C$92:$C$94*$L8)))^2)/SQRT((SUM(D$89:D$91*COS($C$89:$C$91*$L8)))^2+(SUM(D$89:D$91*SIN($C$89:$C$91*$L8)))^2)</f>
        <v>4.4070538868677591</v>
      </c>
      <c r="N8" s="3" cm="1">
        <f t="array" ref="N8">SQRT((SUM(E$92:E$94*COS($C$92:$C$94*$L8)))^2+(SUM(E$92:E$94*SIN($C$92:$C$94*$L8)))^2)/SQRT((SUM(E$89:E$91*COS($C$89:$C$91*$L8)))^2+(SUM(E$89:E$91*SIN($C$89:$C$91*$L8)))^2)</f>
        <v>0.22972411317664723</v>
      </c>
      <c r="O8" s="3" cm="1">
        <f t="array" ref="O8">SQRT((SUM(F$92:F$94*COS($C$92:$C$94*$L8)))^2+(SUM(F$92:F$94*SIN($C$92:$C$94*$L8)))^2)/SQRT((SUM(F$89:F$91*COS($C$89:$C$91*$L8)))^2+(SUM(F$89:F$91*SIN($C$89:$C$91*$L8)))^2)</f>
        <v>3.0796002435548671</v>
      </c>
      <c r="P8" s="3" cm="1">
        <f t="array" ref="P8">SQRT((SUM(G$92:G$94*COS($C$92:$C$94*$L8)))^2+(SUM(G$92:G$94*SIN($C$92:$C$94*$L8)))^2)/SQRT((SUM(G$89:G$91*COS($C$89:$C$91*$L8)))^2+(SUM(G$89:G$91*SIN($C$89:$C$91*$L8)))^2)</f>
        <v>0.32316620974704524</v>
      </c>
      <c r="Q8" s="3" cm="1">
        <f t="array" ref="Q8">SQRT((SUM(H$92:H$94*COS($C$92:$C$94*$L8)))^2+(SUM(H$92:H$94*SIN($C$92:$C$94*$L8)))^2)/SQRT((SUM(H$89:H$91*COS($C$89:$C$91*$L8)))^2+(SUM(H$89:H$91*SIN($C$89:$C$91*$L8)))^2)</f>
        <v>0.99248685936957259</v>
      </c>
      <c r="R8" s="3">
        <f t="shared" ref="R8:R55" si="1">PRODUCT(M8:Q8)</f>
        <v>0.99999999959467245</v>
      </c>
      <c r="S8" s="3">
        <f t="shared" ref="S8:S55" si="2">20*LOG10(R8)</f>
        <v>-3.5206303612190372E-9</v>
      </c>
    </row>
    <row r="9" spans="1:19" ht="15.6" x14ac:dyDescent="0.3">
      <c r="B9" s="2" t="s">
        <v>3</v>
      </c>
      <c r="C9" s="3">
        <v>1.2</v>
      </c>
      <c r="D9" s="7"/>
      <c r="E9" s="2" t="s">
        <v>11</v>
      </c>
      <c r="F9" s="3">
        <f t="shared" ref="F9:F11" si="3">TAN(C9/2)</f>
        <v>0.68413680834169233</v>
      </c>
      <c r="K9" s="3">
        <v>3</v>
      </c>
      <c r="L9" s="3">
        <f t="shared" si="0"/>
        <v>0.18849555921538758</v>
      </c>
      <c r="M9" s="3" cm="1">
        <f t="array" ref="M9">SQRT((SUM(D$92:D$94*COS($C$92:$C$94*$L9)))^2+(SUM(D$92:D$94*SIN($C$92:$C$94*$L9)))^2)/SQRT((SUM(D$89:D$91*COS($C$89:$C$91*$L9)))^2+(SUM(D$89:D$91*SIN($C$89:$C$91*$L9)))^2)</f>
        <v>4.5029430747374803</v>
      </c>
      <c r="N9" s="3" cm="1">
        <f t="array" ref="N9">SQRT((SUM(E$92:E$94*COS($C$92:$C$94*$L9)))^2+(SUM(E$92:E$94*SIN($C$92:$C$94*$L9)))^2)/SQRT((SUM(E$89:E$91*COS($C$89:$C$91*$L9)))^2+(SUM(E$89:E$91*SIN($C$89:$C$91*$L9)))^2)</f>
        <v>0.22845811338287822</v>
      </c>
      <c r="O9" s="3" cm="1">
        <f t="array" ref="O9">SQRT((SUM(F$92:F$94*COS($C$92:$C$94*$L9)))^2+(SUM(F$92:F$94*SIN($C$92:$C$94*$L9)))^2)/SQRT((SUM(F$89:F$91*COS($C$89:$C$91*$L9)))^2+(SUM(F$89:F$91*SIN($C$89:$C$91*$L9)))^2)</f>
        <v>3.0789858905974885</v>
      </c>
      <c r="P9" s="3" cm="1">
        <f t="array" ref="P9">SQRT((SUM(G$92:G$94*COS($C$92:$C$94*$L9)))^2+(SUM(G$92:G$94*SIN($C$92:$C$94*$L9)))^2)/SQRT((SUM(G$89:G$91*COS($C$89:$C$91*$L9)))^2+(SUM(G$89:G$91*SIN($C$89:$C$91*$L9)))^2)</f>
        <v>0.32115563590978424</v>
      </c>
      <c r="Q9" s="3" cm="1">
        <f t="array" ref="Q9">SQRT((SUM(H$92:H$94*COS($C$92:$C$94*$L9)))^2+(SUM(H$92:H$94*SIN($C$92:$C$94*$L9)))^2)/SQRT((SUM(H$89:H$91*COS($C$89:$C$91*$L9)))^2+(SUM(H$89:H$91*SIN($C$89:$C$91*$L9)))^2)</f>
        <v>0.9830456813059707</v>
      </c>
      <c r="R9" s="3">
        <f t="shared" si="1"/>
        <v>0.99999997451419975</v>
      </c>
      <c r="S9" s="3">
        <f t="shared" si="2"/>
        <v>-2.2136685111250023E-7</v>
      </c>
    </row>
    <row r="10" spans="1:19" ht="15.6" x14ac:dyDescent="0.3">
      <c r="B10" s="2" t="s">
        <v>4</v>
      </c>
      <c r="C10" s="3">
        <v>1.8</v>
      </c>
      <c r="D10" s="7"/>
      <c r="E10" s="2" t="s">
        <v>12</v>
      </c>
      <c r="F10" s="3">
        <f t="shared" si="3"/>
        <v>1.2601582175503392</v>
      </c>
      <c r="K10" s="3">
        <v>4</v>
      </c>
      <c r="L10" s="3">
        <f t="shared" si="0"/>
        <v>0.25132741228718347</v>
      </c>
      <c r="M10" s="3" cm="1">
        <f t="array" ref="M10">SQRT((SUM(D$92:D$94*COS($C$92:$C$94*$L10)))^2+(SUM(D$92:D$94*SIN($C$92:$C$94*$L10)))^2)/SQRT((SUM(D$89:D$91*COS($C$89:$C$91*$L10)))^2+(SUM(D$89:D$91*SIN($C$89:$C$91*$L10)))^2)</f>
        <v>4.6466911665448807</v>
      </c>
      <c r="N10" s="3" cm="1">
        <f t="array" ref="N10">SQRT((SUM(E$92:E$94*COS($C$92:$C$94*$L10)))^2+(SUM(E$92:E$94*SIN($C$92:$C$94*$L10)))^2)/SQRT((SUM(E$89:E$91*COS($C$89:$C$91*$L10)))^2+(SUM(E$89:E$91*SIN($C$89:$C$91*$L10)))^2)</f>
        <v>0.22666507998178193</v>
      </c>
      <c r="O10" s="3" cm="1">
        <f t="array" ref="O10">SQRT((SUM(F$92:F$94*COS($C$92:$C$94*$L10)))^2+(SUM(F$92:F$94*SIN($C$92:$C$94*$L10)))^2)/SQRT((SUM(F$89:F$91*COS($C$89:$C$91*$L10)))^2+(SUM(F$89:F$91*SIN($C$89:$C$91*$L10)))^2)</f>
        <v>3.0758562406073557</v>
      </c>
      <c r="P10" s="3" cm="1">
        <f t="array" ref="P10">SQRT((SUM(G$92:G$94*COS($C$92:$C$94*$L10)))^2+(SUM(G$92:G$94*SIN($C$92:$C$94*$L10)))^2)/SQRT((SUM(G$89:G$91*COS($C$89:$C$91*$L10)))^2+(SUM(G$89:G$91*SIN($C$89:$C$91*$L10)))^2)</f>
        <v>0.31831076705618577</v>
      </c>
      <c r="Q10" s="3" cm="1">
        <f t="array" ref="Q10">SQRT((SUM(H$92:H$94*COS($C$92:$C$94*$L10)))^2+(SUM(H$92:H$94*SIN($C$92:$C$94*$L10)))^2)/SQRT((SUM(H$89:H$91*COS($C$89:$C$91*$L10)))^2+(SUM(H$89:H$91*SIN($C$89:$C$91*$L10)))^2)</f>
        <v>0.96973704916721237</v>
      </c>
      <c r="R10" s="3">
        <f t="shared" si="1"/>
        <v>0.99999948828586127</v>
      </c>
      <c r="S10" s="3">
        <f t="shared" si="2"/>
        <v>-4.4446936724437223E-6</v>
      </c>
    </row>
    <row r="11" spans="1:19" ht="15.6" x14ac:dyDescent="0.3">
      <c r="B11" s="2" t="s">
        <v>5</v>
      </c>
      <c r="C11" s="3">
        <v>2.2000000000000002</v>
      </c>
      <c r="D11" s="7"/>
      <c r="E11" s="2" t="s">
        <v>13</v>
      </c>
      <c r="F11" s="3">
        <f t="shared" si="3"/>
        <v>1.9647596572486523</v>
      </c>
      <c r="K11" s="3">
        <v>5</v>
      </c>
      <c r="L11" s="3">
        <f t="shared" si="0"/>
        <v>0.31415926535897931</v>
      </c>
      <c r="M11" s="3" cm="1">
        <f t="array" ref="M11">SQRT((SUM(D$92:D$94*COS($C$92:$C$94*$L11)))^2+(SUM(D$92:D$94*SIN($C$92:$C$94*$L11)))^2)/SQRT((SUM(D$89:D$91*COS($C$89:$C$91*$L11)))^2+(SUM(D$89:D$91*SIN($C$89:$C$91*$L11)))^2)</f>
        <v>4.8495995695622538</v>
      </c>
      <c r="N11" s="3" cm="1">
        <f t="array" ref="N11">SQRT((SUM(E$92:E$94*COS($C$92:$C$94*$L11)))^2+(SUM(E$92:E$94*SIN($C$92:$C$94*$L11)))^2)/SQRT((SUM(E$89:E$91*COS($C$89:$C$91*$L11)))^2+(SUM(E$89:E$91*SIN($C$89:$C$91*$L11)))^2)</f>
        <v>0.22432371073314075</v>
      </c>
      <c r="O11" s="3" cm="1">
        <f t="array" ref="O11">SQRT((SUM(F$92:F$94*COS($C$92:$C$94*$L11)))^2+(SUM(F$92:F$94*SIN($C$92:$C$94*$L11)))^2)/SQRT((SUM(F$89:F$91*COS($C$89:$C$91*$L11)))^2+(SUM(F$89:F$91*SIN($C$89:$C$91*$L11)))^2)</f>
        <v>3.0676332062787699</v>
      </c>
      <c r="P11" s="3" cm="1">
        <f t="array" ref="P11">SQRT((SUM(G$92:G$94*COS($C$92:$C$94*$L11)))^2+(SUM(G$92:G$94*SIN($C$92:$C$94*$L11)))^2)/SQRT((SUM(G$89:G$91*COS($C$89:$C$91*$L11)))^2+(SUM(G$89:G$91*SIN($C$89:$C$91*$L11)))^2)</f>
        <v>0.31460077134377451</v>
      </c>
      <c r="Q11" s="3" cm="1">
        <f t="array" ref="Q11">SQRT((SUM(H$92:H$94*COS($C$92:$C$94*$L11)))^2+(SUM(H$92:H$94*SIN($C$92:$C$94*$L11)))^2)/SQRT((SUM(H$89:H$91*COS($C$89:$C$91*$L11)))^2+(SUM(H$89:H$91*SIN($C$89:$C$91*$L11)))^2)</f>
        <v>0.95247436267035923</v>
      </c>
      <c r="R11" s="3">
        <f t="shared" si="1"/>
        <v>0.99999440242581972</v>
      </c>
      <c r="S11" s="3">
        <f t="shared" si="2"/>
        <v>-4.8620047648106759E-5</v>
      </c>
    </row>
    <row r="12" spans="1:19" ht="15.6" x14ac:dyDescent="0.3">
      <c r="B12" s="2" t="s">
        <v>27</v>
      </c>
      <c r="C12" s="3">
        <v>-1</v>
      </c>
      <c r="D12" s="7"/>
      <c r="E12" s="2" t="s">
        <v>27</v>
      </c>
      <c r="F12" s="3">
        <v>-1</v>
      </c>
      <c r="K12" s="3">
        <v>6</v>
      </c>
      <c r="L12" s="3">
        <f t="shared" si="0"/>
        <v>0.37699111843077515</v>
      </c>
      <c r="M12" s="3" cm="1">
        <f t="array" ref="M12">SQRT((SUM(D$92:D$94*COS($C$92:$C$94*$L12)))^2+(SUM(D$92:D$94*SIN($C$92:$C$94*$L12)))^2)/SQRT((SUM(D$89:D$91*COS($C$89:$C$91*$L12)))^2+(SUM(D$89:D$91*SIN($C$89:$C$91*$L12)))^2)</f>
        <v>5.129181177317756</v>
      </c>
      <c r="N12" s="3" cm="1">
        <f t="array" ref="N12">SQRT((SUM(E$92:E$94*COS($C$92:$C$94*$L12)))^2+(SUM(E$92:E$94*SIN($C$92:$C$94*$L12)))^2)/SQRT((SUM(E$89:E$91*COS($C$89:$C$91*$L12)))^2+(SUM(E$89:E$91*SIN($C$89:$C$91*$L12)))^2)</f>
        <v>0.22140562498777608</v>
      </c>
      <c r="O12" s="3" cm="1">
        <f t="array" ref="O12">SQRT((SUM(F$92:F$94*COS($C$92:$C$94*$L12)))^2+(SUM(F$92:F$94*SIN($C$92:$C$94*$L12)))^2)/SQRT((SUM(F$89:F$91*COS($C$89:$C$91*$L12)))^2+(SUM(F$89:F$91*SIN($C$89:$C$91*$L12)))^2)</f>
        <v>3.0505868473877773</v>
      </c>
      <c r="P12" s="3" cm="1">
        <f t="array" ref="P12">SQRT((SUM(G$92:G$94*COS($C$92:$C$94*$L12)))^2+(SUM(G$92:G$94*SIN($C$92:$C$94*$L12)))^2)/SQRT((SUM(G$89:G$91*COS($C$89:$C$91*$L12)))^2+(SUM(G$89:G$91*SIN($C$89:$C$91*$L12)))^2)</f>
        <v>0.30998488807550723</v>
      </c>
      <c r="Q12" s="3" cm="1">
        <f t="array" ref="Q12">SQRT((SUM(H$92:H$94*COS($C$92:$C$94*$L12)))^2+(SUM(H$92:H$94*SIN($C$92:$C$94*$L12)))^2)/SQRT((SUM(H$89:H$91*COS($C$89:$C$91*$L12)))^2+(SUM(H$89:H$91*SIN($C$89:$C$91*$L12)))^2)</f>
        <v>0.9311528669535456</v>
      </c>
      <c r="R12" s="3">
        <f t="shared" si="1"/>
        <v>0.99995761178697906</v>
      </c>
      <c r="S12" s="3">
        <f t="shared" si="2"/>
        <v>-3.6818714370733289E-4</v>
      </c>
    </row>
    <row r="13" spans="1:19" ht="15.6" x14ac:dyDescent="0.3">
      <c r="B13" s="2" t="s">
        <v>28</v>
      </c>
      <c r="C13" s="3">
        <v>-30</v>
      </c>
      <c r="D13" s="7"/>
      <c r="E13" s="2" t="s">
        <v>28</v>
      </c>
      <c r="F13" s="3">
        <v>-30</v>
      </c>
      <c r="K13" s="3">
        <v>7</v>
      </c>
      <c r="L13" s="3">
        <f t="shared" si="0"/>
        <v>0.43982297150257105</v>
      </c>
      <c r="M13" s="3" cm="1">
        <f t="array" ref="M13">SQRT((SUM(D$92:D$94*COS($C$92:$C$94*$L13)))^2+(SUM(D$92:D$94*SIN($C$92:$C$94*$L13)))^2)/SQRT((SUM(D$89:D$91*COS($C$89:$C$91*$L13)))^2+(SUM(D$89:D$91*SIN($C$89:$C$91*$L13)))^2)</f>
        <v>5.5119914052819263</v>
      </c>
      <c r="N13" s="3" cm="1">
        <f t="array" ref="N13">SQRT((SUM(E$92:E$94*COS($C$92:$C$94*$L13)))^2+(SUM(E$92:E$94*SIN($C$92:$C$94*$L13)))^2)/SQRT((SUM(E$89:E$91*COS($C$89:$C$91*$L13)))^2+(SUM(E$89:E$91*SIN($C$89:$C$91*$L13)))^2)</f>
        <v>0.21787455178108692</v>
      </c>
      <c r="O13" s="3" cm="1">
        <f t="array" ref="O13">SQRT((SUM(F$92:F$94*COS($C$92:$C$94*$L13)))^2+(SUM(F$92:F$94*SIN($C$92:$C$94*$L13)))^2)/SQRT((SUM(F$89:F$91*COS($C$89:$C$91*$L13)))^2+(SUM(F$89:F$91*SIN($C$89:$C$91*$L13)))^2)</f>
        <v>3.0196119281100589</v>
      </c>
      <c r="P13" s="3" cm="1">
        <f t="array" ref="P13">SQRT((SUM(G$92:G$94*COS($C$92:$C$94*$L13)))^2+(SUM(G$92:G$94*SIN($C$92:$C$94*$L13)))^2)/SQRT((SUM(G$89:G$91*COS($C$89:$C$91*$L13)))^2+(SUM(G$89:G$91*SIN($C$89:$C$91*$L13)))^2)</f>
        <v>0.30441154383321228</v>
      </c>
      <c r="Q13" s="3" cm="1">
        <f t="array" ref="Q13">SQRT((SUM(H$92:H$94*COS($C$92:$C$94*$L13)))^2+(SUM(H$92:H$94*SIN($C$92:$C$94*$L13)))^2)/SQRT((SUM(H$89:H$91*COS($C$89:$C$91*$L13)))^2+(SUM(H$89:H$91*SIN($C$89:$C$91*$L13)))^2)</f>
        <v>0.90565513619300086</v>
      </c>
      <c r="R13" s="3">
        <f t="shared" si="1"/>
        <v>0.99974707629879156</v>
      </c>
      <c r="S13" s="3">
        <f t="shared" si="2"/>
        <v>-2.1971452223124811E-3</v>
      </c>
    </row>
    <row r="14" spans="1:19" x14ac:dyDescent="0.3">
      <c r="B14" s="6"/>
      <c r="C14" s="7"/>
      <c r="D14" s="7"/>
      <c r="E14" s="7"/>
      <c r="F14" s="8"/>
      <c r="K14" s="3">
        <v>8</v>
      </c>
      <c r="L14" s="3">
        <f t="shared" si="0"/>
        <v>0.50265482457436694</v>
      </c>
      <c r="M14" s="3" cm="1">
        <f t="array" ref="M14">SQRT((SUM(D$92:D$94*COS($C$92:$C$94*$L14)))^2+(SUM(D$92:D$94*SIN($C$92:$C$94*$L14)))^2)/SQRT((SUM(D$89:D$91*COS($C$89:$C$91*$L14)))^2+(SUM(D$89:D$91*SIN($C$89:$C$91*$L14)))^2)</f>
        <v>6.0366701214392613</v>
      </c>
      <c r="N14" s="3" cm="1">
        <f t="array" ref="N14">SQRT((SUM(E$92:E$94*COS($C$92:$C$94*$L14)))^2+(SUM(E$92:E$94*SIN($C$92:$C$94*$L14)))^2)/SQRT((SUM(E$89:E$91*COS($C$89:$C$91*$L14)))^2+(SUM(E$89:E$91*SIN($C$89:$C$91*$L14)))^2)</f>
        <v>0.21368525542271322</v>
      </c>
      <c r="O14" s="3" cm="1">
        <f t="array" ref="O14">SQRT((SUM(F$92:F$94*COS($C$92:$C$94*$L14)))^2+(SUM(F$92:F$94*SIN($C$92:$C$94*$L14)))^2)/SQRT((SUM(F$89:F$91*COS($C$89:$C$91*$L14)))^2+(SUM(F$89:F$91*SIN($C$89:$C$91*$L14)))^2)</f>
        <v>2.9681462280759616</v>
      </c>
      <c r="P14" s="3" cm="1">
        <f t="array" ref="P14">SQRT((SUM(G$92:G$94*COS($C$92:$C$94*$L14)))^2+(SUM(G$92:G$94*SIN($C$92:$C$94*$L14)))^2)/SQRT((SUM(G$89:G$91*COS($C$89:$C$91*$L14)))^2+(SUM(G$89:G$91*SIN($C$89:$C$91*$L14)))^2)</f>
        <v>0.29781722265338972</v>
      </c>
      <c r="Q14" s="3" cm="1">
        <f t="array" ref="Q14">SQRT((SUM(H$92:H$94*COS($C$92:$C$94*$L14)))^2+(SUM(H$92:H$94*SIN($C$92:$C$94*$L14)))^2)/SQRT((SUM(H$89:H$91*COS($C$89:$C$91*$L14)))^2+(SUM(H$89:H$91*SIN($C$89:$C$91*$L14)))^2)</f>
        <v>0.87585830948483134</v>
      </c>
      <c r="R14" s="3">
        <f t="shared" si="1"/>
        <v>0.99871358458017467</v>
      </c>
      <c r="S14" s="3">
        <f t="shared" si="2"/>
        <v>-1.1180855520674972E-2</v>
      </c>
    </row>
    <row r="15" spans="1:19" ht="14.4" customHeight="1" x14ac:dyDescent="0.3">
      <c r="B15" s="23" t="s">
        <v>15</v>
      </c>
      <c r="C15" s="2"/>
      <c r="D15" s="3">
        <f>F8*F11</f>
        <v>0.71719326038901643</v>
      </c>
      <c r="E15" s="7"/>
      <c r="F15" s="8"/>
      <c r="K15" s="3">
        <v>9</v>
      </c>
      <c r="L15" s="3">
        <f t="shared" si="0"/>
        <v>0.56548667764616278</v>
      </c>
      <c r="M15" s="3" cm="1">
        <f t="array" ref="M15">SQRT((SUM(D$92:D$94*COS($C$92:$C$94*$L15)))^2+(SUM(D$92:D$94*SIN($C$92:$C$94*$L15)))^2)/SQRT((SUM(D$89:D$91*COS($C$89:$C$91*$L15)))^2+(SUM(D$89:D$91*SIN($C$89:$C$91*$L15)))^2)</f>
        <v>6.7510644324476585</v>
      </c>
      <c r="N15" s="3" cm="1">
        <f t="array" ref="N15">SQRT((SUM(E$92:E$94*COS($C$92:$C$94*$L15)))^2+(SUM(E$92:E$94*SIN($C$92:$C$94*$L15)))^2)/SQRT((SUM(E$89:E$91*COS($C$89:$C$91*$L15)))^2+(SUM(E$89:E$91*SIN($C$89:$C$91*$L15)))^2)</f>
        <v>0.20878213908662197</v>
      </c>
      <c r="O15" s="3" cm="1">
        <f t="array" ref="O15">SQRT((SUM(F$92:F$94*COS($C$92:$C$94*$L15)))^2+(SUM(F$92:F$94*SIN($C$92:$C$94*$L15)))^2)/SQRT((SUM(F$89:F$91*COS($C$89:$C$91*$L15)))^2+(SUM(F$89:F$91*SIN($C$89:$C$91*$L15)))^2)</f>
        <v>2.8884685593429298</v>
      </c>
      <c r="P15" s="3" cm="1">
        <f t="array" ref="P15">SQRT((SUM(G$92:G$94*COS($C$92:$C$94*$L15)))^2+(SUM(G$92:G$94*SIN($C$92:$C$94*$L15)))^2)/SQRT((SUM(G$89:G$91*COS($C$89:$C$91*$L15)))^2+(SUM(G$89:G$91*SIN($C$89:$C$91*$L15)))^2)</f>
        <v>0.29012506007106204</v>
      </c>
      <c r="Q15" s="3" cm="1">
        <f t="array" ref="Q15">SQRT((SUM(H$92:H$94*COS($C$92:$C$94*$L15)))^2+(SUM(H$92:H$94*SIN($C$92:$C$94*$L15)))^2)/SQRT((SUM(H$89:H$91*COS($C$89:$C$91*$L15)))^2+(SUM(H$89:H$91*SIN($C$89:$C$91*$L15)))^2)</f>
        <v>0.84164328801541066</v>
      </c>
      <c r="R15" s="3">
        <f t="shared" si="1"/>
        <v>0.99413771054668088</v>
      </c>
      <c r="S15" s="3">
        <f t="shared" si="2"/>
        <v>-5.106903664073259E-2</v>
      </c>
    </row>
    <row r="16" spans="1:19" x14ac:dyDescent="0.3">
      <c r="B16" s="23"/>
      <c r="C16" s="3" t="s">
        <v>18</v>
      </c>
      <c r="D16" s="3">
        <f>F11-F8</f>
        <v>1.5997311624182278</v>
      </c>
      <c r="E16" s="7"/>
      <c r="F16" s="8"/>
      <c r="K16" s="3">
        <v>10</v>
      </c>
      <c r="L16" s="3">
        <f t="shared" si="0"/>
        <v>0.62831853071795862</v>
      </c>
      <c r="M16" s="3" cm="1">
        <f t="array" ref="M16">SQRT((SUM(D$92:D$94*COS($C$92:$C$94*$L16)))^2+(SUM(D$92:D$94*SIN($C$92:$C$94*$L16)))^2)/SQRT((SUM(D$89:D$91*COS($C$89:$C$91*$L16)))^2+(SUM(D$89:D$91*SIN($C$89:$C$91*$L16)))^2)</f>
        <v>7.6713205130262079</v>
      </c>
      <c r="N16" s="3" cm="1">
        <f t="array" ref="N16">SQRT((SUM(E$92:E$94*COS($C$92:$C$94*$L16)))^2+(SUM(E$92:E$94*SIN($C$92:$C$94*$L16)))^2)/SQRT((SUM(E$89:E$91*COS($C$89:$C$91*$L16)))^2+(SUM(E$89:E$91*SIN($C$89:$C$91*$L16)))^2)</f>
        <v>0.20309744513158584</v>
      </c>
      <c r="O16" s="3" cm="1">
        <f t="array" ref="O16">SQRT((SUM(F$92:F$94*COS($C$92:$C$94*$L16)))^2+(SUM(F$92:F$94*SIN($C$92:$C$94*$L16)))^2)/SQRT((SUM(F$89:F$91*COS($C$89:$C$91*$L16)))^2+(SUM(F$89:F$91*SIN($C$89:$C$91*$L16)))^2)</f>
        <v>2.772689886333072</v>
      </c>
      <c r="P16" s="3" cm="1">
        <f t="array" ref="P16">SQRT((SUM(G$92:G$94*COS($C$92:$C$94*$L16)))^2+(SUM(G$92:G$94*SIN($C$92:$C$94*$L16)))^2)/SQRT((SUM(G$89:G$91*COS($C$89:$C$91*$L16)))^2+(SUM(G$89:G$91*SIN($C$89:$C$91*$L16)))^2)</f>
        <v>0.28124312573091953</v>
      </c>
      <c r="Q16" s="3" cm="1">
        <f t="array" ref="Q16">SQRT((SUM(H$92:H$94*COS($C$92:$C$94*$L16)))^2+(SUM(H$92:H$94*SIN($C$92:$C$94*$L16)))^2)/SQRT((SUM(H$89:H$91*COS($C$89:$C$91*$L16)))^2+(SUM(H$89:H$91*SIN($C$89:$C$91*$L16)))^2)</f>
        <v>0.8029060186795578</v>
      </c>
      <c r="R16" s="3">
        <f t="shared" si="1"/>
        <v>0.97548931391648752</v>
      </c>
      <c r="S16" s="3">
        <f t="shared" si="2"/>
        <v>-0.2155496752103214</v>
      </c>
    </row>
    <row r="17" spans="2:19" x14ac:dyDescent="0.3">
      <c r="B17" s="23"/>
      <c r="C17" s="3" t="s">
        <v>16</v>
      </c>
      <c r="D17" s="3">
        <f>ABS((D15/F10)-F10)/D16</f>
        <v>0.43196550694134783</v>
      </c>
      <c r="E17" s="7"/>
      <c r="F17" s="8"/>
      <c r="K17" s="3">
        <v>11</v>
      </c>
      <c r="L17" s="3">
        <f t="shared" si="0"/>
        <v>0.69115038378975446</v>
      </c>
      <c r="M17" s="3" cm="1">
        <f t="array" ref="M17">SQRT((SUM(D$92:D$94*COS($C$92:$C$94*$L17)))^2+(SUM(D$92:D$94*SIN($C$92:$C$94*$L17)))^2)/SQRT((SUM(D$89:D$91*COS($C$89:$C$91*$L17)))^2+(SUM(D$89:D$91*SIN($C$89:$C$91*$L17)))^2)</f>
        <v>8.5848557589821137</v>
      </c>
      <c r="N17" s="3" cm="1">
        <f t="array" ref="N17">SQRT((SUM(E$92:E$94*COS($C$92:$C$94*$L17)))^2+(SUM(E$92:E$94*SIN($C$92:$C$94*$L17)))^2)/SQRT((SUM(E$89:E$91*COS($C$89:$C$91*$L17)))^2+(SUM(E$89:E$91*SIN($C$89:$C$91*$L17)))^2)</f>
        <v>0.19654894138074205</v>
      </c>
      <c r="O17" s="3" cm="1">
        <f t="array" ref="O17">SQRT((SUM(F$92:F$94*COS($C$92:$C$94*$L17)))^2+(SUM(F$92:F$94*SIN($C$92:$C$94*$L17)))^2)/SQRT((SUM(F$89:F$91*COS($C$89:$C$91*$L17)))^2+(SUM(F$89:F$91*SIN($C$89:$C$91*$L17)))^2)</f>
        <v>2.6146392944239709</v>
      </c>
      <c r="P17" s="3" cm="1">
        <f t="array" ref="P17">SQRT((SUM(G$92:G$94*COS($C$92:$C$94*$L17)))^2+(SUM(G$92:G$94*SIN($C$92:$C$94*$L17)))^2)/SQRT((SUM(G$89:G$91*COS($C$89:$C$91*$L17)))^2+(SUM(G$89:G$91*SIN($C$89:$C$91*$L17)))^2)</f>
        <v>0.27106235548196966</v>
      </c>
      <c r="Q17" s="3" cm="1">
        <f t="array" ref="Q17">SQRT((SUM(H$92:H$94*COS($C$92:$C$94*$L17)))^2+(SUM(H$92:H$94*SIN($C$92:$C$94*$L17)))^2)/SQRT((SUM(H$89:H$91*COS($C$89:$C$91*$L17)))^2+(SUM(H$89:H$91*SIN($C$89:$C$91*$L17)))^2)</f>
        <v>0.75957082740826309</v>
      </c>
      <c r="R17" s="3">
        <f t="shared" si="1"/>
        <v>0.9083494967843242</v>
      </c>
      <c r="S17" s="3">
        <f t="shared" si="2"/>
        <v>-0.83494040136678038</v>
      </c>
    </row>
    <row r="18" spans="2:19" x14ac:dyDescent="0.3">
      <c r="B18" s="23"/>
      <c r="C18" s="3" t="s">
        <v>17</v>
      </c>
      <c r="D18" s="3">
        <f>ABS((D15/F9)-F9)/D16</f>
        <v>0.22765179687451295</v>
      </c>
      <c r="E18" s="7"/>
      <c r="F18" s="8"/>
      <c r="K18" s="3">
        <v>12</v>
      </c>
      <c r="L18" s="3">
        <f t="shared" si="0"/>
        <v>0.7539822368615503</v>
      </c>
      <c r="M18" s="3" cm="1">
        <f t="array" ref="M18">SQRT((SUM(D$92:D$94*COS($C$92:$C$94*$L18)))^2+(SUM(D$92:D$94*SIN($C$92:$C$94*$L18)))^2)/SQRT((SUM(D$89:D$91*COS($C$89:$C$91*$L18)))^2+(SUM(D$89:D$91*SIN($C$89:$C$91*$L18)))^2)</f>
        <v>8.6619301002324782</v>
      </c>
      <c r="N18" s="3" cm="1">
        <f t="array" ref="N18">SQRT((SUM(E$92:E$94*COS($C$92:$C$94*$L18)))^2+(SUM(E$92:E$94*SIN($C$92:$C$94*$L18)))^2)/SQRT((SUM(E$89:E$91*COS($C$89:$C$91*$L18)))^2+(SUM(E$89:E$91*SIN($C$89:$C$91*$L18)))^2)</f>
        <v>0.18903694189501702</v>
      </c>
      <c r="O18" s="3" cm="1">
        <f t="array" ref="O18">SQRT((SUM(F$92:F$94*COS($C$92:$C$94*$L18)))^2+(SUM(F$92:F$94*SIN($C$92:$C$94*$L18)))^2)/SQRT((SUM(F$89:F$91*COS($C$89:$C$91*$L18)))^2+(SUM(F$89:F$91*SIN($C$89:$C$91*$L18)))^2)</f>
        <v>2.4123580082793525</v>
      </c>
      <c r="P18" s="3" cm="1">
        <f t="array" ref="P18">SQRT((SUM(G$92:G$94*COS($C$92:$C$94*$L18)))^2+(SUM(G$92:G$94*SIN($C$92:$C$94*$L18)))^2)/SQRT((SUM(G$89:G$91*COS($C$89:$C$91*$L18)))^2+(SUM(G$89:G$91*SIN($C$89:$C$91*$L18)))^2)</f>
        <v>0.25945409297747402</v>
      </c>
      <c r="Q18" s="3" cm="1">
        <f t="array" ref="Q18">SQRT((SUM(H$92:H$94*COS($C$92:$C$94*$L18)))^2+(SUM(H$92:H$94*SIN($C$92:$C$94*$L18)))^2)/SQRT((SUM(H$89:H$91*COS($C$89:$C$91*$L18)))^2+(SUM(H$89:H$91*SIN($C$89:$C$91*$L18)))^2)</f>
        <v>0.7116055121960646</v>
      </c>
      <c r="R18" s="3">
        <f t="shared" si="1"/>
        <v>0.72929451560809744</v>
      </c>
      <c r="S18" s="3">
        <f t="shared" si="2"/>
        <v>-2.74194104754151</v>
      </c>
    </row>
    <row r="19" spans="2:19" x14ac:dyDescent="0.3">
      <c r="B19" s="23"/>
      <c r="C19" s="3" t="s">
        <v>19</v>
      </c>
      <c r="D19" s="3">
        <f>IF(D18&gt;D17,D18,D17)</f>
        <v>0.43196550694134783</v>
      </c>
      <c r="E19" s="7"/>
      <c r="F19" s="8"/>
      <c r="K19" s="3">
        <v>13</v>
      </c>
      <c r="L19" s="3">
        <f t="shared" si="0"/>
        <v>0.81681408993334625</v>
      </c>
      <c r="M19" s="3" cm="1">
        <f t="array" ref="M19">SQRT((SUM(D$92:D$94*COS($C$92:$C$94*$L19)))^2+(SUM(D$92:D$94*SIN($C$92:$C$94*$L19)))^2)/SQRT((SUM(D$89:D$91*COS($C$89:$C$91*$L19)))^2+(SUM(D$89:D$91*SIN($C$89:$C$91*$L19)))^2)</f>
        <v>7.2217210680257002</v>
      </c>
      <c r="N19" s="3" cm="1">
        <f t="array" ref="N19">SQRT((SUM(E$92:E$94*COS($C$92:$C$94*$L19)))^2+(SUM(E$92:E$94*SIN($C$92:$C$94*$L19)))^2)/SQRT((SUM(E$89:E$91*COS($C$89:$C$91*$L19)))^2+(SUM(E$89:E$91*SIN($C$89:$C$91*$L19)))^2)</f>
        <v>0.18044045374058482</v>
      </c>
      <c r="O19" s="3" cm="1">
        <f t="array" ref="O19">SQRT((SUM(F$92:F$94*COS($C$92:$C$94*$L19)))^2+(SUM(F$92:F$94*SIN($C$92:$C$94*$L19)))^2)/SQRT((SUM(F$89:F$91*COS($C$89:$C$91*$L19)))^2+(SUM(F$89:F$91*SIN($C$89:$C$91*$L19)))^2)</f>
        <v>2.1701402184409484</v>
      </c>
      <c r="P19" s="3" cm="1">
        <f t="array" ref="P19">SQRT((SUM(G$92:G$94*COS($C$92:$C$94*$L19)))^2+(SUM(G$92:G$94*SIN($C$92:$C$94*$L19)))^2)/SQRT((SUM(G$89:G$91*COS($C$89:$C$91*$L19)))^2+(SUM(G$89:G$91*SIN($C$89:$C$91*$L19)))^2)</f>
        <v>0.24626720548721615</v>
      </c>
      <c r="Q19" s="3" cm="1">
        <f t="array" ref="Q19">SQRT((SUM(H$92:H$94*COS($C$92:$C$94*$L19)))^2+(SUM(H$92:H$94*SIN($C$92:$C$94*$L19)))^2)/SQRT((SUM(H$89:H$91*COS($C$89:$C$91*$L19)))^2+(SUM(H$89:H$91*SIN($C$89:$C$91*$L19)))^2)</f>
        <v>0.65903756078554387</v>
      </c>
      <c r="R19" s="3">
        <f t="shared" si="1"/>
        <v>0.45896457487643927</v>
      </c>
      <c r="S19" s="3">
        <f t="shared" si="2"/>
        <v>-6.7644166826931222</v>
      </c>
    </row>
    <row r="20" spans="2:19" ht="15.6" x14ac:dyDescent="0.3">
      <c r="B20" s="23"/>
      <c r="C20" s="2" t="s">
        <v>27</v>
      </c>
      <c r="D20" s="3">
        <v>-1</v>
      </c>
      <c r="E20" s="7"/>
      <c r="F20" s="8"/>
      <c r="K20" s="3">
        <v>14</v>
      </c>
      <c r="L20" s="3">
        <f t="shared" si="0"/>
        <v>0.87964594300514209</v>
      </c>
      <c r="M20" s="3" cm="1">
        <f t="array" ref="M20">SQRT((SUM(D$92:D$94*COS($C$92:$C$94*$L20)))^2+(SUM(D$92:D$94*SIN($C$92:$C$94*$L20)))^2)/SQRT((SUM(D$89:D$91*COS($C$89:$C$91*$L20)))^2+(SUM(D$89:D$91*SIN($C$89:$C$91*$L20)))^2)</f>
        <v>5.2442584339703409</v>
      </c>
      <c r="N20" s="3" cm="1">
        <f t="array" ref="N20">SQRT((SUM(E$92:E$94*COS($C$92:$C$94*$L20)))^2+(SUM(E$92:E$94*SIN($C$92:$C$94*$L20)))^2)/SQRT((SUM(E$89:E$91*COS($C$89:$C$91*$L20)))^2+(SUM(E$89:E$91*SIN($C$89:$C$91*$L20)))^2)</f>
        <v>0.17061216010298505</v>
      </c>
      <c r="O20" s="3" cm="1">
        <f t="array" ref="O20">SQRT((SUM(F$92:F$94*COS($C$92:$C$94*$L20)))^2+(SUM(F$92:F$94*SIN($C$92:$C$94*$L20)))^2)/SQRT((SUM(F$89:F$91*COS($C$89:$C$91*$L20)))^2+(SUM(F$89:F$91*SIN($C$89:$C$91*$L20)))^2)</f>
        <v>1.8986928572750772</v>
      </c>
      <c r="P20" s="3" cm="1">
        <f t="array" ref="P20">SQRT((SUM(G$92:G$94*COS($C$92:$C$94*$L20)))^2+(SUM(G$92:G$94*SIN($C$92:$C$94*$L20)))^2)/SQRT((SUM(G$89:G$91*COS($C$89:$C$91*$L20)))^2+(SUM(G$89:G$91*SIN($C$89:$C$91*$L20)))^2)</f>
        <v>0.23132475344556347</v>
      </c>
      <c r="Q20" s="3" cm="1">
        <f t="array" ref="Q20">SQRT((SUM(H$92:H$94*COS($C$92:$C$94*$L20)))^2+(SUM(H$92:H$94*SIN($C$92:$C$94*$L20)))^2)/SQRT((SUM(H$89:H$91*COS($C$89:$C$91*$L20)))^2+(SUM(H$89:H$91*SIN($C$89:$C$91*$L20)))^2)</f>
        <v>0.60197044401210931</v>
      </c>
      <c r="R20" s="3">
        <f t="shared" si="1"/>
        <v>0.23656258647062492</v>
      </c>
      <c r="S20" s="3">
        <f t="shared" si="2"/>
        <v>-12.521078801446418</v>
      </c>
    </row>
    <row r="21" spans="2:19" ht="15.6" x14ac:dyDescent="0.3">
      <c r="B21" s="23"/>
      <c r="C21" s="2" t="s">
        <v>28</v>
      </c>
      <c r="D21" s="3">
        <v>-30</v>
      </c>
      <c r="E21" s="9"/>
      <c r="F21" s="10"/>
      <c r="K21" s="3">
        <v>15</v>
      </c>
      <c r="L21" s="3">
        <f t="shared" si="0"/>
        <v>0.94247779607693782</v>
      </c>
      <c r="M21" s="3" cm="1">
        <f t="array" ref="M21">SQRT((SUM(D$92:D$94*COS($C$92:$C$94*$L21)))^2+(SUM(D$92:D$94*SIN($C$92:$C$94*$L21)))^2)/SQRT((SUM(D$89:D$91*COS($C$89:$C$91*$L21)))^2+(SUM(D$89:D$91*SIN($C$89:$C$91*$L21)))^2)</f>
        <v>3.6554329178481795</v>
      </c>
      <c r="N21" s="3" cm="1">
        <f t="array" ref="N21">SQRT((SUM(E$92:E$94*COS($C$92:$C$94*$L21)))^2+(SUM(E$92:E$94*SIN($C$92:$C$94*$L21)))^2)/SQRT((SUM(E$89:E$91*COS($C$89:$C$91*$L21)))^2+(SUM(E$89:E$91*SIN($C$89:$C$91*$L21)))^2)</f>
        <v>0.15937183292023058</v>
      </c>
      <c r="O21" s="3" cm="1">
        <f t="array" ref="O21">SQRT((SUM(F$92:F$94*COS($C$92:$C$94*$L21)))^2+(SUM(F$92:F$94*SIN($C$92:$C$94*$L21)))^2)/SQRT((SUM(F$89:F$91*COS($C$89:$C$91*$L21)))^2+(SUM(F$89:F$91*SIN($C$89:$C$91*$L21)))^2)</f>
        <v>1.6128254249299072</v>
      </c>
      <c r="P21" s="3" cm="1">
        <f t="array" ref="P21">SQRT((SUM(G$92:G$94*COS($C$92:$C$94*$L21)))^2+(SUM(G$92:G$94*SIN($C$92:$C$94*$L21)))^2)/SQRT((SUM(G$89:G$91*COS($C$89:$C$91*$L21)))^2+(SUM(G$89:G$91*SIN($C$89:$C$91*$L21)))^2)</f>
        <v>0.21442022573244215</v>
      </c>
      <c r="Q21" s="3" cm="1">
        <f t="array" ref="Q21">SQRT((SUM(H$92:H$94*COS($C$92:$C$94*$L21)))^2+(SUM(H$92:H$94*SIN($C$92:$C$94*$L21)))^2)/SQRT((SUM(H$89:H$91*COS($C$89:$C$91*$L21)))^2+(SUM(H$89:H$91*SIN($C$89:$C$91*$L21)))^2)</f>
        <v>0.54059850853149383</v>
      </c>
      <c r="R21" s="3">
        <f t="shared" si="1"/>
        <v>0.10891265348299291</v>
      </c>
      <c r="S21" s="3">
        <f t="shared" si="2"/>
        <v>-19.258433218731358</v>
      </c>
    </row>
    <row r="22" spans="2:19" x14ac:dyDescent="0.3">
      <c r="K22" s="3">
        <v>16</v>
      </c>
      <c r="L22" s="3">
        <f t="shared" si="0"/>
        <v>1.0053096491487339</v>
      </c>
      <c r="M22" s="3" cm="1">
        <f t="array" ref="M22">SQRT((SUM(D$92:D$94*COS($C$92:$C$94*$L22)))^2+(SUM(D$92:D$94*SIN($C$92:$C$94*$L22)))^2)/SQRT((SUM(D$89:D$91*COS($C$89:$C$91*$L22)))^2+(SUM(D$89:D$91*SIN($C$89:$C$91*$L22)))^2)</f>
        <v>2.5430617023052218</v>
      </c>
      <c r="N22" s="3" cm="1">
        <f t="array" ref="N22">SQRT((SUM(E$92:E$94*COS($C$92:$C$94*$L22)))^2+(SUM(E$92:E$94*SIN($C$92:$C$94*$L22)))^2)/SQRT((SUM(E$89:E$91*COS($C$89:$C$91*$L22)))^2+(SUM(E$89:E$91*SIN($C$89:$C$91*$L22)))^2)</f>
        <v>0.14649759642195678</v>
      </c>
      <c r="O22" s="3" cm="1">
        <f t="array" ref="O22">SQRT((SUM(F$92:F$94*COS($C$92:$C$94*$L22)))^2+(SUM(F$92:F$94*SIN($C$92:$C$94*$L22)))^2)/SQRT((SUM(F$89:F$91*COS($C$89:$C$91*$L22)))^2+(SUM(F$89:F$91*SIN($C$89:$C$91*$L22)))^2)</f>
        <v>1.3277283727796232</v>
      </c>
      <c r="P22" s="3" cm="1">
        <f t="array" ref="P22">SQRT((SUM(G$92:G$94*COS($C$92:$C$94*$L22)))^2+(SUM(G$92:G$94*SIN($C$92:$C$94*$L22)))^2)/SQRT((SUM(G$89:G$91*COS($C$89:$C$91*$L22)))^2+(SUM(G$89:G$91*SIN($C$89:$C$91*$L22)))^2)</f>
        <v>0.19531341500557137</v>
      </c>
      <c r="Q22" s="3" cm="1">
        <f t="array" ref="Q22">SQRT((SUM(H$92:H$94*COS($C$92:$C$94*$L22)))^2+(SUM(H$92:H$94*SIN($C$92:$C$94*$L22)))^2)/SQRT((SUM(H$89:H$91*COS($C$89:$C$91*$L22)))^2+(SUM(H$89:H$91*SIN($C$89:$C$91*$L22)))^2)</f>
        <v>0.47521864395398727</v>
      </c>
      <c r="R22" s="3">
        <f t="shared" si="1"/>
        <v>4.5911573484594008E-2</v>
      </c>
      <c r="S22" s="3">
        <f t="shared" si="2"/>
        <v>-26.761556456173206</v>
      </c>
    </row>
    <row r="23" spans="2:19" x14ac:dyDescent="0.3">
      <c r="B23" s="20" t="s">
        <v>20</v>
      </c>
      <c r="C23" s="21"/>
      <c r="D23" s="22"/>
      <c r="K23" s="3">
        <v>17</v>
      </c>
      <c r="L23" s="3">
        <f t="shared" si="0"/>
        <v>1.0681415022205298</v>
      </c>
      <c r="M23" s="3" cm="1">
        <f t="array" ref="M23">SQRT((SUM(D$92:D$94*COS($C$92:$C$94*$L23)))^2+(SUM(D$92:D$94*SIN($C$92:$C$94*$L23)))^2)/SQRT((SUM(D$89:D$91*COS($C$89:$C$91*$L23)))^2+(SUM(D$89:D$91*SIN($C$89:$C$91*$L23)))^2)</f>
        <v>1.7693308076296099</v>
      </c>
      <c r="N23" s="3" cm="1">
        <f t="array" ref="N23">SQRT((SUM(E$92:E$94*COS($C$92:$C$94*$L23)))^2+(SUM(E$92:E$94*SIN($C$92:$C$94*$L23)))^2)/SQRT((SUM(E$89:E$91*COS($C$89:$C$91*$L23)))^2+(SUM(E$89:E$91*SIN($C$89:$C$91*$L23)))^2)</f>
        <v>0.13171420716347718</v>
      </c>
      <c r="O23" s="3" cm="1">
        <f t="array" ref="O23">SQRT((SUM(F$92:F$94*COS($C$92:$C$94*$L23)))^2+(SUM(F$92:F$94*SIN($C$92:$C$94*$L23)))^2)/SQRT((SUM(F$89:F$91*COS($C$89:$C$91*$L23)))^2+(SUM(F$89:F$91*SIN($C$89:$C$91*$L23)))^2)</f>
        <v>1.0557599256283567</v>
      </c>
      <c r="P23" s="3" cm="1">
        <f t="array" ref="P23">SQRT((SUM(G$92:G$94*COS($C$92:$C$94*$L23)))^2+(SUM(G$92:G$94*SIN($C$92:$C$94*$L23)))^2)/SQRT((SUM(G$89:G$91*COS($C$89:$C$91*$L23)))^2+(SUM(G$89:G$91*SIN($C$89:$C$91*$L23)))^2)</f>
        <v>0.17372611887837988</v>
      </c>
      <c r="Q23" s="3" cm="1">
        <f t="array" ref="Q23">SQRT((SUM(H$92:H$94*COS($C$92:$C$94*$L23)))^2+(SUM(H$92:H$94*SIN($C$92:$C$94*$L23)))^2)/SQRT((SUM(H$89:H$91*COS($C$89:$C$91*$L23)))^2+(SUM(H$89:H$91*SIN($C$89:$C$91*$L23)))^2)</f>
        <v>0.40623674844768937</v>
      </c>
      <c r="R23" s="3">
        <f t="shared" si="1"/>
        <v>1.7364055268341737E-2</v>
      </c>
      <c r="S23" s="3">
        <f t="shared" si="2"/>
        <v>-35.206976810159453</v>
      </c>
    </row>
    <row r="24" spans="2:19" ht="15.6" x14ac:dyDescent="0.3">
      <c r="B24" s="3" t="s">
        <v>25</v>
      </c>
      <c r="C24" s="20">
        <f>POWER(10,-0.1*C12)-1</f>
        <v>0.25892541179416728</v>
      </c>
      <c r="D24" s="22"/>
      <c r="K24" s="3">
        <v>18</v>
      </c>
      <c r="L24" s="3">
        <f t="shared" si="0"/>
        <v>1.1309733552923256</v>
      </c>
      <c r="M24" s="3" cm="1">
        <f t="array" ref="M24">SQRT((SUM(D$92:D$94*COS($C$92:$C$94*$L24)))^2+(SUM(D$92:D$94*SIN($C$92:$C$94*$L24)))^2)/SQRT((SUM(D$89:D$91*COS($C$89:$C$91*$L24)))^2+(SUM(D$89:D$91*SIN($C$89:$C$91*$L24)))^2)</f>
        <v>1.2161538538974757</v>
      </c>
      <c r="N24" s="3" cm="1">
        <f t="array" ref="N24">SQRT((SUM(E$92:E$94*COS($C$92:$C$94*$L24)))^2+(SUM(E$92:E$94*SIN($C$92:$C$94*$L24)))^2)/SQRT((SUM(E$89:E$91*COS($C$89:$C$91*$L24)))^2+(SUM(E$89:E$91*SIN($C$89:$C$91*$L24)))^2)</f>
        <v>0.11467712899311176</v>
      </c>
      <c r="O24" s="3" cm="1">
        <f t="array" ref="O24">SQRT((SUM(F$92:F$94*COS($C$92:$C$94*$L24)))^2+(SUM(F$92:F$94*SIN($C$92:$C$94*$L24)))^2)/SQRT((SUM(F$89:F$91*COS($C$89:$C$91*$L24)))^2+(SUM(F$89:F$91*SIN($C$89:$C$91*$L24)))^2)</f>
        <v>0.80495937470393719</v>
      </c>
      <c r="P24" s="3" cm="1">
        <f t="array" ref="P24">SQRT((SUM(G$92:G$94*COS($C$92:$C$94*$L24)))^2+(SUM(G$92:G$94*SIN($C$92:$C$94*$L24)))^2)/SQRT((SUM(G$89:G$91*COS($C$89:$C$91*$L24)))^2+(SUM(G$89:G$91*SIN($C$89:$C$91*$L24)))^2)</f>
        <v>0.14933804309732437</v>
      </c>
      <c r="Q24" s="3" cm="1">
        <f t="array" ref="Q24">SQRT((SUM(H$92:H$94*COS($C$92:$C$94*$L24)))^2+(SUM(H$92:H$94*SIN($C$92:$C$94*$L24)))^2)/SQRT((SUM(H$89:H$91*COS($C$89:$C$91*$L24)))^2+(SUM(H$89:H$91*SIN($C$89:$C$91*$L24)))^2)</f>
        <v>0.33416718333102136</v>
      </c>
      <c r="R24" s="3">
        <f t="shared" si="1"/>
        <v>5.6023927169368774E-3</v>
      </c>
      <c r="S24" s="3">
        <f t="shared" si="2"/>
        <v>-45.032529024776984</v>
      </c>
    </row>
    <row r="25" spans="2:19" ht="15.6" x14ac:dyDescent="0.3">
      <c r="B25" s="3" t="s">
        <v>26</v>
      </c>
      <c r="C25" s="20">
        <f>POWER(10,-0.1*C13)-1</f>
        <v>999</v>
      </c>
      <c r="D25" s="22"/>
      <c r="K25" s="3">
        <v>19</v>
      </c>
      <c r="L25" s="3">
        <f t="shared" si="0"/>
        <v>1.1938052083641213</v>
      </c>
      <c r="M25" s="3" cm="1">
        <f t="array" ref="M25">SQRT((SUM(D$92:D$94*COS($C$92:$C$94*$L25)))^2+(SUM(D$92:D$94*SIN($C$92:$C$94*$L25)))^2)/SQRT((SUM(D$89:D$91*COS($C$89:$C$91*$L25)))^2+(SUM(D$89:D$91*SIN($C$89:$C$91*$L25)))^2)</f>
        <v>0.80765174938555995</v>
      </c>
      <c r="N25" s="3" cm="1">
        <f t="array" ref="N25">SQRT((SUM(E$92:E$94*COS($C$92:$C$94*$L25)))^2+(SUM(E$92:E$94*SIN($C$92:$C$94*$L25)))^2)/SQRT((SUM(E$89:E$91*COS($C$89:$C$91*$L25)))^2+(SUM(E$89:E$91*SIN($C$89:$C$91*$L25)))^2)</f>
        <v>9.495058540472083E-2</v>
      </c>
      <c r="O25" s="3" cm="1">
        <f t="array" ref="O25">SQRT((SUM(F$92:F$94*COS($C$92:$C$94*$L25)))^2+(SUM(F$92:F$94*SIN($C$92:$C$94*$L25)))^2)/SQRT((SUM(F$89:F$91*COS($C$89:$C$91*$L25)))^2+(SUM(F$89:F$91*SIN($C$89:$C$91*$L25)))^2)</f>
        <v>0.57920854642530462</v>
      </c>
      <c r="P25" s="3" cm="1">
        <f t="array" ref="P25">SQRT((SUM(G$92:G$94*COS($C$92:$C$94*$L25)))^2+(SUM(G$92:G$94*SIN($C$92:$C$94*$L25)))^2)/SQRT((SUM(G$89:G$91*COS($C$89:$C$91*$L25)))^2+(SUM(G$89:G$91*SIN($C$89:$C$91*$L25)))^2)</f>
        <v>0.12178359609761068</v>
      </c>
      <c r="Q25" s="3" cm="1">
        <f t="array" ref="Q25">SQRT((SUM(H$92:H$94*COS($C$92:$C$94*$L25)))^2+(SUM(H$92:H$94*SIN($C$92:$C$94*$L25)))^2)/SQRT((SUM(H$89:H$91*COS($C$89:$C$91*$L25)))^2+(SUM(H$89:H$91*SIN($C$89:$C$91*$L25)))^2)</f>
        <v>0.25962396833300455</v>
      </c>
      <c r="R25" s="3">
        <f t="shared" si="1"/>
        <v>1.4043983933923856E-3</v>
      </c>
      <c r="S25" s="3">
        <f t="shared" si="2"/>
        <v>-57.050193520636441</v>
      </c>
    </row>
    <row r="26" spans="2:19" x14ac:dyDescent="0.3">
      <c r="B26" s="3" t="s">
        <v>21</v>
      </c>
      <c r="C26" s="3">
        <f>LOG10(C24/C25)/(2*LOG10(D19))</f>
        <v>4.9189159995134935</v>
      </c>
      <c r="D26" s="3">
        <f>CEILING(C26,1)</f>
        <v>5</v>
      </c>
      <c r="K26" s="3">
        <v>20</v>
      </c>
      <c r="L26" s="3">
        <f t="shared" si="0"/>
        <v>1.2566370614359172</v>
      </c>
      <c r="M26" s="3" cm="1">
        <f t="array" ref="M26">SQRT((SUM(D$92:D$94*COS($C$92:$C$94*$L26)))^2+(SUM(D$92:D$94*SIN($C$92:$C$94*$L26)))^2)/SQRT((SUM(D$89:D$91*COS($C$89:$C$91*$L26)))^2+(SUM(D$89:D$91*SIN($C$89:$C$91*$L26)))^2)</f>
        <v>0.49692003078138486</v>
      </c>
      <c r="N26" s="3" cm="1">
        <f t="array" ref="N26">SQRT((SUM(E$92:E$94*COS($C$92:$C$94*$L26)))^2+(SUM(E$92:E$94*SIN($C$92:$C$94*$L26)))^2)/SQRT((SUM(E$89:E$91*COS($C$89:$C$91*$L26)))^2+(SUM(E$89:E$91*SIN($C$89:$C$91*$L26)))^2)</f>
        <v>7.1976837991792109E-2</v>
      </c>
      <c r="O26" s="3" cm="1">
        <f t="array" ref="O26">SQRT((SUM(F$92:F$94*COS($C$92:$C$94*$L26)))^2+(SUM(F$92:F$94*SIN($C$92:$C$94*$L26)))^2)/SQRT((SUM(F$89:F$91*COS($C$89:$C$91*$L26)))^2+(SUM(F$89:F$91*SIN($C$89:$C$91*$L26)))^2)</f>
        <v>0.37926199391929</v>
      </c>
      <c r="P26" s="3" cm="1">
        <f t="array" ref="P26">SQRT((SUM(G$92:G$94*COS($C$92:$C$94*$L26)))^2+(SUM(G$92:G$94*SIN($C$92:$C$94*$L26)))^2)/SQRT((SUM(G$89:G$91*COS($C$89:$C$91*$L26)))^2+(SUM(G$89:G$91*SIN($C$89:$C$91*$L26)))^2)</f>
        <v>9.065076152510472E-2</v>
      </c>
      <c r="Q26" s="3" cm="1">
        <f t="array" ref="Q26">SQRT((SUM(H$92:H$94*COS($C$92:$C$94*$L26)))^2+(SUM(H$92:H$94*SIN($C$92:$C$94*$L26)))^2)/SQRT((SUM(H$89:H$91*COS($C$89:$C$91*$L26)))^2+(SUM(H$89:H$91*SIN($C$89:$C$91*$L26)))^2)</f>
        <v>0.18330341281838403</v>
      </c>
      <c r="R26" s="3">
        <f t="shared" si="1"/>
        <v>2.2540347070153403E-4</v>
      </c>
      <c r="S26" s="3">
        <f t="shared" si="2"/>
        <v>-72.940788021794702</v>
      </c>
    </row>
    <row r="27" spans="2:19" x14ac:dyDescent="0.3">
      <c r="B27" s="2" t="s">
        <v>22</v>
      </c>
      <c r="C27" s="20">
        <v>1</v>
      </c>
      <c r="D27" s="22"/>
      <c r="K27" s="3">
        <v>21</v>
      </c>
      <c r="L27" s="3">
        <f t="shared" si="0"/>
        <v>1.3194689145077132</v>
      </c>
      <c r="M27" s="3" cm="1">
        <f t="array" ref="M27">SQRT((SUM(D$92:D$94*COS($C$92:$C$94*$L27)))^2+(SUM(D$92:D$94*SIN($C$92:$C$94*$L27)))^2)/SQRT((SUM(D$89:D$91*COS($C$89:$C$91*$L27)))^2+(SUM(D$89:D$91*SIN($C$89:$C$91*$L27)))^2)</f>
        <v>0.25447925249933501</v>
      </c>
      <c r="N27" s="3" cm="1">
        <f t="array" ref="N27">SQRT((SUM(E$92:E$94*COS($C$92:$C$94*$L27)))^2+(SUM(E$92:E$94*SIN($C$92:$C$94*$L27)))^2)/SQRT((SUM(E$89:E$91*COS($C$89:$C$91*$L27)))^2+(SUM(E$89:E$91*SIN($C$89:$C$91*$L27)))^2)</f>
        <v>4.5032450485800082E-2</v>
      </c>
      <c r="O27" s="3" cm="1">
        <f t="array" ref="O27">SQRT((SUM(F$92:F$94*COS($C$92:$C$94*$L27)))^2+(SUM(F$92:F$94*SIN($C$92:$C$94*$L27)))^2)/SQRT((SUM(F$89:F$91*COS($C$89:$C$91*$L27)))^2+(SUM(F$89:F$91*SIN($C$89:$C$91*$L27)))^2)</f>
        <v>0.20392280593679973</v>
      </c>
      <c r="P27" s="3" cm="1">
        <f t="array" ref="P27">SQRT((SUM(G$92:G$94*COS($C$92:$C$94*$L27)))^2+(SUM(G$92:G$94*SIN($C$92:$C$94*$L27)))^2)/SQRT((SUM(G$89:G$91*COS($C$89:$C$91*$L27)))^2+(SUM(G$89:G$91*SIN($C$89:$C$91*$L27)))^2)</f>
        <v>5.5483992425886489E-2</v>
      </c>
      <c r="Q27" s="3" cm="1">
        <f t="array" ref="Q27">SQRT((SUM(H$92:H$94*COS($C$92:$C$94*$L27)))^2+(SUM(H$92:H$94*SIN($C$92:$C$94*$L27)))^2)/SQRT((SUM(H$89:H$91*COS($C$89:$C$91*$L27)))^2+(SUM(H$89:H$91*SIN($C$89:$C$91*$L27)))^2)</f>
        <v>0.10595907312766137</v>
      </c>
      <c r="R27" s="3">
        <f t="shared" si="1"/>
        <v>1.3738825685007464E-5</v>
      </c>
      <c r="S27" s="3">
        <f t="shared" si="2"/>
        <v>-97.241007733180766</v>
      </c>
    </row>
    <row r="28" spans="2:19" x14ac:dyDescent="0.3">
      <c r="B28" s="2" t="s">
        <v>23</v>
      </c>
      <c r="C28" s="20">
        <f>POWER(C24,1/(2*D26))</f>
        <v>0.87360974032790495</v>
      </c>
      <c r="D28" s="22"/>
      <c r="K28" s="3">
        <v>22</v>
      </c>
      <c r="L28" s="3">
        <f t="shared" si="0"/>
        <v>1.3823007675795089</v>
      </c>
      <c r="M28" s="3" cm="1">
        <f t="array" ref="M28">SQRT((SUM(D$92:D$94*COS($C$92:$C$94*$L28)))^2+(SUM(D$92:D$94*SIN($C$92:$C$94*$L28)))^2)/SQRT((SUM(D$89:D$91*COS($C$89:$C$91*$L28)))^2+(SUM(D$89:D$91*SIN($C$89:$C$91*$L28)))^2)</f>
        <v>6.1230699761846995E-2</v>
      </c>
      <c r="N28" s="3" cm="1">
        <f t="array" ref="N28">SQRT((SUM(E$92:E$94*COS($C$92:$C$94*$L28)))^2+(SUM(E$92:E$94*SIN($C$92:$C$94*$L28)))^2)/SQRT((SUM(E$89:E$91*COS($C$89:$C$91*$L28)))^2+(SUM(E$89:E$91*SIN($C$89:$C$91*$L28)))^2)</f>
        <v>1.3164880843230137E-2</v>
      </c>
      <c r="O28" s="3" cm="1">
        <f t="array" ref="O28">SQRT((SUM(F$92:F$94*COS($C$92:$C$94*$L28)))^2+(SUM(F$92:F$94*SIN($C$92:$C$94*$L28)))^2)/SQRT((SUM(F$89:F$91*COS($C$89:$C$91*$L28)))^2+(SUM(F$89:F$91*SIN($C$89:$C$91*$L28)))^2)</f>
        <v>5.0991559074874085E-2</v>
      </c>
      <c r="P28" s="3" cm="1">
        <f t="array" ref="P28">SQRT((SUM(G$92:G$94*COS($C$92:$C$94*$L28)))^2+(SUM(G$92:G$94*SIN($C$92:$C$94*$L28)))^2)/SQRT((SUM(G$89:G$91*COS($C$89:$C$91*$L28)))^2+(SUM(G$89:G$91*SIN($C$89:$C$91*$L28)))^2)</f>
        <v>1.5794160897076092E-2</v>
      </c>
      <c r="Q28" s="3" cm="1">
        <f t="array" ref="Q28">SQRT((SUM(H$92:H$94*COS($C$92:$C$94*$L28)))^2+(SUM(H$92:H$94*SIN($C$92:$C$94*$L28)))^2)/SQRT((SUM(H$89:H$91*COS($C$89:$C$91*$L28)))^2+(SUM(H$89:H$91*SIN($C$89:$C$91*$L28)))^2)</f>
        <v>2.8371133021829954E-2</v>
      </c>
      <c r="R28" s="3">
        <f t="shared" si="1"/>
        <v>1.8418645281212805E-8</v>
      </c>
      <c r="S28" s="3">
        <f t="shared" si="2"/>
        <v>-154.69484631940682</v>
      </c>
    </row>
    <row r="29" spans="2:19" x14ac:dyDescent="0.3">
      <c r="B29" s="2" t="s">
        <v>24</v>
      </c>
      <c r="C29" s="20">
        <f>POWER(C25,1/(2*D26))</f>
        <v>1.9950626988936724</v>
      </c>
      <c r="D29" s="22"/>
      <c r="K29" s="3">
        <v>23</v>
      </c>
      <c r="L29" s="3">
        <f t="shared" si="0"/>
        <v>1.4451326206513047</v>
      </c>
      <c r="M29" s="3" cm="1">
        <f t="array" ref="M29">SQRT((SUM(D$92:D$94*COS($C$92:$C$94*$L29)))^2+(SUM(D$92:D$94*SIN($C$92:$C$94*$L29)))^2)/SQRT((SUM(D$89:D$91*COS($C$89:$C$91*$L29)))^2+(SUM(D$89:D$91*SIN($C$89:$C$91*$L29)))^2)</f>
        <v>9.5601939333357325E-2</v>
      </c>
      <c r="N29" s="3" cm="1">
        <f t="array" ref="N29">SQRT((SUM(E$92:E$94*COS($C$92:$C$94*$L29)))^2+(SUM(E$92:E$94*SIN($C$92:$C$94*$L29)))^2)/SQRT((SUM(E$89:E$91*COS($C$89:$C$91*$L29)))^2+(SUM(E$89:E$91*SIN($C$89:$C$91*$L29)))^2)</f>
        <v>2.4901240955251397E-2</v>
      </c>
      <c r="O29" s="3" cm="1">
        <f t="array" ref="O29">SQRT((SUM(F$92:F$94*COS($C$92:$C$94*$L29)))^2+(SUM(F$92:F$94*SIN($C$92:$C$94*$L29)))^2)/SQRT((SUM(F$89:F$91*COS($C$89:$C$91*$L29)))^2+(SUM(F$89:F$91*SIN($C$89:$C$91*$L29)))^2)</f>
        <v>8.2098436753062914E-2</v>
      </c>
      <c r="P29" s="3" cm="1">
        <f t="array" ref="P29">SQRT((SUM(G$92:G$94*COS($C$92:$C$94*$L29)))^2+(SUM(G$92:G$94*SIN($C$92:$C$94*$L29)))^2)/SQRT((SUM(G$89:G$91*COS($C$89:$C$91*$L29)))^2+(SUM(G$89:G$91*SIN($C$89:$C$91*$L29)))^2)</f>
        <v>2.8919963445602846E-2</v>
      </c>
      <c r="Q29" s="3" cm="1">
        <f t="array" ref="Q29">SQRT((SUM(H$92:H$94*COS($C$92:$C$94*$L29)))^2+(SUM(H$92:H$94*SIN($C$92:$C$94*$L29)))^2)/SQRT((SUM(H$89:H$91*COS($C$89:$C$91*$L29)))^2+(SUM(H$89:H$91*SIN($C$89:$C$91*$L29)))^2)</f>
        <v>4.868676388445143E-2</v>
      </c>
      <c r="R29" s="3">
        <f t="shared" si="1"/>
        <v>2.7518910083038582E-7</v>
      </c>
      <c r="S29" s="3">
        <f t="shared" si="2"/>
        <v>-131.20737541621281</v>
      </c>
    </row>
    <row r="30" spans="2:19" ht="15.6" x14ac:dyDescent="0.3">
      <c r="B30" s="2" t="s">
        <v>27</v>
      </c>
      <c r="C30" s="20">
        <v>-1</v>
      </c>
      <c r="D30" s="22"/>
      <c r="K30" s="3">
        <v>24</v>
      </c>
      <c r="L30" s="3">
        <f t="shared" si="0"/>
        <v>1.5079644737231006</v>
      </c>
      <c r="M30" s="3" cm="1">
        <f t="array" ref="M30">SQRT((SUM(D$92:D$94*COS($C$92:$C$94*$L30)))^2+(SUM(D$92:D$94*SIN($C$92:$C$94*$L30)))^2)/SQRT((SUM(D$89:D$91*COS($C$89:$C$91*$L30)))^2+(SUM(D$89:D$91*SIN($C$89:$C$91*$L30)))^2)</f>
        <v>0.22482608953389382</v>
      </c>
      <c r="N30" s="3" cm="1">
        <f t="array" ref="N30">SQRT((SUM(E$92:E$94*COS($C$92:$C$94*$L30)))^2+(SUM(E$92:E$94*SIN($C$92:$C$94*$L30)))^2)/SQRT((SUM(E$89:E$91*COS($C$89:$C$91*$L30)))^2+(SUM(E$89:E$91*SIN($C$89:$C$91*$L30)))^2)</f>
        <v>7.0905434516987109E-2</v>
      </c>
      <c r="O30" s="3" cm="1">
        <f t="array" ref="O30">SQRT((SUM(F$92:F$94*COS($C$92:$C$94*$L30)))^2+(SUM(F$92:F$94*SIN($C$92:$C$94*$L30)))^2)/SQRT((SUM(F$89:F$91*COS($C$89:$C$91*$L30)))^2+(SUM(F$89:F$91*SIN($C$89:$C$91*$L30)))^2)</f>
        <v>0.1979105867016521</v>
      </c>
      <c r="P30" s="3" cm="1">
        <f t="array" ref="P30">SQRT((SUM(G$92:G$94*COS($C$92:$C$94*$L30)))^2+(SUM(G$92:G$94*SIN($C$92:$C$94*$L30)))^2)/SQRT((SUM(G$89:G$91*COS($C$89:$C$91*$L30)))^2+(SUM(G$89:G$91*SIN($C$89:$C$91*$L30)))^2)</f>
        <v>7.9132609576885379E-2</v>
      </c>
      <c r="Q30" s="3" cm="1">
        <f t="array" ref="Q30">SQRT((SUM(H$92:H$94*COS($C$92:$C$94*$L30)))^2+(SUM(H$92:H$94*SIN($C$92:$C$94*$L30)))^2)/SQRT((SUM(H$89:H$91*COS($C$89:$C$91*$L30)))^2+(SUM(H$89:H$91*SIN($C$89:$C$91*$L30)))^2)</f>
        <v>0.12447978512508152</v>
      </c>
      <c r="R30" s="3">
        <f t="shared" si="1"/>
        <v>3.1077750343151132E-5</v>
      </c>
      <c r="S30" s="3">
        <f t="shared" si="2"/>
        <v>-90.151008529029184</v>
      </c>
    </row>
    <row r="31" spans="2:19" ht="15.6" x14ac:dyDescent="0.3">
      <c r="B31" s="2" t="s">
        <v>28</v>
      </c>
      <c r="C31" s="20">
        <f>-10*LOG10(1+POWER(C29,2*D26))</f>
        <v>-30.000000000000004</v>
      </c>
      <c r="D31" s="22"/>
      <c r="K31" s="3">
        <v>25</v>
      </c>
      <c r="L31" s="3">
        <f t="shared" si="0"/>
        <v>1.5707963267948966</v>
      </c>
      <c r="M31" s="3" cm="1">
        <f t="array" ref="M31">SQRT((SUM(D$92:D$94*COS($C$92:$C$94*$L31)))^2+(SUM(D$92:D$94*SIN($C$92:$C$94*$L31)))^2)/SQRT((SUM(D$89:D$91*COS($C$89:$C$91*$L31)))^2+(SUM(D$89:D$91*SIN($C$89:$C$91*$L31)))^2)</f>
        <v>0.33267950726204132</v>
      </c>
      <c r="N31" s="3" cm="1">
        <f t="array" ref="N31">SQRT((SUM(E$92:E$94*COS($C$92:$C$94*$L31)))^2+(SUM(E$92:E$94*SIN($C$92:$C$94*$L31)))^2)/SQRT((SUM(E$89:E$91*COS($C$89:$C$91*$L31)))^2+(SUM(E$89:E$91*SIN($C$89:$C$91*$L31)))^2)</f>
        <v>0.1272686527008344</v>
      </c>
      <c r="O31" s="3" cm="1">
        <f t="array" ref="O31">SQRT((SUM(F$92:F$94*COS($C$92:$C$94*$L31)))^2+(SUM(F$92:F$94*SIN($C$92:$C$94*$L31)))^2)/SQRT((SUM(F$89:F$91*COS($C$89:$C$91*$L31)))^2+(SUM(F$89:F$91*SIN($C$89:$C$91*$L31)))^2)</f>
        <v>0.29881691926247411</v>
      </c>
      <c r="P31" s="3" cm="1">
        <f t="array" ref="P31">SQRT((SUM(G$92:G$94*COS($C$92:$C$94*$L31)))^2+(SUM(G$92:G$94*SIN($C$92:$C$94*$L31)))^2)/SQRT((SUM(G$89:G$91*COS($C$89:$C$91*$L31)))^2+(SUM(G$89:G$91*SIN($C$89:$C$91*$L31)))^2)</f>
        <v>0.13522696291024183</v>
      </c>
      <c r="Q31" s="3" cm="1">
        <f t="array" ref="Q31">SQRT((SUM(H$92:H$94*COS($C$92:$C$94*$L31)))^2+(SUM(H$92:H$94*SIN($C$92:$C$94*$L31)))^2)/SQRT((SUM(H$89:H$91*COS($C$89:$C$91*$L31)))^2+(SUM(H$89:H$91*SIN($C$89:$C$91*$L31)))^2)</f>
        <v>0.19834004778358791</v>
      </c>
      <c r="R31" s="3">
        <f t="shared" si="1"/>
        <v>3.3933322752802825E-4</v>
      </c>
      <c r="S31" s="3">
        <f t="shared" si="2"/>
        <v>-69.387472242669247</v>
      </c>
    </row>
    <row r="32" spans="2:19" x14ac:dyDescent="0.3">
      <c r="K32" s="3">
        <v>26</v>
      </c>
      <c r="L32" s="3">
        <f t="shared" si="0"/>
        <v>1.6336281798666925</v>
      </c>
      <c r="M32" s="3" cm="1">
        <f t="array" ref="M32">SQRT((SUM(D$92:D$94*COS($C$92:$C$94*$L32)))^2+(SUM(D$92:D$94*SIN($C$92:$C$94*$L32)))^2)/SQRT((SUM(D$89:D$91*COS($C$89:$C$91*$L32)))^2+(SUM(D$89:D$91*SIN($C$89:$C$91*$L32)))^2)</f>
        <v>0.42368712410155479</v>
      </c>
      <c r="N32" s="3" cm="1">
        <f t="array" ref="N32">SQRT((SUM(E$92:E$94*COS($C$92:$C$94*$L32)))^2+(SUM(E$92:E$94*SIN($C$92:$C$94*$L32)))^2)/SQRT((SUM(E$89:E$91*COS($C$89:$C$91*$L32)))^2+(SUM(E$89:E$91*SIN($C$89:$C$91*$L32)))^2)</f>
        <v>0.19743289603040412</v>
      </c>
      <c r="O32" s="3" cm="1">
        <f t="array" ref="O32">SQRT((SUM(F$92:F$94*COS($C$92:$C$94*$L32)))^2+(SUM(F$92:F$94*SIN($C$92:$C$94*$L32)))^2)/SQRT((SUM(F$89:F$91*COS($C$89:$C$91*$L32)))^2+(SUM(F$89:F$91*SIN($C$89:$C$91*$L32)))^2)</f>
        <v>0.38692127053684361</v>
      </c>
      <c r="P32" s="3" cm="1">
        <f t="array" ref="P32">SQRT((SUM(G$92:G$94*COS($C$92:$C$94*$L32)))^2+(SUM(G$92:G$94*SIN($C$92:$C$94*$L32)))^2)/SQRT((SUM(G$89:G$91*COS($C$89:$C$91*$L32)))^2+(SUM(G$89:G$91*SIN($C$89:$C$91*$L32)))^2)</f>
        <v>0.19739944684639038</v>
      </c>
      <c r="Q32" s="3" cm="1">
        <f t="array" ref="Q32">SQRT((SUM(H$92:H$94*COS($C$92:$C$94*$L32)))^2+(SUM(H$92:H$94*SIN($C$92:$C$94*$L32)))^2)/SQRT((SUM(H$89:H$91*COS($C$89:$C$91*$L32)))^2+(SUM(H$89:H$91*SIN($C$89:$C$91*$L32)))^2)</f>
        <v>0.26968815584391975</v>
      </c>
      <c r="R32" s="3">
        <f t="shared" si="1"/>
        <v>1.7230393350758596E-3</v>
      </c>
      <c r="S32" s="3">
        <f t="shared" si="2"/>
        <v>-55.274096159554851</v>
      </c>
    </row>
    <row r="33" spans="2:19" x14ac:dyDescent="0.3">
      <c r="B33" s="16" t="s">
        <v>33</v>
      </c>
      <c r="C33" s="17"/>
      <c r="D33" s="17"/>
      <c r="E33" s="17"/>
      <c r="F33" s="18"/>
      <c r="K33" s="3">
        <v>27</v>
      </c>
      <c r="L33" s="3">
        <f t="shared" si="0"/>
        <v>1.6964600329384882</v>
      </c>
      <c r="M33" s="3" cm="1">
        <f t="array" ref="M33">SQRT((SUM(D$92:D$94*COS($C$92:$C$94*$L33)))^2+(SUM(D$92:D$94*SIN($C$92:$C$94*$L33)))^2)/SQRT((SUM(D$89:D$91*COS($C$89:$C$91*$L33)))^2+(SUM(D$89:D$91*SIN($C$89:$C$91*$L33)))^2)</f>
        <v>0.50120149584551132</v>
      </c>
      <c r="N33" s="3" cm="1">
        <f t="array" ref="N33">SQRT((SUM(E$92:E$94*COS($C$92:$C$94*$L33)))^2+(SUM(E$92:E$94*SIN($C$92:$C$94*$L33)))^2)/SQRT((SUM(E$89:E$91*COS($C$89:$C$91*$L33)))^2+(SUM(E$89:E$91*SIN($C$89:$C$91*$L33)))^2)</f>
        <v>0.28639604876362196</v>
      </c>
      <c r="O33" s="3" cm="1">
        <f t="array" ref="O33">SQRT((SUM(F$92:F$94*COS($C$92:$C$94*$L33)))^2+(SUM(F$92:F$94*SIN($C$92:$C$94*$L33)))^2)/SQRT((SUM(F$89:F$91*COS($C$89:$C$91*$L33)))^2+(SUM(F$89:F$91*SIN($C$89:$C$91*$L33)))^2)</f>
        <v>0.46404409807080677</v>
      </c>
      <c r="P33" s="3" cm="1">
        <f t="array" ref="P33">SQRT((SUM(G$92:G$94*COS($C$92:$C$94*$L33)))^2+(SUM(G$92:G$94*SIN($C$92:$C$94*$L33)))^2)/SQRT((SUM(G$89:G$91*COS($C$89:$C$91*$L33)))^2+(SUM(G$89:G$91*SIN($C$89:$C$91*$L33)))^2)</f>
        <v>0.26553045980321754</v>
      </c>
      <c r="Q33" s="3" cm="1">
        <f t="array" ref="Q33">SQRT((SUM(H$92:H$94*COS($C$92:$C$94*$L33)))^2+(SUM(H$92:H$94*SIN($C$92:$C$94*$L33)))^2)/SQRT((SUM(H$89:H$91*COS($C$89:$C$91*$L33)))^2+(SUM(H$89:H$91*SIN($C$89:$C$91*$L33)))^2)</f>
        <v>0.33804678354006584</v>
      </c>
      <c r="R33" s="3">
        <f t="shared" si="1"/>
        <v>5.979017017365109E-3</v>
      </c>
      <c r="S33" s="3">
        <f t="shared" si="2"/>
        <v>-44.46740420994707</v>
      </c>
    </row>
    <row r="34" spans="2:19" ht="15.6" customHeight="1" x14ac:dyDescent="0.3">
      <c r="B34" s="23" t="s">
        <v>34</v>
      </c>
      <c r="C34" s="3" t="s">
        <v>29</v>
      </c>
      <c r="D34" s="3" t="s">
        <v>30</v>
      </c>
      <c r="E34" s="3" t="s">
        <v>31</v>
      </c>
      <c r="F34" s="3" t="s">
        <v>32</v>
      </c>
      <c r="K34" s="3">
        <v>28</v>
      </c>
      <c r="L34" s="3">
        <f t="shared" si="0"/>
        <v>1.7592918860102842</v>
      </c>
      <c r="M34" s="3" cm="1">
        <f t="array" ref="M34">SQRT((SUM(D$92:D$94*COS($C$92:$C$94*$L34)))^2+(SUM(D$92:D$94*SIN($C$92:$C$94*$L34)))^2)/SQRT((SUM(D$89:D$91*COS($C$89:$C$91*$L34)))^2+(SUM(D$89:D$91*SIN($C$89:$C$91*$L34)))^2)</f>
        <v>0.56775330994082551</v>
      </c>
      <c r="N34" s="3" cm="1">
        <f t="array" ref="N34">SQRT((SUM(E$92:E$94*COS($C$92:$C$94*$L34)))^2+(SUM(E$92:E$94*SIN($C$92:$C$94*$L34)))^2)/SQRT((SUM(E$89:E$91*COS($C$89:$C$91*$L34)))^2+(SUM(E$89:E$91*SIN($C$89:$C$91*$L34)))^2)</f>
        <v>0.40154047621627748</v>
      </c>
      <c r="O34" s="3" cm="1">
        <f t="array" ref="O34">SQRT((SUM(F$92:F$94*COS($C$92:$C$94*$L34)))^2+(SUM(F$92:F$94*SIN($C$92:$C$94*$L34)))^2)/SQRT((SUM(F$89:F$91*COS($C$89:$C$91*$L34)))^2+(SUM(F$89:F$91*SIN($C$89:$C$91*$L34)))^2)</f>
        <v>0.53173808047063542</v>
      </c>
      <c r="P34" s="3" cm="1">
        <f t="array" ref="P34">SQRT((SUM(G$92:G$94*COS($C$92:$C$94*$L34)))^2+(SUM(G$92:G$94*SIN($C$92:$C$94*$L34)))^2)/SQRT((SUM(G$89:G$91*COS($C$89:$C$91*$L34)))^2+(SUM(G$89:G$91*SIN($C$89:$C$91*$L34)))^2)</f>
        <v>0.33903216275287829</v>
      </c>
      <c r="Q34" s="3" cm="1">
        <f t="array" ref="Q34">SQRT((SUM(H$92:H$94*COS($C$92:$C$94*$L34)))^2+(SUM(H$92:H$94*SIN($C$92:$C$94*$L34)))^2)/SQRT((SUM(H$89:H$91*COS($C$89:$C$91*$L34)))^2+(SUM(H$89:H$91*SIN($C$89:$C$91*$L34)))^2)</f>
        <v>0.40304613794309324</v>
      </c>
      <c r="R34" s="3">
        <f t="shared" si="1"/>
        <v>1.6564656413019286E-2</v>
      </c>
      <c r="S34" s="3">
        <f t="shared" si="2"/>
        <v>-35.616351358003627</v>
      </c>
    </row>
    <row r="35" spans="2:19" x14ac:dyDescent="0.3">
      <c r="B35" s="23"/>
      <c r="C35" s="3">
        <v>1</v>
      </c>
      <c r="D35" s="3">
        <f>(2*C35+$D$26-1)*PI()/(2*$D$26)</f>
        <v>1.8849555921538759</v>
      </c>
      <c r="E35" s="3">
        <f>COS(D35)</f>
        <v>-0.30901699437494734</v>
      </c>
      <c r="F35" s="3">
        <f>SIN(D35)</f>
        <v>0.95105651629515364</v>
      </c>
      <c r="K35" s="3">
        <v>29</v>
      </c>
      <c r="L35" s="3">
        <f t="shared" si="0"/>
        <v>1.8221237390820801</v>
      </c>
      <c r="M35" s="3" cm="1">
        <f t="array" ref="M35">SQRT((SUM(D$92:D$94*COS($C$92:$C$94*$L35)))^2+(SUM(D$92:D$94*SIN($C$92:$C$94*$L35)))^2)/SQRT((SUM(D$89:D$91*COS($C$89:$C$91*$L35)))^2+(SUM(D$89:D$91*SIN($C$89:$C$91*$L35)))^2)</f>
        <v>0.62528459693813143</v>
      </c>
      <c r="N35" s="3" cm="1">
        <f t="array" ref="N35">SQRT((SUM(E$92:E$94*COS($C$92:$C$94*$L35)))^2+(SUM(E$92:E$94*SIN($C$92:$C$94*$L35)))^2)/SQRT((SUM(E$89:E$91*COS($C$89:$C$91*$L35)))^2+(SUM(E$89:E$91*SIN($C$89:$C$91*$L35)))^2)</f>
        <v>0.55380974981407571</v>
      </c>
      <c r="O35" s="3" cm="1">
        <f t="array" ref="O35">SQRT((SUM(F$92:F$94*COS($C$92:$C$94*$L35)))^2+(SUM(F$92:F$94*SIN($C$92:$C$94*$L35)))^2)/SQRT((SUM(F$89:F$91*COS($C$89:$C$91*$L35)))^2+(SUM(F$89:F$91*SIN($C$89:$C$91*$L35)))^2)</f>
        <v>0.59131679314723173</v>
      </c>
      <c r="P35" s="3" cm="1">
        <f t="array" ref="P35">SQRT((SUM(G$92:G$94*COS($C$92:$C$94*$L35)))^2+(SUM(G$92:G$94*SIN($C$92:$C$94*$L35)))^2)/SQRT((SUM(G$89:G$91*COS($C$89:$C$91*$L35)))^2+(SUM(G$89:G$91*SIN($C$89:$C$91*$L35)))^2)</f>
        <v>0.41670585307254937</v>
      </c>
      <c r="Q35" s="3" cm="1">
        <f t="array" ref="Q35">SQRT((SUM(H$92:H$94*COS($C$92:$C$94*$L35)))^2+(SUM(H$92:H$94*SIN($C$92:$C$94*$L35)))^2)/SQRT((SUM(H$89:H$91*COS($C$89:$C$91*$L35)))^2+(SUM(H$89:H$91*SIN($C$89:$C$91*$L35)))^2)</f>
        <v>0.46442214084293348</v>
      </c>
      <c r="R35" s="3">
        <f t="shared" si="1"/>
        <v>3.9627899913442899E-2</v>
      </c>
      <c r="S35" s="3">
        <f t="shared" si="2"/>
        <v>-28.039978851156285</v>
      </c>
    </row>
    <row r="36" spans="2:19" x14ac:dyDescent="0.3">
      <c r="B36" s="23"/>
      <c r="C36" s="3">
        <v>2</v>
      </c>
      <c r="D36" s="3">
        <f t="shared" ref="D36:D39" si="4">(2*C36+$D$26-1)*PI()/(2*$D$26)</f>
        <v>2.5132741228718345</v>
      </c>
      <c r="E36" s="3">
        <f t="shared" ref="E36:E39" si="5">COS(D36)</f>
        <v>-0.80901699437494734</v>
      </c>
      <c r="F36" s="3">
        <f t="shared" ref="F36:F39" si="6">SIN(D36)</f>
        <v>0.58778525229247325</v>
      </c>
      <c r="K36" s="3">
        <v>30</v>
      </c>
      <c r="L36" s="3">
        <f t="shared" si="0"/>
        <v>1.8849555921538756</v>
      </c>
      <c r="M36" s="3" cm="1">
        <f t="array" ref="M36">SQRT((SUM(D$92:D$94*COS($C$92:$C$94*$L36)))^2+(SUM(D$92:D$94*SIN($C$92:$C$94*$L36)))^2)/SQRT((SUM(D$89:D$91*COS($C$89:$C$91*$L36)))^2+(SUM(D$89:D$91*SIN($C$89:$C$91*$L36)))^2)</f>
        <v>0.67530755097080364</v>
      </c>
      <c r="N36" s="3" cm="1">
        <f t="array" ref="N36">SQRT((SUM(E$92:E$94*COS($C$92:$C$94*$L36)))^2+(SUM(E$92:E$94*SIN($C$92:$C$94*$L36)))^2)/SQRT((SUM(E$89:E$91*COS($C$89:$C$91*$L36)))^2+(SUM(E$89:E$91*SIN($C$89:$C$91*$L36)))^2)</f>
        <v>0.75883309343460925</v>
      </c>
      <c r="O36" s="3" cm="1">
        <f t="array" ref="O36">SQRT((SUM(F$92:F$94*COS($C$92:$C$94*$L36)))^2+(SUM(F$92:F$94*SIN($C$92:$C$94*$L36)))^2)/SQRT((SUM(F$89:F$91*COS($C$89:$C$91*$L36)))^2+(SUM(F$89:F$91*SIN($C$89:$C$91*$L36)))^2)</f>
        <v>0.64388696624619646</v>
      </c>
      <c r="P36" s="3" cm="1">
        <f t="array" ref="P36">SQRT((SUM(G$92:G$94*COS($C$92:$C$94*$L36)))^2+(SUM(G$92:G$94*SIN($C$92:$C$94*$L36)))^2)/SQRT((SUM(G$89:G$91*COS($C$89:$C$91*$L36)))^2+(SUM(G$89:G$91*SIN($C$89:$C$91*$L36)))^2)</f>
        <v>0.49666821539087136</v>
      </c>
      <c r="Q36" s="3" cm="1">
        <f t="array" ref="Q36">SQRT((SUM(H$92:H$94*COS($C$92:$C$94*$L36)))^2+(SUM(H$92:H$94*SIN($C$92:$C$94*$L36)))^2)/SQRT((SUM(H$89:H$91*COS($C$89:$C$91*$L36)))^2+(SUM(H$89:H$91*SIN($C$89:$C$91*$L36)))^2)</f>
        <v>0.52200884127990643</v>
      </c>
      <c r="R36" s="3">
        <f t="shared" si="1"/>
        <v>8.5546398239341723E-2</v>
      </c>
      <c r="S36" s="3">
        <f t="shared" si="2"/>
        <v>-21.355965416837009</v>
      </c>
    </row>
    <row r="37" spans="2:19" x14ac:dyDescent="0.3">
      <c r="B37" s="23"/>
      <c r="C37" s="3">
        <v>3</v>
      </c>
      <c r="D37" s="3">
        <f>(2*C37+$D$26-1)*PI()/(2*$D$26)</f>
        <v>3.1415926535897931</v>
      </c>
      <c r="E37" s="3">
        <f t="shared" si="5"/>
        <v>-1</v>
      </c>
      <c r="F37" s="11">
        <f t="shared" si="6"/>
        <v>1.22514845490862E-16</v>
      </c>
      <c r="K37" s="3">
        <v>31</v>
      </c>
      <c r="L37" s="3">
        <f t="shared" si="0"/>
        <v>1.9477874452256716</v>
      </c>
      <c r="M37" s="3" cm="1">
        <f t="array" ref="M37">SQRT((SUM(D$92:D$94*COS($C$92:$C$94*$L37)))^2+(SUM(D$92:D$94*SIN($C$92:$C$94*$L37)))^2)/SQRT((SUM(D$89:D$91*COS($C$89:$C$91*$L37)))^2+(SUM(D$89:D$91*SIN($C$89:$C$91*$L37)))^2)</f>
        <v>0.71901499214976339</v>
      </c>
      <c r="N37" s="3" cm="1">
        <f t="array" ref="N37">SQRT((SUM(E$92:E$94*COS($C$92:$C$94*$L37)))^2+(SUM(E$92:E$94*SIN($C$92:$C$94*$L37)))^2)/SQRT((SUM(E$89:E$91*COS($C$89:$C$91*$L37)))^2+(SUM(E$89:E$91*SIN($C$89:$C$91*$L37)))^2)</f>
        <v>1.0353199119595429</v>
      </c>
      <c r="O37" s="3" cm="1">
        <f t="array" ref="O37">SQRT((SUM(F$92:F$94*COS($C$92:$C$94*$L37)))^2+(SUM(F$92:F$94*SIN($C$92:$C$94*$L37)))^2)/SQRT((SUM(F$89:F$91*COS($C$89:$C$91*$L37)))^2+(SUM(F$89:F$91*SIN($C$89:$C$91*$L37)))^2)</f>
        <v>0.69037962774651818</v>
      </c>
      <c r="P37" s="3" cm="1">
        <f t="array" ref="P37">SQRT((SUM(G$92:G$94*COS($C$92:$C$94*$L37)))^2+(SUM(G$92:G$94*SIN($C$92:$C$94*$L37)))^2)/SQRT((SUM(G$89:G$91*COS($C$89:$C$91*$L37)))^2+(SUM(G$89:G$91*SIN($C$89:$C$91*$L37)))^2)</f>
        <v>0.57642030358407337</v>
      </c>
      <c r="Q37" s="3" cm="1">
        <f t="array" ref="Q37">SQRT((SUM(H$92:H$94*COS($C$92:$C$94*$L37)))^2+(SUM(H$92:H$94*SIN($C$92:$C$94*$L37)))^2)/SQRT((SUM(H$89:H$91*COS($C$89:$C$91*$L37)))^2+(SUM(H$89:H$91*SIN($C$89:$C$91*$L37)))^2)</f>
        <v>0.57572686400346074</v>
      </c>
      <c r="R37" s="3">
        <f t="shared" si="1"/>
        <v>0.17055177531011734</v>
      </c>
      <c r="S37" s="3">
        <f t="shared" si="2"/>
        <v>-15.362875111367408</v>
      </c>
    </row>
    <row r="38" spans="2:19" x14ac:dyDescent="0.3">
      <c r="B38" s="23"/>
      <c r="C38" s="3">
        <v>4</v>
      </c>
      <c r="D38" s="3">
        <f t="shared" si="4"/>
        <v>3.7699111843077517</v>
      </c>
      <c r="E38" s="3">
        <f t="shared" si="5"/>
        <v>-0.80901699437494756</v>
      </c>
      <c r="F38" s="3">
        <f t="shared" si="6"/>
        <v>-0.58778525229247303</v>
      </c>
      <c r="K38" s="3">
        <v>32</v>
      </c>
      <c r="L38" s="3">
        <f t="shared" si="0"/>
        <v>2.0106192982974678</v>
      </c>
      <c r="M38" s="3" cm="1">
        <f t="array" ref="M38">SQRT((SUM(D$92:D$94*COS($C$92:$C$94*$L38)))^2+(SUM(D$92:D$94*SIN($C$92:$C$94*$L38)))^2)/SQRT((SUM(D$89:D$91*COS($C$89:$C$91*$L38)))^2+(SUM(D$89:D$91*SIN($C$89:$C$91*$L38)))^2)</f>
        <v>0.75735867381673494</v>
      </c>
      <c r="N38" s="3" cm="1">
        <f t="array" ref="N38">SQRT((SUM(E$92:E$94*COS($C$92:$C$94*$L38)))^2+(SUM(E$92:E$94*SIN($C$92:$C$94*$L38)))^2)/SQRT((SUM(E$89:E$91*COS($C$89:$C$91*$L38)))^2+(SUM(E$89:E$91*SIN($C$89:$C$91*$L38)))^2)</f>
        <v>1.38988040521808</v>
      </c>
      <c r="O38" s="3" cm="1">
        <f t="array" ref="O38">SQRT((SUM(F$92:F$94*COS($C$92:$C$94*$L38)))^2+(SUM(F$92:F$94*SIN($C$92:$C$94*$L38)))^2)/SQRT((SUM(F$89:F$91*COS($C$89:$C$91*$L38)))^2+(SUM(F$89:F$91*SIN($C$89:$C$91*$L38)))^2)</f>
        <v>0.73157809170298593</v>
      </c>
      <c r="P38" s="3" cm="1">
        <f t="array" ref="P38">SQRT((SUM(G$92:G$94*COS($C$92:$C$94*$L38)))^2+(SUM(G$92:G$94*SIN($C$92:$C$94*$L38)))^2)/SQRT((SUM(G$89:G$91*COS($C$89:$C$91*$L38)))^2+(SUM(G$89:G$91*SIN($C$89:$C$91*$L38)))^2)</f>
        <v>0.6531090232392408</v>
      </c>
      <c r="Q38" s="3" cm="1">
        <f t="array" ref="Q38">SQRT((SUM(H$92:H$94*COS($C$92:$C$94*$L38)))^2+(SUM(H$92:H$94*SIN($C$92:$C$94*$L38)))^2)/SQRT((SUM(H$89:H$91*COS($C$89:$C$91*$L38)))^2+(SUM(H$89:H$91*SIN($C$89:$C$91*$L38)))^2)</f>
        <v>0.62556966714045292</v>
      </c>
      <c r="R38" s="3">
        <f t="shared" si="1"/>
        <v>0.3146306977775829</v>
      </c>
      <c r="S38" s="3">
        <f t="shared" si="2"/>
        <v>-10.043978131075368</v>
      </c>
    </row>
    <row r="39" spans="2:19" x14ac:dyDescent="0.3">
      <c r="B39" s="23"/>
      <c r="C39" s="3">
        <v>5</v>
      </c>
      <c r="D39" s="3">
        <f t="shared" si="4"/>
        <v>4.3982297150257104</v>
      </c>
      <c r="E39" s="3">
        <f t="shared" si="5"/>
        <v>-0.30901699437494756</v>
      </c>
      <c r="F39" s="3">
        <f t="shared" si="6"/>
        <v>-0.95105651629515353</v>
      </c>
      <c r="K39" s="3">
        <v>33</v>
      </c>
      <c r="L39" s="3">
        <f t="shared" si="0"/>
        <v>2.0734511513692637</v>
      </c>
      <c r="M39" s="3" cm="1">
        <f t="array" ref="M39">SQRT((SUM(D$92:D$94*COS($C$92:$C$94*$L39)))^2+(SUM(D$92:D$94*SIN($C$92:$C$94*$L39)))^2)/SQRT((SUM(D$89:D$91*COS($C$89:$C$91*$L39)))^2+(SUM(D$89:D$91*SIN($C$89:$C$91*$L39)))^2)</f>
        <v>0.79110576097022856</v>
      </c>
      <c r="N39" s="3" cm="1">
        <f t="array" ref="N39">SQRT((SUM(E$92:E$94*COS($C$92:$C$94*$L39)))^2+(SUM(E$92:E$94*SIN($C$92:$C$94*$L39)))^2)/SQRT((SUM(E$89:E$91*COS($C$89:$C$91*$L39)))^2+(SUM(E$89:E$91*SIN($C$89:$C$91*$L39)))^2)</f>
        <v>1.7664751383780311</v>
      </c>
      <c r="O39" s="3" cm="1">
        <f t="array" ref="O39">SQRT((SUM(F$92:F$94*COS($C$92:$C$94*$L39)))^2+(SUM(F$92:F$94*SIN($C$92:$C$94*$L39)))^2)/SQRT((SUM(F$89:F$91*COS($C$89:$C$91*$L39)))^2+(SUM(F$89:F$91*SIN($C$89:$C$91*$L39)))^2)</f>
        <v>0.76814214953137516</v>
      </c>
      <c r="P39" s="3" cm="1">
        <f t="array" ref="P39">SQRT((SUM(G$92:G$94*COS($C$92:$C$94*$L39)))^2+(SUM(G$92:G$94*SIN($C$92:$C$94*$L39)))^2)/SQRT((SUM(G$89:G$91*COS($C$89:$C$91*$L39)))^2+(SUM(G$89:G$91*SIN($C$89:$C$91*$L39)))^2)</f>
        <v>0.72395476335391595</v>
      </c>
      <c r="Q39" s="3" cm="1">
        <f t="array" ref="Q39">SQRT((SUM(H$92:H$94*COS($C$92:$C$94*$L39)))^2+(SUM(H$92:H$94*SIN($C$92:$C$94*$L39)))^2)/SQRT((SUM(H$89:H$91*COS($C$89:$C$91*$L39)))^2+(SUM(H$89:H$91*SIN($C$89:$C$91*$L39)))^2)</f>
        <v>0.67158912709976404</v>
      </c>
      <c r="R39" s="3">
        <f t="shared" si="1"/>
        <v>0.52191377487940149</v>
      </c>
      <c r="S39" s="3">
        <f t="shared" si="2"/>
        <v>-5.6480248130281332</v>
      </c>
    </row>
    <row r="40" spans="2:19" x14ac:dyDescent="0.3">
      <c r="B40" s="6"/>
      <c r="C40" s="7"/>
      <c r="D40" s="7"/>
      <c r="E40" s="7"/>
      <c r="F40" s="8"/>
      <c r="K40" s="3">
        <v>34</v>
      </c>
      <c r="L40" s="3">
        <f t="shared" si="0"/>
        <v>2.1362830044410597</v>
      </c>
      <c r="M40" s="3" cm="1">
        <f t="array" ref="M40">SQRT((SUM(D$92:D$94*COS($C$92:$C$94*$L40)))^2+(SUM(D$92:D$94*SIN($C$92:$C$94*$L40)))^2)/SQRT((SUM(D$89:D$91*COS($C$89:$C$91*$L40)))^2+(SUM(D$89:D$91*SIN($C$89:$C$91*$L40)))^2)</f>
        <v>0.82088020630722636</v>
      </c>
      <c r="N40" s="3" cm="1">
        <f t="array" ref="N40">SQRT((SUM(E$92:E$94*COS($C$92:$C$94*$L40)))^2+(SUM(E$92:E$94*SIN($C$92:$C$94*$L40)))^2)/SQRT((SUM(E$89:E$91*COS($C$89:$C$91*$L40)))^2+(SUM(E$89:E$91*SIN($C$89:$C$91*$L40)))^2)</f>
        <v>2.0055295654797884</v>
      </c>
      <c r="O40" s="3" cm="1">
        <f t="array" ref="O40">SQRT((SUM(F$92:F$94*COS($C$92:$C$94*$L40)))^2+(SUM(F$92:F$94*SIN($C$92:$C$94*$L40)))^2)/SQRT((SUM(F$89:F$91*COS($C$89:$C$91*$L40)))^2+(SUM(F$89:F$91*SIN($C$89:$C$91*$L40)))^2)</f>
        <v>0.80062851085918207</v>
      </c>
      <c r="P40" s="3" cm="1">
        <f t="array" ref="P40">SQRT((SUM(G$92:G$94*COS($C$92:$C$94*$L40)))^2+(SUM(G$92:G$94*SIN($C$92:$C$94*$L40)))^2)/SQRT((SUM(G$89:G$91*COS($C$89:$C$91*$L40)))^2+(SUM(G$89:G$91*SIN($C$89:$C$91*$L40)))^2)</f>
        <v>0.78672181850353995</v>
      </c>
      <c r="Q40" s="3" cm="1">
        <f t="array" ref="Q40">SQRT((SUM(H$92:H$94*COS($C$92:$C$94*$L40)))^2+(SUM(H$92:H$94*SIN($C$92:$C$94*$L40)))^2)/SQRT((SUM(H$89:H$91*COS($C$89:$C$91*$L40)))^2+(SUM(H$89:H$91*SIN($C$89:$C$91*$L40)))^2)</f>
        <v>0.71388160219218433</v>
      </c>
      <c r="R40" s="3">
        <f t="shared" si="1"/>
        <v>0.74026512312762383</v>
      </c>
      <c r="S40" s="3">
        <f t="shared" si="2"/>
        <v>-2.6122542299711879</v>
      </c>
    </row>
    <row r="41" spans="2:19" x14ac:dyDescent="0.3">
      <c r="B41" s="19" t="s">
        <v>40</v>
      </c>
      <c r="C41" s="19"/>
      <c r="D41" s="19"/>
      <c r="E41" s="19"/>
      <c r="F41" s="19"/>
      <c r="K41" s="3">
        <v>35</v>
      </c>
      <c r="L41" s="3">
        <f t="shared" si="0"/>
        <v>2.1991148575128552</v>
      </c>
      <c r="M41" s="3" cm="1">
        <f t="array" ref="M41">SQRT((SUM(D$92:D$94*COS($C$92:$C$94*$L41)))^2+(SUM(D$92:D$94*SIN($C$92:$C$94*$L41)))^2)/SQRT((SUM(D$89:D$91*COS($C$89:$C$91*$L41)))^2+(SUM(D$89:D$91*SIN($C$89:$C$91*$L41)))^2)</f>
        <v>0.84719349437799596</v>
      </c>
      <c r="N41" s="3" cm="1">
        <f t="array" ref="N41">SQRT((SUM(E$92:E$94*COS($C$92:$C$94*$L41)))^2+(SUM(E$92:E$94*SIN($C$92:$C$94*$L41)))^2)/SQRT((SUM(E$89:E$91*COS($C$89:$C$91*$L41)))^2+(SUM(E$89:E$91*SIN($C$89:$C$91*$L41)))^2)</f>
        <v>2.0027137196057283</v>
      </c>
      <c r="O41" s="3" cm="1">
        <f t="array" ref="O41">SQRT((SUM(F$92:F$94*COS($C$92:$C$94*$L41)))^2+(SUM(F$92:F$94*SIN($C$92:$C$94*$L41)))^2)/SQRT((SUM(F$89:F$91*COS($C$89:$C$91*$L41)))^2+(SUM(F$89:F$91*SIN($C$89:$C$91*$L41)))^2)</f>
        <v>0.8295078441443029</v>
      </c>
      <c r="P41" s="3" cm="1">
        <f t="array" ref="P41">SQRT((SUM(G$92:G$94*COS($C$92:$C$94*$L41)))^2+(SUM(G$92:G$94*SIN($C$92:$C$94*$L41)))^2)/SQRT((SUM(G$89:G$91*COS($C$89:$C$91*$L41)))^2+(SUM(G$89:G$91*SIN($C$89:$C$91*$L41)))^2)</f>
        <v>0.84006213185623713</v>
      </c>
      <c r="Q41" s="3" cm="1">
        <f t="array" ref="Q41">SQRT((SUM(H$92:H$94*COS($C$92:$C$94*$L41)))^2+(SUM(H$92:H$94*SIN($C$92:$C$94*$L41)))^2)/SQRT((SUM(H$89:H$91*COS($C$89:$C$91*$L41)))^2+(SUM(H$89:H$91*SIN($C$89:$C$91*$L41)))^2)</f>
        <v>0.75257524130415498</v>
      </c>
      <c r="R41" s="3">
        <f t="shared" si="1"/>
        <v>0.88978138767519221</v>
      </c>
      <c r="S41" s="3">
        <f t="shared" si="2"/>
        <v>-1.0143336601051998</v>
      </c>
    </row>
    <row r="42" spans="2:19" x14ac:dyDescent="0.3">
      <c r="B42" s="3" t="s">
        <v>35</v>
      </c>
      <c r="C42" s="3" t="s">
        <v>36</v>
      </c>
      <c r="D42" s="3" t="s">
        <v>37</v>
      </c>
      <c r="E42" s="3" t="s">
        <v>38</v>
      </c>
      <c r="F42" s="3" t="s">
        <v>39</v>
      </c>
      <c r="K42" s="3">
        <v>36</v>
      </c>
      <c r="L42" s="3">
        <f t="shared" si="0"/>
        <v>2.2619467105846511</v>
      </c>
      <c r="M42" s="3" cm="1">
        <f t="array" ref="M42">SQRT((SUM(D$92:D$94*COS($C$92:$C$94*$L42)))^2+(SUM(D$92:D$94*SIN($C$92:$C$94*$L42)))^2)/SQRT((SUM(D$89:D$91*COS($C$89:$C$91*$L42)))^2+(SUM(D$89:D$91*SIN($C$89:$C$91*$L42)))^2)</f>
        <v>0.87046778041078499</v>
      </c>
      <c r="N42" s="3" cm="1">
        <f t="array" ref="N42">SQRT((SUM(E$92:E$94*COS($C$92:$C$94*$L42)))^2+(SUM(E$92:E$94*SIN($C$92:$C$94*$L42)))^2)/SQRT((SUM(E$89:E$91*COS($C$89:$C$91*$L42)))^2+(SUM(E$89:E$91*SIN($C$89:$C$91*$L42)))^2)</f>
        <v>1.852369922920118</v>
      </c>
      <c r="O42" s="3" cm="1">
        <f t="array" ref="O42">SQRT((SUM(F$92:F$94*COS($C$92:$C$94*$L42)))^2+(SUM(F$92:F$94*SIN($C$92:$C$94*$L42)))^2)/SQRT((SUM(F$89:F$91*COS($C$89:$C$91*$L42)))^2+(SUM(F$89:F$91*SIN($C$89:$C$91*$L42)))^2)</f>
        <v>0.85517887036969653</v>
      </c>
      <c r="P42" s="3" cm="1">
        <f t="array" ref="P42">SQRT((SUM(G$92:G$94*COS($C$92:$C$94*$L42)))^2+(SUM(G$92:G$94*SIN($C$92:$C$94*$L42)))^2)/SQRT((SUM(G$89:G$91*COS($C$89:$C$91*$L42)))^2+(SUM(G$89:G$91*SIN($C$89:$C$91*$L42)))^2)</f>
        <v>0.88361636915037178</v>
      </c>
      <c r="Q42" s="3" cm="1">
        <f t="array" ref="Q42">SQRT((SUM(H$92:H$94*COS($C$92:$C$94*$L42)))^2+(SUM(H$92:H$94*SIN($C$92:$C$94*$L42)))^2)/SQRT((SUM(H$89:H$91*COS($C$89:$C$91*$L42)))^2+(SUM(H$89:H$91*SIN($C$89:$C$91*$L42)))^2)</f>
        <v>0.78781896145218289</v>
      </c>
      <c r="R42" s="3">
        <f t="shared" si="1"/>
        <v>0.95990347803039933</v>
      </c>
      <c r="S42" s="3">
        <f t="shared" si="2"/>
        <v>-0.35544869475582469</v>
      </c>
    </row>
    <row r="43" spans="2:19" x14ac:dyDescent="0.3">
      <c r="B43" s="3">
        <v>1</v>
      </c>
      <c r="C43" s="3">
        <f t="shared" ref="C43:D45" si="7">E35</f>
        <v>-0.30901699437494734</v>
      </c>
      <c r="D43" s="3">
        <f t="shared" si="7"/>
        <v>0.95105651629515364</v>
      </c>
      <c r="E43" s="3">
        <f>C43</f>
        <v>-0.30901699437494734</v>
      </c>
      <c r="F43" s="3">
        <f>-D43</f>
        <v>-0.95105651629515364</v>
      </c>
      <c r="K43" s="3">
        <v>37</v>
      </c>
      <c r="L43" s="3">
        <f t="shared" si="0"/>
        <v>2.3247785636564471</v>
      </c>
      <c r="M43" s="3" cm="1">
        <f t="array" ref="M43">SQRT((SUM(D$92:D$94*COS($C$92:$C$94*$L43)))^2+(SUM(D$92:D$94*SIN($C$92:$C$94*$L43)))^2)/SQRT((SUM(D$89:D$91*COS($C$89:$C$91*$L43)))^2+(SUM(D$89:D$91*SIN($C$89:$C$91*$L43)))^2)</f>
        <v>0.89105350787129389</v>
      </c>
      <c r="N43" s="3" cm="1">
        <f t="array" ref="N43">SQRT((SUM(E$92:E$94*COS($C$92:$C$94*$L43)))^2+(SUM(E$92:E$94*SIN($C$92:$C$94*$L43)))^2)/SQRT((SUM(E$89:E$91*COS($C$89:$C$91*$L43)))^2+(SUM(E$89:E$91*SIN($C$89:$C$91*$L43)))^2)</f>
        <v>1.6757305261678335</v>
      </c>
      <c r="O43" s="3" cm="1">
        <f t="array" ref="O43">SQRT((SUM(F$92:F$94*COS($C$92:$C$94*$L43)))^2+(SUM(F$92:F$94*SIN($C$92:$C$94*$L43)))^2)/SQRT((SUM(F$89:F$91*COS($C$89:$C$91*$L43)))^2+(SUM(F$89:F$91*SIN($C$89:$C$91*$L43)))^2)</f>
        <v>0.87797996743915441</v>
      </c>
      <c r="P43" s="3" cm="1">
        <f t="array" ref="P43">SQRT((SUM(G$92:G$94*COS($C$92:$C$94*$L43)))^2+(SUM(G$92:G$94*SIN($C$92:$C$94*$L43)))^2)/SQRT((SUM(G$89:G$91*COS($C$89:$C$91*$L43)))^2+(SUM(G$89:G$91*SIN($C$89:$C$91*$L43)))^2)</f>
        <v>0.91787526678546627</v>
      </c>
      <c r="Q43" s="3" cm="1">
        <f t="array" ref="Q43">SQRT((SUM(H$92:H$94*COS($C$92:$C$94*$L43)))^2+(SUM(H$92:H$94*SIN($C$92:$C$94*$L43)))^2)/SQRT((SUM(H$89:H$91*COS($C$89:$C$91*$L43)))^2+(SUM(H$89:H$91*SIN($C$89:$C$91*$L43)))^2)</f>
        <v>0.81977324841109422</v>
      </c>
      <c r="R43" s="3">
        <f t="shared" si="1"/>
        <v>0.9864384261434942</v>
      </c>
      <c r="S43" s="3">
        <f t="shared" si="2"/>
        <v>-0.11860036780376856</v>
      </c>
    </row>
    <row r="44" spans="2:19" x14ac:dyDescent="0.3">
      <c r="B44" s="3">
        <v>2</v>
      </c>
      <c r="C44" s="3">
        <f t="shared" si="7"/>
        <v>-0.80901699437494734</v>
      </c>
      <c r="D44" s="3">
        <f t="shared" si="7"/>
        <v>0.58778525229247325</v>
      </c>
      <c r="E44" s="3">
        <f>C44</f>
        <v>-0.80901699437494734</v>
      </c>
      <c r="F44" s="3">
        <f>-D44</f>
        <v>-0.58778525229247325</v>
      </c>
      <c r="K44" s="3">
        <v>38</v>
      </c>
      <c r="L44" s="3">
        <f t="shared" si="0"/>
        <v>2.3876104167282426</v>
      </c>
      <c r="M44" s="3" cm="1">
        <f t="array" ref="M44">SQRT((SUM(D$92:D$94*COS($C$92:$C$94*$L44)))^2+(SUM(D$92:D$94*SIN($C$92:$C$94*$L44)))^2)/SQRT((SUM(D$89:D$91*COS($C$89:$C$91*$L44)))^2+(SUM(D$89:D$91*SIN($C$89:$C$91*$L44)))^2)</f>
        <v>0.90924296236479452</v>
      </c>
      <c r="N44" s="3" cm="1">
        <f t="array" ref="N44">SQRT((SUM(E$92:E$94*COS($C$92:$C$94*$L44)))^2+(SUM(E$92:E$94*SIN($C$92:$C$94*$L44)))^2)/SQRT((SUM(E$89:E$91*COS($C$89:$C$91*$L44)))^2+(SUM(E$89:E$91*SIN($C$89:$C$91*$L44)))^2)</f>
        <v>1.5219479356389538</v>
      </c>
      <c r="O44" s="3" cm="1">
        <f t="array" ref="O44">SQRT((SUM(F$92:F$94*COS($C$92:$C$94*$L44)))^2+(SUM(F$92:F$94*SIN($C$92:$C$94*$L44)))^2)/SQRT((SUM(F$89:F$91*COS($C$89:$C$91*$L44)))^2+(SUM(F$89:F$91*SIN($C$89:$C$91*$L44)))^2)</f>
        <v>0.89819870305602778</v>
      </c>
      <c r="P44" s="3" cm="1">
        <f t="array" ref="P44">SQRT((SUM(G$92:G$94*COS($C$92:$C$94*$L44)))^2+(SUM(G$92:G$94*SIN($C$92:$C$94*$L44)))^2)/SQRT((SUM(G$89:G$91*COS($C$89:$C$91*$L44)))^2+(SUM(G$89:G$91*SIN($C$89:$C$91*$L44)))^2)</f>
        <v>0.94390111546208388</v>
      </c>
      <c r="Q44" s="3" cm="1">
        <f t="array" ref="Q44">SQRT((SUM(H$92:H$94*COS($C$92:$C$94*$L44)))^2+(SUM(H$92:H$94*SIN($C$92:$C$94*$L44)))^2)/SQRT((SUM(H$89:H$91*COS($C$89:$C$91*$L44)))^2+(SUM(H$89:H$91*SIN($C$89:$C$91*$L44)))^2)</f>
        <v>0.84860274445632278</v>
      </c>
      <c r="R44" s="3">
        <f t="shared" si="1"/>
        <v>0.99559589914738289</v>
      </c>
      <c r="S44" s="3">
        <f t="shared" si="2"/>
        <v>-3.8338018314500878E-2</v>
      </c>
    </row>
    <row r="45" spans="2:19" x14ac:dyDescent="0.3">
      <c r="B45" s="3">
        <v>3</v>
      </c>
      <c r="C45" s="3">
        <f t="shared" si="7"/>
        <v>-1</v>
      </c>
      <c r="D45" s="3">
        <f t="shared" si="7"/>
        <v>1.22514845490862E-16</v>
      </c>
      <c r="E45" s="3"/>
      <c r="F45" s="3"/>
      <c r="K45" s="3">
        <v>39</v>
      </c>
      <c r="L45" s="3">
        <f t="shared" si="0"/>
        <v>2.4504422698000385</v>
      </c>
      <c r="M45" s="3" cm="1">
        <f t="array" ref="M45">SQRT((SUM(D$92:D$94*COS($C$92:$C$94*$L45)))^2+(SUM(D$92:D$94*SIN($C$92:$C$94*$L45)))^2)/SQRT((SUM(D$89:D$91*COS($C$89:$C$91*$L45)))^2+(SUM(D$89:D$91*SIN($C$89:$C$91*$L45)))^2)</f>
        <v>0.92528079601561464</v>
      </c>
      <c r="N45" s="3" cm="1">
        <f t="array" ref="N45">SQRT((SUM(E$92:E$94*COS($C$92:$C$94*$L45)))^2+(SUM(E$92:E$94*SIN($C$92:$C$94*$L45)))^2)/SQRT((SUM(E$89:E$91*COS($C$89:$C$91*$L45)))^2+(SUM(E$89:E$91*SIN($C$89:$C$91*$L45)))^2)</f>
        <v>1.3989753360414021</v>
      </c>
      <c r="O45" s="3" cm="1">
        <f t="array" ref="O45">SQRT((SUM(F$92:F$94*COS($C$92:$C$94*$L45)))^2+(SUM(F$92:F$94*SIN($C$92:$C$94*$L45)))^2)/SQRT((SUM(F$89:F$91*COS($C$89:$C$91*$L45)))^2+(SUM(F$89:F$91*SIN($C$89:$C$91*$L45)))^2)</f>
        <v>0.91607965819725568</v>
      </c>
      <c r="P45" s="3" cm="1">
        <f t="array" ref="P45">SQRT((SUM(G$92:G$94*COS($C$92:$C$94*$L45)))^2+(SUM(G$92:G$94*SIN($C$92:$C$94*$L45)))^2)/SQRT((SUM(G$89:G$91*COS($C$89:$C$91*$L45)))^2+(SUM(G$89:G$91*SIN($C$89:$C$91*$L45)))^2)</f>
        <v>0.96303003649162855</v>
      </c>
      <c r="Q45" s="3" cm="1">
        <f t="array" ref="Q45">SQRT((SUM(H$92:H$94*COS($C$92:$C$94*$L45)))^2+(SUM(H$92:H$94*SIN($C$92:$C$94*$L45)))^2)/SQRT((SUM(H$89:H$91*COS($C$89:$C$91*$L45)))^2+(SUM(H$89:H$91*SIN($C$89:$C$91*$L45)))^2)</f>
        <v>0.87447046863283417</v>
      </c>
      <c r="R45" s="3">
        <f t="shared" si="1"/>
        <v>0.99862360300604214</v>
      </c>
      <c r="S45" s="3">
        <f t="shared" si="2"/>
        <v>-1.1963467518049189E-2</v>
      </c>
    </row>
    <row r="46" spans="2:19" x14ac:dyDescent="0.3">
      <c r="K46" s="3">
        <v>40</v>
      </c>
      <c r="L46" s="3">
        <f t="shared" si="0"/>
        <v>2.5132741228718345</v>
      </c>
      <c r="M46" s="3" cm="1">
        <f t="array" ref="M46">SQRT((SUM(D$92:D$94*COS($C$92:$C$94*$L46)))^2+(SUM(D$92:D$94*SIN($C$92:$C$94*$L46)))^2)/SQRT((SUM(D$89:D$91*COS($C$89:$C$91*$L46)))^2+(SUM(D$89:D$91*SIN($C$89:$C$91*$L46)))^2)</f>
        <v>0.93937226566920207</v>
      </c>
      <c r="N46" s="3" cm="1">
        <f t="array" ref="N46">SQRT((SUM(E$92:E$94*COS($C$92:$C$94*$L46)))^2+(SUM(E$92:E$94*SIN($C$92:$C$94*$L46)))^2)/SQRT((SUM(E$89:E$91*COS($C$89:$C$91*$L46)))^2+(SUM(E$89:E$91*SIN($C$89:$C$91*$L46)))^2)</f>
        <v>1.3027592047295964</v>
      </c>
      <c r="O46" s="3" cm="1">
        <f t="array" ref="O46">SQRT((SUM(F$92:F$94*COS($C$92:$C$94*$L46)))^2+(SUM(F$92:F$94*SIN($C$92:$C$94*$L46)))^2)/SQRT((SUM(F$89:F$91*COS($C$89:$C$91*$L46)))^2+(SUM(F$89:F$91*SIN($C$89:$C$91*$L46)))^2)</f>
        <v>0.93183084577501707</v>
      </c>
      <c r="P46" s="3" cm="1">
        <f t="array" ref="P46">SQRT((SUM(G$92:G$94*COS($C$92:$C$94*$L46)))^2+(SUM(G$92:G$94*SIN($C$92:$C$94*$L46)))^2)/SQRT((SUM(G$89:G$91*COS($C$89:$C$91*$L46)))^2+(SUM(G$89:G$91*SIN($C$89:$C$91*$L46)))^2)</f>
        <v>0.97663568822073987</v>
      </c>
      <c r="Q46" s="3" cm="1">
        <f t="array" ref="Q46">SQRT((SUM(H$92:H$94*COS($C$92:$C$94*$L46)))^2+(SUM(H$92:H$94*SIN($C$92:$C$94*$L46)))^2)/SQRT((SUM(H$89:H$91*COS($C$89:$C$91*$L46)))^2+(SUM(H$89:H$91*SIN($C$89:$C$91*$L46)))^2)</f>
        <v>0.89753345317491795</v>
      </c>
      <c r="R46" s="3">
        <f t="shared" si="1"/>
        <v>0.99959068792312933</v>
      </c>
      <c r="S46" s="3">
        <f t="shared" si="2"/>
        <v>-3.5559673270681284E-3</v>
      </c>
    </row>
    <row r="47" spans="2:19" x14ac:dyDescent="0.3">
      <c r="B47" s="16" t="s">
        <v>41</v>
      </c>
      <c r="C47" s="17"/>
      <c r="D47" s="17"/>
      <c r="E47" s="17"/>
      <c r="F47" s="17"/>
      <c r="G47" s="4"/>
      <c r="H47" s="5"/>
      <c r="K47" s="3">
        <v>41</v>
      </c>
      <c r="L47" s="3">
        <f t="shared" si="0"/>
        <v>2.57610597594363</v>
      </c>
      <c r="M47" s="3" cm="1">
        <f t="array" ref="M47">SQRT((SUM(D$92:D$94*COS($C$92:$C$94*$L47)))^2+(SUM(D$92:D$94*SIN($C$92:$C$94*$L47)))^2)/SQRT((SUM(D$89:D$91*COS($C$89:$C$91*$L47)))^2+(SUM(D$89:D$91*SIN($C$89:$C$91*$L47)))^2)</f>
        <v>0.95168972562720677</v>
      </c>
      <c r="N47" s="3" cm="1">
        <f t="array" ref="N47">SQRT((SUM(E$92:E$94*COS($C$92:$C$94*$L47)))^2+(SUM(E$92:E$94*SIN($C$92:$C$94*$L47)))^2)/SQRT((SUM(E$89:E$91*COS($C$89:$C$91*$L47)))^2+(SUM(E$89:E$91*SIN($C$89:$C$91*$L47)))^2)</f>
        <v>1.2275859902246367</v>
      </c>
      <c r="O47" s="3" cm="1">
        <f t="array" ref="O47">SQRT((SUM(F$92:F$94*COS($C$92:$C$94*$L47)))^2+(SUM(F$92:F$94*SIN($C$92:$C$94*$L47)))^2)/SQRT((SUM(F$89:F$91*COS($C$89:$C$91*$L47)))^2+(SUM(F$89:F$91*SIN($C$89:$C$91*$L47)))^2)</f>
        <v>0.94562897601789531</v>
      </c>
      <c r="P47" s="3" cm="1">
        <f t="array" ref="P47">SQRT((SUM(G$92:G$94*COS($C$92:$C$94*$L47)))^2+(SUM(G$92:G$94*SIN($C$92:$C$94*$L47)))^2)/SQRT((SUM(G$89:G$91*COS($C$89:$C$91*$L47)))^2+(SUM(G$89:G$91*SIN($C$89:$C$91*$L47)))^2)</f>
        <v>0.98598083735658459</v>
      </c>
      <c r="Q47" s="3" cm="1">
        <f t="array" ref="Q47">SQRT((SUM(H$92:H$94*COS($C$92:$C$94*$L47)))^2+(SUM(H$92:H$94*SIN($C$92:$C$94*$L47)))^2)/SQRT((SUM(H$89:H$91*COS($C$89:$C$91*$L47)))^2+(SUM(H$89:H$91*SIN($C$89:$C$91*$L47)))^2)</f>
        <v>0.91793955875088051</v>
      </c>
      <c r="R47" s="3">
        <f t="shared" si="1"/>
        <v>0.99988634228536055</v>
      </c>
      <c r="S47" s="3">
        <f t="shared" si="2"/>
        <v>-9.8727447261594118E-4</v>
      </c>
    </row>
    <row r="48" spans="2:19" x14ac:dyDescent="0.3">
      <c r="B48" s="6"/>
      <c r="C48" s="7"/>
      <c r="D48" s="7"/>
      <c r="E48" s="7"/>
      <c r="F48" s="7"/>
      <c r="G48" s="7"/>
      <c r="H48" s="8"/>
      <c r="K48" s="3">
        <v>42</v>
      </c>
      <c r="L48" s="3">
        <f t="shared" si="0"/>
        <v>2.6389378290154264</v>
      </c>
      <c r="M48" s="3" cm="1">
        <f t="array" ref="M48">SQRT((SUM(D$92:D$94*COS($C$92:$C$94*$L48)))^2+(SUM(D$92:D$94*SIN($C$92:$C$94*$L48)))^2)/SQRT((SUM(D$89:D$91*COS($C$89:$C$91*$L48)))^2+(SUM(D$89:D$91*SIN($C$89:$C$91*$L48)))^2)</f>
        <v>0.96237777245005685</v>
      </c>
      <c r="N48" s="3" cm="1">
        <f t="array" ref="N48">SQRT((SUM(E$92:E$94*COS($C$92:$C$94*$L48)))^2+(SUM(E$92:E$94*SIN($C$92:$C$94*$L48)))^2)/SQRT((SUM(E$89:E$91*COS($C$89:$C$91*$L48)))^2+(SUM(E$89:E$91*SIN($C$89:$C$91*$L48)))^2)</f>
        <v>1.1686285450767926</v>
      </c>
      <c r="O48" s="3" cm="1">
        <f t="array" ref="O48">SQRT((SUM(F$92:F$94*COS($C$92:$C$94*$L48)))^2+(SUM(F$92:F$94*SIN($C$92:$C$94*$L48)))^2)/SQRT((SUM(F$89:F$91*COS($C$89:$C$91*$L48)))^2+(SUM(F$89:F$91*SIN($C$89:$C$91*$L48)))^2)</f>
        <v>0.95762377383970887</v>
      </c>
      <c r="P48" s="3" cm="1">
        <f t="array" ref="P48">SQRT((SUM(G$92:G$94*COS($C$92:$C$94*$L48)))^2+(SUM(G$92:G$94*SIN($C$92:$C$94*$L48)))^2)/SQRT((SUM(G$89:G$91*COS($C$89:$C$91*$L48)))^2+(SUM(G$89:G$91*SIN($C$89:$C$91*$L48)))^2)</f>
        <v>0.99214644730670409</v>
      </c>
      <c r="Q48" s="3" cm="1">
        <f t="array" ref="Q48">SQRT((SUM(H$92:H$94*COS($C$92:$C$94*$L48)))^2+(SUM(H$92:H$94*SIN($C$92:$C$94*$L48)))^2)/SQRT((SUM(H$89:H$91*COS($C$89:$C$91*$L48)))^2+(SUM(H$89:H$91*SIN($C$89:$C$91*$L48)))^2)</f>
        <v>0.93582523683222463</v>
      </c>
      <c r="R48" s="3">
        <f t="shared" si="1"/>
        <v>0.99997128188850548</v>
      </c>
      <c r="S48" s="3">
        <f t="shared" si="2"/>
        <v>-2.4944592888018148E-4</v>
      </c>
    </row>
    <row r="49" spans="2:19" x14ac:dyDescent="0.3">
      <c r="B49" s="20" t="s">
        <v>42</v>
      </c>
      <c r="C49" s="21"/>
      <c r="D49" s="21"/>
      <c r="E49" s="21"/>
      <c r="F49" s="21"/>
      <c r="G49" s="21"/>
      <c r="H49" s="22"/>
      <c r="K49" s="3">
        <v>43</v>
      </c>
      <c r="L49" s="3">
        <f t="shared" si="0"/>
        <v>2.7017696820872219</v>
      </c>
      <c r="M49" s="3" cm="1">
        <f t="array" ref="M49">SQRT((SUM(D$92:D$94*COS($C$92:$C$94*$L49)))^2+(SUM(D$92:D$94*SIN($C$92:$C$94*$L49)))^2)/SQRT((SUM(D$89:D$91*COS($C$89:$C$91*$L49)))^2+(SUM(D$89:D$91*SIN($C$89:$C$91*$L49)))^2)</f>
        <v>0.97155733684959711</v>
      </c>
      <c r="N49" s="3" cm="1">
        <f t="array" ref="N49">SQRT((SUM(E$92:E$94*COS($C$92:$C$94*$L49)))^2+(SUM(E$92:E$94*SIN($C$92:$C$94*$L49)))^2)/SQRT((SUM(E$89:E$91*COS($C$89:$C$91*$L49)))^2+(SUM(E$89:E$91*SIN($C$89:$C$91*$L49)))^2)</f>
        <v>1.1222517998617378</v>
      </c>
      <c r="O49" s="3" cm="1">
        <f t="array" ref="O49">SQRT((SUM(F$92:F$94*COS($C$92:$C$94*$L49)))^2+(SUM(F$92:F$94*SIN($C$92:$C$94*$L49)))^2)/SQRT((SUM(F$89:F$91*COS($C$89:$C$91*$L49)))^2+(SUM(F$89:F$91*SIN($C$89:$C$91*$L49)))^2)</f>
        <v>0.96794151436632303</v>
      </c>
      <c r="P49" s="3" cm="1">
        <f t="array" ref="P49">SQRT((SUM(G$92:G$94*COS($C$92:$C$94*$L49)))^2+(SUM(G$92:G$94*SIN($C$92:$C$94*$L49)))^2)/SQRT((SUM(G$89:G$91*COS($C$89:$C$91*$L49)))^2+(SUM(G$89:G$91*SIN($C$89:$C$91*$L49)))^2)</f>
        <v>0.9960140568657575</v>
      </c>
      <c r="Q49" s="3" cm="1">
        <f t="array" ref="Q49">SQRT((SUM(H$92:H$94*COS($C$92:$C$94*$L49)))^2+(SUM(H$92:H$94*SIN($C$92:$C$94*$L49)))^2)/SQRT((SUM(H$89:H$91*COS($C$89:$C$91*$L49)))^2+(SUM(H$89:H$91*SIN($C$89:$C$91*$L49)))^2)</f>
        <v>0.95131402843604418</v>
      </c>
      <c r="R49" s="3">
        <f t="shared" si="1"/>
        <v>0.99999362644289846</v>
      </c>
      <c r="S49" s="3">
        <f t="shared" si="2"/>
        <v>-5.536019000669679E-5</v>
      </c>
    </row>
    <row r="50" spans="2:19" x14ac:dyDescent="0.3">
      <c r="B50" s="3" t="s">
        <v>35</v>
      </c>
      <c r="C50" s="3" t="s">
        <v>43</v>
      </c>
      <c r="D50" s="3" t="s">
        <v>47</v>
      </c>
      <c r="E50" s="3" t="s">
        <v>44</v>
      </c>
      <c r="F50" s="3" t="s">
        <v>45</v>
      </c>
      <c r="G50" s="3" t="s">
        <v>46</v>
      </c>
      <c r="H50" s="3" t="s">
        <v>48</v>
      </c>
      <c r="K50" s="3">
        <v>44</v>
      </c>
      <c r="L50" s="3">
        <f t="shared" si="0"/>
        <v>2.7646015351590179</v>
      </c>
      <c r="M50" s="3" cm="1">
        <f t="array" ref="M50">SQRT((SUM(D$92:D$94*COS($C$92:$C$94*$L50)))^2+(SUM(D$92:D$94*SIN($C$92:$C$94*$L50)))^2)/SQRT((SUM(D$89:D$91*COS($C$89:$C$91*$L50)))^2+(SUM(D$89:D$91*SIN($C$89:$C$91*$L50)))^2)</f>
        <v>0.97932894334682641</v>
      </c>
      <c r="N50" s="3" cm="1">
        <f t="array" ref="N50">SQRT((SUM(E$92:E$94*COS($C$92:$C$94*$L50)))^2+(SUM(E$92:E$94*SIN($C$92:$C$94*$L50)))^2)/SQRT((SUM(E$89:E$91*COS($C$89:$C$91*$L50)))^2+(SUM(E$89:E$91*SIN($C$89:$C$91*$L50)))^2)</f>
        <v>1.0858111018377674</v>
      </c>
      <c r="O50" s="3" cm="1">
        <f t="array" ref="O50">SQRT((SUM(F$92:F$94*COS($C$92:$C$94*$L50)))^2+(SUM(F$92:F$94*SIN($C$92:$C$94*$L50)))^2)/SQRT((SUM(F$89:F$91*COS($C$89:$C$91*$L50)))^2+(SUM(F$89:F$91*SIN($C$89:$C$91*$L50)))^2)</f>
        <v>0.97668791032783253</v>
      </c>
      <c r="P50" s="3" cm="1">
        <f t="array" ref="P50">SQRT((SUM(G$92:G$94*COS($C$92:$C$94*$L50)))^2+(SUM(G$92:G$94*SIN($C$92:$C$94*$L50)))^2)/SQRT((SUM(G$89:G$91*COS($C$89:$C$91*$L50)))^2+(SUM(G$89:G$91*SIN($C$89:$C$91*$L50)))^2)</f>
        <v>0.99827809945347235</v>
      </c>
      <c r="Q50" s="3" cm="1">
        <f t="array" ref="Q50">SQRT((SUM(H$92:H$94*COS($C$92:$C$94*$L50)))^2+(SUM(H$92:H$94*SIN($C$92:$C$94*$L50)))^2)/SQRT((SUM(H$89:H$91*COS($C$89:$C$91*$L50)))^2+(SUM(H$89:H$91*SIN($C$89:$C$91*$L50)))^2)</f>
        <v>0.9645156166787251</v>
      </c>
      <c r="R50" s="3">
        <f t="shared" si="1"/>
        <v>0.99999881875404373</v>
      </c>
      <c r="S50" s="3">
        <f t="shared" si="2"/>
        <v>-1.0260178071488305E-5</v>
      </c>
    </row>
    <row r="51" spans="2:19" x14ac:dyDescent="0.3">
      <c r="B51" s="3">
        <v>1</v>
      </c>
      <c r="C51" s="3">
        <f>$C$28*$D$16/$C27</f>
        <v>1.3975407253946455</v>
      </c>
      <c r="D51" s="3">
        <f>PI()-D35</f>
        <v>1.2566370614359172</v>
      </c>
      <c r="E51" s="3">
        <f>(C51^2)*COS(2*D35)-4*$C$27*$D$15</f>
        <v>-4.448880377632511</v>
      </c>
      <c r="F51" s="3">
        <f>-((C51)^2)*SIN(2*D35)</f>
        <v>1.1480151784727965</v>
      </c>
      <c r="G51" s="3">
        <f>SQRT(E51^2+F51^2)</f>
        <v>4.5946137448633833</v>
      </c>
      <c r="H51" s="3">
        <f>ATAN2(E51,F51)</f>
        <v>2.8890558659059979</v>
      </c>
      <c r="K51" s="3">
        <v>45</v>
      </c>
      <c r="L51" s="3">
        <f t="shared" si="0"/>
        <v>2.8274333882308138</v>
      </c>
      <c r="M51" s="3" cm="1">
        <f t="array" ref="M51">SQRT((SUM(D$92:D$94*COS($C$92:$C$94*$L51)))^2+(SUM(D$92:D$94*SIN($C$92:$C$94*$L51)))^2)/SQRT((SUM(D$89:D$91*COS($C$89:$C$91*$L51)))^2+(SUM(D$89:D$91*SIN($C$89:$C$91*$L51)))^2)</f>
        <v>0.98577530375114852</v>
      </c>
      <c r="N51" s="3" cm="1">
        <f t="array" ref="N51">SQRT((SUM(E$92:E$94*COS($C$92:$C$94*$L51)))^2+(SUM(E$92:E$94*SIN($C$92:$C$94*$L51)))^2)/SQRT((SUM(E$89:E$91*COS($C$89:$C$91*$L51)))^2+(SUM(E$89:E$91*SIN($C$89:$C$91*$L51)))^2)</f>
        <v>1.0574014630488657</v>
      </c>
      <c r="O51" s="3" cm="1">
        <f t="array" ref="O51">SQRT((SUM(F$92:F$94*COS($C$92:$C$94*$L51)))^2+(SUM(F$92:F$94*SIN($C$92:$C$94*$L51)))^2)/SQRT((SUM(F$89:F$91*COS($C$89:$C$91*$L51)))^2+(SUM(F$89:F$91*SIN($C$89:$C$91*$L51)))^2)</f>
        <v>0.98395045831764449</v>
      </c>
      <c r="P51" s="3" cm="1">
        <f t="array" ref="P51">SQRT((SUM(G$92:G$94*COS($C$92:$C$94*$L51)))^2+(SUM(G$92:G$94*SIN($C$92:$C$94*$L51)))^2)/SQRT((SUM(G$89:G$91*COS($C$89:$C$91*$L51)))^2+(SUM(G$89:G$91*SIN($C$89:$C$91*$L51)))^2)</f>
        <v>0.99947129318048045</v>
      </c>
      <c r="Q51" s="3" cm="1">
        <f t="array" ref="Q51">SQRT((SUM(H$92:H$94*COS($C$92:$C$94*$L51)))^2+(SUM(H$92:H$94*SIN($C$92:$C$94*$L51)))^2)/SQRT((SUM(H$89:H$91*COS($C$89:$C$91*$L51)))^2+(SUM(H$89:H$91*SIN($C$89:$C$91*$L51)))^2)</f>
        <v>0.97552528068439948</v>
      </c>
      <c r="R51" s="3">
        <f t="shared" si="1"/>
        <v>0.99999983072759513</v>
      </c>
      <c r="S51" s="3">
        <f t="shared" si="2"/>
        <v>-1.470281551916214E-6</v>
      </c>
    </row>
    <row r="52" spans="2:19" x14ac:dyDescent="0.3">
      <c r="B52" s="3">
        <v>2</v>
      </c>
      <c r="C52" s="3">
        <f>$C$28*$D$16/$C27</f>
        <v>1.3975407253946455</v>
      </c>
      <c r="D52" s="3">
        <f>PI()-D36</f>
        <v>0.62831853071795862</v>
      </c>
      <c r="E52" s="3">
        <f t="shared" ref="E52:E53" si="8">(C52^2)*COS(2*D36)-4*$C$27*$D$15</f>
        <v>-2.2652257450479167</v>
      </c>
      <c r="F52" s="3">
        <f t="shared" ref="F52:F53" si="9">-((C52)^2)*SIN(2*D36)</f>
        <v>1.8575275783697618</v>
      </c>
      <c r="G52" s="3">
        <f>SQRT(E52^2+F52^2)</f>
        <v>2.9294464290087507</v>
      </c>
      <c r="H52" s="3">
        <f t="shared" ref="H52:H53" si="10">ATAN2(E52,F52)</f>
        <v>2.4547637939671261</v>
      </c>
      <c r="K52" s="3">
        <v>46</v>
      </c>
      <c r="L52" s="3">
        <f t="shared" si="0"/>
        <v>2.8902652413026093</v>
      </c>
      <c r="M52" s="3" cm="1">
        <f t="array" ref="M52">SQRT((SUM(D$92:D$94*COS($C$92:$C$94*$L52)))^2+(SUM(D$92:D$94*SIN($C$92:$C$94*$L52)))^2)/SQRT((SUM(D$89:D$91*COS($C$89:$C$91*$L52)))^2+(SUM(D$89:D$91*SIN($C$89:$C$91*$L52)))^2)</f>
        <v>0.99096336985394162</v>
      </c>
      <c r="N52" s="3" cm="1">
        <f t="array" ref="N52">SQRT((SUM(E$92:E$94*COS($C$92:$C$94*$L52)))^2+(SUM(E$92:E$94*SIN($C$92:$C$94*$L52)))^2)/SQRT((SUM(E$89:E$91*COS($C$89:$C$91*$L52)))^2+(SUM(E$89:E$91*SIN($C$89:$C$91*$L52)))^2)</f>
        <v>1.0356567557670635</v>
      </c>
      <c r="O52" s="3" cm="1">
        <f t="array" ref="O52">SQRT((SUM(F$92:F$94*COS($C$92:$C$94*$L52)))^2+(SUM(F$92:F$94*SIN($C$92:$C$94*$L52)))^2)/SQRT((SUM(F$89:F$91*COS($C$89:$C$91*$L52)))^2+(SUM(F$89:F$91*SIN($C$89:$C$91*$L52)))^2)</f>
        <v>0.98980032902090787</v>
      </c>
      <c r="P52" s="3" cm="1">
        <f t="array" ref="P52">SQRT((SUM(G$92:G$94*COS($C$92:$C$94*$L52)))^2+(SUM(G$92:G$94*SIN($C$92:$C$94*$L52)))^2)/SQRT((SUM(G$89:G$91*COS($C$89:$C$91*$L52)))^2+(SUM(G$89:G$91*SIN($C$89:$C$91*$L52)))^2)</f>
        <v>0.99999292269728202</v>
      </c>
      <c r="Q52" s="3" cm="1">
        <f t="array" ref="Q52">SQRT((SUM(H$92:H$94*COS($C$92:$C$94*$L52)))^2+(SUM(H$92:H$94*SIN($C$92:$C$94*$L52)))^2)/SQRT((SUM(H$89:H$91*COS($C$89:$C$91*$L52)))^2+(SUM(H$89:H$91*SIN($C$89:$C$91*$L52)))^2)</f>
        <v>0.98442362723564403</v>
      </c>
      <c r="R52" s="3">
        <f t="shared" si="1"/>
        <v>0.99999998349356489</v>
      </c>
      <c r="S52" s="3">
        <f t="shared" si="2"/>
        <v>-1.4337307484616561E-7</v>
      </c>
    </row>
    <row r="53" spans="2:19" x14ac:dyDescent="0.3">
      <c r="B53" s="3">
        <v>3</v>
      </c>
      <c r="C53" s="3">
        <f>$C$28*$D$16/$C27</f>
        <v>1.3975407253946455</v>
      </c>
      <c r="D53" s="3">
        <f>PI()-D37</f>
        <v>0</v>
      </c>
      <c r="E53" s="3">
        <f t="shared" si="8"/>
        <v>-0.9156529624194738</v>
      </c>
      <c r="F53" s="3">
        <f t="shared" si="9"/>
        <v>4.7857240944103946E-16</v>
      </c>
      <c r="G53" s="3">
        <f>SQRT(E53^2+F53^2)</f>
        <v>0.9156529624194738</v>
      </c>
      <c r="H53" s="3">
        <f t="shared" si="10"/>
        <v>3.1415926535897927</v>
      </c>
      <c r="K53" s="3">
        <v>47</v>
      </c>
      <c r="L53" s="3">
        <f t="shared" si="0"/>
        <v>2.9530970943744057</v>
      </c>
      <c r="M53" s="3" cm="1">
        <f t="array" ref="M53">SQRT((SUM(D$92:D$94*COS($C$92:$C$94*$L53)))^2+(SUM(D$92:D$94*SIN($C$92:$C$94*$L53)))^2)/SQRT((SUM(D$89:D$91*COS($C$89:$C$91*$L53)))^2+(SUM(D$89:D$91*SIN($C$89:$C$91*$L53)))^2)</f>
        <v>0.99494594001185921</v>
      </c>
      <c r="N53" s="3" cm="1">
        <f t="array" ref="N53">SQRT((SUM(E$92:E$94*COS($C$92:$C$94*$L53)))^2+(SUM(E$92:E$94*SIN($C$92:$C$94*$L53)))^2)/SQRT((SUM(E$89:E$91*COS($C$89:$C$91*$L53)))^2+(SUM(E$89:E$91*SIN($C$89:$C$91*$L53)))^2)</f>
        <v>1.0196060792855921</v>
      </c>
      <c r="O53" s="3" cm="1">
        <f t="array" ref="O53">SQRT((SUM(F$92:F$94*COS($C$92:$C$94*$L53)))^2+(SUM(F$92:F$94*SIN($C$92:$C$94*$L53)))^2)/SQRT((SUM(F$89:F$91*COS($C$89:$C$91*$L53)))^2+(SUM(F$89:F$91*SIN($C$89:$C$91*$L53)))^2)</f>
        <v>0.99429386852537494</v>
      </c>
      <c r="P53" s="3" cm="1">
        <f t="array" ref="P53">SQRT((SUM(G$92:G$94*COS($C$92:$C$94*$L53)))^2+(SUM(G$92:G$94*SIN($C$92:$C$94*$L53)))^2)/SQRT((SUM(G$89:G$91*COS($C$89:$C$91*$L53)))^2+(SUM(G$89:G$91*SIN($C$89:$C$91*$L53)))^2)</f>
        <v>1.0001347708281352</v>
      </c>
      <c r="Q53" s="3" cm="1">
        <f t="array" ref="Q53">SQRT((SUM(H$92:H$94*COS($C$92:$C$94*$L53)))^2+(SUM(H$92:H$94*SIN($C$92:$C$94*$L53)))^2)/SQRT((SUM(H$89:H$91*COS($C$89:$C$91*$L53)))^2+(SUM(H$89:H$91*SIN($C$89:$C$91*$L53)))^2)</f>
        <v>0.99127650249730126</v>
      </c>
      <c r="R53" s="3">
        <f t="shared" si="1"/>
        <v>0.99999999913675841</v>
      </c>
      <c r="S53" s="3">
        <f t="shared" si="2"/>
        <v>-7.4980211790725974E-9</v>
      </c>
    </row>
    <row r="54" spans="2:19" x14ac:dyDescent="0.3">
      <c r="B54" s="6"/>
      <c r="C54" s="7"/>
      <c r="D54" s="7"/>
      <c r="E54" s="7"/>
      <c r="F54" s="7"/>
      <c r="G54" s="7"/>
      <c r="H54" s="8"/>
      <c r="K54" s="3">
        <v>48</v>
      </c>
      <c r="L54" s="3">
        <f t="shared" si="0"/>
        <v>3.0159289474462012</v>
      </c>
      <c r="M54" s="3" cm="1">
        <f t="array" ref="M54">SQRT((SUM(D$92:D$94*COS($C$92:$C$94*$L54)))^2+(SUM(D$92:D$94*SIN($C$92:$C$94*$L54)))^2)/SQRT((SUM(D$89:D$91*COS($C$89:$C$91*$L54)))^2+(SUM(D$89:D$91*SIN($C$89:$C$91*$L54)))^2)</f>
        <v>0.99776289069912694</v>
      </c>
      <c r="N54" s="3" cm="1">
        <f t="array" ref="N54">SQRT((SUM(E$92:E$94*COS($C$92:$C$94*$L54)))^2+(SUM(E$92:E$94*SIN($C$92:$C$94*$L54)))^2)/SQRT((SUM(E$89:E$91*COS($C$89:$C$91*$L54)))^2+(SUM(E$89:E$91*SIN($C$89:$C$91*$L54)))^2)</f>
        <v>1.008575598896843</v>
      </c>
      <c r="O54" s="3" cm="1">
        <f t="array" ref="O54">SQRT((SUM(F$92:F$94*COS($C$92:$C$94*$L54)))^2+(SUM(F$92:F$94*SIN($C$92:$C$94*$L54)))^2)/SQRT((SUM(F$89:F$91*COS($C$89:$C$91*$L54)))^2+(SUM(F$89:F$91*SIN($C$89:$C$91*$L54)))^2)</f>
        <v>0.99747376295261203</v>
      </c>
      <c r="P54" s="3" cm="1">
        <f t="array" ref="P54">SQRT((SUM(G$92:G$94*COS($C$92:$C$94*$L54)))^2+(SUM(G$92:G$94*SIN($C$92:$C$94*$L54)))^2)/SQRT((SUM(G$89:G$91*COS($C$89:$C$91*$L54)))^2+(SUM(G$89:G$91*SIN($C$89:$C$91*$L54)))^2)</f>
        <v>1.0001024964558962</v>
      </c>
      <c r="Q54" s="3" cm="1">
        <f t="array" ref="Q54">SQRT((SUM(H$92:H$94*COS($C$92:$C$94*$L54)))^2+(SUM(H$92:H$94*SIN($C$92:$C$94*$L54)))^2)/SQRT((SUM(H$89:H$91*COS($C$89:$C$91*$L54)))^2+(SUM(H$89:H$91*SIN($C$89:$C$91*$L54)))^2)</f>
        <v>0.9961350085746502</v>
      </c>
      <c r="R54" s="3">
        <f t="shared" si="1"/>
        <v>0.99999999998579403</v>
      </c>
      <c r="S54" s="3">
        <f t="shared" si="2"/>
        <v>-1.2339148531116885E-10</v>
      </c>
    </row>
    <row r="55" spans="2:19" x14ac:dyDescent="0.3">
      <c r="B55" s="20" t="s">
        <v>49</v>
      </c>
      <c r="C55" s="21"/>
      <c r="D55" s="21"/>
      <c r="E55" s="21"/>
      <c r="F55" s="22"/>
      <c r="G55" s="7"/>
      <c r="H55" s="8"/>
      <c r="K55" s="3">
        <v>49</v>
      </c>
      <c r="L55" s="3">
        <f t="shared" si="0"/>
        <v>3.0787608005179972</v>
      </c>
      <c r="M55" s="3" cm="1">
        <f t="array" ref="M55">SQRT((SUM(D$92:D$94*COS($C$92:$C$94*$L55)))^2+(SUM(D$92:D$94*SIN($C$92:$C$94*$L55)))^2)/SQRT((SUM(D$89:D$91*COS($C$89:$C$91*$L55)))^2+(SUM(D$89:D$91*SIN($C$89:$C$91*$L55)))^2)</f>
        <v>0.99944208560881254</v>
      </c>
      <c r="N55" s="3" cm="1">
        <f t="array" ref="N55">SQRT((SUM(E$92:E$94*COS($C$92:$C$94*$L55)))^2+(SUM(E$92:E$94*SIN($C$92:$C$94*$L55)))^2)/SQRT((SUM(E$89:E$91*COS($C$89:$C$91*$L55)))^2+(SUM(E$89:E$91*SIN($C$89:$C$91*$L55)))^2)</f>
        <v>1.0021236407320286</v>
      </c>
      <c r="O55" s="3" cm="1">
        <f t="array" ref="O55">SQRT((SUM(F$92:F$94*COS($C$92:$C$94*$L55)))^2+(SUM(F$92:F$94*SIN($C$92:$C$94*$L55)))^2)/SQRT((SUM(F$89:F$91*COS($C$89:$C$91*$L55)))^2+(SUM(F$89:F$91*SIN($C$89:$C$91*$L55)))^2)</f>
        <v>0.99936990620185051</v>
      </c>
      <c r="P55" s="3" cm="1">
        <f t="array" ref="P55">SQRT((SUM(G$92:G$94*COS($C$92:$C$94*$L55)))^2+(SUM(G$92:G$94*SIN($C$92:$C$94*$L55)))^2)/SQRT((SUM(G$89:G$91*COS($C$89:$C$91*$L55)))^2+(SUM(G$89:G$91*SIN($C$89:$C$91*$L55)))^2)</f>
        <v>1.0000318707381723</v>
      </c>
      <c r="Q55" s="3" cm="1">
        <f t="array" ref="Q55">SQRT((SUM(H$92:H$94*COS($C$92:$C$94*$L55)))^2+(SUM(H$92:H$94*SIN($C$92:$C$94*$L55)))^2)/SQRT((SUM(H$89:H$91*COS($C$89:$C$91*$L55)))^2+(SUM(H$89:H$91*SIN($C$89:$C$91*$L55)))^2)</f>
        <v>0.99903556861245668</v>
      </c>
      <c r="R55" s="3">
        <f t="shared" si="1"/>
        <v>0.99999999999998768</v>
      </c>
      <c r="S55" s="3">
        <f t="shared" si="2"/>
        <v>-1.0704034878741553E-13</v>
      </c>
    </row>
    <row r="56" spans="2:19" x14ac:dyDescent="0.3">
      <c r="B56" s="3" t="s">
        <v>35</v>
      </c>
      <c r="C56" s="3" t="s">
        <v>50</v>
      </c>
      <c r="D56" s="3" t="s">
        <v>51</v>
      </c>
      <c r="E56" s="3" t="s">
        <v>52</v>
      </c>
      <c r="F56" s="3" t="s">
        <v>53</v>
      </c>
      <c r="G56" s="7"/>
      <c r="H56" s="8"/>
    </row>
    <row r="57" spans="2:19" x14ac:dyDescent="0.3">
      <c r="B57" s="3">
        <v>1</v>
      </c>
      <c r="C57" s="3">
        <f>0.5*C51*COS(-D35)</f>
        <v>-0.2159319172390185</v>
      </c>
      <c r="D57" s="3">
        <f>0.5*C51*SIN(-D35)</f>
        <v>-0.66457010683721673</v>
      </c>
      <c r="E57" s="3">
        <f>0.5*SQRT(G51)*COS(H51/2)</f>
        <v>0.13496914797041223</v>
      </c>
      <c r="F57" s="3">
        <f>0.5*SQRT(G51)*SIN(H51/2)</f>
        <v>1.0632199985478015</v>
      </c>
      <c r="G57" s="7"/>
      <c r="H57" s="8"/>
    </row>
    <row r="58" spans="2:19" x14ac:dyDescent="0.3">
      <c r="B58" s="3">
        <v>2</v>
      </c>
      <c r="C58" s="3">
        <f t="shared" ref="C58:C59" si="11">0.5*C52*COS(-D36)</f>
        <v>-0.56531709858767987</v>
      </c>
      <c r="D58" s="3">
        <f t="shared" ref="D58:D59" si="12">0.5*C52*SIN(-D36)</f>
        <v>-0.4107269139325489</v>
      </c>
      <c r="E58" s="3">
        <f t="shared" ref="E58:E59" si="13">0.5*SQRT(G52)*COS(H52/2)</f>
        <v>0.28814507716618076</v>
      </c>
      <c r="F58" s="3">
        <f t="shared" ref="F58:F59" si="14">0.5*SQRT(G52)*SIN(H52/2)</f>
        <v>0.80581264680884934</v>
      </c>
      <c r="G58" s="7"/>
      <c r="H58" s="8"/>
    </row>
    <row r="59" spans="2:19" x14ac:dyDescent="0.3">
      <c r="B59" s="3">
        <v>3</v>
      </c>
      <c r="C59" s="3">
        <f t="shared" si="11"/>
        <v>-0.69877036269732273</v>
      </c>
      <c r="D59" s="3">
        <f t="shared" si="12"/>
        <v>-8.560974301945609E-17</v>
      </c>
      <c r="E59" s="3">
        <f t="shared" si="13"/>
        <v>1.3554551114513566E-16</v>
      </c>
      <c r="F59" s="3">
        <f t="shared" si="14"/>
        <v>0.47844878577008476</v>
      </c>
      <c r="G59" s="7"/>
      <c r="H59" s="8"/>
    </row>
    <row r="60" spans="2:19" x14ac:dyDescent="0.3">
      <c r="B60" s="6"/>
      <c r="C60" s="7"/>
      <c r="D60" s="7"/>
      <c r="E60" s="7"/>
      <c r="F60" s="7"/>
      <c r="G60" s="7"/>
      <c r="H60" s="8"/>
    </row>
    <row r="61" spans="2:19" x14ac:dyDescent="0.3">
      <c r="B61" s="20" t="s">
        <v>54</v>
      </c>
      <c r="C61" s="21"/>
      <c r="D61" s="22"/>
      <c r="E61" s="7"/>
      <c r="F61" s="7"/>
      <c r="G61" s="7"/>
      <c r="H61" s="8"/>
    </row>
    <row r="62" spans="2:19" ht="15.6" x14ac:dyDescent="0.3">
      <c r="B62" s="3" t="s">
        <v>35</v>
      </c>
      <c r="C62" s="3" t="s">
        <v>55</v>
      </c>
      <c r="D62" s="3" t="s">
        <v>56</v>
      </c>
      <c r="E62" s="7"/>
      <c r="F62" s="7"/>
      <c r="G62" s="7"/>
      <c r="H62" s="8"/>
    </row>
    <row r="63" spans="2:19" x14ac:dyDescent="0.3">
      <c r="B63" s="3">
        <v>1</v>
      </c>
      <c r="C63" s="3">
        <f>C57+E57</f>
        <v>-8.0962769268606266E-2</v>
      </c>
      <c r="D63" s="3">
        <f>D57+F57</f>
        <v>0.39864989171058474</v>
      </c>
      <c r="E63" s="7"/>
      <c r="F63" s="7"/>
      <c r="G63" s="7"/>
      <c r="H63" s="8"/>
    </row>
    <row r="64" spans="2:19" x14ac:dyDescent="0.3">
      <c r="B64" s="3">
        <v>2</v>
      </c>
      <c r="C64" s="3">
        <f>C57-E57</f>
        <v>-0.35090106520943076</v>
      </c>
      <c r="D64" s="3">
        <f>D57-F57</f>
        <v>-1.7277901053850182</v>
      </c>
      <c r="E64" s="7"/>
      <c r="F64" s="7"/>
      <c r="G64" s="7"/>
      <c r="H64" s="8"/>
    </row>
    <row r="65" spans="2:25" x14ac:dyDescent="0.3">
      <c r="B65" s="3">
        <v>3</v>
      </c>
      <c r="C65" s="3">
        <f>C58+E58</f>
        <v>-0.2771720214214991</v>
      </c>
      <c r="D65" s="3">
        <f>D58+F58</f>
        <v>0.39508573287630044</v>
      </c>
      <c r="E65" s="7"/>
      <c r="F65" s="7"/>
      <c r="G65" s="7"/>
      <c r="H65" s="8"/>
    </row>
    <row r="66" spans="2:25" x14ac:dyDescent="0.3">
      <c r="B66" s="3">
        <v>4</v>
      </c>
      <c r="C66" s="3">
        <f>C58-E58</f>
        <v>-0.85346217575386063</v>
      </c>
      <c r="D66" s="3">
        <f>D58-F58</f>
        <v>-1.2165395607413982</v>
      </c>
      <c r="E66" s="7"/>
      <c r="F66" s="7"/>
      <c r="G66" s="7"/>
      <c r="H66" s="8"/>
    </row>
    <row r="67" spans="2:25" x14ac:dyDescent="0.3">
      <c r="B67" s="3">
        <v>5</v>
      </c>
      <c r="C67" s="3">
        <f>C59+E59</f>
        <v>-0.69877036269732262</v>
      </c>
      <c r="D67" s="3">
        <f>D59+F59</f>
        <v>0.47844878577008465</v>
      </c>
      <c r="E67" s="7"/>
      <c r="F67" s="7"/>
      <c r="G67" s="7"/>
      <c r="H67" s="8"/>
    </row>
    <row r="68" spans="2:25" x14ac:dyDescent="0.3">
      <c r="B68" s="6"/>
      <c r="C68" s="7"/>
      <c r="D68" s="7"/>
      <c r="E68" s="7"/>
      <c r="F68" s="7"/>
      <c r="G68" s="7"/>
      <c r="H68" s="8"/>
    </row>
    <row r="69" spans="2:25" x14ac:dyDescent="0.3">
      <c r="B69" s="19" t="s">
        <v>57</v>
      </c>
      <c r="C69" s="19"/>
      <c r="D69" s="19"/>
      <c r="E69" s="19"/>
      <c r="F69" s="19"/>
      <c r="G69" s="19"/>
      <c r="H69" s="19"/>
    </row>
    <row r="70" spans="2:25" ht="15.6" x14ac:dyDescent="0.3">
      <c r="B70" s="3" t="s">
        <v>35</v>
      </c>
      <c r="C70" s="3" t="s">
        <v>63</v>
      </c>
      <c r="D70" s="3" t="s">
        <v>62</v>
      </c>
      <c r="E70" s="3" t="s">
        <v>61</v>
      </c>
      <c r="F70" s="3" t="s">
        <v>60</v>
      </c>
      <c r="G70" s="3" t="s">
        <v>59</v>
      </c>
      <c r="H70" s="3" t="s">
        <v>58</v>
      </c>
    </row>
    <row r="71" spans="2:25" x14ac:dyDescent="0.3">
      <c r="B71" s="3">
        <v>1</v>
      </c>
      <c r="C71" s="3">
        <v>1</v>
      </c>
      <c r="D71" s="3">
        <v>0</v>
      </c>
      <c r="E71" s="3">
        <f>$D$15</f>
        <v>0.71719326038901643</v>
      </c>
      <c r="F71" s="3">
        <v>1</v>
      </c>
      <c r="G71" s="3">
        <f>-2*C63</f>
        <v>0.16192553853721253</v>
      </c>
      <c r="H71" s="3">
        <f>C63^2+D63^2</f>
        <v>0.16547670616850252</v>
      </c>
    </row>
    <row r="72" spans="2:25" x14ac:dyDescent="0.3">
      <c r="B72" s="3">
        <v>2</v>
      </c>
      <c r="C72" s="3">
        <v>1</v>
      </c>
      <c r="D72" s="3">
        <v>0</v>
      </c>
      <c r="E72" s="3">
        <f t="shared" ref="E72:E75" si="15">$D$15</f>
        <v>0.71719326038901643</v>
      </c>
      <c r="F72" s="3">
        <v>1</v>
      </c>
      <c r="G72" s="3">
        <f t="shared" ref="G72:G75" si="16">-2*C64</f>
        <v>0.70180213041886153</v>
      </c>
      <c r="H72" s="3">
        <f t="shared" ref="H72:H75" si="17">C64^2+D64^2</f>
        <v>3.1083902058314852</v>
      </c>
    </row>
    <row r="73" spans="2:25" x14ac:dyDescent="0.3">
      <c r="B73" s="3">
        <v>3</v>
      </c>
      <c r="C73" s="3">
        <v>1</v>
      </c>
      <c r="D73" s="3">
        <v>0</v>
      </c>
      <c r="E73" s="3">
        <f t="shared" si="15"/>
        <v>0.71719326038901643</v>
      </c>
      <c r="F73" s="3">
        <v>1</v>
      </c>
      <c r="G73" s="3">
        <f t="shared" si="16"/>
        <v>0.55434404284299821</v>
      </c>
      <c r="H73" s="3">
        <f t="shared" si="17"/>
        <v>0.23291706578128338</v>
      </c>
    </row>
    <row r="74" spans="2:25" x14ac:dyDescent="0.3">
      <c r="B74" s="3">
        <v>4</v>
      </c>
      <c r="C74" s="3">
        <v>1</v>
      </c>
      <c r="D74" s="3">
        <v>0</v>
      </c>
      <c r="E74" s="3">
        <f t="shared" si="15"/>
        <v>0.71719326038901643</v>
      </c>
      <c r="F74" s="3">
        <v>1</v>
      </c>
      <c r="G74" s="3">
        <f t="shared" si="16"/>
        <v>1.7069243515077213</v>
      </c>
      <c r="H74" s="3">
        <f t="shared" si="17"/>
        <v>2.2083661882913881</v>
      </c>
    </row>
    <row r="75" spans="2:25" x14ac:dyDescent="0.3">
      <c r="B75" s="3">
        <v>5</v>
      </c>
      <c r="C75" s="3">
        <v>1</v>
      </c>
      <c r="D75" s="3">
        <v>0</v>
      </c>
      <c r="E75" s="3">
        <f t="shared" si="15"/>
        <v>0.71719326038901643</v>
      </c>
      <c r="F75" s="3">
        <v>1</v>
      </c>
      <c r="G75" s="3">
        <f t="shared" si="16"/>
        <v>1.3975407253946452</v>
      </c>
      <c r="H75" s="3">
        <f t="shared" si="17"/>
        <v>0.71719326038901621</v>
      </c>
    </row>
    <row r="77" spans="2:25" x14ac:dyDescent="0.3">
      <c r="B77" s="16" t="s">
        <v>64</v>
      </c>
      <c r="C77" s="17"/>
      <c r="D77" s="17"/>
      <c r="E77" s="17"/>
      <c r="F77" s="17"/>
      <c r="G77" s="17"/>
      <c r="H77" s="18"/>
      <c r="K77" s="19" t="s">
        <v>86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2:25" ht="15.6" x14ac:dyDescent="0.3">
      <c r="B78" s="6"/>
      <c r="C78" s="7"/>
      <c r="D78" s="7"/>
      <c r="E78" s="7"/>
      <c r="F78" s="7"/>
      <c r="G78" s="7"/>
      <c r="H78" s="8"/>
      <c r="K78" s="14" t="s">
        <v>90</v>
      </c>
      <c r="L78" s="24">
        <f>C8</f>
        <v>0.7</v>
      </c>
      <c r="M78" s="25"/>
      <c r="O78" s="14" t="s">
        <v>91</v>
      </c>
      <c r="P78" s="24">
        <f>C9</f>
        <v>1.2</v>
      </c>
      <c r="Q78" s="25"/>
      <c r="S78" s="14" t="s">
        <v>92</v>
      </c>
      <c r="T78" s="24">
        <f>C10</f>
        <v>1.8</v>
      </c>
      <c r="U78" s="25"/>
      <c r="W78" s="14" t="s">
        <v>93</v>
      </c>
      <c r="X78" s="24">
        <f>C11</f>
        <v>2.2000000000000002</v>
      </c>
      <c r="Y78" s="25"/>
    </row>
    <row r="79" spans="2:25" ht="15.6" x14ac:dyDescent="0.3">
      <c r="B79" s="19" t="s">
        <v>65</v>
      </c>
      <c r="C79" s="19"/>
      <c r="D79" s="19"/>
      <c r="E79" s="19"/>
      <c r="F79" s="19"/>
      <c r="G79" s="19"/>
      <c r="H79" s="19"/>
      <c r="K79" s="2" t="s">
        <v>74</v>
      </c>
      <c r="L79" s="20" cm="1">
        <f t="array" ref="L79">SQRT((SUM(D$92:D$94*COS($C$92:$C$94*$L78)))^2+(SUM(D$92:D$94*SIN($C$92:$C$94*$L78)))^2)/SQRT((SUM(D$89:D$91*COS($C$89:$C$91*$L78)))^2+(SUM(D$89:D$91*SIN($C$89:$C$91*$L78)))^2)</f>
        <v>8.6736901129649109</v>
      </c>
      <c r="M79" s="22"/>
      <c r="O79" s="2" t="s">
        <v>74</v>
      </c>
      <c r="P79" s="20" cm="1">
        <f t="array" ref="P79">SQRT((SUM(D$92:D$94*COS($C$92:$C$94*$P78)))^2+(SUM(D$92:D$94*SIN($C$92:$C$94*$P78)))^2)/SQRT((SUM(D$89:D$91*COS($C$89:$C$91*$P78)))^2+(SUM(D$89:D$91*SIN($C$89:$C$91*$P78)))^2)</f>
        <v>0.77325665202111393</v>
      </c>
      <c r="Q79" s="22"/>
      <c r="S79" s="2" t="s">
        <v>74</v>
      </c>
      <c r="T79" s="20" cm="1">
        <f t="array" ref="T79">SQRT((SUM(D$92:D$94*COS($C$92:$C$94*$T78)))^2+(SUM(D$92:D$94*SIN($C$92:$C$94*$T78)))^2)/SQRT((SUM(D$89:D$91*COS($C$89:$C$91*$T78)))^2+(SUM(D$89:D$91*SIN($C$89:$C$91*$T78)))^2)</f>
        <v>0.6059537187967533</v>
      </c>
      <c r="U79" s="22"/>
      <c r="W79" s="2" t="s">
        <v>74</v>
      </c>
      <c r="X79" s="20" cm="1">
        <f t="array" ref="X79">SQRT((SUM(D$92:D$94*COS($C$92:$C$94*$X78)))^2+(SUM(D$92:D$94*SIN($C$92:$C$94*$X78)))^2)/SQRT((SUM(D$89:D$91*COS($C$89:$C$91*$X78)))^2+(SUM(D$89:D$91*SIN($C$89:$C$91*$X78)))^2)</f>
        <v>0.84754157577312095</v>
      </c>
      <c r="Y79" s="22"/>
    </row>
    <row r="80" spans="2:25" ht="15.6" x14ac:dyDescent="0.3">
      <c r="B80" s="3" t="s">
        <v>35</v>
      </c>
      <c r="C80" s="3" t="s">
        <v>63</v>
      </c>
      <c r="D80" s="3" t="s">
        <v>62</v>
      </c>
      <c r="E80" s="3" t="s">
        <v>61</v>
      </c>
      <c r="F80" s="3" t="s">
        <v>60</v>
      </c>
      <c r="G80" s="3" t="s">
        <v>59</v>
      </c>
      <c r="H80" s="3" t="s">
        <v>58</v>
      </c>
      <c r="K80" s="2" t="s">
        <v>78</v>
      </c>
      <c r="L80" s="20" cm="1">
        <f t="array" ref="L80">SQRT((SUM(E$92:E$94*COS($C$92:$C$94*$L78)))^2+(SUM(E$92:E$94*SIN($C$92:$C$94*$L78)))^2)/SQRT((SUM(E$89:E$91*COS($C$89:$C$91*$L78)))^2+(SUM(E$89:E$91*SIN($C$89:$C$91*$L78)))^2)</f>
        <v>0.19555173764980088</v>
      </c>
      <c r="M80" s="22"/>
      <c r="O80" s="2" t="s">
        <v>78</v>
      </c>
      <c r="P80" s="20" cm="1">
        <f t="array" ref="P80">SQRT((SUM(E$92:E$94*COS($C$92:$C$94*$P78)))^2+(SUM(E$92:E$94*SIN($C$92:$C$94*$P78)))^2)/SQRT((SUM(E$89:E$91*COS($C$89:$C$91*$P78)))^2+(SUM(E$89:E$91*SIN($C$89:$C$91*PL78)))^2)</f>
        <v>0.1774258725601765</v>
      </c>
      <c r="Q80" s="22"/>
      <c r="S80" s="2" t="s">
        <v>78</v>
      </c>
      <c r="T80" s="20" cm="1">
        <f t="array" ref="T80">SQRT((SUM(E$92:E$94*COS($C$92:$C$94*$T78)))^2+(SUM(E$92:E$94*SIN($C$92:$C$94*$T78)))^2)/SQRT((SUM(E$89:E$91*COS($C$89:$C$91*$T78)))^2+(SUM(E$89:E$91*SIN($C$89:$C$91*$T78)))^2)</f>
        <v>0.49508590129449792</v>
      </c>
      <c r="U80" s="22"/>
      <c r="W80" s="2" t="s">
        <v>78</v>
      </c>
      <c r="X80" s="20" cm="1">
        <f t="array" ref="X80">SQRT((SUM(E$92:E$94*COS($C$92:$C$94*$X78)))^2+(SUM(E$92:E$94*SIN($C$92:$C$94*$X78)))^2)/SQRT((SUM(E$89:E$91*COS($C$89:$C$91*$X78)))^2+(SUM(E$89:E$91*SIN($C$89:$C$91*$X78)))^2)</f>
        <v>2.0012648605219923</v>
      </c>
      <c r="Y80" s="22"/>
    </row>
    <row r="81" spans="1:25" ht="15.6" x14ac:dyDescent="0.3">
      <c r="B81" s="3">
        <v>1</v>
      </c>
      <c r="C81" s="3">
        <f>(C71-D71+E71)/(F71+G71+H71)</f>
        <v>1.2936495077042138</v>
      </c>
      <c r="D81" s="3">
        <f>2*(E71-C71)/(F71+G71+H71)</f>
        <v>-0.42610556180531667</v>
      </c>
      <c r="E81" s="3">
        <f>(C71+D71+E71)/(F71+G71+H71)</f>
        <v>1.2936495077042138</v>
      </c>
      <c r="F81" s="3">
        <f>(F71-G71+H71)/(F71+G71+H71)</f>
        <v>0.75602642050208169</v>
      </c>
      <c r="G81" s="3">
        <f>2*(H71-F71)/(F71+G71+H71)</f>
        <v>-1.2573781567116624</v>
      </c>
      <c r="H81" s="3">
        <f>(F71+G71+H71)/(F71+G71+H71)</f>
        <v>1</v>
      </c>
      <c r="K81" s="2" t="s">
        <v>79</v>
      </c>
      <c r="L81" s="20" cm="1">
        <f t="array" ref="L81">SQRT((SUM(F$92:F$94*COS($C$92:$C$94*$L78)))^2+(SUM(F$92:F$94*SIN($C$92:$C$94*$L78)))^2)/SQRT((SUM(F$89:F$91*COS($C$89:$C$91*$L78)))^2+(SUM(F$89:F$91*SIN($C$89:$C$91*$L78)))^2)</f>
        <v>2.5887991073894332</v>
      </c>
      <c r="M81" s="22"/>
      <c r="O81" s="2" t="s">
        <v>79</v>
      </c>
      <c r="P81" s="20" cm="1">
        <f t="array" ref="P81">SQRT((SUM(F$92:F$94*COS($C$92:$C$94*$P78)))^2+(SUM(F$92:F$94*SIN($C$92:$C$94*$P78)))^2)/SQRT((SUM(F$89:F$91*COS($C$89:$C$91*$P78)))^2+(SUM(F$89:F$91*SIN($C$89:$C$91*$P78)))^2)</f>
        <v>0.55835648745065203</v>
      </c>
      <c r="Q81" s="22"/>
      <c r="S81" s="2" t="s">
        <v>79</v>
      </c>
      <c r="T81" s="20" cm="1">
        <f t="array" ref="T81">SQRT((SUM(F$92:F$94*COS($C$92:$C$94*$T78)))^2+(SUM(F$92:F$94*SIN($C$92:$C$94*$T78)))^2)/SQRT((SUM(F$89:F$91*COS($C$89:$C$91*$T78)))^2+(SUM(F$89:F$91*SIN($C$89:$C$91*$T78)))^2)</f>
        <v>0.57119081828191043</v>
      </c>
      <c r="U81" s="22"/>
      <c r="W81" s="2" t="s">
        <v>79</v>
      </c>
      <c r="X81" s="20" cm="1">
        <f t="array" ref="X81">SQRT((SUM(F$92:F$94*COS($C$92:$C$94*$X78)))^2+(SUM(F$92:F$94*SIN($C$92:$C$94*$X78)))^2)/SQRT((SUM(F$89:F$91*COS($C$89:$C$91*$X78)))^2+(SUM(F$89:F$91*SIN($C$89:$C$91*$X78)))^2)</f>
        <v>0.82989090461227943</v>
      </c>
      <c r="Y81" s="22"/>
    </row>
    <row r="82" spans="1:25" ht="15.6" x14ac:dyDescent="0.3">
      <c r="B82" s="3">
        <v>2</v>
      </c>
      <c r="C82" s="3">
        <f t="shared" ref="C82:C85" si="18">(C72-D72+E72)/(F72+G72+H72)</f>
        <v>0.35699056094867249</v>
      </c>
      <c r="D82" s="3">
        <f t="shared" ref="D82:D85" si="19">2*(E72-C72)/(F72+G72+H72)</f>
        <v>-0.11758645802152594</v>
      </c>
      <c r="E82" s="3">
        <f t="shared" ref="E82:E85" si="20">(C72+D72+E72)/(F72+G72+H72)</f>
        <v>0.35699056094867249</v>
      </c>
      <c r="F82" s="3">
        <f t="shared" ref="F82:F85" si="21">(F72-G72+H72)/(F72+G72+H72)</f>
        <v>0.7082020504128399</v>
      </c>
      <c r="G82" s="3">
        <f t="shared" ref="G82:G85" si="22">2*(H72-F72)/(F72+G72+H72)</f>
        <v>0.87663447049396903</v>
      </c>
      <c r="H82" s="3">
        <f t="shared" ref="H82:H85" si="23">(F72+G72+H72)/(F72+G72+H72)</f>
        <v>1</v>
      </c>
      <c r="K82" s="2" t="s">
        <v>76</v>
      </c>
      <c r="L82" s="20" cm="1">
        <f t="array" ref="L82">SQRT((SUM(G$92:G$94*COS($C$92:$C$94*$L78)))^2+(SUM(G$92:G$94*SIN($C$92:$C$94*$L78)))^2)/SQRT((SUM(G$89:G$91*COS($C$89:$C$91*$L78)))^2+(SUM(G$89:G$91*SIN($C$89:$C$91*$L78)))^2)</f>
        <v>0.26951696996709174</v>
      </c>
      <c r="M82" s="22"/>
      <c r="O82" s="2" t="s">
        <v>76</v>
      </c>
      <c r="P82" s="20" cm="1">
        <f t="array" ref="P82">SQRT((SUM(G$92:G$94*COS($C$92:$C$94*$P78)))^2+(SUM(G$92:G$94*SIN($C$92:$C$94*$P78)))^2)/SQRT((SUM(G$89:G$91*COS($C$89:$C$91*$P78)))^2+(SUM(G$89:G$91*SIN($C$89:$C$91*$P78)))^2)</f>
        <v>0.11888021625333078</v>
      </c>
      <c r="Q82" s="22"/>
      <c r="S82" s="2" t="s">
        <v>76</v>
      </c>
      <c r="T82" s="20" cm="1">
        <f t="array" ref="T82">SQRT((SUM(G$92:G$94*COS($C$92:$C$94*$T78)))^2+(SUM(G$92:G$94*SIN($C$92:$C$94*$T78)))^2)/SQRT((SUM(G$89:G$91*COS($C$89:$C$91*$T78)))^2+(SUM(G$89:G$91*SIN($C$89:$C$91*$T78)))^2)</f>
        <v>0.38898375849432343</v>
      </c>
      <c r="U82" s="22"/>
      <c r="W82" s="2" t="s">
        <v>76</v>
      </c>
      <c r="X82" s="20" cm="1">
        <f t="array" ref="X82">SQRT((SUM(G$92:G$94*COS($C$92:$C$94*$X78)))^2+(SUM(G$92:G$94*SIN($C$92:$C$94*$X78)))^2)/SQRT((SUM(G$89:G$91*COS($C$89:$C$91*$X78)))^2+(SUM(G$89:G$91*SIN($C$89:$C$91*$X78)))^2)</f>
        <v>0.8407433885579032</v>
      </c>
      <c r="Y82" s="22"/>
    </row>
    <row r="83" spans="1:25" ht="15.6" x14ac:dyDescent="0.3">
      <c r="B83" s="3">
        <v>3</v>
      </c>
      <c r="C83" s="3">
        <f t="shared" si="18"/>
        <v>0.96079596434054415</v>
      </c>
      <c r="D83" s="3">
        <f t="shared" si="19"/>
        <v>-0.31646941596426276</v>
      </c>
      <c r="E83" s="3">
        <f t="shared" si="20"/>
        <v>0.96079596434054415</v>
      </c>
      <c r="F83" s="3">
        <f t="shared" si="21"/>
        <v>0.37967201303932974</v>
      </c>
      <c r="G83" s="3">
        <f t="shared" si="22"/>
        <v>-0.85838933160602104</v>
      </c>
      <c r="H83" s="3">
        <f t="shared" si="23"/>
        <v>1</v>
      </c>
      <c r="K83" s="2" t="s">
        <v>77</v>
      </c>
      <c r="L83" s="20" cm="1">
        <f t="array" ref="L83">SQRT((SUM(H$92:H$94*COS($C$92:$C$94*$L78)))^2+(SUM(H$92:H$94*SIN($C$92:$C$94*$L78)))^2)/SQRT((SUM(H$89:H$91*COS($C$89:$C$91*$L78)))^2+(SUM(H$89:H$91*SIN($C$89:$C$91*$L78)))^2)</f>
        <v>0.75309532738132967</v>
      </c>
      <c r="M83" s="22"/>
      <c r="O83" s="2" t="s">
        <v>77</v>
      </c>
      <c r="P83" s="20" cm="1">
        <f t="array" ref="P83">SQRT((SUM(H$92:H$94*COS($C$92:$C$94*$P78)))^2+(SUM(H$92:H$94*SIN($C$92:$C$94*$P78)))^2)/SQRT((SUM(H$89:H$91*COS($C$89:$C$91*$P78)))^2+(SUM(H$89:H$91*SIN($C$89:$C$91*$P78)))^2)</f>
        <v>0.25216634923660175</v>
      </c>
      <c r="Q83" s="22"/>
      <c r="S83" s="2" t="s">
        <v>77</v>
      </c>
      <c r="T83" s="20" cm="1">
        <f t="array" ref="T83">SQRT((SUM(H$92:H$94*COS($C$92:$C$94*$T78)))^2+(SUM(H$92:H$94*SIN($C$92:$C$94*$T78)))^2)/SQRT((SUM(H$89:H$91*COS($C$89:$C$91*$T78)))^2+(SUM(H$89:H$91*SIN($C$89:$C$91*$T78)))^2)</f>
        <v>0.44323667617890722</v>
      </c>
      <c r="U83" s="22"/>
      <c r="W83" s="2" t="s">
        <v>77</v>
      </c>
      <c r="X83" s="20" cm="1">
        <f t="array" ref="X83">SQRT((SUM(H$92:H$94*COS($C$92:$C$94*$X78)))^2+(SUM(H$92:H$94*SIN($C$92:$C$94*$X78)))^2)/SQRT((SUM(H$89:H$91*COS($C$89:$C$91*$X78)))^2+(SUM(H$89:H$91*SIN($C$89:$C$91*$X78)))^2)</f>
        <v>0.75309532738132945</v>
      </c>
      <c r="Y83" s="22"/>
    </row>
    <row r="84" spans="1:25" x14ac:dyDescent="0.3">
      <c r="B84" s="3">
        <v>4</v>
      </c>
      <c r="C84" s="3">
        <f t="shared" si="18"/>
        <v>0.34935742790480079</v>
      </c>
      <c r="D84" s="3">
        <f t="shared" si="19"/>
        <v>-0.11507223726495812</v>
      </c>
      <c r="E84" s="3">
        <f t="shared" si="20"/>
        <v>0.34935742790480079</v>
      </c>
      <c r="F84" s="3">
        <f t="shared" si="21"/>
        <v>0.3054634969441769</v>
      </c>
      <c r="G84" s="3">
        <f t="shared" si="22"/>
        <v>0.49167640386961736</v>
      </c>
      <c r="H84" s="3">
        <f t="shared" si="23"/>
        <v>1</v>
      </c>
      <c r="K84" s="3" t="s">
        <v>87</v>
      </c>
      <c r="L84" s="3" t="s">
        <v>88</v>
      </c>
      <c r="M84" s="3" t="s">
        <v>89</v>
      </c>
      <c r="O84" s="3" t="s">
        <v>87</v>
      </c>
      <c r="P84" s="3" t="s">
        <v>88</v>
      </c>
      <c r="Q84" s="3" t="s">
        <v>89</v>
      </c>
      <c r="S84" s="3" t="s">
        <v>87</v>
      </c>
      <c r="T84" s="3" t="s">
        <v>88</v>
      </c>
      <c r="U84" s="3" t="s">
        <v>89</v>
      </c>
      <c r="W84" s="3" t="s">
        <v>87</v>
      </c>
      <c r="X84" s="3" t="s">
        <v>88</v>
      </c>
      <c r="Y84" s="3" t="s">
        <v>89</v>
      </c>
    </row>
    <row r="85" spans="1:25" x14ac:dyDescent="0.3">
      <c r="B85" s="3">
        <v>5</v>
      </c>
      <c r="C85" s="3">
        <f t="shared" si="18"/>
        <v>0.55131297511333832</v>
      </c>
      <c r="D85" s="3">
        <f t="shared" si="19"/>
        <v>-0.18159286854143977</v>
      </c>
      <c r="E85" s="3">
        <f t="shared" si="20"/>
        <v>0.55131297511333832</v>
      </c>
      <c r="F85" s="3">
        <f t="shared" si="21"/>
        <v>0.10262595022667625</v>
      </c>
      <c r="G85" s="3">
        <f t="shared" si="22"/>
        <v>-0.18159286854143991</v>
      </c>
      <c r="H85" s="3">
        <f t="shared" si="23"/>
        <v>1</v>
      </c>
      <c r="K85" s="3">
        <v>0</v>
      </c>
      <c r="L85" s="3">
        <f>COS($L$78*K85)</f>
        <v>1</v>
      </c>
      <c r="M85" s="3">
        <f>L85*$L$79*$L$80*$L$81*$L$82*$L$83</f>
        <v>0.89125093813374812</v>
      </c>
      <c r="O85" s="3">
        <v>0</v>
      </c>
      <c r="P85" s="3">
        <f>COS($P$78*O85)</f>
        <v>1</v>
      </c>
      <c r="Q85" s="3">
        <f>P85*$P$79*$P$80*$P$81*$P$82*$P$83</f>
        <v>2.2964071920460703E-3</v>
      </c>
      <c r="S85" s="3">
        <v>0</v>
      </c>
      <c r="T85" s="3">
        <f>COS($T$78*S85)</f>
        <v>1</v>
      </c>
      <c r="U85" s="3">
        <f>T85*$T$79*$T$80*$T$81*$T$82*$T$83</f>
        <v>2.9543938427926259E-2</v>
      </c>
      <c r="W85" s="3">
        <v>0</v>
      </c>
      <c r="X85" s="3">
        <f>COS($X$78*W85)</f>
        <v>1</v>
      </c>
      <c r="Y85" s="3">
        <f>X85*$X$79*$X$80*$X$81*$X$82*$X$83</f>
        <v>0.89125093813374667</v>
      </c>
    </row>
    <row r="86" spans="1:25" x14ac:dyDescent="0.3">
      <c r="K86" s="3">
        <v>1</v>
      </c>
      <c r="L86" s="3">
        <f t="shared" ref="L86:L114" si="24">COS($L$78*K86)</f>
        <v>0.7648421872844885</v>
      </c>
      <c r="M86" s="3">
        <f t="shared" ref="M86:M114" si="25">L86*$L$79*$L$80*$L$81*$L$82*$L$83</f>
        <v>0.68166631694156832</v>
      </c>
      <c r="O86" s="3">
        <v>1</v>
      </c>
      <c r="P86" s="3">
        <f t="shared" ref="P86:P114" si="26">COS($P$78*O86)</f>
        <v>0.36235775447667362</v>
      </c>
      <c r="Q86" s="3">
        <f t="shared" ref="Q86:Q114" si="27">P86*$P$79*$P$80*$P$81*$P$82*$P$83</f>
        <v>8.3212095347389749E-4</v>
      </c>
      <c r="S86" s="3">
        <v>1</v>
      </c>
      <c r="T86" s="3">
        <f t="shared" ref="T86:T114" si="28">COS($T$78*S86)</f>
        <v>-0.22720209469308711</v>
      </c>
      <c r="U86" s="3">
        <f t="shared" ref="U86:U114" si="29">T86*$T$79*$T$80*$T$81*$T$82*$T$83</f>
        <v>-6.7124446963084377E-3</v>
      </c>
      <c r="W86" s="3">
        <v>1</v>
      </c>
      <c r="X86" s="3">
        <f t="shared" ref="X86:X114" si="30">COS($X$78*W86)</f>
        <v>-0.58850111725534582</v>
      </c>
      <c r="Y86" s="3">
        <f t="shared" ref="Y86:Y114" si="31">X86*$X$79*$X$80*$X$81*$X$82*$X$83</f>
        <v>-0.52450217284658507</v>
      </c>
    </row>
    <row r="87" spans="1:25" x14ac:dyDescent="0.3">
      <c r="A87" s="19" t="s">
        <v>66</v>
      </c>
      <c r="B87" s="19"/>
      <c r="C87" s="19"/>
      <c r="D87" s="19"/>
      <c r="E87" s="19"/>
      <c r="F87" s="19"/>
      <c r="G87" s="19"/>
      <c r="H87" s="19"/>
      <c r="I87" s="19"/>
      <c r="K87" s="3">
        <v>2</v>
      </c>
      <c r="L87" s="3">
        <f t="shared" si="24"/>
        <v>0.16996714290024104</v>
      </c>
      <c r="M87" s="3">
        <f t="shared" si="25"/>
        <v>0.15148337556175265</v>
      </c>
      <c r="O87" s="3">
        <v>2</v>
      </c>
      <c r="P87" s="3">
        <f t="shared" si="26"/>
        <v>-0.73739371554124544</v>
      </c>
      <c r="Q87" s="3">
        <f t="shared" si="27"/>
        <v>-1.6933562317384906E-3</v>
      </c>
      <c r="S87" s="3">
        <v>2</v>
      </c>
      <c r="T87" s="3">
        <f t="shared" si="28"/>
        <v>-0.89675841633414699</v>
      </c>
      <c r="U87" s="3">
        <f t="shared" si="29"/>
        <v>-2.6493775436900704E-2</v>
      </c>
      <c r="W87" s="3">
        <v>2</v>
      </c>
      <c r="X87" s="3">
        <f t="shared" si="30"/>
        <v>-0.30733286997841935</v>
      </c>
      <c r="Y87" s="3">
        <f t="shared" si="31"/>
        <v>-0.27391070868760303</v>
      </c>
    </row>
    <row r="88" spans="1:25" x14ac:dyDescent="0.3">
      <c r="A88" s="13"/>
      <c r="B88" s="12"/>
      <c r="C88" s="12" t="s">
        <v>67</v>
      </c>
      <c r="D88" s="12" t="s">
        <v>68</v>
      </c>
      <c r="E88" s="12" t="s">
        <v>69</v>
      </c>
      <c r="F88" s="12" t="s">
        <v>70</v>
      </c>
      <c r="G88" s="12" t="s">
        <v>71</v>
      </c>
      <c r="H88" s="12" t="s">
        <v>72</v>
      </c>
      <c r="I88" s="13"/>
      <c r="K88" s="3">
        <v>3</v>
      </c>
      <c r="L88" s="3">
        <f t="shared" si="24"/>
        <v>-0.50484610459985713</v>
      </c>
      <c r="M88" s="3">
        <f t="shared" si="25"/>
        <v>-0.44994456433779095</v>
      </c>
      <c r="O88" s="3">
        <v>3</v>
      </c>
      <c r="P88" s="3">
        <f t="shared" si="26"/>
        <v>-0.89675841633414721</v>
      </c>
      <c r="Q88" s="3">
        <f t="shared" si="27"/>
        <v>-2.0593224767975807E-3</v>
      </c>
      <c r="S88" s="3">
        <v>3</v>
      </c>
      <c r="T88" s="3">
        <f t="shared" si="28"/>
        <v>0.63469287594263468</v>
      </c>
      <c r="U88" s="3">
        <f t="shared" si="29"/>
        <v>1.8751327247492639E-2</v>
      </c>
      <c r="W88" s="3">
        <v>3</v>
      </c>
      <c r="X88" s="3">
        <f t="shared" si="30"/>
        <v>0.95023259195852927</v>
      </c>
      <c r="Y88" s="3">
        <f t="shared" si="31"/>
        <v>0.84689568902830092</v>
      </c>
    </row>
    <row r="89" spans="1:25" ht="15.6" x14ac:dyDescent="0.3">
      <c r="A89" s="13"/>
      <c r="B89" s="3" t="s">
        <v>58</v>
      </c>
      <c r="C89" s="3">
        <v>0</v>
      </c>
      <c r="D89" s="3">
        <f>H81</f>
        <v>1</v>
      </c>
      <c r="E89" s="3">
        <f>H82</f>
        <v>1</v>
      </c>
      <c r="F89" s="3">
        <f>H83</f>
        <v>1</v>
      </c>
      <c r="G89" s="3">
        <f>H84</f>
        <v>1</v>
      </c>
      <c r="H89" s="3">
        <f>H85</f>
        <v>1</v>
      </c>
      <c r="I89" s="13"/>
      <c r="K89" s="3">
        <v>4</v>
      </c>
      <c r="L89" s="3">
        <f t="shared" si="24"/>
        <v>-0.94222234066865806</v>
      </c>
      <c r="M89" s="3">
        <f t="shared" si="25"/>
        <v>-0.83975654505151764</v>
      </c>
      <c r="O89" s="3">
        <v>4</v>
      </c>
      <c r="P89" s="3">
        <f t="shared" si="26"/>
        <v>8.7498983439446398E-2</v>
      </c>
      <c r="Q89" s="3">
        <f t="shared" si="27"/>
        <v>2.0093329486706472E-4</v>
      </c>
      <c r="S89" s="3">
        <v>4</v>
      </c>
      <c r="T89" s="3">
        <f t="shared" si="28"/>
        <v>0.60835131453225455</v>
      </c>
      <c r="U89" s="3">
        <f t="shared" si="29"/>
        <v>1.7973093779088931E-2</v>
      </c>
      <c r="W89" s="3">
        <v>4</v>
      </c>
      <c r="X89" s="3">
        <f t="shared" si="30"/>
        <v>-0.81109301406165601</v>
      </c>
      <c r="Y89" s="3">
        <f t="shared" si="31"/>
        <v>-0.72288740969617915</v>
      </c>
    </row>
    <row r="90" spans="1:25" ht="15.6" x14ac:dyDescent="0.3">
      <c r="A90" s="13"/>
      <c r="B90" s="3" t="s">
        <v>59</v>
      </c>
      <c r="C90" s="3">
        <v>1</v>
      </c>
      <c r="D90" s="3">
        <f>G81</f>
        <v>-1.2573781567116624</v>
      </c>
      <c r="E90" s="3">
        <f>G82</f>
        <v>0.87663447049396903</v>
      </c>
      <c r="F90" s="3">
        <f>G83</f>
        <v>-0.85838933160602104</v>
      </c>
      <c r="G90" s="3">
        <f>G84</f>
        <v>0.49167640386961736</v>
      </c>
      <c r="H90" s="3">
        <f>G85</f>
        <v>-0.18159286854143991</v>
      </c>
      <c r="I90" s="13"/>
      <c r="K90" s="3">
        <v>5</v>
      </c>
      <c r="L90" s="3">
        <f t="shared" si="24"/>
        <v>-0.93645668729079634</v>
      </c>
      <c r="M90" s="3">
        <f t="shared" si="25"/>
        <v>-0.83461790106954437</v>
      </c>
      <c r="O90" s="3">
        <v>5</v>
      </c>
      <c r="P90" s="3">
        <f t="shared" si="26"/>
        <v>0.96017028665036597</v>
      </c>
      <c r="Q90" s="3">
        <f t="shared" si="27"/>
        <v>2.2049419518528376E-3</v>
      </c>
      <c r="S90" s="3">
        <v>5</v>
      </c>
      <c r="T90" s="3">
        <f t="shared" si="28"/>
        <v>-0.91113026188467694</v>
      </c>
      <c r="U90" s="3">
        <f t="shared" si="29"/>
        <v>-2.6918376356941224E-2</v>
      </c>
      <c r="W90" s="3">
        <v>5</v>
      </c>
      <c r="X90" s="3">
        <f t="shared" si="30"/>
        <v>4.4256979880507854E-3</v>
      </c>
      <c r="Y90" s="3">
        <f t="shared" si="31"/>
        <v>3.944407483746898E-3</v>
      </c>
    </row>
    <row r="91" spans="1:25" ht="15.6" x14ac:dyDescent="0.3">
      <c r="A91" s="13"/>
      <c r="B91" s="3" t="s">
        <v>60</v>
      </c>
      <c r="C91" s="3">
        <v>2</v>
      </c>
      <c r="D91" s="3">
        <f>F81</f>
        <v>0.75602642050208169</v>
      </c>
      <c r="E91" s="3">
        <f>F82</f>
        <v>0.7082020504128399</v>
      </c>
      <c r="F91" s="3">
        <f>F83</f>
        <v>0.37967201303932974</v>
      </c>
      <c r="G91" s="3">
        <f>F84</f>
        <v>0.3054634969441769</v>
      </c>
      <c r="H91" s="3">
        <f>F85</f>
        <v>0.10262595022667625</v>
      </c>
      <c r="I91" s="13"/>
      <c r="K91" s="3">
        <v>6</v>
      </c>
      <c r="L91" s="3">
        <f t="shared" si="24"/>
        <v>-0.4902608213407002</v>
      </c>
      <c r="M91" s="3">
        <f t="shared" si="25"/>
        <v>-0.43694541695012096</v>
      </c>
      <c r="O91" s="3">
        <v>6</v>
      </c>
      <c r="P91" s="3">
        <f t="shared" si="26"/>
        <v>0.60835131453225522</v>
      </c>
      <c r="Q91" s="3">
        <f t="shared" si="27"/>
        <v>1.3970223339825525E-3</v>
      </c>
      <c r="S91" s="3">
        <v>6</v>
      </c>
      <c r="T91" s="3">
        <f t="shared" si="28"/>
        <v>-0.19432990645533479</v>
      </c>
      <c r="U91" s="3">
        <f t="shared" si="29"/>
        <v>-5.7412707910210817E-3</v>
      </c>
      <c r="W91" s="3">
        <v>6</v>
      </c>
      <c r="X91" s="3">
        <f t="shared" si="30"/>
        <v>0.80588395764044973</v>
      </c>
      <c r="Y91" s="3">
        <f t="shared" si="31"/>
        <v>0.71824483327398747</v>
      </c>
    </row>
    <row r="92" spans="1:25" ht="15.6" x14ac:dyDescent="0.3">
      <c r="A92" s="13"/>
      <c r="B92" s="3" t="s">
        <v>61</v>
      </c>
      <c r="C92" s="3">
        <v>0</v>
      </c>
      <c r="D92" s="3">
        <f>E81</f>
        <v>1.2936495077042138</v>
      </c>
      <c r="E92" s="3">
        <f>E82</f>
        <v>0.35699056094867249</v>
      </c>
      <c r="F92" s="3">
        <f>E83</f>
        <v>0.96079596434054415</v>
      </c>
      <c r="G92" s="3">
        <f>E84</f>
        <v>0.34935742790480079</v>
      </c>
      <c r="H92" s="3">
        <f>E85</f>
        <v>0.55131297511333832</v>
      </c>
      <c r="I92" s="13"/>
      <c r="K92" s="3">
        <v>7</v>
      </c>
      <c r="L92" s="3">
        <f t="shared" si="24"/>
        <v>0.18651236942257488</v>
      </c>
      <c r="M92" s="3">
        <f t="shared" si="25"/>
        <v>0.16622932422141809</v>
      </c>
      <c r="O92" s="3">
        <v>7</v>
      </c>
      <c r="P92" s="3">
        <f t="shared" si="26"/>
        <v>-0.51928865411668557</v>
      </c>
      <c r="Q92" s="3">
        <f t="shared" si="27"/>
        <v>-1.1924982000614814E-3</v>
      </c>
      <c r="S92" s="3">
        <v>7</v>
      </c>
      <c r="T92" s="3">
        <f t="shared" si="28"/>
        <v>0.99943458550100472</v>
      </c>
      <c r="U92" s="3">
        <f t="shared" si="29"/>
        <v>2.9527233856781691E-2</v>
      </c>
      <c r="W92" s="3">
        <v>7</v>
      </c>
      <c r="X92" s="3">
        <f t="shared" si="30"/>
        <v>-0.95295291688718087</v>
      </c>
      <c r="Y92" s="3">
        <f t="shared" si="31"/>
        <v>-0.84932018117299035</v>
      </c>
    </row>
    <row r="93" spans="1:25" ht="15.6" x14ac:dyDescent="0.3">
      <c r="A93" s="13"/>
      <c r="B93" s="3" t="s">
        <v>62</v>
      </c>
      <c r="C93" s="3">
        <v>1</v>
      </c>
      <c r="D93" s="3">
        <f>D81</f>
        <v>-0.42610556180531667</v>
      </c>
      <c r="E93" s="3">
        <f>D82</f>
        <v>-0.11758645802152594</v>
      </c>
      <c r="F93" s="3">
        <f>D83</f>
        <v>-0.31646941596426276</v>
      </c>
      <c r="G93" s="3">
        <f>D84</f>
        <v>-0.11507223726495812</v>
      </c>
      <c r="H93" s="3">
        <f>D85</f>
        <v>-0.18159286854143977</v>
      </c>
      <c r="I93" s="13"/>
      <c r="K93" s="3">
        <v>8</v>
      </c>
      <c r="L93" s="3">
        <f t="shared" si="24"/>
        <v>0.77556587851024961</v>
      </c>
      <c r="M93" s="3">
        <f t="shared" si="25"/>
        <v>0.69122381680678457</v>
      </c>
      <c r="O93" s="3">
        <v>8</v>
      </c>
      <c r="P93" s="3">
        <f t="shared" si="26"/>
        <v>-0.98468785579412699</v>
      </c>
      <c r="Q93" s="3">
        <f t="shared" si="27"/>
        <v>-2.2612442739660577E-3</v>
      </c>
      <c r="S93" s="3">
        <v>8</v>
      </c>
      <c r="T93" s="3">
        <f t="shared" si="28"/>
        <v>-0.25981735621375585</v>
      </c>
      <c r="U93" s="3">
        <f t="shared" si="29"/>
        <v>-7.6760279744857883E-3</v>
      </c>
      <c r="W93" s="3">
        <v>8</v>
      </c>
      <c r="X93" s="3">
        <f t="shared" si="30"/>
        <v>0.31574375491924334</v>
      </c>
      <c r="Y93" s="3">
        <f t="shared" si="31"/>
        <v>0.28140691778164745</v>
      </c>
    </row>
    <row r="94" spans="1:25" ht="15.6" x14ac:dyDescent="0.3">
      <c r="A94" s="13"/>
      <c r="B94" s="3" t="s">
        <v>63</v>
      </c>
      <c r="C94" s="3">
        <v>2</v>
      </c>
      <c r="D94" s="3">
        <f>C81</f>
        <v>1.2936495077042138</v>
      </c>
      <c r="E94" s="3">
        <f>C82</f>
        <v>0.35699056094867249</v>
      </c>
      <c r="F94" s="3">
        <f>C83</f>
        <v>0.96079596434054415</v>
      </c>
      <c r="G94" s="3">
        <f>C84</f>
        <v>0.34935742790480079</v>
      </c>
      <c r="H94" s="3">
        <f>C85</f>
        <v>0.55131297511333832</v>
      </c>
      <c r="I94" s="13"/>
      <c r="K94" s="3">
        <v>9</v>
      </c>
      <c r="L94" s="3">
        <f t="shared" si="24"/>
        <v>0.9998586363834151</v>
      </c>
      <c r="M94" s="3">
        <f t="shared" si="25"/>
        <v>0.891124947677849</v>
      </c>
      <c r="O94" s="3">
        <v>9</v>
      </c>
      <c r="P94" s="3">
        <f t="shared" si="26"/>
        <v>-0.19432990645533654</v>
      </c>
      <c r="Q94" s="3">
        <f t="shared" si="27"/>
        <v>-4.4626059481367496E-4</v>
      </c>
      <c r="S94" s="3">
        <v>9</v>
      </c>
      <c r="T94" s="3">
        <f t="shared" si="28"/>
        <v>-0.88137249036223464</v>
      </c>
      <c r="U94" s="3">
        <f t="shared" si="29"/>
        <v>-2.6039214587329891E-2</v>
      </c>
      <c r="W94" s="3">
        <v>9</v>
      </c>
      <c r="X94" s="3">
        <f t="shared" si="30"/>
        <v>0.58132181181443565</v>
      </c>
      <c r="Y94" s="3">
        <f t="shared" si="31"/>
        <v>0.51810361013722517</v>
      </c>
    </row>
    <row r="95" spans="1:25" x14ac:dyDescent="0.3">
      <c r="A95" s="13"/>
      <c r="B95" s="13"/>
      <c r="C95" s="13"/>
      <c r="D95" s="13"/>
      <c r="E95" s="13"/>
      <c r="F95" s="13"/>
      <c r="G95" s="13"/>
      <c r="H95" s="13"/>
      <c r="I95" s="13"/>
      <c r="K95" s="3">
        <v>10</v>
      </c>
      <c r="L95" s="3">
        <f t="shared" si="24"/>
        <v>0.7539022543433046</v>
      </c>
      <c r="M95" s="3">
        <f t="shared" si="25"/>
        <v>0.67191609144461795</v>
      </c>
      <c r="O95" s="3">
        <v>10</v>
      </c>
      <c r="P95" s="3">
        <f t="shared" si="26"/>
        <v>0.84385395873249214</v>
      </c>
      <c r="Q95" s="3">
        <f t="shared" si="27"/>
        <v>1.9378322998698434E-3</v>
      </c>
      <c r="S95" s="3">
        <v>10</v>
      </c>
      <c r="T95" s="3">
        <f t="shared" si="28"/>
        <v>0.66031670824408017</v>
      </c>
      <c r="U95" s="3">
        <f t="shared" si="29"/>
        <v>1.9508356171294053E-2</v>
      </c>
      <c r="W95" s="3">
        <v>10</v>
      </c>
      <c r="X95" s="3">
        <f t="shared" si="30"/>
        <v>-0.99996082639463713</v>
      </c>
      <c r="Y95" s="3">
        <f t="shared" si="31"/>
        <v>-0.89121602462121685</v>
      </c>
    </row>
    <row r="96" spans="1:25" ht="15.6" x14ac:dyDescent="0.3">
      <c r="A96" s="13"/>
      <c r="B96" s="2" t="s">
        <v>73</v>
      </c>
      <c r="C96" s="2" t="s">
        <v>74</v>
      </c>
      <c r="D96" s="2" t="s">
        <v>78</v>
      </c>
      <c r="E96" s="2" t="s">
        <v>79</v>
      </c>
      <c r="F96" s="2" t="s">
        <v>76</v>
      </c>
      <c r="G96" s="2" t="s">
        <v>77</v>
      </c>
      <c r="H96" s="2" t="s">
        <v>80</v>
      </c>
      <c r="I96" s="3" t="s">
        <v>75</v>
      </c>
      <c r="K96" s="3">
        <v>11</v>
      </c>
      <c r="L96" s="3">
        <f t="shared" si="24"/>
        <v>0.15337386203786524</v>
      </c>
      <c r="M96" s="3">
        <f t="shared" si="25"/>
        <v>0.13669459842644346</v>
      </c>
      <c r="O96" s="3">
        <v>11</v>
      </c>
      <c r="P96" s="3">
        <f t="shared" si="26"/>
        <v>0.80588395764045073</v>
      </c>
      <c r="Q96" s="3">
        <f t="shared" si="27"/>
        <v>1.8506377162800822E-3</v>
      </c>
      <c r="S96" s="3">
        <v>11</v>
      </c>
      <c r="T96" s="3">
        <f t="shared" si="28"/>
        <v>0.58132181181443565</v>
      </c>
      <c r="U96" s="3">
        <f t="shared" si="29"/>
        <v>1.7174535815056225E-2</v>
      </c>
      <c r="W96" s="3">
        <v>11</v>
      </c>
      <c r="X96" s="3">
        <f t="shared" si="30"/>
        <v>0.59563431527521149</v>
      </c>
      <c r="Y96" s="3">
        <f t="shared" si="31"/>
        <v>0.5308596422736841</v>
      </c>
    </row>
    <row r="97" spans="1:25" ht="15.6" x14ac:dyDescent="0.3">
      <c r="A97" s="2" t="s">
        <v>81</v>
      </c>
      <c r="B97" s="3">
        <f>C8</f>
        <v>0.7</v>
      </c>
      <c r="C97" s="3" cm="1">
        <f t="array" ref="C97">SQRT((SUM(D$92:D$94*COS($C$92:$C$94*$B97)))^2+(SUM(D$92:D$94*SIN($C$92:$C$94*$B97)))^2)/SQRT((SUM(D$89:D$91*COS($C$89:$C$91*$B97)))^2+(SUM(D$89:D$91*SIN($C$89:$C$91*$B97)))^2)</f>
        <v>8.6736901129649109</v>
      </c>
      <c r="D97" s="3" cm="1">
        <f t="array" ref="D97">SQRT((SUM(E$92:E$94*COS($C$92:$C$94*$B97)))^2+(SUM(E$92:E$94*SIN($C$92:$C$94*$B97)))^2)/SQRT((SUM(E$89:E$91*COS($C$89:$C$91*$B97)))^2+(SUM(E$89:E$91*SIN($C$89:$C$91*$B97)))^2)</f>
        <v>0.19555173764980088</v>
      </c>
      <c r="E97" s="3" cm="1">
        <f t="array" ref="E97">SQRT((SUM(F$92:F$94*COS($C$92:$C$94*$B97)))^2+(SUM(F$92:F$94*SIN($C$92:$C$94*$B97)))^2)/SQRT((SUM(F$89:F$91*COS($C$89:$C$91*$B97)))^2+(SUM(F$89:F$91*SIN($C$89:$C$91*$B97)))^2)</f>
        <v>2.5887991073894332</v>
      </c>
      <c r="F97" s="3" cm="1">
        <f t="array" ref="F97">SQRT((SUM(G$92:G$94*COS($C$92:$C$94*$B97)))^2+(SUM(G$92:G$94*SIN($C$92:$C$94*$B97)))^2)/SQRT((SUM(G$89:G$91*COS($C$89:$C$91*$B97)))^2+(SUM(G$89:G$91*SIN($C$89:$C$91*$B97)))^2)</f>
        <v>0.26951696996709174</v>
      </c>
      <c r="G97" s="3" cm="1">
        <f t="array" ref="G97">SQRT((SUM(H$92:H$94*COS($C$92:$C$94*$B97)))^2+(SUM(H$92:H$94*SIN($C$92:$C$94*$B97)))^2)/SQRT((SUM(H$89:H$91*COS($C$89:$C$91*$B97)))^2+(SUM(H$89:H$91*SIN($C$89:$C$91*$B97)))^2)</f>
        <v>0.75309532738132967</v>
      </c>
      <c r="H97" s="3">
        <f>PRODUCT(C97:G97)</f>
        <v>0.89125093813374812</v>
      </c>
      <c r="I97" s="3">
        <f>20*LOG10(H97)</f>
        <v>-0.9999999999999748</v>
      </c>
      <c r="K97" s="3">
        <v>12</v>
      </c>
      <c r="L97" s="3">
        <f t="shared" si="24"/>
        <v>-0.51928865411668412</v>
      </c>
      <c r="M97" s="3">
        <f t="shared" si="25"/>
        <v>-0.46281650014370618</v>
      </c>
      <c r="O97" s="3">
        <v>12</v>
      </c>
      <c r="P97" s="3">
        <f t="shared" si="26"/>
        <v>-0.25981735621375412</v>
      </c>
      <c r="Q97" s="3">
        <f t="shared" si="27"/>
        <v>-5.9664644542766095E-4</v>
      </c>
      <c r="S97" s="3">
        <v>12</v>
      </c>
      <c r="T97" s="3">
        <f t="shared" si="28"/>
        <v>-0.92447177491412169</v>
      </c>
      <c r="U97" s="3">
        <f t="shared" si="29"/>
        <v>-2.7312537196418518E-2</v>
      </c>
      <c r="W97" s="3">
        <v>12</v>
      </c>
      <c r="X97" s="3">
        <f t="shared" si="30"/>
        <v>0.29889790636446822</v>
      </c>
      <c r="Y97" s="3">
        <f t="shared" si="31"/>
        <v>0.26639303945354509</v>
      </c>
    </row>
    <row r="98" spans="1:25" ht="15.6" x14ac:dyDescent="0.3">
      <c r="A98" s="2" t="s">
        <v>82</v>
      </c>
      <c r="B98" s="3">
        <f>C9</f>
        <v>1.2</v>
      </c>
      <c r="C98" s="3" cm="1">
        <f t="array" ref="C98">SQRT((SUM(D$92:D$94*COS($C$92:$C$94*$B98)))^2+(SUM(D$92:D$94*SIN($C$92:$C$94*$B98)))^2)/SQRT((SUM(D$89:D$91*COS($C$89:$C$91*$B98)))^2+(SUM(D$89:D$91*SIN($C$89:$C$91*$B98)))^2)</f>
        <v>0.77325665202111393</v>
      </c>
      <c r="D98" s="3" cm="1">
        <f t="array" ref="D98">SQRT((SUM(E$92:E$94*COS($C$92:$C$94*$B98)))^2+(SUM(E$92:E$94*SIN($C$92:$C$94*$B98)))^2)/SQRT((SUM(E$89:E$91*COS($C$89:$C$91*$B98)))^2+(SUM(E$89:E$91*SIN($C$89:$C$91*$B98)))^2)</f>
        <v>9.2840145607595487E-2</v>
      </c>
      <c r="E98" s="3" cm="1">
        <f t="array" ref="E98">SQRT((SUM(F$92:F$94*COS($C$92:$C$94*$B98)))^2+(SUM(F$92:F$94*SIN($C$92:$C$94*$B98)))^2)/SQRT((SUM(F$89:F$91*COS($C$89:$C$91*$B98)))^2+(SUM(F$89:F$91*SIN($C$89:$C$91*$B98)))^2)</f>
        <v>0.55835648745065203</v>
      </c>
      <c r="F98" s="3" cm="1">
        <f t="array" ref="F98">SQRT((SUM(G$92:G$94*COS($C$92:$C$94*$B98)))^2+(SUM(G$92:G$94*SIN($C$92:$C$94*$B98)))^2)/SQRT((SUM(G$89:G$91*COS($C$89:$C$91*$B98)))^2+(SUM(G$89:G$91*SIN($C$89:$C$91*$B98)))^2)</f>
        <v>0.11888021625333078</v>
      </c>
      <c r="G98" s="3" cm="1">
        <f t="array" ref="G98">SQRT((SUM(H$92:H$94*COS($C$92:$C$94*$B98)))^2+(SUM(H$92:H$94*SIN($C$92:$C$94*$B98)))^2)/SQRT((SUM(H$89:H$91*COS($C$89:$C$91*$B98)))^2+(SUM(H$89:H$91*SIN($C$89:$C$91*$B98)))^2)</f>
        <v>0.25216634923660175</v>
      </c>
      <c r="H98" s="3">
        <f>PRODUCT(C98:G98)</f>
        <v>1.2016216970361939E-3</v>
      </c>
      <c r="I98" s="3">
        <f t="shared" ref="I98:I100" si="32">20*LOG10(H98)</f>
        <v>-58.404644768948266</v>
      </c>
      <c r="K98" s="3">
        <v>13</v>
      </c>
      <c r="L98" s="3">
        <f t="shared" si="24"/>
        <v>-0.9477216021311119</v>
      </c>
      <c r="M98" s="3">
        <f t="shared" si="25"/>
        <v>-0.84465776698897244</v>
      </c>
      <c r="O98" s="3">
        <v>13</v>
      </c>
      <c r="P98" s="3">
        <f t="shared" si="26"/>
        <v>-0.99417762518381514</v>
      </c>
      <c r="Q98" s="3">
        <f t="shared" si="27"/>
        <v>-2.2830366486433959E-3</v>
      </c>
      <c r="S98" s="3">
        <v>13</v>
      </c>
      <c r="T98" s="3">
        <f t="shared" si="28"/>
        <v>-0.16123796432418536</v>
      </c>
      <c r="U98" s="3">
        <f t="shared" si="29"/>
        <v>-4.7636044902379035E-3</v>
      </c>
      <c r="W98" s="3">
        <v>13</v>
      </c>
      <c r="X98" s="3">
        <f t="shared" si="30"/>
        <v>-0.9474378189567576</v>
      </c>
      <c r="Y98" s="3">
        <f t="shared" si="31"/>
        <v>-0.84440484496860102</v>
      </c>
    </row>
    <row r="99" spans="1:25" ht="15.6" x14ac:dyDescent="0.3">
      <c r="A99" s="2" t="s">
        <v>83</v>
      </c>
      <c r="B99" s="3">
        <f>C10</f>
        <v>1.8</v>
      </c>
      <c r="C99" s="3" cm="1">
        <f t="array" ref="C99">SQRT((SUM(D$92:D$94*COS($C$92:$C$94*$B99)))^2+(SUM(D$92:D$94*SIN($C$92:$C$94*$B99)))^2)/SQRT((SUM(D$89:D$91*COS($C$89:$C$91*$B99)))^2+(SUM(D$89:D$91*SIN($C$89:$C$91*$B99)))^2)</f>
        <v>0.6059537187967533</v>
      </c>
      <c r="D99" s="3" cm="1">
        <f t="array" ref="D99">SQRT((SUM(E$92:E$94*COS($C$92:$C$94*$B99)))^2+(SUM(E$92:E$94*SIN($C$92:$C$94*$B99)))^2)/SQRT((SUM(E$89:E$91*COS($C$89:$C$91*$B99)))^2+(SUM(E$89:E$91*SIN($C$89:$C$91*$B99)))^2)</f>
        <v>0.49508590129449792</v>
      </c>
      <c r="E99" s="3" cm="1">
        <f t="array" ref="E99">SQRT((SUM(F$92:F$94*COS($C$92:$C$94*$B99)))^2+(SUM(F$92:F$94*SIN($C$92:$C$94*$B99)))^2)/SQRT((SUM(F$89:F$91*COS($C$89:$C$91*$B99)))^2+(SUM(F$89:F$91*SIN($C$89:$C$91*$B99)))^2)</f>
        <v>0.57119081828191043</v>
      </c>
      <c r="F99" s="3" cm="1">
        <f t="array" ref="F99">SQRT((SUM(G$92:G$94*COS($C$92:$C$94*$B99)))^2+(SUM(G$92:G$94*SIN($C$92:$C$94*$B99)))^2)/SQRT((SUM(G$89:G$91*COS($C$89:$C$91*$B99)))^2+(SUM(G$89:G$91*SIN($C$89:$C$91*$B99)))^2)</f>
        <v>0.38898375849432343</v>
      </c>
      <c r="G99" s="3" cm="1">
        <f t="array" ref="G99">SQRT((SUM(H$92:H$94*COS($C$92:$C$94*$B99)))^2+(SUM(H$92:H$94*SIN($C$92:$C$94*$B99)))^2)/SQRT((SUM(H$89:H$91*COS($C$89:$C$91*$B99)))^2+(SUM(H$89:H$91*SIN($C$89:$C$91*$B99)))^2)</f>
        <v>0.44323667617890722</v>
      </c>
      <c r="H99" s="3">
        <f>PRODUCT(C99:G99)</f>
        <v>2.9543938427926259E-2</v>
      </c>
      <c r="I99" s="3">
        <f t="shared" si="32"/>
        <v>-30.590632209253474</v>
      </c>
      <c r="K99" s="3">
        <v>14</v>
      </c>
      <c r="L99" s="3">
        <f t="shared" si="24"/>
        <v>-0.93042627210475393</v>
      </c>
      <c r="M99" s="3">
        <f t="shared" si="25"/>
        <v>-0.82924328787764801</v>
      </c>
      <c r="O99" s="3">
        <v>14</v>
      </c>
      <c r="P99" s="3">
        <f t="shared" si="26"/>
        <v>-0.46067858741136253</v>
      </c>
      <c r="Q99" s="3">
        <f t="shared" si="27"/>
        <v>-1.0579056213530775E-3</v>
      </c>
      <c r="S99" s="3">
        <v>14</v>
      </c>
      <c r="T99" s="3">
        <f t="shared" si="28"/>
        <v>0.99773898139113038</v>
      </c>
      <c r="U99" s="3">
        <f t="shared" si="29"/>
        <v>2.9477139033361421E-2</v>
      </c>
      <c r="W99" s="3">
        <v>14</v>
      </c>
      <c r="X99" s="3">
        <f t="shared" si="30"/>
        <v>0.81623852360757243</v>
      </c>
      <c r="Y99" s="3">
        <f t="shared" si="31"/>
        <v>0.7274733499061532</v>
      </c>
    </row>
    <row r="100" spans="1:25" ht="15.6" x14ac:dyDescent="0.3">
      <c r="A100" s="2" t="s">
        <v>1</v>
      </c>
      <c r="B100" s="3">
        <f>C11</f>
        <v>2.2000000000000002</v>
      </c>
      <c r="C100" s="3" cm="1">
        <f t="array" ref="C100">SQRT((SUM(D$92:D$94*COS($C$92:$C$94*$B100)))^2+(SUM(D$92:D$94*SIN($C$92:$C$94*$B100)))^2)/SQRT((SUM(D$89:D$91*COS($C$89:$C$91*$B100)))^2+(SUM(D$89:D$91*SIN($C$89:$C$91*$B100)))^2)</f>
        <v>0.84754157577312095</v>
      </c>
      <c r="D100" s="3" cm="1">
        <f t="array" ref="D100">SQRT((SUM(E$92:E$94*COS($C$92:$C$94*$B100)))^2+(SUM(E$92:E$94*SIN($C$92:$C$94*$B100)))^2)/SQRT((SUM(E$89:E$91*COS($C$89:$C$91*$B100)))^2+(SUM(E$89:E$91*SIN($C$89:$C$91*$B100)))^2)</f>
        <v>2.0012648605219923</v>
      </c>
      <c r="E100" s="3" cm="1">
        <f t="array" ref="E100">SQRT((SUM(F$92:F$94*COS($C$92:$C$94*$B100)))^2+(SUM(F$92:F$94*SIN($C$92:$C$94*$B100)))^2)/SQRT((SUM(F$89:F$91*COS($C$89:$C$91*$B100)))^2+(SUM(F$89:F$91*SIN($C$89:$C$91*$B100)))^2)</f>
        <v>0.82989090461227943</v>
      </c>
      <c r="F100" s="3" cm="1">
        <f t="array" ref="F100">SQRT((SUM(G$92:G$94*COS($C$92:$C$94*$B100)))^2+(SUM(G$92:G$94*SIN($C$92:$C$94*$B100)))^2)/SQRT((SUM(G$89:G$91*COS($C$89:$C$91*$B100)))^2+(SUM(G$89:G$91*SIN($C$89:$C$91*$B100)))^2)</f>
        <v>0.8407433885579032</v>
      </c>
      <c r="G100" s="3" cm="1">
        <f t="array" ref="G100">SQRT((SUM(H$92:H$94*COS($C$92:$C$94*$B100)))^2+(SUM(H$92:H$94*SIN($C$92:$C$94*$B100)))^2)/SQRT((SUM(H$89:H$91*COS($C$89:$C$91*$B100)))^2+(SUM(H$89:H$91*SIN($C$89:$C$91*$B100)))^2)</f>
        <v>0.75309532738132945</v>
      </c>
      <c r="H100" s="3">
        <f t="shared" ref="H100" si="33">PRODUCT(C100:G100)</f>
        <v>0.89125093813374667</v>
      </c>
      <c r="I100" s="3">
        <f t="shared" si="32"/>
        <v>-0.99999999999998879</v>
      </c>
      <c r="K100" s="3">
        <v>15</v>
      </c>
      <c r="L100" s="3">
        <f t="shared" si="24"/>
        <v>-0.47553692799599251</v>
      </c>
      <c r="M100" s="3">
        <f t="shared" si="25"/>
        <v>-0.42382273319366898</v>
      </c>
      <c r="O100" s="3">
        <v>15</v>
      </c>
      <c r="P100" s="3">
        <f t="shared" si="26"/>
        <v>0.66031670824408017</v>
      </c>
      <c r="Q100" s="3">
        <f t="shared" si="27"/>
        <v>1.5163560378398926E-3</v>
      </c>
      <c r="S100" s="3">
        <v>15</v>
      </c>
      <c r="T100" s="3">
        <f t="shared" si="28"/>
        <v>-0.29213880873383619</v>
      </c>
      <c r="U100" s="3">
        <f t="shared" si="29"/>
        <v>-8.6309309776401843E-3</v>
      </c>
      <c r="W100" s="3">
        <v>15</v>
      </c>
      <c r="X100" s="3">
        <f t="shared" si="30"/>
        <v>-1.3276747223059479E-2</v>
      </c>
      <c r="Y100" s="3">
        <f t="shared" si="31"/>
        <v>-1.1832913417916377E-2</v>
      </c>
    </row>
    <row r="101" spans="1:25" x14ac:dyDescent="0.3">
      <c r="K101" s="3">
        <v>16</v>
      </c>
      <c r="L101" s="3">
        <f t="shared" si="24"/>
        <v>0.20300486381875041</v>
      </c>
      <c r="M101" s="3">
        <f t="shared" si="25"/>
        <v>0.1809282753241751</v>
      </c>
      <c r="O101" s="3">
        <v>16</v>
      </c>
      <c r="P101" s="3">
        <f t="shared" si="26"/>
        <v>0.93922034669687082</v>
      </c>
      <c r="Q101" s="3">
        <f t="shared" si="27"/>
        <v>2.156832359070699E-3</v>
      </c>
      <c r="S101" s="3">
        <v>16</v>
      </c>
      <c r="T101" s="3">
        <f t="shared" si="28"/>
        <v>-0.86498988282018863</v>
      </c>
      <c r="U101" s="3">
        <f t="shared" si="29"/>
        <v>-2.5555207838818806E-2</v>
      </c>
      <c r="W101" s="3">
        <v>16</v>
      </c>
      <c r="X101" s="3">
        <f t="shared" si="30"/>
        <v>-0.80061176245899357</v>
      </c>
      <c r="Y101" s="3">
        <f t="shared" si="31"/>
        <v>-0.71354598437249039</v>
      </c>
    </row>
    <row r="102" spans="1:25" x14ac:dyDescent="0.3">
      <c r="K102" s="3">
        <v>17</v>
      </c>
      <c r="L102" s="3">
        <f t="shared" si="24"/>
        <v>0.78607029614103829</v>
      </c>
      <c r="M102" s="3">
        <f t="shared" si="25"/>
        <v>0.7005858888747738</v>
      </c>
      <c r="O102" s="3">
        <v>17</v>
      </c>
      <c r="P102" s="3">
        <f t="shared" si="26"/>
        <v>2.035084333168298E-2</v>
      </c>
      <c r="Q102" s="3">
        <f t="shared" si="27"/>
        <v>4.6733822991079617E-5</v>
      </c>
      <c r="S102" s="3">
        <v>17</v>
      </c>
      <c r="T102" s="3">
        <f t="shared" si="28"/>
        <v>0.68519383526398692</v>
      </c>
      <c r="U102" s="3">
        <f t="shared" si="29"/>
        <v>2.024332448023388E-2</v>
      </c>
      <c r="W102" s="3">
        <v>17</v>
      </c>
      <c r="X102" s="3">
        <f t="shared" si="30"/>
        <v>0.95559858061284153</v>
      </c>
      <c r="Y102" s="3">
        <f t="shared" si="31"/>
        <v>0.85167813145047189</v>
      </c>
    </row>
    <row r="103" spans="1:25" x14ac:dyDescent="0.3">
      <c r="K103" s="3">
        <v>18</v>
      </c>
      <c r="L103" s="3">
        <f t="shared" si="24"/>
        <v>0.99943458550100472</v>
      </c>
      <c r="M103" s="3">
        <f t="shared" si="25"/>
        <v>0.89074701193108419</v>
      </c>
      <c r="O103" s="3">
        <v>18</v>
      </c>
      <c r="P103" s="3">
        <f t="shared" si="26"/>
        <v>-0.92447177491412025</v>
      </c>
      <c r="Q103" s="3">
        <f t="shared" si="27"/>
        <v>-2.1229636327563823E-3</v>
      </c>
      <c r="S103" s="3">
        <v>18</v>
      </c>
      <c r="T103" s="3">
        <f t="shared" si="28"/>
        <v>0.55363493353465498</v>
      </c>
      <c r="U103" s="3">
        <f t="shared" si="29"/>
        <v>1.6356556387896896E-2</v>
      </c>
      <c r="W103" s="3">
        <v>18</v>
      </c>
      <c r="X103" s="3">
        <f t="shared" si="30"/>
        <v>-0.3241299022175636</v>
      </c>
      <c r="Y103" s="3">
        <f t="shared" si="31"/>
        <v>-0.28888107942860314</v>
      </c>
    </row>
    <row r="104" spans="1:25" x14ac:dyDescent="0.3">
      <c r="K104" s="15">
        <v>19</v>
      </c>
      <c r="L104" s="15">
        <f t="shared" si="24"/>
        <v>0.74274917270367069</v>
      </c>
      <c r="M104" s="15">
        <f t="shared" si="25"/>
        <v>0.66197589697021197</v>
      </c>
      <c r="O104" s="15">
        <v>19</v>
      </c>
      <c r="P104" s="15">
        <f t="shared" si="26"/>
        <v>-0.69032987620157249</v>
      </c>
      <c r="Q104" s="15">
        <f t="shared" si="27"/>
        <v>-1.585278492593565E-3</v>
      </c>
      <c r="S104" s="15">
        <v>19</v>
      </c>
      <c r="T104" s="15">
        <f t="shared" si="28"/>
        <v>-0.93676786845266957</v>
      </c>
      <c r="U104" s="15">
        <f t="shared" si="29"/>
        <v>-2.7675812226825396E-2</v>
      </c>
      <c r="W104" s="3">
        <v>19</v>
      </c>
      <c r="X104" s="3">
        <f t="shared" si="30"/>
        <v>-0.57409696143103361</v>
      </c>
      <c r="Y104" s="3">
        <f t="shared" si="31"/>
        <v>-0.51166445545514205</v>
      </c>
    </row>
    <row r="105" spans="1:25" x14ac:dyDescent="0.3">
      <c r="K105" s="3">
        <v>20</v>
      </c>
      <c r="L105" s="3">
        <f t="shared" si="24"/>
        <v>0.13673721820783361</v>
      </c>
      <c r="M105" s="3">
        <f t="shared" si="25"/>
        <v>0.12186717400553072</v>
      </c>
      <c r="N105" s="7"/>
      <c r="O105" s="3">
        <v>20</v>
      </c>
      <c r="P105" s="3">
        <f t="shared" si="26"/>
        <v>0.42417900733699698</v>
      </c>
      <c r="Q105" s="3">
        <f t="shared" si="27"/>
        <v>9.7408772316364301E-4</v>
      </c>
      <c r="R105" s="7"/>
      <c r="S105" s="3">
        <v>20</v>
      </c>
      <c r="T105" s="3">
        <f t="shared" si="28"/>
        <v>-0.12796368962740468</v>
      </c>
      <c r="U105" s="3">
        <f t="shared" si="29"/>
        <v>-3.7805513673623103E-3</v>
      </c>
      <c r="V105" s="7"/>
      <c r="W105" s="3">
        <v>20</v>
      </c>
      <c r="X105" s="3">
        <f t="shared" si="30"/>
        <v>0.99984330864769122</v>
      </c>
      <c r="Y105" s="3">
        <f t="shared" si="31"/>
        <v>0.89111128681900409</v>
      </c>
    </row>
    <row r="106" spans="1:25" x14ac:dyDescent="0.3">
      <c r="K106" s="3">
        <v>21</v>
      </c>
      <c r="L106" s="3">
        <f t="shared" si="24"/>
        <v>-0.53358438658911767</v>
      </c>
      <c r="M106" s="3">
        <f t="shared" si="25"/>
        <v>-0.47555758512107177</v>
      </c>
      <c r="O106" s="3">
        <v>21</v>
      </c>
      <c r="P106" s="3">
        <f t="shared" si="26"/>
        <v>0.99773898139113038</v>
      </c>
      <c r="Q106" s="3">
        <f t="shared" si="27"/>
        <v>2.2912149726513125E-3</v>
      </c>
      <c r="S106" s="3">
        <v>21</v>
      </c>
      <c r="T106" s="3">
        <f t="shared" si="28"/>
        <v>0.99491510510867298</v>
      </c>
      <c r="U106" s="3">
        <f t="shared" si="29"/>
        <v>2.9393710606344416E-2</v>
      </c>
      <c r="W106" s="3">
        <v>21</v>
      </c>
      <c r="X106" s="3">
        <f t="shared" si="30"/>
        <v>-0.60272084700786066</v>
      </c>
      <c r="Y106" s="3">
        <f t="shared" si="31"/>
        <v>-0.53717552032852223</v>
      </c>
    </row>
    <row r="107" spans="1:25" x14ac:dyDescent="0.3">
      <c r="K107" s="3">
        <v>22</v>
      </c>
      <c r="L107" s="3">
        <f t="shared" si="24"/>
        <v>-0.95295291688717976</v>
      </c>
      <c r="M107" s="3">
        <f t="shared" si="25"/>
        <v>-0.8493201811729908</v>
      </c>
      <c r="O107" s="3">
        <v>22</v>
      </c>
      <c r="P107" s="3">
        <f t="shared" si="26"/>
        <v>0.29889790636447161</v>
      </c>
      <c r="Q107" s="3">
        <f t="shared" si="27"/>
        <v>6.8639130186288566E-4</v>
      </c>
      <c r="S107" s="3">
        <v>22</v>
      </c>
      <c r="T107" s="3">
        <f t="shared" si="28"/>
        <v>-0.3241299022175636</v>
      </c>
      <c r="U107" s="3">
        <f t="shared" si="29"/>
        <v>-9.5760738737654602E-3</v>
      </c>
      <c r="W107" s="3">
        <v>22</v>
      </c>
      <c r="X107" s="3">
        <f t="shared" si="30"/>
        <v>-0.29043952493325992</v>
      </c>
      <c r="Y107" s="3">
        <f t="shared" si="31"/>
        <v>-0.2588544990678876</v>
      </c>
    </row>
    <row r="108" spans="1:25" x14ac:dyDescent="0.3">
      <c r="K108" s="3">
        <v>23</v>
      </c>
      <c r="L108" s="3">
        <f t="shared" si="24"/>
        <v>-0.92413280007313092</v>
      </c>
      <c r="M108" s="3">
        <f t="shared" si="25"/>
        <v>-0.82363422502534556</v>
      </c>
      <c r="O108" s="3">
        <v>23</v>
      </c>
      <c r="P108" s="3">
        <f t="shared" si="26"/>
        <v>-0.7811230330551121</v>
      </c>
      <c r="Q108" s="3">
        <f t="shared" si="27"/>
        <v>-1.7937765509806003E-3</v>
      </c>
      <c r="S108" s="3">
        <v>23</v>
      </c>
      <c r="T108" s="3">
        <f t="shared" si="28"/>
        <v>-0.84762911963568288</v>
      </c>
      <c r="U108" s="3">
        <f t="shared" si="29"/>
        <v>-2.5042302520233959E-2</v>
      </c>
      <c r="W108" s="3">
        <v>23</v>
      </c>
      <c r="X108" s="3">
        <f t="shared" si="30"/>
        <v>0.94456881684453486</v>
      </c>
      <c r="Y108" s="3">
        <f t="shared" si="31"/>
        <v>0.84184784414457481</v>
      </c>
    </row>
    <row r="109" spans="1:25" x14ac:dyDescent="0.3">
      <c r="K109" s="3">
        <v>24</v>
      </c>
      <c r="L109" s="3">
        <f t="shared" si="24"/>
        <v>-0.46067858741136569</v>
      </c>
      <c r="M109" s="3">
        <f t="shared" si="25"/>
        <v>-0.41058022320850956</v>
      </c>
      <c r="O109" s="3">
        <v>24</v>
      </c>
      <c r="P109" s="3">
        <f t="shared" si="26"/>
        <v>-0.8649898828201904</v>
      </c>
      <c r="Q109" s="3">
        <f t="shared" si="27"/>
        <v>-1.986368987955373E-3</v>
      </c>
      <c r="S109" s="3">
        <v>24</v>
      </c>
      <c r="T109" s="3">
        <f t="shared" si="28"/>
        <v>0.70929612522573282</v>
      </c>
      <c r="U109" s="3">
        <f t="shared" si="29"/>
        <v>2.0955401050835726E-2</v>
      </c>
      <c r="W109" s="3">
        <v>24</v>
      </c>
      <c r="X109" s="3">
        <f t="shared" si="30"/>
        <v>-0.82132008314187521</v>
      </c>
      <c r="Y109" s="3">
        <f t="shared" si="31"/>
        <v>-0.73200229460828325</v>
      </c>
    </row>
    <row r="110" spans="1:25" x14ac:dyDescent="0.3">
      <c r="K110" s="3">
        <v>25</v>
      </c>
      <c r="L110" s="3">
        <f t="shared" si="24"/>
        <v>0.21943996321145931</v>
      </c>
      <c r="M110" s="3">
        <f t="shared" si="25"/>
        <v>0.1955760730762483</v>
      </c>
      <c r="O110" s="3">
        <v>25</v>
      </c>
      <c r="P110" s="3">
        <f t="shared" si="26"/>
        <v>0.15425144988758405</v>
      </c>
      <c r="Q110" s="3">
        <f t="shared" si="27"/>
        <v>3.5422413890538203E-4</v>
      </c>
      <c r="S110" s="3">
        <v>25</v>
      </c>
      <c r="T110" s="3">
        <f t="shared" si="28"/>
        <v>0.52532198881772973</v>
      </c>
      <c r="U110" s="3">
        <f t="shared" si="29"/>
        <v>1.5520080492466773E-2</v>
      </c>
      <c r="W110" s="3">
        <v>25</v>
      </c>
      <c r="X110" s="3">
        <f t="shared" si="30"/>
        <v>2.2126756261962838E-2</v>
      </c>
      <c r="Y110" s="3">
        <f t="shared" si="31"/>
        <v>1.9720492276331138E-2</v>
      </c>
    </row>
    <row r="111" spans="1:25" x14ac:dyDescent="0.3">
      <c r="K111" s="3">
        <v>26</v>
      </c>
      <c r="L111" s="3">
        <f t="shared" si="24"/>
        <v>0.79635247029192313</v>
      </c>
      <c r="M111" s="3">
        <f t="shared" si="25"/>
        <v>0.70974988623280444</v>
      </c>
      <c r="O111" s="3">
        <v>26</v>
      </c>
      <c r="P111" s="3">
        <f t="shared" si="26"/>
        <v>0.97677830083226103</v>
      </c>
      <c r="Q111" s="3">
        <f t="shared" si="27"/>
        <v>2.2430807150657451E-3</v>
      </c>
      <c r="S111" s="3">
        <v>26</v>
      </c>
      <c r="T111" s="3">
        <f t="shared" si="28"/>
        <v>-0.94800463772118548</v>
      </c>
      <c r="U111" s="3">
        <f t="shared" si="29"/>
        <v>-2.800779064622325E-2</v>
      </c>
      <c r="W111" s="3">
        <v>26</v>
      </c>
      <c r="X111" s="3">
        <f t="shared" si="30"/>
        <v>0.79527684157907574</v>
      </c>
      <c r="Y111" s="3">
        <f t="shared" si="31"/>
        <v>0.70879123113339426</v>
      </c>
    </row>
    <row r="112" spans="1:25" x14ac:dyDescent="0.3">
      <c r="K112" s="3">
        <v>27</v>
      </c>
      <c r="L112" s="3">
        <f t="shared" si="24"/>
        <v>0.99872796724350166</v>
      </c>
      <c r="M112" s="3">
        <f t="shared" si="25"/>
        <v>0.89011723774618234</v>
      </c>
      <c r="O112" s="3">
        <v>27</v>
      </c>
      <c r="P112" s="3">
        <f t="shared" si="26"/>
        <v>0.55363493353465498</v>
      </c>
      <c r="Q112" s="3">
        <f t="shared" si="27"/>
        <v>1.2713712431369302E-3</v>
      </c>
      <c r="S112" s="3">
        <v>27</v>
      </c>
      <c r="T112" s="3">
        <f t="shared" si="28"/>
        <v>-9.454470987969997E-2</v>
      </c>
      <c r="U112" s="3">
        <f t="shared" si="29"/>
        <v>-2.7932230873720077E-3</v>
      </c>
      <c r="W112" s="3">
        <v>27</v>
      </c>
      <c r="X112" s="3">
        <f t="shared" si="30"/>
        <v>-0.95816937585513662</v>
      </c>
      <c r="Y112" s="3">
        <f t="shared" si="31"/>
        <v>-0.85396935512191707</v>
      </c>
    </row>
    <row r="113" spans="11:25" x14ac:dyDescent="0.3">
      <c r="K113" s="3">
        <v>28</v>
      </c>
      <c r="L113" s="3">
        <f t="shared" si="24"/>
        <v>0.73138609564549917</v>
      </c>
      <c r="M113" s="3">
        <f t="shared" si="25"/>
        <v>0.6518485438820304</v>
      </c>
      <c r="O113" s="3">
        <v>28</v>
      </c>
      <c r="P113" s="3">
        <f t="shared" si="26"/>
        <v>-0.5755504782013432</v>
      </c>
      <c r="Q113" s="3">
        <f t="shared" si="27"/>
        <v>-1.3216982575271199E-3</v>
      </c>
      <c r="S113" s="3">
        <v>28</v>
      </c>
      <c r="T113" s="3">
        <f t="shared" si="28"/>
        <v>0.99096614997482102</v>
      </c>
      <c r="U113" s="3">
        <f t="shared" si="29"/>
        <v>2.9277042919015256E-2</v>
      </c>
      <c r="W113" s="3">
        <v>28</v>
      </c>
      <c r="X113" s="3">
        <f t="shared" si="30"/>
        <v>0.33249065484213908</v>
      </c>
      <c r="Y113" s="3">
        <f t="shared" si="31"/>
        <v>0.29633260804876022</v>
      </c>
    </row>
    <row r="114" spans="11:25" x14ac:dyDescent="0.3">
      <c r="K114" s="3">
        <v>29</v>
      </c>
      <c r="L114" s="3">
        <f t="shared" si="24"/>
        <v>0.12006191504243026</v>
      </c>
      <c r="M114" s="3">
        <f t="shared" si="25"/>
        <v>0.10700529441570034</v>
      </c>
      <c r="O114" s="3">
        <v>29</v>
      </c>
      <c r="P114" s="3">
        <f t="shared" si="26"/>
        <v>-0.97074529127268239</v>
      </c>
      <c r="Q114" s="3">
        <f t="shared" si="27"/>
        <v>-2.2292264685234457E-3</v>
      </c>
      <c r="S114" s="3">
        <v>29</v>
      </c>
      <c r="T114" s="3">
        <f t="shared" si="28"/>
        <v>-0.35575446020874757</v>
      </c>
      <c r="U114" s="3">
        <f t="shared" si="29"/>
        <v>-1.0510387867867382E-2</v>
      </c>
      <c r="W114" s="3">
        <v>29</v>
      </c>
      <c r="X114" s="3">
        <f t="shared" si="30"/>
        <v>0.5668271321520203</v>
      </c>
      <c r="Y114" s="3">
        <f t="shared" si="31"/>
        <v>0.50518521329014932</v>
      </c>
    </row>
  </sheetData>
  <mergeCells count="51">
    <mergeCell ref="T83:U83"/>
    <mergeCell ref="X78:Y78"/>
    <mergeCell ref="X79:Y79"/>
    <mergeCell ref="X80:Y80"/>
    <mergeCell ref="X81:Y81"/>
    <mergeCell ref="X82:Y82"/>
    <mergeCell ref="X83:Y83"/>
    <mergeCell ref="T78:U78"/>
    <mergeCell ref="T79:U79"/>
    <mergeCell ref="T80:U80"/>
    <mergeCell ref="T81:U81"/>
    <mergeCell ref="T82:U82"/>
    <mergeCell ref="L83:M83"/>
    <mergeCell ref="P78:Q78"/>
    <mergeCell ref="P79:Q79"/>
    <mergeCell ref="P80:Q80"/>
    <mergeCell ref="P81:Q81"/>
    <mergeCell ref="P82:Q82"/>
    <mergeCell ref="P83:Q83"/>
    <mergeCell ref="K4:S4"/>
    <mergeCell ref="L78:M78"/>
    <mergeCell ref="L79:M79"/>
    <mergeCell ref="L80:M80"/>
    <mergeCell ref="L82:M82"/>
    <mergeCell ref="L81:M81"/>
    <mergeCell ref="K77:Y77"/>
    <mergeCell ref="C28:D28"/>
    <mergeCell ref="B6:C6"/>
    <mergeCell ref="B7:C7"/>
    <mergeCell ref="E7:F7"/>
    <mergeCell ref="E6:F6"/>
    <mergeCell ref="B15:B21"/>
    <mergeCell ref="B4:F4"/>
    <mergeCell ref="B23:D23"/>
    <mergeCell ref="C24:D24"/>
    <mergeCell ref="C25:D25"/>
    <mergeCell ref="C27:D27"/>
    <mergeCell ref="C29:D29"/>
    <mergeCell ref="C30:D30"/>
    <mergeCell ref="C31:D31"/>
    <mergeCell ref="B34:B39"/>
    <mergeCell ref="B33:F33"/>
    <mergeCell ref="B77:H77"/>
    <mergeCell ref="B79:H79"/>
    <mergeCell ref="A87:I87"/>
    <mergeCell ref="B41:F41"/>
    <mergeCell ref="B47:F47"/>
    <mergeCell ref="B49:H49"/>
    <mergeCell ref="B55:F55"/>
    <mergeCell ref="B61:D61"/>
    <mergeCell ref="B69:H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Munthe</dc:creator>
  <cp:lastModifiedBy>MICHAEL MUNTHE</cp:lastModifiedBy>
  <dcterms:created xsi:type="dcterms:W3CDTF">2015-06-05T18:17:20Z</dcterms:created>
  <dcterms:modified xsi:type="dcterms:W3CDTF">2021-12-20T03:40:09Z</dcterms:modified>
</cp:coreProperties>
</file>