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O\Desktop\"/>
    </mc:Choice>
  </mc:AlternateContent>
  <xr:revisionPtr revIDLastSave="0" documentId="13_ncr:1_{3A5987D4-BA7D-4C5B-8E9E-33FC3B525A91}" xr6:coauthVersionLast="47" xr6:coauthVersionMax="47" xr10:uidLastSave="{00000000-0000-0000-0000-000000000000}"/>
  <bookViews>
    <workbookView xWindow="-103" yWindow="-103" windowWidth="22149" windowHeight="13474" xr2:uid="{62AA297C-B61D-4546-B6DB-5121B4CD2312}"/>
  </bookViews>
  <sheets>
    <sheet name="Magnetic Bearing Designs" sheetId="1" r:id="rId1"/>
  </sheets>
  <definedNames>
    <definedName name="_xlnm.Print_Area" localSheetId="0">'Magnetic Bearing Designs'!$A$1:$N$184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5" i="1" l="1"/>
  <c r="C136" i="1"/>
  <c r="C137" i="1"/>
  <c r="B169" i="1" s="1"/>
  <c r="C138" i="1"/>
  <c r="C139" i="1"/>
  <c r="C140" i="1"/>
  <c r="C141" i="1"/>
  <c r="B143" i="1"/>
  <c r="B159" i="1" s="1"/>
  <c r="B124" i="1"/>
  <c r="B110" i="1"/>
  <c r="B131" i="1"/>
  <c r="B153" i="1" s="1"/>
  <c r="B177" i="1"/>
  <c r="B166" i="1"/>
  <c r="B147" i="1"/>
  <c r="B141" i="1"/>
  <c r="B140" i="1"/>
  <c r="B139" i="1"/>
  <c r="B138" i="1"/>
  <c r="B137" i="1"/>
  <c r="B136" i="1"/>
  <c r="B135" i="1"/>
  <c r="B86" i="1"/>
  <c r="B73" i="1"/>
  <c r="B15" i="1"/>
  <c r="B27" i="1" s="1"/>
  <c r="B55" i="1"/>
  <c r="B59" i="1" s="1"/>
  <c r="B48" i="1"/>
  <c r="B12" i="1"/>
  <c r="B26" i="1" s="1"/>
  <c r="B41" i="1"/>
  <c r="B178" i="1" l="1"/>
  <c r="B111" i="1"/>
  <c r="B112" i="1" s="1"/>
  <c r="B114" i="1" s="1"/>
  <c r="B151" i="1" s="1"/>
  <c r="B168" i="1"/>
  <c r="B176" i="1"/>
  <c r="B179" i="1"/>
  <c r="B175" i="1"/>
  <c r="B170" i="1"/>
  <c r="B174" i="1"/>
  <c r="B157" i="1"/>
  <c r="B162" i="1"/>
  <c r="B158" i="1"/>
  <c r="B167" i="1"/>
  <c r="B171" i="1"/>
  <c r="B160" i="1"/>
  <c r="B161" i="1"/>
  <c r="B75" i="1"/>
  <c r="B60" i="1"/>
  <c r="B61" i="1" s="1"/>
  <c r="B72" i="1" s="1"/>
  <c r="B28" i="1"/>
  <c r="B29" i="1" s="1"/>
  <c r="B42" i="1" s="1"/>
  <c r="B43" i="1" s="1"/>
  <c r="B45" i="1" s="1"/>
  <c r="B115" i="1" l="1"/>
  <c r="B116" i="1" s="1"/>
  <c r="B117" i="1" s="1"/>
  <c r="B129" i="1" s="1"/>
  <c r="B130" i="1" s="1"/>
  <c r="B154" i="1" s="1"/>
  <c r="B152" i="1"/>
  <c r="B125" i="1"/>
  <c r="B126" i="1" s="1"/>
  <c r="B128" i="1" s="1"/>
  <c r="B172" i="1"/>
  <c r="B180" i="1"/>
  <c r="B163" i="1"/>
  <c r="B76" i="1"/>
  <c r="B77" i="1" s="1"/>
  <c r="B78" i="1" s="1"/>
  <c r="B83" i="1"/>
  <c r="B84" i="1" s="1"/>
  <c r="B31" i="1"/>
  <c r="B181" i="1" l="1"/>
  <c r="B182" i="1" s="1"/>
  <c r="B32" i="1"/>
  <c r="B33" i="1" s="1"/>
  <c r="B34" i="1" s="1"/>
  <c r="B46" i="1" s="1"/>
  <c r="B47" i="1" s="1"/>
  <c r="B58" i="1"/>
  <c r="B183" i="1" l="1"/>
  <c r="B62" i="1"/>
  <c r="B88" i="1"/>
  <c r="B92" i="1"/>
  <c r="B93" i="1"/>
  <c r="B94" i="1"/>
  <c r="B63" i="1" l="1"/>
  <c r="B85" i="1"/>
  <c r="B87" i="1" s="1"/>
</calcChain>
</file>

<file path=xl/sharedStrings.xml><?xml version="1.0" encoding="utf-8"?>
<sst xmlns="http://schemas.openxmlformats.org/spreadsheetml/2006/main" count="195" uniqueCount="150">
  <si>
    <t xml:space="preserve">NG-Compressor </t>
  </si>
  <si>
    <t xml:space="preserve">Name </t>
  </si>
  <si>
    <t>Unit</t>
  </si>
  <si>
    <t>rotor length (mm)</t>
  </si>
  <si>
    <t>largest impeller diameter (mm)</t>
  </si>
  <si>
    <t>total rotor mass (kg)</t>
  </si>
  <si>
    <t xml:space="preserve">compressor weight (kg) </t>
  </si>
  <si>
    <t>Necessary Stiffness</t>
  </si>
  <si>
    <t>Accesible dynamic stiffness</t>
  </si>
  <si>
    <t>Design Limit</t>
  </si>
  <si>
    <t>Design Algorithm</t>
  </si>
  <si>
    <t>Name</t>
  </si>
  <si>
    <t>Fdist (N)</t>
  </si>
  <si>
    <t>compressor speed (rpm)</t>
  </si>
  <si>
    <t>max. radial clearance deflection (mm)</t>
  </si>
  <si>
    <t>max. axial clearance deflection (mm)</t>
  </si>
  <si>
    <t>RADIAL AMB</t>
  </si>
  <si>
    <t xml:space="preserve">Electromagnetic Constant </t>
  </si>
  <si>
    <t>nominal air gap (mm)</t>
  </si>
  <si>
    <t>Kem (kg.m^3/s^2)</t>
  </si>
  <si>
    <t>Maximum Bearing Force</t>
  </si>
  <si>
    <t xml:space="preserve">Design Choices and Requirements </t>
  </si>
  <si>
    <t xml:space="preserve">Amplifier Design </t>
  </si>
  <si>
    <t>rotational frequency, frot (Hz)</t>
  </si>
  <si>
    <t>maximum slew rate, dF/dt (N/s)</t>
  </si>
  <si>
    <t>Maximum Slew Rate</t>
  </si>
  <si>
    <t>Power Amplifier Maximum VA Rating</t>
  </si>
  <si>
    <t>Vamax</t>
  </si>
  <si>
    <t>Fmax</t>
  </si>
  <si>
    <t>maximum bearing force, Fmax (N)</t>
  </si>
  <si>
    <t>Linear Force Calculation, Fmax=Fdist</t>
  </si>
  <si>
    <t>Flinear maximum (N)</t>
  </si>
  <si>
    <t>Maximum Voltage</t>
  </si>
  <si>
    <t>rotor comp. side (kg)</t>
  </si>
  <si>
    <t>rotor turbine side (kg)</t>
  </si>
  <si>
    <t>Bsat (T)</t>
  </si>
  <si>
    <t>Biasing Ratio</t>
  </si>
  <si>
    <t>Bias Current</t>
  </si>
  <si>
    <t>biasing ratio, bheta</t>
  </si>
  <si>
    <t>bias current, Ib (A)</t>
  </si>
  <si>
    <t>maximum current, Imax (A)</t>
  </si>
  <si>
    <t>maximum voltage, Vmax (V)</t>
  </si>
  <si>
    <t>air gap, go (mm)</t>
  </si>
  <si>
    <t>Number of Turns</t>
  </si>
  <si>
    <t>number of turns, N</t>
  </si>
  <si>
    <t>Journal Sizing and Stator Design</t>
  </si>
  <si>
    <t>Air Gap Area</t>
  </si>
  <si>
    <t>air gap area, Ag (m^2)</t>
  </si>
  <si>
    <t>theta</t>
  </si>
  <si>
    <t>Pole Width</t>
  </si>
  <si>
    <t>aspect ratio, AR (rj-rr)</t>
  </si>
  <si>
    <t>rj (m)</t>
  </si>
  <si>
    <t>rr (m)</t>
  </si>
  <si>
    <t>w (m)</t>
  </si>
  <si>
    <t>rp (m)</t>
  </si>
  <si>
    <t>Journal Bearing</t>
  </si>
  <si>
    <t xml:space="preserve">Pole Radius </t>
  </si>
  <si>
    <t>Axial Length of The Journal</t>
  </si>
  <si>
    <t>I (m)</t>
  </si>
  <si>
    <t>Number of Lamination/Stator</t>
  </si>
  <si>
    <t xml:space="preserve">Nlam </t>
  </si>
  <si>
    <t>Coil Design</t>
  </si>
  <si>
    <t>Removable Coil Configuration</t>
  </si>
  <si>
    <t>tc (m)</t>
  </si>
  <si>
    <t>thermal limit, Jmax (A/m^2)</t>
  </si>
  <si>
    <t xml:space="preserve">copper fill factor, FFc </t>
  </si>
  <si>
    <t>coil window area, Av (m^2)</t>
  </si>
  <si>
    <t>Ic (m)</t>
  </si>
  <si>
    <t>coil space radius, rc (m)</t>
  </si>
  <si>
    <t>pole length, Ip (m)</t>
  </si>
  <si>
    <t>Coil Window Area</t>
  </si>
  <si>
    <t>Coil Length</t>
  </si>
  <si>
    <t>Coil Space Radius</t>
  </si>
  <si>
    <t>Pole Length</t>
  </si>
  <si>
    <t>Stator Radius</t>
  </si>
  <si>
    <t>Coil Resistance and Inductance</t>
  </si>
  <si>
    <t xml:space="preserve">Wire Sized Needed </t>
  </si>
  <si>
    <t>rwire (m)</t>
  </si>
  <si>
    <t xml:space="preserve">Coil Length </t>
  </si>
  <si>
    <t>Icoil (m)</t>
  </si>
  <si>
    <t>Rcoil (ohm)</t>
  </si>
  <si>
    <t>Coil Resistance, rhoc (ohm.m)</t>
  </si>
  <si>
    <t>Awire (m^2)</t>
  </si>
  <si>
    <t>Wire Copper Area</t>
  </si>
  <si>
    <t>Coil Resistance</t>
  </si>
  <si>
    <t>Nominal Coil Inductance</t>
  </si>
  <si>
    <t>Lc (H)</t>
  </si>
  <si>
    <t>AMB Stiffness and Damping</t>
  </si>
  <si>
    <t>F (N)</t>
  </si>
  <si>
    <t xml:space="preserve">Ki </t>
  </si>
  <si>
    <t>Ks</t>
  </si>
  <si>
    <t xml:space="preserve">Forced Generate by Single Power Amplifier </t>
  </si>
  <si>
    <t>Current Gain</t>
  </si>
  <si>
    <t>Position Stiffness</t>
  </si>
  <si>
    <t>THRUST AMB</t>
  </si>
  <si>
    <t>bearing damping, Beq (N.s/mm)</t>
  </si>
  <si>
    <t>bearing stiffness, Keq (N/mm)</t>
  </si>
  <si>
    <t>Using Zhu's Model</t>
  </si>
  <si>
    <t>Force, Pertubation, and Dispalcement Relationship</t>
  </si>
  <si>
    <t>where,</t>
  </si>
  <si>
    <t>Design Constraints</t>
  </si>
  <si>
    <t>r0 (m)</t>
  </si>
  <si>
    <t>Optimized</t>
  </si>
  <si>
    <t>relative permeability</t>
  </si>
  <si>
    <t>peak force, fpeak (N)</t>
  </si>
  <si>
    <t xml:space="preserve">continuous force, fcont (N) </t>
  </si>
  <si>
    <t>N turns</t>
  </si>
  <si>
    <t>ib (A)</t>
  </si>
  <si>
    <t>performance, w-3d (Hz)</t>
  </si>
  <si>
    <t>Reluctance Approximation</t>
  </si>
  <si>
    <t>r1 (m)</t>
  </si>
  <si>
    <t>r2 (m)</t>
  </si>
  <si>
    <t>r3 (m)</t>
  </si>
  <si>
    <t>d1 (m)</t>
  </si>
  <si>
    <t>d2 (m)</t>
  </si>
  <si>
    <t>d3 (m)</t>
  </si>
  <si>
    <t>gap, go (m)</t>
  </si>
  <si>
    <t>outer radius, p1 (m)</t>
  </si>
  <si>
    <t>inner radius, p2 (m)</t>
  </si>
  <si>
    <t>axial length, p3 (m)</t>
  </si>
  <si>
    <t>maximum coil current density (A/m^2)</t>
  </si>
  <si>
    <t>Ro1</t>
  </si>
  <si>
    <t>Ro2</t>
  </si>
  <si>
    <t>Ro3</t>
  </si>
  <si>
    <t>Ro4</t>
  </si>
  <si>
    <t>Ro5</t>
  </si>
  <si>
    <t>Ro6</t>
  </si>
  <si>
    <t>Eddy Current Factor Approximation</t>
  </si>
  <si>
    <t>c1</t>
  </si>
  <si>
    <t>c2</t>
  </si>
  <si>
    <t>c3</t>
  </si>
  <si>
    <t>c4</t>
  </si>
  <si>
    <t>c5</t>
  </si>
  <si>
    <t>c6</t>
  </si>
  <si>
    <t>iron conductivity (S/m)</t>
  </si>
  <si>
    <t>Ro</t>
  </si>
  <si>
    <t>c</t>
  </si>
  <si>
    <t>Kflux</t>
  </si>
  <si>
    <t>Gain</t>
  </si>
  <si>
    <t>A1</t>
  </si>
  <si>
    <t>A2</t>
  </si>
  <si>
    <t>A3</t>
  </si>
  <si>
    <t>A4</t>
  </si>
  <si>
    <t>A5</t>
  </si>
  <si>
    <t>A6</t>
  </si>
  <si>
    <t>Atot  (m^2)</t>
  </si>
  <si>
    <t>Ki</t>
  </si>
  <si>
    <t>Kx</t>
  </si>
  <si>
    <t>Natural Gas Turbocompressor at P.T. Kaltim Methanol Industri</t>
  </si>
  <si>
    <t>PRE-DESIGN CALCULATION : MAGNETIC BEARING SUSPENDED 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</si>
</sst>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2" fillId="0" borderId="0" xfId="0" applyFont="1"/>
    <xf numFmtId="1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22296</xdr:colOff>
      <xdr:row>17</xdr:row>
      <xdr:rowOff>26839</xdr:rowOff>
    </xdr:from>
    <xdr:to>
      <xdr:col>4</xdr:col>
      <xdr:colOff>694251</xdr:colOff>
      <xdr:row>19</xdr:row>
      <xdr:rowOff>101746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B3674D-25BB-6344-A5CE-D45912360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09225" y="1278696"/>
          <a:ext cx="671955" cy="474051"/>
        </a:xfrm>
        <a:prstGeom prst="rect">
          <a:avLst/>
        </a:prstGeom>
      </xdr:spPr>
    </xdr:pic>
    <xdr:clientData/>
  </xdr:twoCellAnchor>
  <xdr:twoCellAnchor editAs="oneCell">
    <xdr:from>
      <xdr:col>11</xdr:col>
      <xdr:colOff>218840</xdr:colOff>
      <xdr:row>24</xdr:row>
      <xdr:rowOff>66266</xdr:rowOff>
    </xdr:from>
    <xdr:to>
      <xdr:col>13</xdr:col>
      <xdr:colOff>89649</xdr:colOff>
      <xdr:row>40</xdr:row>
      <xdr:rowOff>90343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6B39EC-3E20-D14A-B295-B26FEF5EC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18958" y="5131325"/>
          <a:ext cx="1514338" cy="3370900"/>
        </a:xfrm>
        <a:prstGeom prst="rect">
          <a:avLst/>
        </a:prstGeom>
      </xdr:spPr>
    </xdr:pic>
    <xdr:clientData/>
  </xdr:twoCellAnchor>
  <xdr:twoCellAnchor editAs="oneCell">
    <xdr:from>
      <xdr:col>6</xdr:col>
      <xdr:colOff>42169</xdr:colOff>
      <xdr:row>16</xdr:row>
      <xdr:rowOff>192871</xdr:rowOff>
    </xdr:from>
    <xdr:to>
      <xdr:col>7</xdr:col>
      <xdr:colOff>653996</xdr:colOff>
      <xdr:row>19</xdr:row>
      <xdr:rowOff>54282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07BA36-1E83-484D-A781-0796AD94A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80098" y="1245157"/>
          <a:ext cx="1437327" cy="460125"/>
        </a:xfrm>
        <a:prstGeom prst="rect">
          <a:avLst/>
        </a:prstGeom>
      </xdr:spPr>
    </xdr:pic>
    <xdr:clientData/>
  </xdr:twoCellAnchor>
  <xdr:twoCellAnchor editAs="oneCell">
    <xdr:from>
      <xdr:col>4</xdr:col>
      <xdr:colOff>72677</xdr:colOff>
      <xdr:row>21</xdr:row>
      <xdr:rowOff>57618</xdr:rowOff>
    </xdr:from>
    <xdr:to>
      <xdr:col>4</xdr:col>
      <xdr:colOff>644750</xdr:colOff>
      <xdr:row>22</xdr:row>
      <xdr:rowOff>128173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73B167-2C00-164C-8DEF-7A6DDBFEE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57512" y="4495640"/>
          <a:ext cx="572073" cy="279896"/>
        </a:xfrm>
        <a:prstGeom prst="rect">
          <a:avLst/>
        </a:prstGeom>
      </xdr:spPr>
    </xdr:pic>
    <xdr:clientData/>
  </xdr:twoCellAnchor>
  <xdr:twoCellAnchor editAs="oneCell">
    <xdr:from>
      <xdr:col>3</xdr:col>
      <xdr:colOff>758078</xdr:colOff>
      <xdr:row>25</xdr:row>
      <xdr:rowOff>29533</xdr:rowOff>
    </xdr:from>
    <xdr:to>
      <xdr:col>5</xdr:col>
      <xdr:colOff>689807</xdr:colOff>
      <xdr:row>26</xdr:row>
      <xdr:rowOff>156387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C20CC9C-96F8-4345-AD27-7AAFD7D11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19507" y="5091390"/>
          <a:ext cx="1582729" cy="326426"/>
        </a:xfrm>
        <a:prstGeom prst="rect">
          <a:avLst/>
        </a:prstGeom>
      </xdr:spPr>
    </xdr:pic>
    <xdr:clientData/>
  </xdr:twoCellAnchor>
  <xdr:twoCellAnchor editAs="oneCell">
    <xdr:from>
      <xdr:col>4</xdr:col>
      <xdr:colOff>22975</xdr:colOff>
      <xdr:row>29</xdr:row>
      <xdr:rowOff>22905</xdr:rowOff>
    </xdr:from>
    <xdr:to>
      <xdr:col>5</xdr:col>
      <xdr:colOff>50091</xdr:colOff>
      <xdr:row>31</xdr:row>
      <xdr:rowOff>106313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A2C8AFB-34E2-1442-BFA2-4C9612172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09904" y="5883048"/>
          <a:ext cx="852616" cy="482551"/>
        </a:xfrm>
        <a:prstGeom prst="rect">
          <a:avLst/>
        </a:prstGeom>
      </xdr:spPr>
    </xdr:pic>
    <xdr:clientData/>
  </xdr:twoCellAnchor>
  <xdr:twoCellAnchor editAs="oneCell">
    <xdr:from>
      <xdr:col>7</xdr:col>
      <xdr:colOff>20484</xdr:colOff>
      <xdr:row>24</xdr:row>
      <xdr:rowOff>82550</xdr:rowOff>
    </xdr:from>
    <xdr:to>
      <xdr:col>11</xdr:col>
      <xdr:colOff>83032</xdr:colOff>
      <xdr:row>35</xdr:row>
      <xdr:rowOff>166395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DE4401F-168D-1847-9BA3-993CBF5C4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33543" y="5147609"/>
          <a:ext cx="3349607" cy="2384786"/>
        </a:xfrm>
        <a:prstGeom prst="rect">
          <a:avLst/>
        </a:prstGeom>
      </xdr:spPr>
    </xdr:pic>
    <xdr:clientData/>
  </xdr:twoCellAnchor>
  <xdr:twoCellAnchor editAs="oneCell">
    <xdr:from>
      <xdr:col>4</xdr:col>
      <xdr:colOff>21499</xdr:colOff>
      <xdr:row>40</xdr:row>
      <xdr:rowOff>37102</xdr:rowOff>
    </xdr:from>
    <xdr:to>
      <xdr:col>5</xdr:col>
      <xdr:colOff>417739</xdr:colOff>
      <xdr:row>42</xdr:row>
      <xdr:rowOff>100602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C1B34D-1F4F-694D-AAC2-199351C5D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79803" y="8258084"/>
          <a:ext cx="1224007" cy="471714"/>
        </a:xfrm>
        <a:prstGeom prst="rect">
          <a:avLst/>
        </a:prstGeom>
      </xdr:spPr>
    </xdr:pic>
    <xdr:clientData/>
  </xdr:twoCellAnchor>
  <xdr:twoCellAnchor editAs="oneCell">
    <xdr:from>
      <xdr:col>3</xdr:col>
      <xdr:colOff>802731</xdr:colOff>
      <xdr:row>44</xdr:row>
      <xdr:rowOff>31659</xdr:rowOff>
    </xdr:from>
    <xdr:to>
      <xdr:col>5</xdr:col>
      <xdr:colOff>371203</xdr:colOff>
      <xdr:row>46</xdr:row>
      <xdr:rowOff>95159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6FB3354-7C34-5340-B436-E01B1DA49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33267" y="9069070"/>
          <a:ext cx="1224007" cy="471714"/>
        </a:xfrm>
        <a:prstGeom prst="rect">
          <a:avLst/>
        </a:prstGeom>
      </xdr:spPr>
    </xdr:pic>
    <xdr:clientData/>
  </xdr:twoCellAnchor>
  <xdr:twoCellAnchor editAs="oneCell">
    <xdr:from>
      <xdr:col>4</xdr:col>
      <xdr:colOff>1088</xdr:colOff>
      <xdr:row>31</xdr:row>
      <xdr:rowOff>129540</xdr:rowOff>
    </xdr:from>
    <xdr:to>
      <xdr:col>6</xdr:col>
      <xdr:colOff>298268</xdr:colOff>
      <xdr:row>35</xdr:row>
      <xdr:rowOff>138612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C448A7-4985-DB4C-B6A8-22EBFE270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88017" y="6388826"/>
          <a:ext cx="1948180" cy="807357"/>
        </a:xfrm>
        <a:prstGeom prst="rect">
          <a:avLst/>
        </a:prstGeom>
      </xdr:spPr>
    </xdr:pic>
    <xdr:clientData/>
  </xdr:twoCellAnchor>
  <xdr:twoCellAnchor editAs="oneCell">
    <xdr:from>
      <xdr:col>4</xdr:col>
      <xdr:colOff>29814</xdr:colOff>
      <xdr:row>48</xdr:row>
      <xdr:rowOff>41879</xdr:rowOff>
    </xdr:from>
    <xdr:to>
      <xdr:col>5</xdr:col>
      <xdr:colOff>383750</xdr:colOff>
      <xdr:row>51</xdr:row>
      <xdr:rowOff>38492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43C4D4-E08A-2C43-A814-F7E8F4D83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88118" y="9895718"/>
          <a:ext cx="1181703" cy="608935"/>
        </a:xfrm>
        <a:prstGeom prst="rect">
          <a:avLst/>
        </a:prstGeom>
      </xdr:spPr>
    </xdr:pic>
    <xdr:clientData/>
  </xdr:twoCellAnchor>
  <xdr:twoCellAnchor editAs="oneCell">
    <xdr:from>
      <xdr:col>7</xdr:col>
      <xdr:colOff>11339</xdr:colOff>
      <xdr:row>39</xdr:row>
      <xdr:rowOff>192768</xdr:rowOff>
    </xdr:from>
    <xdr:to>
      <xdr:col>8</xdr:col>
      <xdr:colOff>288471</xdr:colOff>
      <xdr:row>42</xdr:row>
      <xdr:rowOff>139247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EA2255C-0AF4-E542-B48F-6FC41565A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52946" y="8209643"/>
          <a:ext cx="1104900" cy="558800"/>
        </a:xfrm>
        <a:prstGeom prst="rect">
          <a:avLst/>
        </a:prstGeom>
      </xdr:spPr>
    </xdr:pic>
    <xdr:clientData/>
  </xdr:twoCellAnchor>
  <xdr:twoCellAnchor editAs="oneCell">
    <xdr:from>
      <xdr:col>6</xdr:col>
      <xdr:colOff>805089</xdr:colOff>
      <xdr:row>44</xdr:row>
      <xdr:rowOff>34017</xdr:rowOff>
    </xdr:from>
    <xdr:to>
      <xdr:col>8</xdr:col>
      <xdr:colOff>350531</xdr:colOff>
      <xdr:row>45</xdr:row>
      <xdr:rowOff>147410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ACB1B9-F50B-D247-9CE1-AEA2B59FF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18928" y="9071428"/>
          <a:ext cx="1200978" cy="317500"/>
        </a:xfrm>
        <a:prstGeom prst="rect">
          <a:avLst/>
        </a:prstGeom>
      </xdr:spPr>
    </xdr:pic>
    <xdr:clientData/>
  </xdr:twoCellAnchor>
  <xdr:twoCellAnchor editAs="oneCell">
    <xdr:from>
      <xdr:col>7</xdr:col>
      <xdr:colOff>34018</xdr:colOff>
      <xdr:row>48</xdr:row>
      <xdr:rowOff>22678</xdr:rowOff>
    </xdr:from>
    <xdr:to>
      <xdr:col>8</xdr:col>
      <xdr:colOff>158750</xdr:colOff>
      <xdr:row>50</xdr:row>
      <xdr:rowOff>147863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672124-9585-F345-8D11-B5B29BB3D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75625" y="9876517"/>
          <a:ext cx="952500" cy="533400"/>
        </a:xfrm>
        <a:prstGeom prst="rect">
          <a:avLst/>
        </a:prstGeom>
      </xdr:spPr>
    </xdr:pic>
    <xdr:clientData/>
  </xdr:twoCellAnchor>
  <xdr:twoCellAnchor editAs="oneCell">
    <xdr:from>
      <xdr:col>6</xdr:col>
      <xdr:colOff>348407</xdr:colOff>
      <xdr:row>52</xdr:row>
      <xdr:rowOff>130769</xdr:rowOff>
    </xdr:from>
    <xdr:to>
      <xdr:col>8</xdr:col>
      <xdr:colOff>805951</xdr:colOff>
      <xdr:row>60</xdr:row>
      <xdr:rowOff>115179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984501-8F4D-F942-A1F9-E7BF7B70A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69557" y="10717849"/>
          <a:ext cx="2098429" cy="1602817"/>
        </a:xfrm>
        <a:prstGeom prst="rect">
          <a:avLst/>
        </a:prstGeom>
      </xdr:spPr>
    </xdr:pic>
    <xdr:clientData/>
  </xdr:twoCellAnchor>
  <xdr:twoCellAnchor editAs="oneCell">
    <xdr:from>
      <xdr:col>9</xdr:col>
      <xdr:colOff>463420</xdr:colOff>
      <xdr:row>51</xdr:row>
      <xdr:rowOff>128388</xdr:rowOff>
    </xdr:from>
    <xdr:to>
      <xdr:col>12</xdr:col>
      <xdr:colOff>50080</xdr:colOff>
      <xdr:row>66</xdr:row>
      <xdr:rowOff>46739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5B4441A-0580-5D48-99F4-A2D43C295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220008" y="10841212"/>
          <a:ext cx="2051954" cy="3055998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</xdr:colOff>
      <xdr:row>54</xdr:row>
      <xdr:rowOff>30480</xdr:rowOff>
    </xdr:from>
    <xdr:to>
      <xdr:col>5</xdr:col>
      <xdr:colOff>762000</xdr:colOff>
      <xdr:row>56</xdr:row>
      <xdr:rowOff>132080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B20F223-ECBA-D245-95F5-EE617F98D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09920" y="11064240"/>
          <a:ext cx="1524000" cy="508000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</xdr:colOff>
      <xdr:row>58</xdr:row>
      <xdr:rowOff>10160</xdr:rowOff>
    </xdr:from>
    <xdr:to>
      <xdr:col>5</xdr:col>
      <xdr:colOff>535940</xdr:colOff>
      <xdr:row>60</xdr:row>
      <xdr:rowOff>111760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1AC7F2C-7F5D-3B48-BB9C-5BA39148B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99760" y="11856720"/>
          <a:ext cx="1308100" cy="508000"/>
        </a:xfrm>
        <a:prstGeom prst="rect">
          <a:avLst/>
        </a:prstGeom>
      </xdr:spPr>
    </xdr:pic>
    <xdr:clientData/>
  </xdr:twoCellAnchor>
  <xdr:twoCellAnchor editAs="oneCell">
    <xdr:from>
      <xdr:col>4</xdr:col>
      <xdr:colOff>41867</xdr:colOff>
      <xdr:row>62</xdr:row>
      <xdr:rowOff>0</xdr:rowOff>
    </xdr:from>
    <xdr:to>
      <xdr:col>5</xdr:col>
      <xdr:colOff>564661</xdr:colOff>
      <xdr:row>63</xdr:row>
      <xdr:rowOff>95459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88EBB39-4F3A-9746-98C5-DF1409FF7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94065" y="13020989"/>
          <a:ext cx="1346200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55824</xdr:colOff>
      <xdr:row>62</xdr:row>
      <xdr:rowOff>55825</xdr:rowOff>
    </xdr:from>
    <xdr:to>
      <xdr:col>7</xdr:col>
      <xdr:colOff>278217</xdr:colOff>
      <xdr:row>63</xdr:row>
      <xdr:rowOff>148884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001824-E415-FF41-B19B-029A610F5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54835" y="13076814"/>
          <a:ext cx="1045800" cy="302400"/>
        </a:xfrm>
        <a:prstGeom prst="rect">
          <a:avLst/>
        </a:prstGeom>
      </xdr:spPr>
    </xdr:pic>
    <xdr:clientData/>
  </xdr:twoCellAnchor>
  <xdr:twoCellAnchor editAs="oneCell">
    <xdr:from>
      <xdr:col>4</xdr:col>
      <xdr:colOff>69780</xdr:colOff>
      <xdr:row>65</xdr:row>
      <xdr:rowOff>55824</xdr:rowOff>
    </xdr:from>
    <xdr:to>
      <xdr:col>4</xdr:col>
      <xdr:colOff>626533</xdr:colOff>
      <xdr:row>67</xdr:row>
      <xdr:rowOff>127911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897F94A-8D46-EA49-927B-847693F73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42447" y="13331557"/>
          <a:ext cx="556753" cy="478487"/>
        </a:xfrm>
        <a:prstGeom prst="rect">
          <a:avLst/>
        </a:prstGeom>
      </xdr:spPr>
    </xdr:pic>
    <xdr:clientData/>
  </xdr:twoCellAnchor>
  <xdr:twoCellAnchor editAs="oneCell">
    <xdr:from>
      <xdr:col>7</xdr:col>
      <xdr:colOff>55824</xdr:colOff>
      <xdr:row>65</xdr:row>
      <xdr:rowOff>41869</xdr:rowOff>
    </xdr:from>
    <xdr:to>
      <xdr:col>8</xdr:col>
      <xdr:colOff>567765</xdr:colOff>
      <xdr:row>67</xdr:row>
      <xdr:rowOff>46563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61F4B04-66CD-E14E-8873-C8B3B5485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68883" y="13683163"/>
          <a:ext cx="1333706" cy="423047"/>
        </a:xfrm>
        <a:prstGeom prst="rect">
          <a:avLst/>
        </a:prstGeom>
      </xdr:spPr>
    </xdr:pic>
    <xdr:clientData/>
  </xdr:twoCellAnchor>
  <xdr:twoCellAnchor editAs="oneCell">
    <xdr:from>
      <xdr:col>9</xdr:col>
      <xdr:colOff>274496</xdr:colOff>
      <xdr:row>71</xdr:row>
      <xdr:rowOff>41944</xdr:rowOff>
    </xdr:from>
    <xdr:to>
      <xdr:col>11</xdr:col>
      <xdr:colOff>753008</xdr:colOff>
      <xdr:row>78</xdr:row>
      <xdr:rowOff>12008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139A69D-AAD9-9345-A28B-A7BF75CB5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456974" y="14472740"/>
          <a:ext cx="2119397" cy="1386171"/>
        </a:xfrm>
        <a:prstGeom prst="rect">
          <a:avLst/>
        </a:prstGeom>
      </xdr:spPr>
    </xdr:pic>
    <xdr:clientData/>
  </xdr:twoCellAnchor>
  <xdr:twoCellAnchor editAs="oneCell">
    <xdr:from>
      <xdr:col>4</xdr:col>
      <xdr:colOff>38751</xdr:colOff>
      <xdr:row>69</xdr:row>
      <xdr:rowOff>188806</xdr:rowOff>
    </xdr:from>
    <xdr:to>
      <xdr:col>5</xdr:col>
      <xdr:colOff>792481</xdr:colOff>
      <xdr:row>72</xdr:row>
      <xdr:rowOff>114801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33A06C7-BB82-FB4F-A2E5-476E75DE8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87711" y="14270566"/>
          <a:ext cx="1576690" cy="535595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</xdr:colOff>
      <xdr:row>74</xdr:row>
      <xdr:rowOff>9090</xdr:rowOff>
    </xdr:from>
    <xdr:to>
      <xdr:col>5</xdr:col>
      <xdr:colOff>213360</xdr:colOff>
      <xdr:row>76</xdr:row>
      <xdr:rowOff>30480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A7D32BF-AB16-0247-B95D-73169CAD7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669280" y="15106850"/>
          <a:ext cx="1016000" cy="42779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70</xdr:row>
      <xdr:rowOff>20320</xdr:rowOff>
    </xdr:from>
    <xdr:to>
      <xdr:col>7</xdr:col>
      <xdr:colOff>629920</xdr:colOff>
      <xdr:row>72</xdr:row>
      <xdr:rowOff>4391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3EE55E9-CB5C-BF4D-9FCD-6EBB7E3F4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68640" y="14305280"/>
          <a:ext cx="579120" cy="381000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74</xdr:row>
      <xdr:rowOff>14974</xdr:rowOff>
    </xdr:from>
    <xdr:to>
      <xdr:col>9</xdr:col>
      <xdr:colOff>162560</xdr:colOff>
      <xdr:row>76</xdr:row>
      <xdr:rowOff>104139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07657F9-142D-C749-A96F-CF142D45C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78800" y="15112734"/>
          <a:ext cx="1747520" cy="495565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</xdr:colOff>
      <xdr:row>78</xdr:row>
      <xdr:rowOff>40640</xdr:rowOff>
    </xdr:from>
    <xdr:to>
      <xdr:col>4</xdr:col>
      <xdr:colOff>801858</xdr:colOff>
      <xdr:row>79</xdr:row>
      <xdr:rowOff>91440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BAA500C-51A0-D34D-9A80-1ECA3B660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669280" y="15951200"/>
          <a:ext cx="781538" cy="2540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</xdr:colOff>
      <xdr:row>78</xdr:row>
      <xdr:rowOff>54824</xdr:rowOff>
    </xdr:from>
    <xdr:to>
      <xdr:col>8</xdr:col>
      <xdr:colOff>91440</xdr:colOff>
      <xdr:row>79</xdr:row>
      <xdr:rowOff>55880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2B459C4-5414-7142-A10D-A343CFB65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58480" y="15965384"/>
          <a:ext cx="873760" cy="204256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82</xdr:row>
      <xdr:rowOff>36808</xdr:rowOff>
    </xdr:from>
    <xdr:to>
      <xdr:col>5</xdr:col>
      <xdr:colOff>381000</xdr:colOff>
      <xdr:row>84</xdr:row>
      <xdr:rowOff>165100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86A8E9-C48A-F345-8067-7406F44EC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689600" y="16762708"/>
          <a:ext cx="1168400" cy="534692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86</xdr:row>
      <xdr:rowOff>45406</xdr:rowOff>
    </xdr:from>
    <xdr:to>
      <xdr:col>6</xdr:col>
      <xdr:colOff>508000</xdr:colOff>
      <xdr:row>87</xdr:row>
      <xdr:rowOff>143123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EDD32C5-41BC-BD47-93DD-21014A03C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676900" y="17584106"/>
          <a:ext cx="2133600" cy="300917"/>
        </a:xfrm>
        <a:prstGeom prst="rect">
          <a:avLst/>
        </a:prstGeom>
      </xdr:spPr>
    </xdr:pic>
    <xdr:clientData/>
  </xdr:twoCellAnchor>
  <xdr:twoCellAnchor editAs="oneCell">
    <xdr:from>
      <xdr:col>7</xdr:col>
      <xdr:colOff>63500</xdr:colOff>
      <xdr:row>86</xdr:row>
      <xdr:rowOff>19958</xdr:rowOff>
    </xdr:from>
    <xdr:to>
      <xdr:col>8</xdr:col>
      <xdr:colOff>190500</xdr:colOff>
      <xdr:row>88</xdr:row>
      <xdr:rowOff>21772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708E54D-3078-1E43-B4EF-A6476A2A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191500" y="17558658"/>
          <a:ext cx="952500" cy="40821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82</xdr:row>
      <xdr:rowOff>38100</xdr:rowOff>
    </xdr:from>
    <xdr:to>
      <xdr:col>8</xdr:col>
      <xdr:colOff>498122</xdr:colOff>
      <xdr:row>83</xdr:row>
      <xdr:rowOff>127000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1CD435B-C34C-DF48-9FFB-C2693237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53400" y="16764000"/>
          <a:ext cx="1298222" cy="292100"/>
        </a:xfrm>
        <a:prstGeom prst="rect">
          <a:avLst/>
        </a:prstGeom>
      </xdr:spPr>
    </xdr:pic>
    <xdr:clientData/>
  </xdr:twoCellAnchor>
  <xdr:twoCellAnchor editAs="oneCell">
    <xdr:from>
      <xdr:col>9</xdr:col>
      <xdr:colOff>88900</xdr:colOff>
      <xdr:row>86</xdr:row>
      <xdr:rowOff>12700</xdr:rowOff>
    </xdr:from>
    <xdr:to>
      <xdr:col>10</xdr:col>
      <xdr:colOff>444500</xdr:colOff>
      <xdr:row>88</xdr:row>
      <xdr:rowOff>25400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30B1520-E567-4240-BA8C-BE72A5A6D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867900" y="17551400"/>
          <a:ext cx="1181100" cy="419100"/>
        </a:xfrm>
        <a:prstGeom prst="rect">
          <a:avLst/>
        </a:prstGeom>
      </xdr:spPr>
    </xdr:pic>
    <xdr:clientData/>
  </xdr:twoCellAnchor>
  <xdr:twoCellAnchor editAs="oneCell">
    <xdr:from>
      <xdr:col>4</xdr:col>
      <xdr:colOff>33866</xdr:colOff>
      <xdr:row>91</xdr:row>
      <xdr:rowOff>81051</xdr:rowOff>
    </xdr:from>
    <xdr:to>
      <xdr:col>5</xdr:col>
      <xdr:colOff>518838</xdr:colOff>
      <xdr:row>92</xdr:row>
      <xdr:rowOff>129676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F392896-4433-2546-B82B-68E0630E4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84653" y="18331950"/>
          <a:ext cx="1312612" cy="248400"/>
        </a:xfrm>
        <a:prstGeom prst="rect">
          <a:avLst/>
        </a:prstGeom>
      </xdr:spPr>
    </xdr:pic>
    <xdr:clientData/>
  </xdr:twoCellAnchor>
  <xdr:twoCellAnchor editAs="oneCell">
    <xdr:from>
      <xdr:col>4</xdr:col>
      <xdr:colOff>33867</xdr:colOff>
      <xdr:row>92</xdr:row>
      <xdr:rowOff>179228</xdr:rowOff>
    </xdr:from>
    <xdr:to>
      <xdr:col>5</xdr:col>
      <xdr:colOff>728134</xdr:colOff>
      <xdr:row>98</xdr:row>
      <xdr:rowOff>42953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D8EAE79-6D06-F742-8815-8CFF2C364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684654" y="18629902"/>
          <a:ext cx="1521907" cy="1062377"/>
        </a:xfrm>
        <a:prstGeom prst="rect">
          <a:avLst/>
        </a:prstGeom>
      </xdr:spPr>
    </xdr:pic>
    <xdr:clientData/>
  </xdr:twoCellAnchor>
  <xdr:twoCellAnchor editAs="oneCell">
    <xdr:from>
      <xdr:col>7</xdr:col>
      <xdr:colOff>14080</xdr:colOff>
      <xdr:row>93</xdr:row>
      <xdr:rowOff>19597</xdr:rowOff>
    </xdr:from>
    <xdr:to>
      <xdr:col>10</xdr:col>
      <xdr:colOff>369681</xdr:colOff>
      <xdr:row>95</xdr:row>
      <xdr:rowOff>184696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A144C0E-5035-874E-976B-665F7D3DF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147788" y="18670046"/>
          <a:ext cx="2838522" cy="564650"/>
        </a:xfrm>
        <a:prstGeom prst="rect">
          <a:avLst/>
        </a:prstGeom>
      </xdr:spPr>
    </xdr:pic>
    <xdr:clientData/>
  </xdr:twoCellAnchor>
  <xdr:twoCellAnchor editAs="oneCell">
    <xdr:from>
      <xdr:col>7</xdr:col>
      <xdr:colOff>73822</xdr:colOff>
      <xdr:row>97</xdr:row>
      <xdr:rowOff>76675</xdr:rowOff>
    </xdr:from>
    <xdr:to>
      <xdr:col>10</xdr:col>
      <xdr:colOff>607223</xdr:colOff>
      <xdr:row>100</xdr:row>
      <xdr:rowOff>42001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27D78A5-66A9-C544-9597-5571536B5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207530" y="19526226"/>
          <a:ext cx="3016322" cy="564651"/>
        </a:xfrm>
        <a:prstGeom prst="rect">
          <a:avLst/>
        </a:prstGeom>
      </xdr:spPr>
    </xdr:pic>
    <xdr:clientData/>
  </xdr:twoCellAnchor>
  <xdr:twoCellAnchor editAs="oneCell">
    <xdr:from>
      <xdr:col>4</xdr:col>
      <xdr:colOff>27912</xdr:colOff>
      <xdr:row>131</xdr:row>
      <xdr:rowOff>125605</xdr:rowOff>
    </xdr:from>
    <xdr:to>
      <xdr:col>8</xdr:col>
      <xdr:colOff>781371</xdr:colOff>
      <xdr:row>142</xdr:row>
      <xdr:rowOff>108020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870246-4B2D-674D-A9AF-A244AA7A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112747" y="27591100"/>
          <a:ext cx="4047086" cy="2285162"/>
        </a:xfrm>
        <a:prstGeom prst="rect">
          <a:avLst/>
        </a:prstGeom>
      </xdr:spPr>
    </xdr:pic>
    <xdr:clientData/>
  </xdr:twoCellAnchor>
  <xdr:twoCellAnchor editAs="oneCell">
    <xdr:from>
      <xdr:col>4</xdr:col>
      <xdr:colOff>13956</xdr:colOff>
      <xdr:row>144</xdr:row>
      <xdr:rowOff>83737</xdr:rowOff>
    </xdr:from>
    <xdr:to>
      <xdr:col>6</xdr:col>
      <xdr:colOff>488043</xdr:colOff>
      <xdr:row>146</xdr:row>
      <xdr:rowOff>10868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650F8F0-5290-5F46-96B2-524945432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8791" y="30270660"/>
          <a:ext cx="2120900" cy="330200"/>
        </a:xfrm>
        <a:prstGeom prst="rect">
          <a:avLst/>
        </a:prstGeom>
      </xdr:spPr>
    </xdr:pic>
    <xdr:clientData/>
  </xdr:twoCellAnchor>
  <xdr:twoCellAnchor editAs="oneCell">
    <xdr:from>
      <xdr:col>4</xdr:col>
      <xdr:colOff>13956</xdr:colOff>
      <xdr:row>145</xdr:row>
      <xdr:rowOff>195384</xdr:rowOff>
    </xdr:from>
    <xdr:to>
      <xdr:col>7</xdr:col>
      <xdr:colOff>363136</xdr:colOff>
      <xdr:row>147</xdr:row>
      <xdr:rowOff>106903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AB6214-E6C9-DE41-9D2A-79CDCE3BD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8791" y="30591648"/>
          <a:ext cx="2819400" cy="330200"/>
        </a:xfrm>
        <a:prstGeom prst="rect">
          <a:avLst/>
        </a:prstGeom>
      </xdr:spPr>
    </xdr:pic>
    <xdr:clientData/>
  </xdr:twoCellAnchor>
  <xdr:twoCellAnchor editAs="oneCell">
    <xdr:from>
      <xdr:col>4</xdr:col>
      <xdr:colOff>55825</xdr:colOff>
      <xdr:row>149</xdr:row>
      <xdr:rowOff>41869</xdr:rowOff>
    </xdr:from>
    <xdr:to>
      <xdr:col>5</xdr:col>
      <xdr:colOff>388118</xdr:colOff>
      <xdr:row>151</xdr:row>
      <xdr:rowOff>93087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FC99621-74A0-D44A-A5B6-94B1FF3E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140660" y="31275495"/>
          <a:ext cx="1155700" cy="469900"/>
        </a:xfrm>
        <a:prstGeom prst="rect">
          <a:avLst/>
        </a:prstGeom>
      </xdr:spPr>
    </xdr:pic>
    <xdr:clientData/>
  </xdr:twoCellAnchor>
  <xdr:twoCellAnchor editAs="oneCell">
    <xdr:from>
      <xdr:col>8</xdr:col>
      <xdr:colOff>820525</xdr:colOff>
      <xdr:row>140</xdr:row>
      <xdr:rowOff>88900</xdr:rowOff>
    </xdr:from>
    <xdr:to>
      <xdr:col>13</xdr:col>
      <xdr:colOff>571919</xdr:colOff>
      <xdr:row>148</xdr:row>
      <xdr:rowOff>23865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CCE8C1-DF41-D644-AD7D-C9254860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205825" y="28600400"/>
          <a:ext cx="3878894" cy="1560565"/>
        </a:xfrm>
        <a:prstGeom prst="rect">
          <a:avLst/>
        </a:prstGeom>
      </xdr:spPr>
    </xdr:pic>
    <xdr:clientData/>
  </xdr:twoCellAnchor>
  <xdr:twoCellAnchor editAs="oneCell">
    <xdr:from>
      <xdr:col>8</xdr:col>
      <xdr:colOff>787399</xdr:colOff>
      <xdr:row>148</xdr:row>
      <xdr:rowOff>17826</xdr:rowOff>
    </xdr:from>
    <xdr:to>
      <xdr:col>14</xdr:col>
      <xdr:colOff>51218</xdr:colOff>
      <xdr:row>153</xdr:row>
      <xdr:rowOff>179196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C287341-39A5-0F43-8947-DAEFF22BD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172699" y="30154926"/>
          <a:ext cx="4216819" cy="1177370"/>
        </a:xfrm>
        <a:prstGeom prst="rect">
          <a:avLst/>
        </a:prstGeom>
      </xdr:spPr>
    </xdr:pic>
    <xdr:clientData/>
  </xdr:twoCellAnchor>
  <xdr:twoCellAnchor editAs="oneCell">
    <xdr:from>
      <xdr:col>3</xdr:col>
      <xdr:colOff>809450</xdr:colOff>
      <xdr:row>154</xdr:row>
      <xdr:rowOff>55824</xdr:rowOff>
    </xdr:from>
    <xdr:to>
      <xdr:col>11</xdr:col>
      <xdr:colOff>546798</xdr:colOff>
      <xdr:row>181</xdr:row>
      <xdr:rowOff>4327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F563182-92E8-8A41-99DF-C6AA43F0F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70879" y="32336154"/>
          <a:ext cx="6324600" cy="5600700"/>
        </a:xfrm>
        <a:prstGeom prst="rect">
          <a:avLst/>
        </a:prstGeom>
      </xdr:spPr>
    </xdr:pic>
    <xdr:clientData/>
  </xdr:twoCellAnchor>
  <xdr:twoCellAnchor editAs="oneCell">
    <xdr:from>
      <xdr:col>4</xdr:col>
      <xdr:colOff>81935</xdr:colOff>
      <xdr:row>181</xdr:row>
      <xdr:rowOff>54623</xdr:rowOff>
    </xdr:from>
    <xdr:to>
      <xdr:col>6</xdr:col>
      <xdr:colOff>221226</xdr:colOff>
      <xdr:row>183</xdr:row>
      <xdr:rowOff>76746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33033CDE-B544-0C4E-BB42-932207A40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158817" y="37198709"/>
          <a:ext cx="1778000" cy="431800"/>
        </a:xfrm>
        <a:prstGeom prst="rect">
          <a:avLst/>
        </a:prstGeom>
      </xdr:spPr>
    </xdr:pic>
    <xdr:clientData/>
  </xdr:twoCellAnchor>
  <xdr:twoCellAnchor editAs="oneCell">
    <xdr:from>
      <xdr:col>4</xdr:col>
      <xdr:colOff>28865</xdr:colOff>
      <xdr:row>107</xdr:row>
      <xdr:rowOff>158748</xdr:rowOff>
    </xdr:from>
    <xdr:to>
      <xdr:col>7</xdr:col>
      <xdr:colOff>158391</xdr:colOff>
      <xdr:row>124</xdr:row>
      <xdr:rowOff>43295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6DD717E-E624-E54A-92AC-B47668863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104660" y="21849771"/>
          <a:ext cx="2597367" cy="3319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202045</xdr:rowOff>
    </xdr:from>
    <xdr:to>
      <xdr:col>7</xdr:col>
      <xdr:colOff>732559</xdr:colOff>
      <xdr:row>130</xdr:row>
      <xdr:rowOff>170872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E2C7941-36A9-2A4E-A7B4-BC5E0AF95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75795" y="25327840"/>
          <a:ext cx="3200400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18681</xdr:colOff>
      <xdr:row>0</xdr:row>
      <xdr:rowOff>118777</xdr:rowOff>
    </xdr:from>
    <xdr:to>
      <xdr:col>10</xdr:col>
      <xdr:colOff>476311</xdr:colOff>
      <xdr:row>15</xdr:row>
      <xdr:rowOff>54821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97A460-8DEA-B84B-8642-2348B5060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94580" y="118777"/>
          <a:ext cx="5391443" cy="30242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60208-582B-3443-8F30-FA192ABD60F3}">
  <dimension ref="A1:J183"/>
  <sheetViews>
    <sheetView tabSelected="1" topLeftCell="A147" zoomScale="75" zoomScaleNormal="66" workbookViewId="0">
      <selection activeCell="B175" sqref="B175"/>
    </sheetView>
  </sheetViews>
  <sheetFormatPr defaultColWidth="10.85546875" defaultRowHeight="15.9" x14ac:dyDescent="0.45"/>
  <cols>
    <col min="1" max="1" width="40.640625" customWidth="1"/>
    <col min="2" max="2" width="17.5" customWidth="1"/>
  </cols>
  <sheetData>
    <row r="1" spans="1:2" ht="19.3" x14ac:dyDescent="0.5">
      <c r="A1" s="4" t="s">
        <v>149</v>
      </c>
    </row>
    <row r="2" spans="1:2" x14ac:dyDescent="0.45">
      <c r="A2" s="1" t="s">
        <v>148</v>
      </c>
    </row>
    <row r="4" spans="1:2" x14ac:dyDescent="0.45">
      <c r="A4" s="1"/>
    </row>
    <row r="5" spans="1:2" x14ac:dyDescent="0.45">
      <c r="A5" s="6" t="s">
        <v>0</v>
      </c>
      <c r="B5" s="6"/>
    </row>
    <row r="6" spans="1:2" x14ac:dyDescent="0.45">
      <c r="A6" t="s">
        <v>1</v>
      </c>
      <c r="B6" t="s">
        <v>2</v>
      </c>
    </row>
    <row r="7" spans="1:2" x14ac:dyDescent="0.45">
      <c r="A7" s="2" t="s">
        <v>6</v>
      </c>
      <c r="B7">
        <v>12000</v>
      </c>
    </row>
    <row r="8" spans="1:2" x14ac:dyDescent="0.45">
      <c r="A8" s="2" t="s">
        <v>3</v>
      </c>
      <c r="B8">
        <v>2000</v>
      </c>
    </row>
    <row r="9" spans="1:2" ht="17.05" customHeight="1" x14ac:dyDescent="0.45">
      <c r="A9" s="3" t="s">
        <v>4</v>
      </c>
      <c r="B9">
        <v>324</v>
      </c>
    </row>
    <row r="10" spans="1:2" x14ac:dyDescent="0.45">
      <c r="A10" s="2" t="s">
        <v>33</v>
      </c>
      <c r="B10">
        <v>149</v>
      </c>
    </row>
    <row r="11" spans="1:2" x14ac:dyDescent="0.45">
      <c r="A11" s="2" t="s">
        <v>34</v>
      </c>
      <c r="B11">
        <v>149</v>
      </c>
    </row>
    <row r="12" spans="1:2" x14ac:dyDescent="0.45">
      <c r="A12" s="2" t="s">
        <v>5</v>
      </c>
      <c r="B12">
        <f>(B10+B11)</f>
        <v>298</v>
      </c>
    </row>
    <row r="13" spans="1:2" x14ac:dyDescent="0.45">
      <c r="A13" s="2" t="s">
        <v>13</v>
      </c>
      <c r="B13">
        <v>10995</v>
      </c>
    </row>
    <row r="14" spans="1:2" x14ac:dyDescent="0.45">
      <c r="A14" s="2" t="s">
        <v>15</v>
      </c>
      <c r="B14">
        <v>1.5</v>
      </c>
    </row>
    <row r="15" spans="1:2" x14ac:dyDescent="0.45">
      <c r="A15" s="2" t="s">
        <v>14</v>
      </c>
      <c r="B15">
        <f>(0.7*10^-6*10^3)</f>
        <v>6.9999999999999999E-4</v>
      </c>
    </row>
    <row r="16" spans="1:2" x14ac:dyDescent="0.45">
      <c r="A16" s="2"/>
    </row>
    <row r="17" spans="1:7" x14ac:dyDescent="0.45">
      <c r="E17" s="1" t="s">
        <v>7</v>
      </c>
      <c r="G17" s="1" t="s">
        <v>8</v>
      </c>
    </row>
    <row r="21" spans="1:7" x14ac:dyDescent="0.45">
      <c r="E21" s="1" t="s">
        <v>9</v>
      </c>
      <c r="G21" s="1" t="s">
        <v>10</v>
      </c>
    </row>
    <row r="23" spans="1:7" x14ac:dyDescent="0.45">
      <c r="A23" s="6" t="s">
        <v>16</v>
      </c>
      <c r="B23" s="6"/>
    </row>
    <row r="24" spans="1:7" x14ac:dyDescent="0.45">
      <c r="A24" s="6" t="s">
        <v>21</v>
      </c>
      <c r="B24" s="6"/>
    </row>
    <row r="25" spans="1:7" x14ac:dyDescent="0.45">
      <c r="A25" t="s">
        <v>11</v>
      </c>
      <c r="B25" t="s">
        <v>2</v>
      </c>
      <c r="E25" s="1" t="s">
        <v>17</v>
      </c>
    </row>
    <row r="26" spans="1:7" x14ac:dyDescent="0.45">
      <c r="A26" t="s">
        <v>12</v>
      </c>
      <c r="B26">
        <f>(B12*9.8)</f>
        <v>2920.4</v>
      </c>
    </row>
    <row r="27" spans="1:7" x14ac:dyDescent="0.45">
      <c r="A27" t="s">
        <v>18</v>
      </c>
      <c r="B27">
        <f>(B15*100/20)</f>
        <v>3.4999999999999996E-3</v>
      </c>
    </row>
    <row r="28" spans="1:7" x14ac:dyDescent="0.45">
      <c r="A28" t="s">
        <v>19</v>
      </c>
      <c r="B28">
        <f>(B26*(B27*10^-3*1.2)^2)</f>
        <v>5.151585599999999E-8</v>
      </c>
    </row>
    <row r="29" spans="1:7" x14ac:dyDescent="0.45">
      <c r="A29" t="s">
        <v>29</v>
      </c>
      <c r="B29">
        <f>(B28/((B27*10^-3)^2))</f>
        <v>4205.3760000000002</v>
      </c>
      <c r="E29" s="1" t="s">
        <v>20</v>
      </c>
    </row>
    <row r="30" spans="1:7" x14ac:dyDescent="0.45">
      <c r="A30" s="6" t="s">
        <v>30</v>
      </c>
      <c r="B30" s="6"/>
    </row>
    <row r="31" spans="1:7" x14ac:dyDescent="0.45">
      <c r="A31" t="s">
        <v>28</v>
      </c>
      <c r="B31">
        <f>(B29)</f>
        <v>4205.3760000000002</v>
      </c>
    </row>
    <row r="32" spans="1:7" x14ac:dyDescent="0.45">
      <c r="A32" t="s">
        <v>12</v>
      </c>
      <c r="B32">
        <f>(B31)</f>
        <v>4205.3760000000002</v>
      </c>
    </row>
    <row r="33" spans="1:8" x14ac:dyDescent="0.45">
      <c r="A33" t="s">
        <v>19</v>
      </c>
      <c r="B33">
        <f>(B32*(B27*10^-3+B15*10^-3)^2)</f>
        <v>7.4182832639999986E-8</v>
      </c>
    </row>
    <row r="34" spans="1:8" x14ac:dyDescent="0.45">
      <c r="A34" t="s">
        <v>31</v>
      </c>
      <c r="B34">
        <f>(B33/(B27*10^-3)^2)</f>
        <v>6055.7414400000007</v>
      </c>
    </row>
    <row r="35" spans="1:8" x14ac:dyDescent="0.45">
      <c r="A35" t="s">
        <v>42</v>
      </c>
      <c r="B35">
        <v>0.5</v>
      </c>
    </row>
    <row r="36" spans="1:8" x14ac:dyDescent="0.45">
      <c r="A36" t="s">
        <v>96</v>
      </c>
      <c r="B36">
        <v>500</v>
      </c>
    </row>
    <row r="37" spans="1:8" x14ac:dyDescent="0.45">
      <c r="A37" t="s">
        <v>95</v>
      </c>
      <c r="B37">
        <v>2.5</v>
      </c>
    </row>
    <row r="38" spans="1:8" x14ac:dyDescent="0.45">
      <c r="A38" t="s">
        <v>35</v>
      </c>
      <c r="B38">
        <v>1.2</v>
      </c>
    </row>
    <row r="39" spans="1:8" x14ac:dyDescent="0.45">
      <c r="A39" s="6" t="s">
        <v>22</v>
      </c>
      <c r="B39" s="6"/>
    </row>
    <row r="40" spans="1:8" x14ac:dyDescent="0.45">
      <c r="A40" t="s">
        <v>1</v>
      </c>
      <c r="B40" t="s">
        <v>2</v>
      </c>
      <c r="E40" s="1" t="s">
        <v>25</v>
      </c>
      <c r="H40" s="1" t="s">
        <v>36</v>
      </c>
    </row>
    <row r="41" spans="1:8" x14ac:dyDescent="0.45">
      <c r="A41" t="s">
        <v>23</v>
      </c>
      <c r="B41">
        <f>(B13*500/30000)</f>
        <v>183.25</v>
      </c>
    </row>
    <row r="42" spans="1:8" x14ac:dyDescent="0.45">
      <c r="A42" t="s">
        <v>24</v>
      </c>
      <c r="B42">
        <f>(B29*2*PI()*B41)</f>
        <v>4842043.4642425077</v>
      </c>
    </row>
    <row r="43" spans="1:8" x14ac:dyDescent="0.45">
      <c r="A43" t="s">
        <v>27</v>
      </c>
      <c r="B43">
        <f>(B42*B35*10^-3)</f>
        <v>2421.021732121254</v>
      </c>
    </row>
    <row r="44" spans="1:8" x14ac:dyDescent="0.45">
      <c r="A44" t="s">
        <v>40</v>
      </c>
      <c r="B44">
        <v>10</v>
      </c>
      <c r="E44" s="1" t="s">
        <v>26</v>
      </c>
      <c r="H44" s="1" t="s">
        <v>37</v>
      </c>
    </row>
    <row r="45" spans="1:8" x14ac:dyDescent="0.45">
      <c r="A45" t="s">
        <v>41</v>
      </c>
      <c r="B45">
        <f>B43/B44</f>
        <v>242.10217321212539</v>
      </c>
    </row>
    <row r="46" spans="1:8" x14ac:dyDescent="0.45">
      <c r="A46" t="s">
        <v>38</v>
      </c>
      <c r="B46">
        <f>(SQRT(B34*0.231/B31))</f>
        <v>0.57674951235350003</v>
      </c>
    </row>
    <row r="47" spans="1:8" x14ac:dyDescent="0.45">
      <c r="A47" t="s">
        <v>39</v>
      </c>
      <c r="B47">
        <f>(B46*B44)</f>
        <v>5.7674951235350003</v>
      </c>
    </row>
    <row r="48" spans="1:8" x14ac:dyDescent="0.45">
      <c r="A48" t="s">
        <v>44</v>
      </c>
      <c r="B48" s="5">
        <f>(B38*B35*10^-3/(B44*4*PI()*10^-7))</f>
        <v>47.7464829275686</v>
      </c>
      <c r="E48" s="1" t="s">
        <v>32</v>
      </c>
      <c r="H48" s="1" t="s">
        <v>43</v>
      </c>
    </row>
    <row r="53" spans="1:7" x14ac:dyDescent="0.45">
      <c r="A53" s="6" t="s">
        <v>45</v>
      </c>
      <c r="B53" s="7"/>
    </row>
    <row r="54" spans="1:7" x14ac:dyDescent="0.45">
      <c r="A54" t="s">
        <v>1</v>
      </c>
      <c r="B54" t="s">
        <v>2</v>
      </c>
      <c r="E54" s="1" t="s">
        <v>46</v>
      </c>
    </row>
    <row r="55" spans="1:7" x14ac:dyDescent="0.45">
      <c r="A55" t="s">
        <v>48</v>
      </c>
      <c r="B55">
        <f>(22.5/360*PI())</f>
        <v>0.19634954084936207</v>
      </c>
    </row>
    <row r="56" spans="1:7" x14ac:dyDescent="0.45">
      <c r="A56" t="s">
        <v>52</v>
      </c>
      <c r="B56">
        <v>0.14000000000000001</v>
      </c>
    </row>
    <row r="57" spans="1:7" x14ac:dyDescent="0.45">
      <c r="A57" t="s">
        <v>50</v>
      </c>
      <c r="B57">
        <v>1</v>
      </c>
    </row>
    <row r="58" spans="1:7" x14ac:dyDescent="0.45">
      <c r="A58" t="s">
        <v>47</v>
      </c>
      <c r="B58">
        <f>(2*4*PI()*10^-7*B31/(2*B38*COS(22.5/360*PI())))</f>
        <v>4.4901361562546946E-3</v>
      </c>
      <c r="E58" s="1" t="s">
        <v>49</v>
      </c>
    </row>
    <row r="59" spans="1:7" x14ac:dyDescent="0.45">
      <c r="A59" t="s">
        <v>53</v>
      </c>
      <c r="B59">
        <f>(B55*(B56+B35*10^-3)/(1-B55*B57))</f>
        <v>3.4327250330313551E-2</v>
      </c>
    </row>
    <row r="60" spans="1:7" x14ac:dyDescent="0.45">
      <c r="A60" t="s">
        <v>51</v>
      </c>
      <c r="B60">
        <f>(B59*B57+B56)</f>
        <v>0.17432725033031357</v>
      </c>
    </row>
    <row r="61" spans="1:7" x14ac:dyDescent="0.45">
      <c r="A61" t="s">
        <v>54</v>
      </c>
      <c r="B61">
        <f>(B60+B35*10^-3)</f>
        <v>0.17482725033031357</v>
      </c>
    </row>
    <row r="62" spans="1:7" x14ac:dyDescent="0.45">
      <c r="A62" t="s">
        <v>58</v>
      </c>
      <c r="B62">
        <f>(B58/B59)</f>
        <v>0.13080383989537214</v>
      </c>
      <c r="E62" s="1" t="s">
        <v>55</v>
      </c>
      <c r="G62" s="1" t="s">
        <v>56</v>
      </c>
    </row>
    <row r="63" spans="1:7" x14ac:dyDescent="0.45">
      <c r="A63" t="s">
        <v>60</v>
      </c>
      <c r="B63">
        <f>(B62/350/10^-6)</f>
        <v>373.72525684392042</v>
      </c>
    </row>
    <row r="65" spans="1:8" x14ac:dyDescent="0.45">
      <c r="E65" s="1" t="s">
        <v>57</v>
      </c>
      <c r="H65" s="1" t="s">
        <v>59</v>
      </c>
    </row>
    <row r="70" spans="1:8" x14ac:dyDescent="0.45">
      <c r="A70" s="6" t="s">
        <v>61</v>
      </c>
      <c r="B70" s="7"/>
      <c r="E70" s="1" t="s">
        <v>62</v>
      </c>
      <c r="H70" s="1" t="s">
        <v>71</v>
      </c>
    </row>
    <row r="71" spans="1:8" x14ac:dyDescent="0.45">
      <c r="A71" t="s">
        <v>1</v>
      </c>
      <c r="B71" t="s">
        <v>2</v>
      </c>
      <c r="E71" s="1"/>
    </row>
    <row r="72" spans="1:8" x14ac:dyDescent="0.45">
      <c r="A72" t="s">
        <v>63</v>
      </c>
      <c r="B72">
        <f>(B61*TAN(PI()/4)-B59/2)</f>
        <v>0.15766362516515678</v>
      </c>
    </row>
    <row r="73" spans="1:8" x14ac:dyDescent="0.45">
      <c r="A73" t="s">
        <v>64</v>
      </c>
      <c r="B73">
        <f>(3*10^6)</f>
        <v>3000000</v>
      </c>
    </row>
    <row r="74" spans="1:8" x14ac:dyDescent="0.45">
      <c r="A74" t="s">
        <v>65</v>
      </c>
      <c r="B74">
        <v>0.5</v>
      </c>
      <c r="E74" s="1" t="s">
        <v>70</v>
      </c>
      <c r="H74" s="1" t="s">
        <v>72</v>
      </c>
    </row>
    <row r="75" spans="1:8" x14ac:dyDescent="0.45">
      <c r="A75" t="s">
        <v>66</v>
      </c>
      <c r="B75">
        <f>(B48*B44/B74/B73)</f>
        <v>3.1830988618379065E-4</v>
      </c>
    </row>
    <row r="76" spans="1:8" x14ac:dyDescent="0.45">
      <c r="A76" t="s">
        <v>67</v>
      </c>
      <c r="B76">
        <f>(B75/B72)</f>
        <v>2.0189177170723601E-3</v>
      </c>
    </row>
    <row r="77" spans="1:8" x14ac:dyDescent="0.45">
      <c r="A77" t="s">
        <v>68</v>
      </c>
      <c r="B77">
        <f>(SQRT((B76+B61)^2+(B59/2+B72)^2))</f>
        <v>0.24867475668250363</v>
      </c>
    </row>
    <row r="78" spans="1:8" x14ac:dyDescent="0.45">
      <c r="A78" t="s">
        <v>69</v>
      </c>
      <c r="B78">
        <f>(B77-B61)</f>
        <v>7.3847506352190062E-2</v>
      </c>
      <c r="E78" s="1" t="s">
        <v>73</v>
      </c>
      <c r="H78" s="1" t="s">
        <v>74</v>
      </c>
    </row>
    <row r="81" spans="1:10" x14ac:dyDescent="0.45">
      <c r="A81" s="6" t="s">
        <v>75</v>
      </c>
      <c r="B81" s="7"/>
    </row>
    <row r="82" spans="1:10" x14ac:dyDescent="0.45">
      <c r="A82" t="s">
        <v>11</v>
      </c>
      <c r="B82" t="s">
        <v>2</v>
      </c>
      <c r="E82" s="1" t="s">
        <v>76</v>
      </c>
      <c r="H82" s="1" t="s">
        <v>83</v>
      </c>
    </row>
    <row r="83" spans="1:10" x14ac:dyDescent="0.45">
      <c r="A83" t="s">
        <v>77</v>
      </c>
      <c r="B83">
        <f>(SQRT(B74*B75/(PI()*B48)))</f>
        <v>1.0300645387285054E-3</v>
      </c>
    </row>
    <row r="84" spans="1:10" x14ac:dyDescent="0.45">
      <c r="A84" t="s">
        <v>82</v>
      </c>
      <c r="B84">
        <f>(PI()*(B83)^2)</f>
        <v>3.3333333333333321E-6</v>
      </c>
    </row>
    <row r="85" spans="1:10" x14ac:dyDescent="0.45">
      <c r="A85" t="s">
        <v>79</v>
      </c>
      <c r="B85">
        <f>(4*B48*((B72+B59)+(B72+B62)))</f>
        <v>91.760783819059824</v>
      </c>
    </row>
    <row r="86" spans="1:10" x14ac:dyDescent="0.45">
      <c r="A86" s="2" t="s">
        <v>81</v>
      </c>
      <c r="B86">
        <f>(1.912*10^-8)</f>
        <v>1.9119999999999998E-8</v>
      </c>
      <c r="E86" s="1" t="s">
        <v>78</v>
      </c>
      <c r="H86" s="1" t="s">
        <v>84</v>
      </c>
      <c r="J86" s="1" t="s">
        <v>85</v>
      </c>
    </row>
    <row r="87" spans="1:10" x14ac:dyDescent="0.45">
      <c r="A87" t="s">
        <v>80</v>
      </c>
      <c r="B87">
        <f>(B86*B85/B84)</f>
        <v>0.52633985598612731</v>
      </c>
    </row>
    <row r="88" spans="1:10" x14ac:dyDescent="0.45">
      <c r="A88" t="s">
        <v>86</v>
      </c>
      <c r="B88">
        <f>(2*4*PI()*10^-7*B58*B48^2/B35)</f>
        <v>5.1453170238497578E-5</v>
      </c>
    </row>
    <row r="90" spans="1:10" x14ac:dyDescent="0.45">
      <c r="A90" s="6" t="s">
        <v>87</v>
      </c>
      <c r="B90" s="7"/>
    </row>
    <row r="91" spans="1:10" x14ac:dyDescent="0.45">
      <c r="A91" t="s">
        <v>1</v>
      </c>
      <c r="B91" t="s">
        <v>2</v>
      </c>
      <c r="E91" s="1" t="s">
        <v>91</v>
      </c>
    </row>
    <row r="92" spans="1:10" x14ac:dyDescent="0.45">
      <c r="A92" t="s">
        <v>88</v>
      </c>
      <c r="B92">
        <f>(B38^2*B58/(4*PI()*10^-7)*COS(B55))</f>
        <v>5046.4511999999995</v>
      </c>
    </row>
    <row r="93" spans="1:10" x14ac:dyDescent="0.45">
      <c r="A93" t="s">
        <v>89</v>
      </c>
      <c r="B93">
        <f>(2*4*PI()*10^-7*B48^2*B47*B58/(B35*10^-3)^2*COS(B55))</f>
        <v>582.10765374314701</v>
      </c>
      <c r="H93" s="1" t="s">
        <v>92</v>
      </c>
    </row>
    <row r="94" spans="1:10" x14ac:dyDescent="0.45">
      <c r="A94" t="s">
        <v>90</v>
      </c>
      <c r="B94">
        <f>(-2*4*PI()*10^-7*B48^2*B47^2*B58*COS(B55)/(B35*10^-3)^3)</f>
        <v>-6714606.1086720014</v>
      </c>
    </row>
    <row r="97" spans="1:8" x14ac:dyDescent="0.45">
      <c r="H97" s="1" t="s">
        <v>93</v>
      </c>
    </row>
    <row r="107" spans="1:8" x14ac:dyDescent="0.45">
      <c r="A107" s="6" t="s">
        <v>94</v>
      </c>
      <c r="B107" s="6"/>
    </row>
    <row r="108" spans="1:8" x14ac:dyDescent="0.45">
      <c r="A108" s="6" t="s">
        <v>21</v>
      </c>
      <c r="B108" s="6"/>
    </row>
    <row r="109" spans="1:8" x14ac:dyDescent="0.45">
      <c r="A109" t="s">
        <v>12</v>
      </c>
      <c r="B109">
        <v>3000</v>
      </c>
    </row>
    <row r="110" spans="1:8" x14ac:dyDescent="0.45">
      <c r="A110" t="s">
        <v>18</v>
      </c>
      <c r="B110">
        <f>(B118*100/20)</f>
        <v>5</v>
      </c>
    </row>
    <row r="111" spans="1:8" x14ac:dyDescent="0.45">
      <c r="A111" t="s">
        <v>19</v>
      </c>
      <c r="B111">
        <f>(B109*(B110*10^-3*1.2)^2)</f>
        <v>0.108</v>
      </c>
    </row>
    <row r="112" spans="1:8" x14ac:dyDescent="0.45">
      <c r="A112" t="s">
        <v>29</v>
      </c>
      <c r="B112">
        <f>(B111/((B110*10^-3)^2))</f>
        <v>4320</v>
      </c>
    </row>
    <row r="113" spans="1:8" x14ac:dyDescent="0.45">
      <c r="A113" s="6" t="s">
        <v>30</v>
      </c>
      <c r="B113" s="6"/>
    </row>
    <row r="114" spans="1:8" x14ac:dyDescent="0.45">
      <c r="A114" t="s">
        <v>28</v>
      </c>
      <c r="B114">
        <f>(B112)</f>
        <v>4320</v>
      </c>
    </row>
    <row r="115" spans="1:8" x14ac:dyDescent="0.45">
      <c r="A115" t="s">
        <v>12</v>
      </c>
      <c r="B115">
        <f>(B114)</f>
        <v>4320</v>
      </c>
    </row>
    <row r="116" spans="1:8" x14ac:dyDescent="0.45">
      <c r="A116" t="s">
        <v>19</v>
      </c>
      <c r="B116">
        <f>(B115*(B110*10^-3+B87*10^-3)^2)</f>
        <v>0.13193466712067853</v>
      </c>
    </row>
    <row r="117" spans="1:8" x14ac:dyDescent="0.45">
      <c r="A117" t="s">
        <v>31</v>
      </c>
      <c r="B117">
        <f>(B116/(B110*10^-3)^2)</f>
        <v>5277.3866848271409</v>
      </c>
      <c r="E117" s="1"/>
      <c r="H117" s="1"/>
    </row>
    <row r="118" spans="1:8" x14ac:dyDescent="0.45">
      <c r="A118" t="s">
        <v>42</v>
      </c>
      <c r="B118">
        <v>1</v>
      </c>
    </row>
    <row r="119" spans="1:8" x14ac:dyDescent="0.45">
      <c r="A119" t="s">
        <v>96</v>
      </c>
      <c r="B119">
        <v>500</v>
      </c>
    </row>
    <row r="120" spans="1:8" x14ac:dyDescent="0.45">
      <c r="A120" t="s">
        <v>95</v>
      </c>
      <c r="B120">
        <v>2.5</v>
      </c>
    </row>
    <row r="121" spans="1:8" x14ac:dyDescent="0.45">
      <c r="A121" t="s">
        <v>35</v>
      </c>
      <c r="B121">
        <v>1.1499999999999999</v>
      </c>
    </row>
    <row r="122" spans="1:8" x14ac:dyDescent="0.45">
      <c r="A122" s="6" t="s">
        <v>22</v>
      </c>
      <c r="B122" s="6"/>
    </row>
    <row r="123" spans="1:8" x14ac:dyDescent="0.45">
      <c r="A123" t="s">
        <v>1</v>
      </c>
      <c r="B123" t="s">
        <v>2</v>
      </c>
    </row>
    <row r="124" spans="1:8" x14ac:dyDescent="0.45">
      <c r="A124" t="s">
        <v>23</v>
      </c>
      <c r="B124">
        <f>(B13*500/30000)</f>
        <v>183.25</v>
      </c>
    </row>
    <row r="125" spans="1:8" x14ac:dyDescent="0.45">
      <c r="A125" t="s">
        <v>24</v>
      </c>
      <c r="B125">
        <f>(B112*2*PI()*B124)</f>
        <v>4974020.8165756473</v>
      </c>
    </row>
    <row r="126" spans="1:8" x14ac:dyDescent="0.45">
      <c r="A126" t="s">
        <v>27</v>
      </c>
      <c r="B126">
        <f>(B125*B118*10^-3)</f>
        <v>4974.0208165756476</v>
      </c>
    </row>
    <row r="127" spans="1:8" x14ac:dyDescent="0.45">
      <c r="A127" t="s">
        <v>40</v>
      </c>
      <c r="B127">
        <v>10</v>
      </c>
    </row>
    <row r="128" spans="1:8" x14ac:dyDescent="0.45">
      <c r="A128" t="s">
        <v>41</v>
      </c>
      <c r="B128">
        <f>B126/B127</f>
        <v>497.40208165756474</v>
      </c>
    </row>
    <row r="129" spans="1:5" x14ac:dyDescent="0.45">
      <c r="A129" t="s">
        <v>38</v>
      </c>
      <c r="B129">
        <f>(SQRT(B117*0.231/B114))</f>
        <v>0.5312189695066184</v>
      </c>
    </row>
    <row r="130" spans="1:5" x14ac:dyDescent="0.45">
      <c r="A130" t="s">
        <v>39</v>
      </c>
      <c r="B130">
        <f>(B129*B127)</f>
        <v>5.3121896950661842</v>
      </c>
    </row>
    <row r="131" spans="1:5" x14ac:dyDescent="0.45">
      <c r="A131" t="s">
        <v>44</v>
      </c>
      <c r="B131" s="5">
        <f>(B121*B118*10^-3/(B127*4*PI()*10^-7))</f>
        <v>91.514092277839822</v>
      </c>
    </row>
    <row r="133" spans="1:5" x14ac:dyDescent="0.45">
      <c r="A133" s="6" t="s">
        <v>97</v>
      </c>
      <c r="B133" s="6"/>
    </row>
    <row r="134" spans="1:5" x14ac:dyDescent="0.45">
      <c r="A134" t="s">
        <v>11</v>
      </c>
      <c r="B134" t="s">
        <v>2</v>
      </c>
      <c r="C134" t="s">
        <v>102</v>
      </c>
    </row>
    <row r="135" spans="1:5" x14ac:dyDescent="0.45">
      <c r="A135" t="s">
        <v>101</v>
      </c>
      <c r="B135">
        <f>10^-3*51.7</f>
        <v>5.1700000000000003E-2</v>
      </c>
      <c r="C135">
        <f>10^-3*114.7</f>
        <v>0.11470000000000001</v>
      </c>
    </row>
    <row r="136" spans="1:5" x14ac:dyDescent="0.45">
      <c r="A136" t="s">
        <v>110</v>
      </c>
      <c r="B136">
        <f>10^-3*68.3</f>
        <v>6.83E-2</v>
      </c>
      <c r="C136">
        <f>10^-3*122.5</f>
        <v>0.1225</v>
      </c>
    </row>
    <row r="137" spans="1:5" x14ac:dyDescent="0.45">
      <c r="A137" t="s">
        <v>111</v>
      </c>
      <c r="B137">
        <f>10^-3*90.9</f>
        <v>9.0900000000000009E-2</v>
      </c>
      <c r="C137">
        <f>10^-3*143.8</f>
        <v>0.14380000000000001</v>
      </c>
    </row>
    <row r="138" spans="1:5" x14ac:dyDescent="0.45">
      <c r="A138" t="s">
        <v>112</v>
      </c>
      <c r="B138">
        <f>10^-3*101.3</f>
        <v>0.1013</v>
      </c>
      <c r="C138">
        <f>10^-3*150</f>
        <v>0.15</v>
      </c>
    </row>
    <row r="139" spans="1:5" x14ac:dyDescent="0.45">
      <c r="A139" t="s">
        <v>113</v>
      </c>
      <c r="B139">
        <f>10^-3*16.5</f>
        <v>1.6500000000000001E-2</v>
      </c>
      <c r="C139">
        <f>10^-3*7.5</f>
        <v>7.4999999999999997E-3</v>
      </c>
    </row>
    <row r="140" spans="1:5" x14ac:dyDescent="0.45">
      <c r="A140" t="s">
        <v>114</v>
      </c>
      <c r="B140">
        <f>10^-3*26.3</f>
        <v>2.63E-2</v>
      </c>
      <c r="C140">
        <f>10^-3*28</f>
        <v>2.8000000000000001E-2</v>
      </c>
    </row>
    <row r="141" spans="1:5" x14ac:dyDescent="0.45">
      <c r="A141" t="s">
        <v>115</v>
      </c>
      <c r="B141">
        <f>10^-3*15.2</f>
        <v>1.52E-2</v>
      </c>
      <c r="C141">
        <f>10^-3*7.5</f>
        <v>7.4999999999999997E-3</v>
      </c>
    </row>
    <row r="142" spans="1:5" x14ac:dyDescent="0.45">
      <c r="A142" t="s">
        <v>108</v>
      </c>
      <c r="B142">
        <v>51.8</v>
      </c>
      <c r="C142">
        <v>206.5</v>
      </c>
    </row>
    <row r="143" spans="1:5" x14ac:dyDescent="0.45">
      <c r="A143" t="s">
        <v>116</v>
      </c>
      <c r="B143">
        <f>10^-3*B118</f>
        <v>1E-3</v>
      </c>
    </row>
    <row r="144" spans="1:5" x14ac:dyDescent="0.45">
      <c r="A144" t="s">
        <v>35</v>
      </c>
      <c r="B144">
        <v>1.1499999999999999</v>
      </c>
      <c r="E144" s="1" t="s">
        <v>98</v>
      </c>
    </row>
    <row r="145" spans="1:5" x14ac:dyDescent="0.45">
      <c r="A145" t="s">
        <v>103</v>
      </c>
      <c r="B145">
        <v>1000</v>
      </c>
    </row>
    <row r="146" spans="1:5" x14ac:dyDescent="0.45">
      <c r="A146" t="s">
        <v>134</v>
      </c>
      <c r="B146">
        <v>10000000</v>
      </c>
    </row>
    <row r="147" spans="1:5" x14ac:dyDescent="0.45">
      <c r="A147" t="s">
        <v>120</v>
      </c>
      <c r="B147">
        <f>(300/10^-6)</f>
        <v>300000000</v>
      </c>
    </row>
    <row r="148" spans="1:5" x14ac:dyDescent="0.45">
      <c r="A148" t="s">
        <v>117</v>
      </c>
      <c r="B148">
        <v>150</v>
      </c>
    </row>
    <row r="149" spans="1:5" x14ac:dyDescent="0.45">
      <c r="A149" t="s">
        <v>118</v>
      </c>
      <c r="B149">
        <v>50</v>
      </c>
      <c r="E149" t="s">
        <v>99</v>
      </c>
    </row>
    <row r="150" spans="1:5" x14ac:dyDescent="0.45">
      <c r="A150" t="s">
        <v>119</v>
      </c>
    </row>
    <row r="151" spans="1:5" x14ac:dyDescent="0.45">
      <c r="A151" t="s">
        <v>104</v>
      </c>
      <c r="B151">
        <f>B114</f>
        <v>4320</v>
      </c>
    </row>
    <row r="152" spans="1:5" x14ac:dyDescent="0.45">
      <c r="A152" t="s">
        <v>105</v>
      </c>
      <c r="B152">
        <f>(0.6*B151)</f>
        <v>2592</v>
      </c>
    </row>
    <row r="153" spans="1:5" x14ac:dyDescent="0.45">
      <c r="A153" t="s">
        <v>106</v>
      </c>
      <c r="B153" s="5">
        <f>B131</f>
        <v>91.514092277839822</v>
      </c>
      <c r="E153" s="1" t="s">
        <v>100</v>
      </c>
    </row>
    <row r="154" spans="1:5" x14ac:dyDescent="0.45">
      <c r="A154" t="s">
        <v>107</v>
      </c>
      <c r="B154">
        <f>B130</f>
        <v>5.3121896950661842</v>
      </c>
    </row>
    <row r="155" spans="1:5" x14ac:dyDescent="0.45">
      <c r="A155" s="6" t="s">
        <v>109</v>
      </c>
      <c r="B155" s="6"/>
    </row>
    <row r="156" spans="1:5" x14ac:dyDescent="0.45">
      <c r="A156" t="s">
        <v>1</v>
      </c>
      <c r="B156" t="s">
        <v>2</v>
      </c>
    </row>
    <row r="157" spans="1:5" x14ac:dyDescent="0.45">
      <c r="A157" t="s">
        <v>121</v>
      </c>
      <c r="B157">
        <f>B143/(PI()*C136^2*4*PI()*10^-7)</f>
        <v>16879.830677607297</v>
      </c>
    </row>
    <row r="158" spans="1:5" x14ac:dyDescent="0.45">
      <c r="A158" t="s">
        <v>122</v>
      </c>
      <c r="B158">
        <f>LN(C137/C136)/(2*PI()*C139*B145*4*PI()*10^-7)</f>
        <v>2707.1739451628923</v>
      </c>
    </row>
    <row r="159" spans="1:5" x14ac:dyDescent="0.45">
      <c r="A159" t="s">
        <v>123</v>
      </c>
      <c r="B159">
        <f>B143/(PI()*4*PI()*10^-7*(C138^2-C137^2))</f>
        <v>139058.25726621409</v>
      </c>
    </row>
    <row r="160" spans="1:5" x14ac:dyDescent="0.45">
      <c r="A160" t="s">
        <v>124</v>
      </c>
      <c r="B160">
        <f>C140/(PI()*B145*4*PI()*10^-7*(C138^2-C137^2))</f>
        <v>3893.6312034539951</v>
      </c>
    </row>
    <row r="161" spans="1:2" x14ac:dyDescent="0.45">
      <c r="A161" t="s">
        <v>125</v>
      </c>
      <c r="B161">
        <f>LN(C137/C136)/(2*PI()*C141*B145*4*PI()*10^-7)</f>
        <v>2707.1739451628923</v>
      </c>
    </row>
    <row r="162" spans="1:2" x14ac:dyDescent="0.45">
      <c r="A162" t="s">
        <v>126</v>
      </c>
      <c r="B162">
        <f>C140/(PI()*C136^2*B145*4*PI()*10^-7)</f>
        <v>472.63525897300428</v>
      </c>
    </row>
    <row r="163" spans="1:2" x14ac:dyDescent="0.45">
      <c r="A163" t="s">
        <v>135</v>
      </c>
      <c r="B163">
        <f>SUM(B157:B162)</f>
        <v>165718.70229657413</v>
      </c>
    </row>
    <row r="164" spans="1:2" x14ac:dyDescent="0.45">
      <c r="A164" s="6" t="s">
        <v>127</v>
      </c>
      <c r="B164" s="6"/>
    </row>
    <row r="165" spans="1:2" x14ac:dyDescent="0.45">
      <c r="A165" t="s">
        <v>1</v>
      </c>
      <c r="B165" t="s">
        <v>2</v>
      </c>
    </row>
    <row r="166" spans="1:2" x14ac:dyDescent="0.45">
      <c r="A166" t="s">
        <v>128</v>
      </c>
      <c r="B166">
        <f>1/(4*PI())*SQRT(B146/(B145*4*PI()*10^-7))</f>
        <v>7098.8043043793095</v>
      </c>
    </row>
    <row r="167" spans="1:2" x14ac:dyDescent="0.45">
      <c r="A167" t="s">
        <v>129</v>
      </c>
      <c r="B167">
        <f>LN(C137/C136)/(2*PI())*SQRT(B146/(B145*4*PI()*10^-7))</f>
        <v>2276.0529275849008</v>
      </c>
    </row>
    <row r="168" spans="1:2" x14ac:dyDescent="0.45">
      <c r="A168" t="s">
        <v>130</v>
      </c>
      <c r="B168">
        <f>(2*C138^4*LN(C138/C137)-3/2*C138^4+2*C137^2*C138^2-0.5*C137^4)/(2*PI()*(C138^2-C137^2)^2)*(SQRT(B146/(B145*4*PI()*10^-7)))</f>
        <v>408.01727579138065</v>
      </c>
    </row>
    <row r="169" spans="1:2" x14ac:dyDescent="0.45">
      <c r="A169" t="s">
        <v>131</v>
      </c>
      <c r="B169">
        <f>C140/(2*PI()*C137)*SQRT(B146/(B145*4*PI()*10^-7))</f>
        <v>2764.4856818166991</v>
      </c>
    </row>
    <row r="170" spans="1:2" x14ac:dyDescent="0.45">
      <c r="A170" t="s">
        <v>132</v>
      </c>
      <c r="B170">
        <f>LN(C137/C136)/(2*PI())*SQRT(B146/(B145*4*PI()*10^-7))</f>
        <v>2276.0529275849008</v>
      </c>
    </row>
    <row r="171" spans="1:2" x14ac:dyDescent="0.45">
      <c r="A171" t="s">
        <v>133</v>
      </c>
      <c r="B171">
        <f>C140/(2*PI()*C136)*SQRT(B146/(B145*4*PI()*10^-7))</f>
        <v>3245.1676820019702</v>
      </c>
    </row>
    <row r="172" spans="1:2" x14ac:dyDescent="0.45">
      <c r="A172" t="s">
        <v>136</v>
      </c>
      <c r="B172">
        <f>SUM(B166:B171)</f>
        <v>18068.580799159161</v>
      </c>
    </row>
    <row r="173" spans="1:2" x14ac:dyDescent="0.45">
      <c r="A173" s="6" t="s">
        <v>138</v>
      </c>
      <c r="B173" s="7"/>
    </row>
    <row r="174" spans="1:2" x14ac:dyDescent="0.45">
      <c r="A174" t="s">
        <v>139</v>
      </c>
      <c r="B174">
        <f>(C136*C139)</f>
        <v>9.1874999999999997E-4</v>
      </c>
    </row>
    <row r="175" spans="1:2" x14ac:dyDescent="0.45">
      <c r="A175" t="s">
        <v>140</v>
      </c>
      <c r="B175">
        <f>C139*(C137-C136)</f>
        <v>1.5975000000000009E-4</v>
      </c>
    </row>
    <row r="176" spans="1:2" x14ac:dyDescent="0.45">
      <c r="A176" t="s">
        <v>141</v>
      </c>
      <c r="B176">
        <f>C139*(C138-C137)</f>
        <v>4.649999999999987E-5</v>
      </c>
    </row>
    <row r="177" spans="1:2" x14ac:dyDescent="0.45">
      <c r="A177" t="s">
        <v>142</v>
      </c>
      <c r="B177">
        <f>(C140+C141)*(C138-C137)</f>
        <v>2.2009999999999944E-4</v>
      </c>
    </row>
    <row r="178" spans="1:2" x14ac:dyDescent="0.45">
      <c r="A178" t="s">
        <v>143</v>
      </c>
      <c r="B178">
        <f>(C137-C136)*C141</f>
        <v>1.5975000000000009E-4</v>
      </c>
    </row>
    <row r="179" spans="1:2" x14ac:dyDescent="0.45">
      <c r="A179" t="s">
        <v>144</v>
      </c>
      <c r="B179">
        <f>C136*(C141+C140)</f>
        <v>4.3487500000000002E-3</v>
      </c>
    </row>
    <row r="180" spans="1:2" x14ac:dyDescent="0.45">
      <c r="A180" t="s">
        <v>145</v>
      </c>
      <c r="B180">
        <f>SUM(B174:B179)</f>
        <v>5.8535999999999996E-3</v>
      </c>
    </row>
    <row r="181" spans="1:2" x14ac:dyDescent="0.45">
      <c r="A181" t="s">
        <v>137</v>
      </c>
      <c r="B181">
        <f>1/(4*PI()*10^-7)*(1/B174+1/B176)*B153*B154/B163</f>
        <v>52743587.824781328</v>
      </c>
    </row>
    <row r="182" spans="1:2" x14ac:dyDescent="0.45">
      <c r="A182" t="s">
        <v>146</v>
      </c>
      <c r="B182">
        <f>B181*B153/B163</f>
        <v>29126.353853672259</v>
      </c>
    </row>
    <row r="183" spans="1:2" x14ac:dyDescent="0.45">
      <c r="A183" t="s">
        <v>147</v>
      </c>
      <c r="B183">
        <f>B181^2/B163</f>
        <v>16786796047.026072</v>
      </c>
    </row>
  </sheetData>
  <mergeCells count="17">
    <mergeCell ref="A133:B133"/>
    <mergeCell ref="A155:B155"/>
    <mergeCell ref="A164:B164"/>
    <mergeCell ref="A173:B173"/>
    <mergeCell ref="A53:B53"/>
    <mergeCell ref="A5:B5"/>
    <mergeCell ref="A23:B23"/>
    <mergeCell ref="A24:B24"/>
    <mergeCell ref="A39:B39"/>
    <mergeCell ref="A30:B30"/>
    <mergeCell ref="A81:B81"/>
    <mergeCell ref="A90:B90"/>
    <mergeCell ref="A70:B70"/>
    <mergeCell ref="A113:B113"/>
    <mergeCell ref="A122:B122"/>
    <mergeCell ref="A108:B108"/>
    <mergeCell ref="A107:B107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Magnetic Bearing Designs</vt:lpstr>
      <vt:lpstr>'Magnetic Bearing Designs'!Print_Area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NATO</cp:lastModifiedBy>
  <cp:lastPrinted>2022-01-11T06:13:38Z</cp:lastPrinted>
  <dcterms:created xsi:type="dcterms:W3CDTF">2022-01-10T02:21:47Z</dcterms:created>
  <dcterms:modified xsi:type="dcterms:W3CDTF">2022-01-21T14:36:23Z</dcterms:modified>
</cp:coreProperties>
</file>