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firstSheet="3" activeTab="6"/>
  </bookViews>
  <sheets>
    <sheet name="Sheet2" sheetId="5" r:id="rId1"/>
    <sheet name="A2 1 core" sheetId="1" r:id="rId2"/>
    <sheet name="VeryLarge" sheetId="2" r:id="rId3"/>
    <sheet name="A8 with Infiniband" sheetId="3" r:id="rId4"/>
    <sheet name="HSR Cluster" sheetId="4" r:id="rId5"/>
    <sheet name="PETSc" sheetId="7" r:id="rId6"/>
    <sheet name="HPCG" sheetId="8" r:id="rId7"/>
    <sheet name="Deployment Time" sheetId="9" r:id="rId8"/>
    <sheet name="Deployment Time (breakdown)" sheetId="10" r:id="rId9"/>
    <sheet name="Costs" sheetId="6" r:id="rId10"/>
  </sheets>
  <definedNames>
    <definedName name="output_A8" localSheetId="3">'A8 with Infiniband'!$A$1:$V$11</definedName>
    <definedName name="output_cluster" localSheetId="4">'HSR Cluster'!$A$1:$V$8</definedName>
    <definedName name="output_small" localSheetId="1">'A2 1 core'!$A$1:$V$8</definedName>
    <definedName name="output_verylarge" localSheetId="2">VeryLarge!$A$1:$V$11</definedName>
  </definedNames>
  <calcPr calcId="145621"/>
</workbook>
</file>

<file path=xl/calcChain.xml><?xml version="1.0" encoding="utf-8"?>
<calcChain xmlns="http://schemas.openxmlformats.org/spreadsheetml/2006/main">
  <c r="G39" i="7" l="1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W19" i="6" l="1"/>
  <c r="W18" i="6"/>
  <c r="W17" i="6"/>
  <c r="W16" i="6"/>
  <c r="W15" i="6"/>
  <c r="W14" i="6"/>
  <c r="W13" i="6"/>
  <c r="P9" i="8"/>
  <c r="P8" i="8"/>
  <c r="P7" i="8"/>
  <c r="P6" i="8"/>
  <c r="P5" i="8"/>
  <c r="P4" i="8"/>
  <c r="P3" i="8"/>
  <c r="D8" i="4"/>
  <c r="D7" i="4"/>
  <c r="D6" i="4"/>
  <c r="D5" i="4"/>
  <c r="D4" i="4"/>
  <c r="D3" i="4"/>
  <c r="D2" i="4"/>
  <c r="Z10" i="6"/>
  <c r="Z9" i="6"/>
  <c r="Z8" i="6"/>
  <c r="Z7" i="6"/>
  <c r="Z6" i="6"/>
  <c r="Z5" i="6"/>
  <c r="Z4" i="6"/>
  <c r="R6" i="6"/>
  <c r="R5" i="6"/>
  <c r="R4" i="6"/>
  <c r="R7" i="6"/>
  <c r="E11" i="2"/>
  <c r="E10" i="2"/>
  <c r="E9" i="2"/>
  <c r="E8" i="2"/>
  <c r="E7" i="2"/>
  <c r="E6" i="2"/>
  <c r="E5" i="2"/>
  <c r="E4" i="2"/>
  <c r="E3" i="2"/>
  <c r="Q10" i="6"/>
  <c r="R10" i="6" s="1"/>
  <c r="Q9" i="6"/>
  <c r="R9" i="6" s="1"/>
  <c r="Q8" i="6"/>
  <c r="R8" i="6" s="1"/>
  <c r="E11" i="3"/>
  <c r="E10" i="3"/>
  <c r="E9" i="3"/>
  <c r="E8" i="3"/>
  <c r="E7" i="3"/>
  <c r="E6" i="3"/>
  <c r="J48" i="6"/>
  <c r="I48" i="6"/>
  <c r="H48" i="6"/>
  <c r="G48" i="6"/>
  <c r="F48" i="6"/>
  <c r="E48" i="6"/>
  <c r="D48" i="6"/>
  <c r="C48" i="6"/>
  <c r="Z9" i="7" l="1"/>
  <c r="Z8" i="7"/>
  <c r="Z7" i="7"/>
  <c r="Z6" i="7"/>
  <c r="Z5" i="7"/>
  <c r="Z4" i="7"/>
  <c r="Z3" i="7"/>
  <c r="U6" i="7"/>
  <c r="T6" i="7"/>
  <c r="U4" i="7"/>
  <c r="T4" i="7"/>
  <c r="U3" i="7"/>
  <c r="T3" i="7"/>
  <c r="G9" i="7"/>
  <c r="G8" i="7"/>
  <c r="G7" i="7"/>
  <c r="G6" i="7"/>
  <c r="G5" i="7"/>
  <c r="G4" i="7"/>
  <c r="G3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F9" i="7"/>
  <c r="F8" i="7"/>
  <c r="F7" i="7"/>
  <c r="F6" i="7"/>
  <c r="F5" i="7"/>
  <c r="F4" i="7"/>
  <c r="F3" i="7"/>
  <c r="C16" i="7"/>
  <c r="S9" i="7"/>
  <c r="S8" i="7"/>
  <c r="S7" i="7"/>
  <c r="S6" i="7"/>
  <c r="S5" i="7"/>
  <c r="S4" i="7"/>
  <c r="S3" i="7"/>
  <c r="I31" i="6" l="1"/>
  <c r="H31" i="6"/>
  <c r="G31" i="6"/>
  <c r="F31" i="6"/>
  <c r="E31" i="6"/>
  <c r="D31" i="6"/>
  <c r="C31" i="6"/>
  <c r="B31" i="6"/>
  <c r="C19" i="6"/>
  <c r="C20" i="6" s="1"/>
  <c r="C22" i="6" s="1"/>
  <c r="C18" i="6"/>
  <c r="C15" i="6"/>
  <c r="D7" i="6"/>
  <c r="C7" i="6"/>
  <c r="B40" i="6" s="1"/>
  <c r="K49" i="6" s="1"/>
  <c r="J49" i="6" l="1"/>
  <c r="AC13" i="6"/>
  <c r="F49" i="6"/>
  <c r="H49" i="6"/>
  <c r="I49" i="6"/>
  <c r="AA13" i="6" s="1"/>
  <c r="G49" i="6"/>
  <c r="E49" i="6"/>
  <c r="C49" i="6"/>
  <c r="D49" i="6"/>
  <c r="E7" i="6"/>
  <c r="C23" i="6" s="1"/>
  <c r="C24" i="6" s="1"/>
  <c r="J32" i="6" s="1"/>
  <c r="I32" i="6" s="1"/>
  <c r="AD13" i="6" l="1"/>
  <c r="AC19" i="6"/>
  <c r="AD19" i="6" s="1"/>
  <c r="AC15" i="6"/>
  <c r="AD15" i="6" s="1"/>
  <c r="AC14" i="6"/>
  <c r="AD14" i="6" s="1"/>
  <c r="AC18" i="6"/>
  <c r="AD18" i="6" s="1"/>
  <c r="AC16" i="6"/>
  <c r="AD16" i="6" s="1"/>
  <c r="AC17" i="6"/>
  <c r="AD17" i="6" s="1"/>
  <c r="E2" i="4"/>
  <c r="Y13" i="6"/>
  <c r="AA14" i="6"/>
  <c r="AB14" i="6" s="1"/>
  <c r="AA18" i="6"/>
  <c r="AB18" i="6" s="1"/>
  <c r="AB13" i="6"/>
  <c r="AA16" i="6"/>
  <c r="AB16" i="6" s="1"/>
  <c r="AA17" i="6"/>
  <c r="AB17" i="6" s="1"/>
  <c r="AA19" i="6"/>
  <c r="AB19" i="6" s="1"/>
  <c r="AA15" i="6"/>
  <c r="AB15" i="6" s="1"/>
  <c r="B32" i="6"/>
  <c r="C32" i="6"/>
  <c r="D32" i="6"/>
  <c r="E32" i="6"/>
  <c r="F32" i="6"/>
  <c r="G32" i="6"/>
  <c r="H32" i="6"/>
  <c r="Z13" i="6" l="1"/>
  <c r="Y14" i="6"/>
  <c r="Z14" i="6" s="1"/>
  <c r="Y16" i="6"/>
  <c r="Z16" i="6" s="1"/>
  <c r="Y19" i="6"/>
  <c r="Z19" i="6" s="1"/>
  <c r="Y15" i="6"/>
  <c r="Z15" i="6" s="1"/>
  <c r="Y17" i="6"/>
  <c r="Z17" i="6" s="1"/>
  <c r="Y18" i="6"/>
  <c r="Z18" i="6" s="1"/>
  <c r="E6" i="4"/>
  <c r="E7" i="4"/>
  <c r="E8" i="4"/>
  <c r="E4" i="4"/>
  <c r="E5" i="4"/>
  <c r="E3" i="4"/>
</calcChain>
</file>

<file path=xl/connections.xml><?xml version="1.0" encoding="utf-8"?>
<connections xmlns="http://schemas.openxmlformats.org/spreadsheetml/2006/main">
  <connection id="1" name="output-A8" type="6" refreshedVersion="4" background="1" saveData="1">
    <textPr codePage="437" sourceFile="D:\GIT\MicrosoftHPC\Docs\RawData\A8\output-A8.dat" thousands="'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cluster" type="6" refreshedVersion="4" background="1" saveData="1">
    <textPr codePage="1251" sourceFile="D:\GIT\MicrosoftHPC\Docs\RawData\cluster\output-cluster.dat" thousands="'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-small" type="6" refreshedVersion="4" background="1" saveData="1">
    <textPr codePage="437" sourceFile="D:\GIT\MicrosoftHPC\Docs\RawData\small\output-small.dat" thousands="'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utput-verylarge" type="6" refreshedVersion="4" background="1" saveData="1">
    <textPr codePage="437" sourceFile="D:\GIT\MicrosoftHPC\Docs\RawData\verylarge\output-verylarge.dat" thousands="'" space="1" consecutive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<sst xmlns="http://schemas.openxmlformats.org/spreadsheetml/2006/main" count="733" uniqueCount="133">
  <si>
    <t>machineSize</t>
  </si>
  <si>
    <t>numNodes</t>
  </si>
  <si>
    <t>numCores</t>
  </si>
  <si>
    <t>totNumCores</t>
  </si>
  <si>
    <t>totCost</t>
  </si>
  <si>
    <t>mpiThroughput</t>
  </si>
  <si>
    <t>mpiThroughputDeviation</t>
  </si>
  <si>
    <t>mpiLatency</t>
  </si>
  <si>
    <t>mpiLatencyDeviation</t>
  </si>
  <si>
    <t>tStage1Ruepel</t>
  </si>
  <si>
    <t>tMatLoadRuepel</t>
  </si>
  <si>
    <t>tKSPSolveRuepel</t>
  </si>
  <si>
    <t>nIterationRuepel</t>
  </si>
  <si>
    <t>tIterationRuepel</t>
  </si>
  <si>
    <t>mFlopsRuepel</t>
  </si>
  <si>
    <t>tStage1Nordborg</t>
  </si>
  <si>
    <t>tMatLoadNordborg</t>
  </si>
  <si>
    <t>tKSPSolveNordborg</t>
  </si>
  <si>
    <t>nIterationNordborg</t>
  </si>
  <si>
    <t>tIterationNordborg</t>
  </si>
  <si>
    <t>mFlopsNordborg</t>
  </si>
  <si>
    <t>winhpcgGFlops</t>
  </si>
  <si>
    <t>small</t>
  </si>
  <si>
    <t>NA</t>
  </si>
  <si>
    <t>verylarge</t>
  </si>
  <si>
    <t>A8</t>
  </si>
  <si>
    <t>cluster</t>
  </si>
  <si>
    <t>Explanation of the Columns</t>
  </si>
  <si>
    <t>Size / Type of Machine</t>
  </si>
  <si>
    <t>Number of Nodes</t>
  </si>
  <si>
    <t>Number of Cores used per Node</t>
  </si>
  <si>
    <t>Total Number of Cores (numNodes x numCores)</t>
  </si>
  <si>
    <t>Total Cost per Hour of Deployment (cost per node * numNodes)</t>
  </si>
  <si>
    <t xml:space="preserve">Average MPI Troughput between nodes in MegaBytes per Second (NOT MegaBITs) </t>
  </si>
  <si>
    <t>Standard Deviation of all measured links</t>
  </si>
  <si>
    <t>Average MPI Latency for a message in ns</t>
  </si>
  <si>
    <t>Stage 1 duration for Matrix "ruepel" (stage 1 includes set-up of MPI environment and matrix loading)</t>
  </si>
  <si>
    <t>Duration of matrix loading for Matrix "ruepel" (sub-part of Stage 1)</t>
  </si>
  <si>
    <t>Duration of solve for Matrix "ruepel" (does not solve until finished, but until a number of iterations are done)</t>
  </si>
  <si>
    <t>Number of iterations made, this can vary, as on large systems it is higher, in order to get a significant duration of execution</t>
  </si>
  <si>
    <t>Average duration of one iteration (tKSPSolve/nIteration) for Matrix "ruepel"</t>
  </si>
  <si>
    <t>mFlops for solve phasis for Matrix "ruepel", as outputed by -log_summary of petsc</t>
  </si>
  <si>
    <t>same data for matrix "nordborg"</t>
  </si>
  <si>
    <t>"</t>
  </si>
  <si>
    <t>GFLOPs as measured by WINHPCG</t>
  </si>
  <si>
    <t>Need a description of the small and veryLarge machine</t>
  </si>
  <si>
    <t>mpiThroughput [MB/sec.]</t>
  </si>
  <si>
    <t>mpiLatency [ns]</t>
  </si>
  <si>
    <t>Average MPI Troughput between nodes in MegaBytes per Second  are much bigger for A8 nodes with Infiniband</t>
  </si>
  <si>
    <t>MPI Latency is much smaller between A8 nodes with Infiniband.</t>
  </si>
  <si>
    <t>How the totCost was calculated for the HSR cluster?</t>
  </si>
  <si>
    <t xml:space="preserve"> </t>
  </si>
  <si>
    <t>I don't think it makes sense to buy A8 machine and not use a max. number of cores</t>
  </si>
  <si>
    <t>Notes</t>
  </si>
  <si>
    <t>Tests to do:</t>
  </si>
  <si>
    <t>Rupel Matrix</t>
  </si>
  <si>
    <t>Nodes</t>
  </si>
  <si>
    <t>Cores</t>
  </si>
  <si>
    <t>Nordborg</t>
  </si>
  <si>
    <t>HSR CLUSTER</t>
  </si>
  <si>
    <t>Old result</t>
  </si>
  <si>
    <t>maybe we should max number of cores per node?</t>
  </si>
  <si>
    <t>Does not converge</t>
  </si>
  <si>
    <t>converges</t>
  </si>
  <si>
    <t>ksp_max_it</t>
  </si>
  <si>
    <t># of nodes</t>
  </si>
  <si>
    <t># of cores</t>
  </si>
  <si>
    <t>Price of the cluster</t>
  </si>
  <si>
    <t>total number of core hours</t>
  </si>
  <si>
    <t>Utilization</t>
  </si>
  <si>
    <t>Total core hours</t>
  </si>
  <si>
    <t>Total cores</t>
  </si>
  <si>
    <t>Hours yearly</t>
  </si>
  <si>
    <t>Amortization</t>
  </si>
  <si>
    <t>years</t>
  </si>
  <si>
    <t>salary of system admin</t>
  </si>
  <si>
    <t>yearly</t>
  </si>
  <si>
    <t>Sum</t>
  </si>
  <si>
    <t>Yearly</t>
  </si>
  <si>
    <t>core hour</t>
  </si>
  <si>
    <t># nodes</t>
  </si>
  <si>
    <t>%</t>
  </si>
  <si>
    <t>Energy</t>
  </si>
  <si>
    <t>Assuming 180W per node, 24/7, and 0.28 Rp/kWh</t>
  </si>
  <si>
    <t xml:space="preserve">Source:  </t>
  </si>
  <si>
    <t>http://www.miniframe.com/tco-calculator.html</t>
  </si>
  <si>
    <t>Downtime</t>
  </si>
  <si>
    <t>Software</t>
  </si>
  <si>
    <t>Maitanance</t>
  </si>
  <si>
    <t>Alternative calculation from</t>
  </si>
  <si>
    <t>Assumptions: hardware cost over 3 years: 7% of TCO</t>
  </si>
  <si>
    <t>Cost per core/h ($) = { Cluster price ($) * TCO factor for 1 year (100/7/3) } / { # cores * 365 * 24 * utilization (%) / 100 }</t>
  </si>
  <si>
    <t>cluster_petscsolveronly</t>
  </si>
  <si>
    <t>ruepel veryLarge</t>
  </si>
  <si>
    <t>nord veryLarge</t>
  </si>
  <si>
    <t>HSR</t>
  </si>
  <si>
    <t>A2</t>
  </si>
  <si>
    <t>HSR Cluster</t>
  </si>
  <si>
    <t>Verlarge</t>
  </si>
  <si>
    <t>A4</t>
  </si>
  <si>
    <t># cores</t>
  </si>
  <si>
    <t>Total</t>
  </si>
  <si>
    <t>cluster_run02</t>
  </si>
  <si>
    <t>Mflops</t>
  </si>
  <si>
    <t>VeryLarge</t>
  </si>
  <si>
    <t>Gflop is equal to</t>
  </si>
  <si>
    <t>GFlopsRuepel</t>
  </si>
  <si>
    <t>veryLarge</t>
  </si>
  <si>
    <t>Deployment Time</t>
  </si>
  <si>
    <t>Turn-down time</t>
  </si>
  <si>
    <t>SimplyHPC</t>
  </si>
  <si>
    <t>HPC Pack</t>
  </si>
  <si>
    <t>Cost per hour</t>
  </si>
  <si>
    <t>GFLOPs/$</t>
  </si>
  <si>
    <t>HSR (50%)</t>
  </si>
  <si>
    <t>HSR (31%)</t>
  </si>
  <si>
    <t>HPCG</t>
  </si>
  <si>
    <t>HSR (100%)</t>
  </si>
  <si>
    <t>07-xtralarge</t>
  </si>
  <si>
    <t>ExtraLarge</t>
  </si>
  <si>
    <t>Deployment Time (HPC)</t>
  </si>
  <si>
    <t>Turn-down time (HPC)</t>
  </si>
  <si>
    <t>Create virtual network</t>
  </si>
  <si>
    <t>Create compute nodes</t>
  </si>
  <si>
    <t>Create domain controller</t>
  </si>
  <si>
    <t>Configure head node</t>
  </si>
  <si>
    <t>Create cloud service</t>
  </si>
  <si>
    <t>HPC Pack, A4 nodes</t>
  </si>
  <si>
    <t>SimplyHPC, A4 nodes</t>
  </si>
  <si>
    <t>Turndown time</t>
  </si>
  <si>
    <t>Create storage account</t>
  </si>
  <si>
    <t>GFLOPs</t>
  </si>
  <si>
    <t>Create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</si>
</sst>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Open Sans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4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2" borderId="0" xfId="1"/>
    <xf numFmtId="0" fontId="1" fillId="6" borderId="0" xfId="1" applyFill="1"/>
    <xf numFmtId="0" fontId="2" fillId="3" borderId="0" xfId="2" applyNumberFormat="1"/>
    <xf numFmtId="0" fontId="1" fillId="2" borderId="0" xfId="1" applyNumberFormat="1"/>
    <xf numFmtId="0" fontId="1" fillId="5" borderId="0" xfId="1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3" borderId="0" xfId="2"/>
    <xf numFmtId="0" fontId="0" fillId="5" borderId="0" xfId="0" applyNumberFormat="1" applyFill="1"/>
    <xf numFmtId="11" fontId="0" fillId="11" borderId="0" xfId="0" applyNumberFormat="1" applyFill="1"/>
    <xf numFmtId="11" fontId="2" fillId="3" borderId="0" xfId="2" applyNumberFormat="1"/>
    <xf numFmtId="0" fontId="0" fillId="11" borderId="0" xfId="0" applyNumberFormat="1" applyFill="1"/>
    <xf numFmtId="11" fontId="1" fillId="2" borderId="0" xfId="1" applyNumberFormat="1"/>
    <xf numFmtId="0" fontId="4" fillId="0" borderId="0" xfId="0" applyFont="1"/>
    <xf numFmtId="10" fontId="0" fillId="0" borderId="0" xfId="0" applyNumberFormat="1"/>
    <xf numFmtId="9" fontId="0" fillId="0" borderId="0" xfId="0" applyNumberFormat="1"/>
    <xf numFmtId="0" fontId="3" fillId="4" borderId="1" xfId="3"/>
    <xf numFmtId="0" fontId="3" fillId="12" borderId="1" xfId="3" applyFill="1"/>
    <xf numFmtId="0" fontId="5" fillId="0" borderId="0" xfId="0" applyFont="1"/>
    <xf numFmtId="11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4" xfId="0" applyBorder="1"/>
    <xf numFmtId="0" fontId="4" fillId="13" borderId="2" xfId="0" applyFont="1" applyFill="1" applyBorder="1"/>
    <xf numFmtId="0" fontId="4" fillId="13" borderId="3" xfId="0" applyFont="1" applyFill="1" applyBorder="1" applyAlignment="1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PETSc!$F$2</c:f>
              <c:strCache>
                <c:ptCount val="1"/>
                <c:pt idx="0">
                  <c:v>veryLarge</c:v>
                </c:pt>
              </c:strCache>
            </c:strRef>
          </c:tx>
          <c:cat>
            <c:numRef>
              <c:f>PETSc!$E$3:$E$9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PETSc!$F$3:$F$9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0.55700000000000005</c:v>
                </c:pt>
                <c:pt idx="2">
                  <c:v>0.96</c:v>
                </c:pt>
                <c:pt idx="3">
                  <c:v>1.462</c:v>
                </c:pt>
                <c:pt idx="4">
                  <c:v>2.9169999999999998</c:v>
                </c:pt>
                <c:pt idx="5">
                  <c:v>5.0289999999999999</c:v>
                </c:pt>
                <c:pt idx="6">
                  <c:v>6.9880000000000004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PETSc!$M$2</c:f>
              <c:strCache>
                <c:ptCount val="1"/>
                <c:pt idx="0">
                  <c:v>A8</c:v>
                </c:pt>
              </c:strCache>
            </c:strRef>
          </c:tx>
          <c:val>
            <c:numRef>
              <c:f>PETSc!$M$3:$M$10</c:f>
              <c:numCache>
                <c:formatCode>General</c:formatCode>
                <c:ptCount val="8"/>
                <c:pt idx="0">
                  <c:v>1.036</c:v>
                </c:pt>
                <c:pt idx="1">
                  <c:v>1.966</c:v>
                </c:pt>
                <c:pt idx="2">
                  <c:v>3.5059999999999998</c:v>
                </c:pt>
                <c:pt idx="3">
                  <c:v>5.1369999999999996</c:v>
                </c:pt>
                <c:pt idx="4">
                  <c:v>11.170999999999999</c:v>
                </c:pt>
                <c:pt idx="5">
                  <c:v>22.332000000000001</c:v>
                </c:pt>
                <c:pt idx="6">
                  <c:v>37.04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PETSc!$T$2</c:f>
              <c:strCache>
                <c:ptCount val="1"/>
                <c:pt idx="0">
                  <c:v>HSR</c:v>
                </c:pt>
              </c:strCache>
            </c:strRef>
          </c:tx>
          <c:val>
            <c:numRef>
              <c:f>PETSc!$T$3:$T$9</c:f>
              <c:numCache>
                <c:formatCode>General</c:formatCode>
                <c:ptCount val="7"/>
                <c:pt idx="0">
                  <c:v>0</c:v>
                </c:pt>
                <c:pt idx="1">
                  <c:v>1.129</c:v>
                </c:pt>
                <c:pt idx="2">
                  <c:v>0.71899999999999997</c:v>
                </c:pt>
                <c:pt idx="3">
                  <c:v>1.952</c:v>
                </c:pt>
                <c:pt idx="4">
                  <c:v>0.63600000000000001</c:v>
                </c:pt>
                <c:pt idx="5">
                  <c:v>0.63800000000000001</c:v>
                </c:pt>
                <c:pt idx="6">
                  <c:v>0.56899999999999995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PETSc!$B$33</c:f>
              <c:strCache>
                <c:ptCount val="1"/>
                <c:pt idx="0">
                  <c:v>ExtraLarge</c:v>
                </c:pt>
              </c:strCache>
            </c:strRef>
          </c:tx>
          <c:val>
            <c:numRef>
              <c:f>PETSc!$F$33:$F$39</c:f>
              <c:numCache>
                <c:formatCode>General</c:formatCode>
                <c:ptCount val="7"/>
                <c:pt idx="0">
                  <c:v>0.47499999999999998</c:v>
                </c:pt>
                <c:pt idx="1">
                  <c:v>0.93500000000000005</c:v>
                </c:pt>
                <c:pt idx="2">
                  <c:v>1.7350000000000001</c:v>
                </c:pt>
                <c:pt idx="3">
                  <c:v>2.875</c:v>
                </c:pt>
                <c:pt idx="4">
                  <c:v>2.6539999999999999</c:v>
                </c:pt>
                <c:pt idx="5">
                  <c:v>5.516</c:v>
                </c:pt>
                <c:pt idx="6">
                  <c:v>8.3559999999999999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78432"/>
        <c:axId val="146180352"/>
      </c:lineChart>
      <c:catAx>
        <c:axId val="1461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Number</a:t>
                </a:r>
                <a:r>
                  <a:rPr lang="pl-PL" sz="1400" baseline="0"/>
                  <a:t> of cores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6180352"/>
        <c:crosses val="autoZero"/>
        <c:auto val="1"/>
        <c:lblAlgn val="ctr"/>
        <c:lblOffset val="100"/>
        <c:noMultiLvlLbl val="0"/>
      </c:catAx>
      <c:valAx>
        <c:axId val="14618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/>
                  <a:t>GFLOPs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6178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PETSc!$G$2</c:f>
              <c:strCache>
                <c:ptCount val="1"/>
                <c:pt idx="0">
                  <c:v>veryLarge</c:v>
                </c:pt>
              </c:strCache>
            </c:strRef>
          </c:tx>
          <c:cat>
            <c:numRef>
              <c:f>PETSc!$E$3:$E$9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PETSc!$G$3:$G$9</c:f>
              <c:numCache>
                <c:formatCode>General</c:formatCode>
                <c:ptCount val="7"/>
                <c:pt idx="0">
                  <c:v>0.308</c:v>
                </c:pt>
                <c:pt idx="1">
                  <c:v>0.61699999999999999</c:v>
                </c:pt>
                <c:pt idx="2">
                  <c:v>1.052</c:v>
                </c:pt>
                <c:pt idx="3">
                  <c:v>1.6850000000000001</c:v>
                </c:pt>
                <c:pt idx="4">
                  <c:v>3.032</c:v>
                </c:pt>
                <c:pt idx="5">
                  <c:v>1.6850000000000001</c:v>
                </c:pt>
                <c:pt idx="6">
                  <c:v>3.8130000000000002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PETSc!$N$2</c:f>
              <c:strCache>
                <c:ptCount val="1"/>
                <c:pt idx="0">
                  <c:v>A8</c:v>
                </c:pt>
              </c:strCache>
            </c:strRef>
          </c:tx>
          <c:val>
            <c:numRef>
              <c:f>PETSc!$N$3:$N$10</c:f>
              <c:numCache>
                <c:formatCode>General</c:formatCode>
                <c:ptCount val="8"/>
                <c:pt idx="0">
                  <c:v>1.089</c:v>
                </c:pt>
                <c:pt idx="1">
                  <c:v>2.1309999999999998</c:v>
                </c:pt>
                <c:pt idx="2">
                  <c:v>3.9990000000000001</c:v>
                </c:pt>
                <c:pt idx="3">
                  <c:v>6.17</c:v>
                </c:pt>
                <c:pt idx="4">
                  <c:v>11.885999999999999</c:v>
                </c:pt>
                <c:pt idx="5">
                  <c:v>21.768000000000001</c:v>
                </c:pt>
                <c:pt idx="6">
                  <c:v>27.006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PETSc!$U$2</c:f>
              <c:strCache>
                <c:ptCount val="1"/>
                <c:pt idx="0">
                  <c:v>HSR</c:v>
                </c:pt>
              </c:strCache>
            </c:strRef>
          </c:tx>
          <c:val>
            <c:numRef>
              <c:f>PETSc!$U$3:$U$9</c:f>
              <c:numCache>
                <c:formatCode>General</c:formatCode>
                <c:ptCount val="7"/>
                <c:pt idx="0">
                  <c:v>0</c:v>
                </c:pt>
                <c:pt idx="1">
                  <c:v>0.68</c:v>
                </c:pt>
                <c:pt idx="2">
                  <c:v>0.60899999999999999</c:v>
                </c:pt>
                <c:pt idx="3">
                  <c:v>1.7190000000000001</c:v>
                </c:pt>
                <c:pt idx="4">
                  <c:v>0.29599999999999999</c:v>
                </c:pt>
                <c:pt idx="5">
                  <c:v>0.26900000000000002</c:v>
                </c:pt>
                <c:pt idx="6">
                  <c:v>0.217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PETSc!$B$33</c:f>
              <c:strCache>
                <c:ptCount val="1"/>
                <c:pt idx="0">
                  <c:v>ExtraLarge</c:v>
                </c:pt>
              </c:strCache>
            </c:strRef>
          </c:tx>
          <c:val>
            <c:numRef>
              <c:f>PETSc!$G$33:$G$39</c:f>
              <c:numCache>
                <c:formatCode>General</c:formatCode>
                <c:ptCount val="7"/>
                <c:pt idx="0">
                  <c:v>0.34200000000000003</c:v>
                </c:pt>
                <c:pt idx="1">
                  <c:v>0.61299999999999999</c:v>
                </c:pt>
                <c:pt idx="2">
                  <c:v>1.0580000000000001</c:v>
                </c:pt>
                <c:pt idx="3">
                  <c:v>1.4259999999999999</c:v>
                </c:pt>
                <c:pt idx="4">
                  <c:v>2.3439999999999999</c:v>
                </c:pt>
                <c:pt idx="5">
                  <c:v>2.9409999999999998</c:v>
                </c:pt>
                <c:pt idx="6">
                  <c:v>5.7229999999999999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28800"/>
        <c:axId val="147630720"/>
      </c:lineChart>
      <c:catAx>
        <c:axId val="1476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pl-PL" sz="1400" b="1"/>
                  <a:t>Number cores</a:t>
                </a:r>
                <a:endParaRPr lang="en-US" sz="14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7630720"/>
        <c:crosses val="autoZero"/>
        <c:auto val="1"/>
        <c:lblAlgn val="ctr"/>
        <c:lblOffset val="100"/>
        <c:noMultiLvlLbl val="0"/>
      </c:catAx>
      <c:valAx>
        <c:axId val="14763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l-PL" sz="1400"/>
                  <a:t>GFLOPs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7628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HPCG!$E$2</c:f>
              <c:strCache>
                <c:ptCount val="1"/>
                <c:pt idx="0">
                  <c:v>A8</c:v>
                </c:pt>
              </c:strCache>
            </c:strRef>
          </c:tx>
          <c:cat>
            <c:numRef>
              <c:f>HPCG!$D$3:$D$9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HPCG!$E$3:$E$9</c:f>
              <c:numCache>
                <c:formatCode>General</c:formatCode>
                <c:ptCount val="7"/>
                <c:pt idx="0">
                  <c:v>0.76128700000000005</c:v>
                </c:pt>
                <c:pt idx="1">
                  <c:v>1.3909100000000001</c:v>
                </c:pt>
                <c:pt idx="2">
                  <c:v>2.4365399999999999</c:v>
                </c:pt>
                <c:pt idx="3">
                  <c:v>3.61416</c:v>
                </c:pt>
                <c:pt idx="4">
                  <c:v>6.9121199999999998</c:v>
                </c:pt>
                <c:pt idx="5">
                  <c:v>14.224500000000001</c:v>
                </c:pt>
                <c:pt idx="6">
                  <c:v>27.428999999999998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HPCG!$K$2</c:f>
              <c:strCache>
                <c:ptCount val="1"/>
                <c:pt idx="0">
                  <c:v>VeryLarge</c:v>
                </c:pt>
              </c:strCache>
            </c:strRef>
          </c:tx>
          <c:val>
            <c:numRef>
              <c:f>HPCG!$K$3:$K$9</c:f>
              <c:numCache>
                <c:formatCode>General</c:formatCode>
                <c:ptCount val="7"/>
                <c:pt idx="0">
                  <c:v>0.20673</c:v>
                </c:pt>
                <c:pt idx="1">
                  <c:v>0.39683200000000002</c:v>
                </c:pt>
                <c:pt idx="2">
                  <c:v>0.67330900000000005</c:v>
                </c:pt>
                <c:pt idx="3">
                  <c:v>1.0550999999999999</c:v>
                </c:pt>
                <c:pt idx="4">
                  <c:v>1.8108599999999999</c:v>
                </c:pt>
                <c:pt idx="5">
                  <c:v>3.2231000000000001</c:v>
                </c:pt>
                <c:pt idx="6">
                  <c:v>5.4516499999999999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HPCG!$Q$2</c:f>
              <c:strCache>
                <c:ptCount val="1"/>
                <c:pt idx="0">
                  <c:v>HSR Cluster</c:v>
                </c:pt>
              </c:strCache>
            </c:strRef>
          </c:tx>
          <c:val>
            <c:numRef>
              <c:f>HPCG!$Q$3:$Q$9</c:f>
              <c:numCache>
                <c:formatCode>General</c:formatCode>
                <c:ptCount val="7"/>
                <c:pt idx="0">
                  <c:v>0.56974599999999997</c:v>
                </c:pt>
                <c:pt idx="1">
                  <c:v>1.0184</c:v>
                </c:pt>
                <c:pt idx="2">
                  <c:v>1.63595</c:v>
                </c:pt>
                <c:pt idx="3">
                  <c:v>2.4076</c:v>
                </c:pt>
                <c:pt idx="4">
                  <c:v>3.3893300000000002</c:v>
                </c:pt>
                <c:pt idx="5">
                  <c:v>5.5845700000000003</c:v>
                </c:pt>
                <c:pt idx="6">
                  <c:v>10.6447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43872"/>
        <c:axId val="147745792"/>
      </c:lineChart>
      <c:catAx>
        <c:axId val="1477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l-PL" sz="1200"/>
                  <a:t>Number</a:t>
                </a:r>
                <a:r>
                  <a:rPr lang="pl-PL" sz="1200" baseline="0"/>
                  <a:t> of cores 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7745792"/>
        <c:crosses val="autoZero"/>
        <c:auto val="1"/>
        <c:lblAlgn val="ctr"/>
        <c:lblOffset val="100"/>
        <c:noMultiLvlLbl val="0"/>
      </c:catAx>
      <c:valAx>
        <c:axId val="14774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GFLOPs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77438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'Deployment Time'!$F$5</c:f>
              <c:strCache>
                <c:ptCount val="1"/>
                <c:pt idx="0">
                  <c:v>Deployment Time (HPC)</c:v>
                </c:pt>
              </c:strCache>
            </c:strRef>
          </c:tx>
          <c:val>
            <c:numRef>
              <c:f>'Deployment Time'!$F$6:$F$9</c:f>
              <c:numCache>
                <c:formatCode>[$-F400]h:mm:ss\ AM/PM</c:formatCode>
                <c:ptCount val="4"/>
                <c:pt idx="0">
                  <c:v>4.6412037037037038E-3</c:v>
                </c:pt>
                <c:pt idx="1">
                  <c:v>4.5486111111111109E-3</c:v>
                </c:pt>
                <c:pt idx="2">
                  <c:v>4.6759259259259263E-3</c:v>
                </c:pt>
                <c:pt idx="3">
                  <c:v>4.7106481481481478E-3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'Deployment Time'!$G$5</c:f>
              <c:strCache>
                <c:ptCount val="1"/>
                <c:pt idx="0">
                  <c:v>Turn-down time (HPC)</c:v>
                </c:pt>
              </c:strCache>
            </c:strRef>
          </c:tx>
          <c:val>
            <c:numRef>
              <c:f>'Deployment Time'!$G$6:$G$9</c:f>
              <c:numCache>
                <c:formatCode>[$-F400]h:mm:ss\ AM/PM</c:formatCode>
                <c:ptCount val="4"/>
                <c:pt idx="0">
                  <c:v>3.4722222222222224E-4</c:v>
                </c:pt>
                <c:pt idx="1">
                  <c:v>4.0509259259259258E-4</c:v>
                </c:pt>
                <c:pt idx="2">
                  <c:v>3.4722222222222224E-4</c:v>
                </c:pt>
                <c:pt idx="3">
                  <c:v>3.7037037037037035E-4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'Deployment Time'!$O$5</c:f>
              <c:strCache>
                <c:ptCount val="1"/>
                <c:pt idx="0">
                  <c:v>Deployment Time</c:v>
                </c:pt>
              </c:strCache>
            </c:strRef>
          </c:tx>
          <c:val>
            <c:numRef>
              <c:f>'Deployment Time'!$O$6:$O$9</c:f>
              <c:numCache>
                <c:formatCode>[$-F400]h:mm:ss\ AM/PM</c:formatCode>
                <c:ptCount val="4"/>
                <c:pt idx="0">
                  <c:v>4.0601851851851854E-2</c:v>
                </c:pt>
                <c:pt idx="1">
                  <c:v>3.3252314814814811E-2</c:v>
                </c:pt>
                <c:pt idx="2">
                  <c:v>3.4212962962962966E-2</c:v>
                </c:pt>
                <c:pt idx="3">
                  <c:v>4.4259259259259255E-2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'Deployment Time'!$P$5</c:f>
              <c:strCache>
                <c:ptCount val="1"/>
                <c:pt idx="0">
                  <c:v>Turn-down time</c:v>
                </c:pt>
              </c:strCache>
            </c:strRef>
          </c:tx>
          <c:val>
            <c:numRef>
              <c:f>'Deployment Time'!$P$6:$P$9</c:f>
              <c:numCache>
                <c:formatCode>[$-F400]h:mm:ss\ AM/PM</c:formatCode>
                <c:ptCount val="4"/>
                <c:pt idx="0">
                  <c:v>3.37962962962963E-3</c:v>
                </c:pt>
                <c:pt idx="1">
                  <c:v>3.483796296296296E-3</c:v>
                </c:pt>
                <c:pt idx="2">
                  <c:v>3.2291666666666666E-3</c:v>
                </c:pt>
                <c:pt idx="3">
                  <c:v>3.414351851851852E-3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62720"/>
        <c:axId val="147664256"/>
      </c:lineChart>
      <c:catAx>
        <c:axId val="1476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664256"/>
        <c:crosses val="autoZero"/>
        <c:auto val="1"/>
        <c:lblAlgn val="ctr"/>
        <c:lblOffset val="100"/>
        <c:noMultiLvlLbl val="0"/>
      </c:catAx>
      <c:valAx>
        <c:axId val="147664256"/>
        <c:scaling>
          <c:orientation val="minMax"/>
        </c:scaling>
        <c:delete val="0"/>
        <c:axPos val="l"/>
        <c:majorGridlines/>
        <c:numFmt formatCode="[$-F400]h:mm:ss\ AM/PM" sourceLinked="1"/>
        <c:majorTickMark val="out"/>
        <c:minorTickMark val="none"/>
        <c:tickLblPos val="nextTo"/>
        <c:crossAx val="1476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'Deployment Time (breakdown)'!$B$4</c:f>
              <c:strCache>
                <c:ptCount val="1"/>
                <c:pt idx="0">
                  <c:v>Create storage account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(breakdown)'!$C$4:$F$4</c:f>
              <c:numCache>
                <c:formatCode>h:mm:ss</c:formatCode>
                <c:ptCount val="4"/>
                <c:pt idx="0">
                  <c:v>4.6296296296296293E-4</c:v>
                </c:pt>
                <c:pt idx="1">
                  <c:v>4.6296296296296293E-4</c:v>
                </c:pt>
                <c:pt idx="2">
                  <c:v>5.3240740740740744E-4</c:v>
                </c:pt>
                <c:pt idx="3">
                  <c:v>3.9467592592592592E-3</c:v>
                </c:pt>
              </c:numCache>
            </c:numRef>
          </c:val>
        </c:ser>
        <c:ser>
          <c:idx val="1"/>
          <c:order val="1"/>
          <c:tx>
            <c:strRef>
              <c:f>'Deployment Time (breakdown)'!$B$5</c:f>
              <c:strCache>
                <c:ptCount val="1"/>
                <c:pt idx="0">
                  <c:v>Create virtual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(breakdown)'!$C$5:$F$5</c:f>
              <c:numCache>
                <c:formatCode>h:mm:ss</c:formatCode>
                <c:ptCount val="4"/>
                <c:pt idx="0">
                  <c:v>4.7453703703703704E-4</c:v>
                </c:pt>
                <c:pt idx="1">
                  <c:v>4.7453703703703704E-4</c:v>
                </c:pt>
                <c:pt idx="2">
                  <c:v>5.5555555555555556E-4</c:v>
                </c:pt>
                <c:pt idx="3">
                  <c:v>4.7453703703703704E-4</c:v>
                </c:pt>
              </c:numCache>
            </c:numRef>
          </c:val>
        </c:ser>
        <c:ser>
          <c:idx val="2"/>
          <c:order val="2"/>
          <c:tx>
            <c:strRef>
              <c:f>'Deployment Time (breakdown)'!$B$6</c:f>
              <c:strCache>
                <c:ptCount val="1"/>
                <c:pt idx="0">
                  <c:v>Create cloud 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(breakdown)'!$C$6:$F$6</c:f>
              <c:numCache>
                <c:formatCode>h:mm:ss</c:formatCode>
                <c:ptCount val="4"/>
                <c:pt idx="0">
                  <c:v>1.5046296296296297E-4</c:v>
                </c:pt>
                <c:pt idx="1">
                  <c:v>1.5046296296296297E-4</c:v>
                </c:pt>
                <c:pt idx="2">
                  <c:v>2.3148148148148146E-4</c:v>
                </c:pt>
                <c:pt idx="3">
                  <c:v>1.3888888888888889E-4</c:v>
                </c:pt>
              </c:numCache>
            </c:numRef>
          </c:val>
        </c:ser>
        <c:ser>
          <c:idx val="3"/>
          <c:order val="3"/>
          <c:tx>
            <c:strRef>
              <c:f>'Deployment Time (breakdown)'!$B$7</c:f>
              <c:strCache>
                <c:ptCount val="1"/>
                <c:pt idx="0">
                  <c:v>Create domain controller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(breakdown)'!$C$7:$F$7</c:f>
              <c:numCache>
                <c:formatCode>h:mm:ss</c:formatCode>
                <c:ptCount val="4"/>
                <c:pt idx="0">
                  <c:v>1.5833333333333335E-2</c:v>
                </c:pt>
                <c:pt idx="1">
                  <c:v>1.0219907407407408E-2</c:v>
                </c:pt>
                <c:pt idx="2">
                  <c:v>1.2592592592592593E-2</c:v>
                </c:pt>
                <c:pt idx="3">
                  <c:v>1.7465277777777777E-2</c:v>
                </c:pt>
              </c:numCache>
            </c:numRef>
          </c:val>
        </c:ser>
        <c:ser>
          <c:idx val="4"/>
          <c:order val="4"/>
          <c:tx>
            <c:strRef>
              <c:f>'Deployment Time (breakdown)'!$B$8</c:f>
              <c:strCache>
                <c:ptCount val="1"/>
                <c:pt idx="0">
                  <c:v>Create compute nodes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(breakdown)'!$C$8:$F$8</c:f>
              <c:numCache>
                <c:formatCode>h:mm:ss</c:formatCode>
                <c:ptCount val="4"/>
                <c:pt idx="0">
                  <c:v>2.7777777777777776E-2</c:v>
                </c:pt>
                <c:pt idx="1">
                  <c:v>2.361111111111111E-2</c:v>
                </c:pt>
                <c:pt idx="2">
                  <c:v>2.013888888888889E-2</c:v>
                </c:pt>
                <c:pt idx="3">
                  <c:v>1.8749999999999999E-2</c:v>
                </c:pt>
              </c:numCache>
            </c:numRef>
          </c:val>
        </c:ser>
        <c:ser>
          <c:idx val="5"/>
          <c:order val="5"/>
          <c:tx>
            <c:strRef>
              <c:f>'Deployment Time (breakdown)'!$B$9</c:f>
              <c:strCache>
                <c:ptCount val="1"/>
                <c:pt idx="0">
                  <c:v>Configure head node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(breakdown)'!$C$3:$F$3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(breakdown)'!$C$9:$F$9</c:f>
              <c:numCache>
                <c:formatCode>h:mm:ss</c:formatCode>
                <c:ptCount val="4"/>
                <c:pt idx="0">
                  <c:v>1.8750000000000001E-3</c:v>
                </c:pt>
                <c:pt idx="1">
                  <c:v>2.488425925925926E-3</c:v>
                </c:pt>
                <c:pt idx="2">
                  <c:v>2.0370370370370373E-3</c:v>
                </c:pt>
                <c:pt idx="3">
                  <c:v>3.3680555555555551E-3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53856"/>
        <c:axId val="148155392"/>
      </c:barChart>
      <c:catAx>
        <c:axId val="1481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5392"/>
        <c:crosses val="autoZero"/>
        <c:auto val="1"/>
        <c:lblAlgn val="ctr"/>
        <c:lblOffset val="100"/>
        <c:noMultiLvlLbl val="0"/>
      </c:catAx>
      <c:valAx>
        <c:axId val="148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3856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'Deployment Time (breakdown)'!$H$4</c:f>
              <c:strCache>
                <c:ptCount val="1"/>
                <c:pt idx="0">
                  <c:v>Create cluster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(breakdown)'!$I$3:$L$3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(breakdown)'!$I$4:$L$4</c:f>
              <c:numCache>
                <c:formatCode>[$-F400]h:mm:ss\ AM/PM</c:formatCode>
                <c:ptCount val="4"/>
                <c:pt idx="0">
                  <c:v>4.7106481481481478E-3</c:v>
                </c:pt>
                <c:pt idx="1">
                  <c:v>4.6759259259259263E-3</c:v>
                </c:pt>
                <c:pt idx="2">
                  <c:v>4.5486111111111109E-3</c:v>
                </c:pt>
                <c:pt idx="3">
                  <c:v>4.6412037037037038E-3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8175104"/>
        <c:axId val="148197376"/>
      </c:barChart>
      <c:catAx>
        <c:axId val="1481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7376"/>
        <c:crosses val="autoZero"/>
        <c:auto val="1"/>
        <c:lblAlgn val="ctr"/>
        <c:lblOffset val="100"/>
        <c:noMultiLvlLbl val="0"/>
      </c:catAx>
      <c:valAx>
        <c:axId val="148197376"/>
        <c:scaling>
          <c:orientation val="minMax"/>
          <c:max val="4.7500000000000007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5104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Turndown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'Deployment Time (breakdown)'!$N$4</c:f>
              <c:strCache>
                <c:ptCount val="1"/>
                <c:pt idx="0">
                  <c:v>HPC Pack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(breakdown)'!$O$3:$R$3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(breakdown)'!$O$4:$R$4</c:f>
              <c:numCache>
                <c:formatCode>[$-F400]h:mm:ss\ AM/PM</c:formatCode>
                <c:ptCount val="4"/>
                <c:pt idx="0">
                  <c:v>3.414351851851852E-3</c:v>
                </c:pt>
                <c:pt idx="1">
                  <c:v>3.2291666666666666E-3</c:v>
                </c:pt>
                <c:pt idx="2">
                  <c:v>3.483796296296296E-3</c:v>
                </c:pt>
                <c:pt idx="3">
                  <c:v>3.37962962962963E-3</c:v>
                </c:pt>
              </c:numCache>
            </c:numRef>
          </c:val>
        </c:ser>
        <c:ser>
          <c:idx val="1"/>
          <c:order val="1"/>
          <c:tx>
            <c:strRef>
              <c:f>'Deployment Time (breakdown)'!$N$5</c:f>
              <c:strCache>
                <c:ptCount val="1"/>
                <c:pt idx="0">
                  <c:v>SimplyHPC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'Deployment Time (breakdown)'!$O$3:$R$3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'Deployment Time (breakdown)'!$O$5:$R$5</c:f>
              <c:numCache>
                <c:formatCode>[$-F400]h:mm:ss\ AM/PM</c:formatCode>
                <c:ptCount val="4"/>
                <c:pt idx="0">
                  <c:v>3.7037037037037035E-4</c:v>
                </c:pt>
                <c:pt idx="1">
                  <c:v>3.4722222222222224E-4</c:v>
                </c:pt>
                <c:pt idx="2">
                  <c:v>4.0509259259259258E-4</c:v>
                </c:pt>
                <c:pt idx="3">
                  <c:v>3.4722222222222224E-4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34624"/>
        <c:axId val="148236160"/>
        <c:axId val="0"/>
      </c:bar3DChart>
      <c:catAx>
        <c:axId val="1482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6160"/>
        <c:crosses val="autoZero"/>
        <c:auto val="1"/>
        <c:lblAlgn val="ctr"/>
        <c:lblOffset val="100"/>
        <c:noMultiLvlLbl val="0"/>
      </c:catAx>
      <c:valAx>
        <c:axId val="1482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Costs!$R$3</c:f>
              <c:strCache>
                <c:ptCount val="1"/>
                <c:pt idx="0">
                  <c:v>A8</c:v>
                </c:pt>
              </c:strCache>
            </c:strRef>
          </c:tx>
          <c:cat>
            <c:numRef>
              <c:f>Costs!$O$4:$O$10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Costs!$R$4:$R$10</c:f>
              <c:numCache>
                <c:formatCode>General</c:formatCode>
                <c:ptCount val="7"/>
                <c:pt idx="0">
                  <c:v>3.1249712657644224</c:v>
                </c:pt>
                <c:pt idx="1">
                  <c:v>1.7103910389601051</c:v>
                </c:pt>
                <c:pt idx="2">
                  <c:v>0.97638454529784036</c:v>
                </c:pt>
                <c:pt idx="3">
                  <c:v>0.65824423932532039</c:v>
                </c:pt>
                <c:pt idx="4">
                  <c:v>0.68835610492873389</c:v>
                </c:pt>
                <c:pt idx="5">
                  <c:v>0.66898660761362438</c:v>
                </c:pt>
                <c:pt idx="6">
                  <c:v>0.69386415837252546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Costs!$Z$3</c:f>
              <c:strCache>
                <c:ptCount val="1"/>
                <c:pt idx="0">
                  <c:v>VeryLarge</c:v>
                </c:pt>
              </c:strCache>
            </c:strRef>
          </c:tx>
          <c:cat>
            <c:numRef>
              <c:f>Costs!$O$4:$O$10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Costs!$Z$4:$Z$10</c:f>
              <c:numCache>
                <c:formatCode>General</c:formatCode>
                <c:ptCount val="7"/>
                <c:pt idx="0">
                  <c:v>3.3860591109176217</c:v>
                </c:pt>
                <c:pt idx="1">
                  <c:v>1.7639706475284249</c:v>
                </c:pt>
                <c:pt idx="2">
                  <c:v>1.0396415315999041</c:v>
                </c:pt>
                <c:pt idx="3">
                  <c:v>0.66344422329636998</c:v>
                </c:pt>
                <c:pt idx="4">
                  <c:v>0.77311332736931626</c:v>
                </c:pt>
                <c:pt idx="5">
                  <c:v>0.86872886351649026</c:v>
                </c:pt>
                <c:pt idx="6">
                  <c:v>1.0272119450074748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Costs!$Z$12</c:f>
              <c:strCache>
                <c:ptCount val="1"/>
                <c:pt idx="0">
                  <c:v>HSR (31%)</c:v>
                </c:pt>
              </c:strCache>
            </c:strRef>
          </c:tx>
          <c:cat>
            <c:numRef>
              <c:f>Costs!$O$4:$O$10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Costs!$Z$13:$Z$19</c:f>
              <c:numCache>
                <c:formatCode>General</c:formatCode>
                <c:ptCount val="7"/>
                <c:pt idx="0">
                  <c:v>3.9754296505766957</c:v>
                </c:pt>
                <c:pt idx="1">
                  <c:v>4.4481247873084646</c:v>
                </c:pt>
                <c:pt idx="2">
                  <c:v>5.5380302373482566</c:v>
                </c:pt>
                <c:pt idx="3">
                  <c:v>7.5261177660656919</c:v>
                </c:pt>
                <c:pt idx="4">
                  <c:v>10.692308588175102</c:v>
                </c:pt>
                <c:pt idx="5">
                  <c:v>12.978532731135797</c:v>
                </c:pt>
                <c:pt idx="6">
                  <c:v>13.617955326936229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Costs!$AB$12</c:f>
              <c:strCache>
                <c:ptCount val="1"/>
                <c:pt idx="0">
                  <c:v>HSR (50%)</c:v>
                </c:pt>
              </c:strCache>
            </c:strRef>
          </c:tx>
          <c:val>
            <c:numRef>
              <c:f>Costs!$AB$13:$AB$19</c:f>
              <c:numCache>
                <c:formatCode>General</c:formatCode>
                <c:ptCount val="7"/>
                <c:pt idx="0">
                  <c:v>2.4846435316104349</c:v>
                </c:pt>
                <c:pt idx="1">
                  <c:v>2.7800779920677905</c:v>
                </c:pt>
                <c:pt idx="2">
                  <c:v>3.4612688983426603</c:v>
                </c:pt>
                <c:pt idx="3">
                  <c:v>4.7038236037910579</c:v>
                </c:pt>
                <c:pt idx="4">
                  <c:v>6.6826928676094388</c:v>
                </c:pt>
                <c:pt idx="5">
                  <c:v>8.1115829569598734</c:v>
                </c:pt>
                <c:pt idx="6">
                  <c:v>8.511222079335143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Costs!$AD$12</c:f>
              <c:strCache>
                <c:ptCount val="1"/>
                <c:pt idx="0">
                  <c:v>HSR (100%)</c:v>
                </c:pt>
              </c:strCache>
            </c:strRef>
          </c:tx>
          <c:val>
            <c:numRef>
              <c:f>Costs!$AD$13:$AD$19</c:f>
              <c:numCache>
                <c:formatCode>General</c:formatCode>
                <c:ptCount val="7"/>
                <c:pt idx="0">
                  <c:v>1.2423217658052175</c:v>
                </c:pt>
                <c:pt idx="1">
                  <c:v>1.3900389960338952</c:v>
                </c:pt>
                <c:pt idx="2">
                  <c:v>1.7306344491713301</c:v>
                </c:pt>
                <c:pt idx="3">
                  <c:v>2.351911801895529</c:v>
                </c:pt>
                <c:pt idx="4">
                  <c:v>3.3413464338047194</c:v>
                </c:pt>
                <c:pt idx="5">
                  <c:v>4.0557914784799367</c:v>
                </c:pt>
                <c:pt idx="6">
                  <c:v>4.2556110396675715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89408"/>
        <c:axId val="148299776"/>
      </c:lineChart>
      <c:catAx>
        <c:axId val="148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Number</a:t>
                </a:r>
                <a:r>
                  <a:rPr lang="pl-PL" sz="1400" baseline="0"/>
                  <a:t> of cores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299776"/>
        <c:crosses val="autoZero"/>
        <c:auto val="1"/>
        <c:lblAlgn val="ctr"/>
        <c:lblOffset val="100"/>
        <c:noMultiLvlLbl val="0"/>
      </c:catAx>
      <c:valAx>
        <c:axId val="14829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$ per </a:t>
                </a:r>
                <a:r>
                  <a:rPr lang="pl-PL" sz="1200" baseline="0"/>
                  <a:t> 1 GFLOP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8289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14</xdr:row>
      <xdr:rowOff>95250</xdr:rowOff>
    </xdr:from>
    <xdr:to>
      <xdr:col>12</xdr:col>
      <xdr:colOff>200025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14</xdr:row>
      <xdr:rowOff>76199</xdr:rowOff>
    </xdr:from>
    <xdr:to>
      <xdr:col>21</xdr:col>
      <xdr:colOff>152400</xdr:colOff>
      <xdr:row>29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13</xdr:row>
      <xdr:rowOff>71437</xdr:rowOff>
    </xdr:from>
    <xdr:to>
      <xdr:col>10</xdr:col>
      <xdr:colOff>504825</xdr:colOff>
      <xdr:row>27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22</xdr:row>
      <xdr:rowOff>19050</xdr:rowOff>
    </xdr:from>
    <xdr:to>
      <xdr:col>11</xdr:col>
      <xdr:colOff>352425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12</xdr:row>
      <xdr:rowOff>190499</xdr:rowOff>
    </xdr:from>
    <xdr:to>
      <xdr:col>7</xdr:col>
      <xdr:colOff>295275</xdr:colOff>
      <xdr:row>30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361949</xdr:colOff>
      <xdr:row>13</xdr:row>
      <xdr:rowOff>0</xdr:rowOff>
    </xdr:from>
    <xdr:to>
      <xdr:col>13</xdr:col>
      <xdr:colOff>704850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752475</xdr:colOff>
      <xdr:row>13</xdr:row>
      <xdr:rowOff>9524</xdr:rowOff>
    </xdr:from>
    <xdr:to>
      <xdr:col>19</xdr:col>
      <xdr:colOff>571500</xdr:colOff>
      <xdr:row>29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114300</xdr:rowOff>
    </xdr:from>
    <xdr:to>
      <xdr:col>19</xdr:col>
      <xdr:colOff>66675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small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verylarg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A8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cluster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3"/>
  <sheetViews>
    <sheetView workbookViewId="0">
      <selection activeCell="A32" sqref="A32"/>
    </sheetView>
  </sheetViews>
  <sheetFormatPr defaultRowHeight="15"/>
  <cols>
    <col min="1" max="1" width="31.85546875" customWidth="1"/>
  </cols>
  <sheetData>
    <row r="1" spans="1:2">
      <c r="A1" t="s">
        <v>27</v>
      </c>
    </row>
    <row r="2" spans="1:2">
      <c r="A2" t="s">
        <v>0</v>
      </c>
      <c r="B2" t="s">
        <v>28</v>
      </c>
    </row>
    <row r="3" spans="1:2">
      <c r="A3" t="s">
        <v>1</v>
      </c>
      <c r="B3" t="s">
        <v>29</v>
      </c>
    </row>
    <row r="4" spans="1:2">
      <c r="A4" t="s">
        <v>2</v>
      </c>
      <c r="B4" t="s">
        <v>30</v>
      </c>
    </row>
    <row r="5" spans="1:2">
      <c r="A5" t="s">
        <v>3</v>
      </c>
      <c r="B5" t="s">
        <v>31</v>
      </c>
    </row>
    <row r="6" spans="1:2">
      <c r="A6" t="s">
        <v>4</v>
      </c>
      <c r="B6" t="s">
        <v>32</v>
      </c>
    </row>
    <row r="7" spans="1:2">
      <c r="A7" t="s">
        <v>5</v>
      </c>
      <c r="B7" t="s">
        <v>33</v>
      </c>
    </row>
    <row r="8" spans="1:2">
      <c r="A8" t="s">
        <v>6</v>
      </c>
      <c r="B8" t="s">
        <v>34</v>
      </c>
    </row>
    <row r="9" spans="1:2">
      <c r="A9" t="s">
        <v>7</v>
      </c>
      <c r="B9" t="s">
        <v>35</v>
      </c>
    </row>
    <row r="10" spans="1:2">
      <c r="A10" t="s">
        <v>8</v>
      </c>
      <c r="B10" t="s">
        <v>34</v>
      </c>
    </row>
    <row r="11" spans="1:2">
      <c r="A11" t="s">
        <v>9</v>
      </c>
      <c r="B11" t="s">
        <v>36</v>
      </c>
    </row>
    <row r="12" spans="1:2">
      <c r="A12" t="s">
        <v>10</v>
      </c>
      <c r="B12" t="s">
        <v>37</v>
      </c>
    </row>
    <row r="13" spans="1:2">
      <c r="A13" t="s">
        <v>11</v>
      </c>
      <c r="B13" t="s">
        <v>38</v>
      </c>
    </row>
    <row r="14" spans="1:2">
      <c r="A14" t="s">
        <v>12</v>
      </c>
      <c r="B14" t="s">
        <v>39</v>
      </c>
    </row>
    <row r="15" spans="1:2">
      <c r="A15" t="s">
        <v>13</v>
      </c>
      <c r="B15" t="s">
        <v>40</v>
      </c>
    </row>
    <row r="16" spans="1:2">
      <c r="A16" t="s">
        <v>14</v>
      </c>
      <c r="B16" t="s">
        <v>41</v>
      </c>
    </row>
    <row r="17" spans="1:2">
      <c r="A17" t="s">
        <v>15</v>
      </c>
      <c r="B17" t="s">
        <v>42</v>
      </c>
    </row>
    <row r="18" spans="1:2">
      <c r="A18" t="s">
        <v>16</v>
      </c>
      <c r="B18" t="s">
        <v>43</v>
      </c>
    </row>
    <row r="19" spans="1:2">
      <c r="A19" t="s">
        <v>17</v>
      </c>
      <c r="B19" t="s">
        <v>43</v>
      </c>
    </row>
    <row r="20" spans="1:2">
      <c r="A20" t="s">
        <v>18</v>
      </c>
      <c r="B20" t="s">
        <v>43</v>
      </c>
    </row>
    <row r="21" spans="1:2">
      <c r="A21" t="s">
        <v>19</v>
      </c>
      <c r="B21" t="s">
        <v>43</v>
      </c>
    </row>
    <row r="22" spans="1:2">
      <c r="A22" t="s">
        <v>20</v>
      </c>
      <c r="B22" t="s">
        <v>43</v>
      </c>
    </row>
    <row r="23" spans="1:2">
      <c r="A23" s="3" t="s">
        <v>21</v>
      </c>
      <c r="B23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D49"/>
  <sheetViews>
    <sheetView zoomScale="130" zoomScaleNormal="130" workbookViewId="0">
      <selection activeCell="R12" sqref="R12"/>
    </sheetView>
  </sheetViews>
  <sheetFormatPr defaultRowHeight="15"/>
  <cols>
    <col min="3" max="4" width="10.5703125" bestFit="1" customWidth="1"/>
    <col min="5" max="11" width="9.5703125" bestFit="1" customWidth="1"/>
  </cols>
  <sheetData>
    <row r="2" spans="1:30">
      <c r="L2" t="s">
        <v>113</v>
      </c>
    </row>
    <row r="3" spans="1:30">
      <c r="L3" t="s">
        <v>0</v>
      </c>
      <c r="M3" t="s">
        <v>1</v>
      </c>
      <c r="N3" t="s">
        <v>2</v>
      </c>
      <c r="O3" t="s">
        <v>3</v>
      </c>
      <c r="P3" t="s">
        <v>25</v>
      </c>
      <c r="Q3" t="s">
        <v>4</v>
      </c>
      <c r="R3" t="s">
        <v>25</v>
      </c>
      <c r="T3" t="s">
        <v>0</v>
      </c>
      <c r="U3" t="s">
        <v>1</v>
      </c>
      <c r="V3" t="s">
        <v>2</v>
      </c>
      <c r="W3" t="s">
        <v>3</v>
      </c>
      <c r="X3" t="s">
        <v>104</v>
      </c>
      <c r="Y3" t="s">
        <v>112</v>
      </c>
      <c r="Z3" t="s">
        <v>104</v>
      </c>
    </row>
    <row r="4" spans="1:30">
      <c r="A4" t="s">
        <v>50</v>
      </c>
      <c r="L4" t="s">
        <v>25</v>
      </c>
      <c r="M4">
        <v>1</v>
      </c>
      <c r="N4">
        <v>1</v>
      </c>
      <c r="O4">
        <v>1</v>
      </c>
      <c r="P4">
        <v>0.76128700000000005</v>
      </c>
      <c r="Q4">
        <v>2.379</v>
      </c>
      <c r="R4">
        <f t="shared" ref="R4:R6" si="0">Q4/P4</f>
        <v>3.1249712657644224</v>
      </c>
      <c r="T4" t="s">
        <v>24</v>
      </c>
      <c r="U4">
        <v>1</v>
      </c>
      <c r="V4">
        <v>1</v>
      </c>
      <c r="W4">
        <v>1</v>
      </c>
      <c r="X4">
        <v>0.20673</v>
      </c>
      <c r="Y4">
        <v>0.7</v>
      </c>
      <c r="Z4">
        <f>Y4/X4</f>
        <v>3.3860591109176217</v>
      </c>
    </row>
    <row r="5" spans="1:30">
      <c r="L5" t="s">
        <v>25</v>
      </c>
      <c r="M5">
        <v>1</v>
      </c>
      <c r="N5">
        <v>2</v>
      </c>
      <c r="O5">
        <v>2</v>
      </c>
      <c r="P5">
        <v>1.3909100000000001</v>
      </c>
      <c r="Q5">
        <v>2.379</v>
      </c>
      <c r="R5">
        <f t="shared" si="0"/>
        <v>1.7103910389601051</v>
      </c>
      <c r="T5" t="s">
        <v>24</v>
      </c>
      <c r="U5">
        <v>1</v>
      </c>
      <c r="V5">
        <v>2</v>
      </c>
      <c r="W5">
        <v>2</v>
      </c>
      <c r="X5">
        <v>0.39683200000000002</v>
      </c>
      <c r="Y5">
        <v>0.7</v>
      </c>
      <c r="Z5">
        <f t="shared" ref="Z5:Z10" si="1">Y5/X5</f>
        <v>1.7639706475284249</v>
      </c>
    </row>
    <row r="6" spans="1:30">
      <c r="A6" t="s">
        <v>65</v>
      </c>
      <c r="B6" t="s">
        <v>66</v>
      </c>
      <c r="C6" t="s">
        <v>71</v>
      </c>
      <c r="D6" t="s">
        <v>72</v>
      </c>
      <c r="E6" t="s">
        <v>70</v>
      </c>
      <c r="L6" t="s">
        <v>25</v>
      </c>
      <c r="M6">
        <v>1</v>
      </c>
      <c r="N6">
        <v>4</v>
      </c>
      <c r="O6">
        <v>4</v>
      </c>
      <c r="P6">
        <v>2.4365399999999999</v>
      </c>
      <c r="Q6">
        <v>2.379</v>
      </c>
      <c r="R6">
        <f t="shared" si="0"/>
        <v>0.97638454529784036</v>
      </c>
      <c r="T6" t="s">
        <v>24</v>
      </c>
      <c r="U6">
        <v>1</v>
      </c>
      <c r="V6">
        <v>4</v>
      </c>
      <c r="W6">
        <v>4</v>
      </c>
      <c r="X6">
        <v>0.67330900000000005</v>
      </c>
      <c r="Y6">
        <v>0.7</v>
      </c>
      <c r="Z6">
        <f t="shared" si="1"/>
        <v>1.0396415315999041</v>
      </c>
    </row>
    <row r="7" spans="1:30">
      <c r="A7" s="23">
        <v>32</v>
      </c>
      <c r="B7" s="23">
        <v>12</v>
      </c>
      <c r="C7" s="5">
        <f>B7*A7</f>
        <v>384</v>
      </c>
      <c r="D7" s="5">
        <f>24*365</f>
        <v>8760</v>
      </c>
      <c r="E7">
        <f>D7*C7</f>
        <v>3363840</v>
      </c>
      <c r="F7" t="s">
        <v>68</v>
      </c>
      <c r="L7" s="5" t="s">
        <v>25</v>
      </c>
      <c r="M7" s="5">
        <v>1</v>
      </c>
      <c r="N7" s="5">
        <v>8</v>
      </c>
      <c r="O7" s="5">
        <v>8</v>
      </c>
      <c r="P7">
        <v>3.61416</v>
      </c>
      <c r="Q7">
        <v>2.379</v>
      </c>
      <c r="R7">
        <f>Q7/P7</f>
        <v>0.65824423932532039</v>
      </c>
      <c r="T7" t="s">
        <v>24</v>
      </c>
      <c r="U7">
        <v>1</v>
      </c>
      <c r="V7">
        <v>8</v>
      </c>
      <c r="W7">
        <v>8</v>
      </c>
      <c r="X7">
        <v>1.0550999999999999</v>
      </c>
      <c r="Y7">
        <v>0.7</v>
      </c>
      <c r="Z7">
        <f t="shared" si="1"/>
        <v>0.66344422329636998</v>
      </c>
    </row>
    <row r="8" spans="1:30">
      <c r="L8" s="13" t="s">
        <v>25</v>
      </c>
      <c r="M8" s="13">
        <v>2</v>
      </c>
      <c r="N8" s="13">
        <v>8</v>
      </c>
      <c r="O8" s="13">
        <v>16</v>
      </c>
      <c r="P8">
        <v>6.9121199999999998</v>
      </c>
      <c r="Q8">
        <f>2*Q5</f>
        <v>4.758</v>
      </c>
      <c r="R8">
        <f t="shared" ref="R8:R10" si="2">Q8/P8</f>
        <v>0.68835610492873389</v>
      </c>
      <c r="T8" t="s">
        <v>24</v>
      </c>
      <c r="U8">
        <v>2</v>
      </c>
      <c r="V8">
        <v>8</v>
      </c>
      <c r="W8">
        <v>16</v>
      </c>
      <c r="X8">
        <v>1.8108599999999999</v>
      </c>
      <c r="Y8">
        <v>1.4</v>
      </c>
      <c r="Z8">
        <f t="shared" si="1"/>
        <v>0.77311332736931626</v>
      </c>
    </row>
    <row r="9" spans="1:30">
      <c r="D9" s="20"/>
      <c r="L9" s="13" t="s">
        <v>25</v>
      </c>
      <c r="M9" s="13">
        <v>4</v>
      </c>
      <c r="N9" s="13">
        <v>8</v>
      </c>
      <c r="O9" s="13">
        <v>32</v>
      </c>
      <c r="P9">
        <v>14.224500000000001</v>
      </c>
      <c r="Q9">
        <f>M9*Q5</f>
        <v>9.516</v>
      </c>
      <c r="R9">
        <f t="shared" si="2"/>
        <v>0.66898660761362438</v>
      </c>
      <c r="T9" t="s">
        <v>24</v>
      </c>
      <c r="U9">
        <v>4</v>
      </c>
      <c r="V9">
        <v>8</v>
      </c>
      <c r="W9">
        <v>32</v>
      </c>
      <c r="X9">
        <v>3.2231000000000001</v>
      </c>
      <c r="Y9">
        <v>2.8</v>
      </c>
      <c r="Z9">
        <f t="shared" si="1"/>
        <v>0.86872886351649026</v>
      </c>
    </row>
    <row r="10" spans="1:30">
      <c r="D10" s="21"/>
      <c r="L10" s="13" t="s">
        <v>25</v>
      </c>
      <c r="M10" s="13">
        <v>8</v>
      </c>
      <c r="N10" s="13">
        <v>8</v>
      </c>
      <c r="O10" s="13">
        <v>64</v>
      </c>
      <c r="P10">
        <v>27.428999999999998</v>
      </c>
      <c r="Q10">
        <f>M10*Q5</f>
        <v>19.032</v>
      </c>
      <c r="R10">
        <f t="shared" si="2"/>
        <v>0.69386415837252546</v>
      </c>
      <c r="T10" t="s">
        <v>24</v>
      </c>
      <c r="U10">
        <v>8</v>
      </c>
      <c r="V10">
        <v>8</v>
      </c>
      <c r="W10">
        <v>64</v>
      </c>
      <c r="X10">
        <v>5.4516499999999999</v>
      </c>
      <c r="Y10">
        <v>5.6</v>
      </c>
      <c r="Z10">
        <f t="shared" si="1"/>
        <v>1.0272119450074748</v>
      </c>
    </row>
    <row r="11" spans="1:30">
      <c r="D11" s="21"/>
    </row>
    <row r="12" spans="1:30">
      <c r="U12" t="s">
        <v>80</v>
      </c>
      <c r="V12" t="s">
        <v>100</v>
      </c>
      <c r="W12" t="s">
        <v>101</v>
      </c>
      <c r="X12" t="s">
        <v>116</v>
      </c>
      <c r="Y12" t="s">
        <v>4</v>
      </c>
      <c r="Z12" t="s">
        <v>115</v>
      </c>
      <c r="AA12" t="s">
        <v>4</v>
      </c>
      <c r="AB12" t="s">
        <v>114</v>
      </c>
      <c r="AC12" t="s">
        <v>4</v>
      </c>
      <c r="AD12" t="s">
        <v>117</v>
      </c>
    </row>
    <row r="13" spans="1:30">
      <c r="D13">
        <v>3</v>
      </c>
      <c r="E13" t="s">
        <v>74</v>
      </c>
      <c r="T13" t="s">
        <v>26</v>
      </c>
      <c r="U13">
        <v>1</v>
      </c>
      <c r="V13">
        <v>1</v>
      </c>
      <c r="W13">
        <f>U13*V13</f>
        <v>1</v>
      </c>
      <c r="X13">
        <v>0.56974599999999997</v>
      </c>
      <c r="Y13" s="26">
        <f>G49</f>
        <v>2.26498514169747</v>
      </c>
      <c r="Z13">
        <f>Y13/X13</f>
        <v>3.9754296505766957</v>
      </c>
      <c r="AA13" s="26">
        <f>I49</f>
        <v>1.4156157135609189</v>
      </c>
      <c r="AB13">
        <f>AA13/X13</f>
        <v>2.4846435316104349</v>
      </c>
      <c r="AC13" s="26">
        <f>K49</f>
        <v>0.70780785678045943</v>
      </c>
      <c r="AD13">
        <f>AC13/X13</f>
        <v>1.2423217658052175</v>
      </c>
    </row>
    <row r="14" spans="1:30">
      <c r="A14" t="s">
        <v>67</v>
      </c>
      <c r="C14" s="22">
        <v>150000</v>
      </c>
      <c r="T14" t="s">
        <v>26</v>
      </c>
      <c r="U14">
        <v>1</v>
      </c>
      <c r="V14">
        <v>2</v>
      </c>
      <c r="W14">
        <f t="shared" ref="W14:W19" si="3">U14*V14</f>
        <v>2</v>
      </c>
      <c r="X14">
        <v>1.0184</v>
      </c>
      <c r="Y14" s="26">
        <f>W14*$Y$13</f>
        <v>4.52997028339494</v>
      </c>
      <c r="Z14">
        <f t="shared" ref="Z14:Z19" si="4">Y14/X14</f>
        <v>4.4481247873084646</v>
      </c>
      <c r="AA14" s="26">
        <f t="shared" ref="AA14:AA19" si="5">W14*$AA$13</f>
        <v>2.8312314271218377</v>
      </c>
      <c r="AB14">
        <f t="shared" ref="AB14:AB19" si="6">AA14/X14</f>
        <v>2.7800779920677905</v>
      </c>
      <c r="AC14" s="26">
        <f>W14*$AC$13</f>
        <v>1.4156157135609189</v>
      </c>
      <c r="AD14">
        <f t="shared" ref="AD14:AD19" si="7">AC14/X14</f>
        <v>1.3900389960338952</v>
      </c>
    </row>
    <row r="15" spans="1:30">
      <c r="A15" t="s">
        <v>82</v>
      </c>
      <c r="C15" s="22">
        <f>16400*D13</f>
        <v>49200</v>
      </c>
      <c r="E15" t="s">
        <v>83</v>
      </c>
      <c r="J15" t="s">
        <v>84</v>
      </c>
      <c r="K15" t="s">
        <v>85</v>
      </c>
      <c r="T15" t="s">
        <v>26</v>
      </c>
      <c r="U15">
        <v>1</v>
      </c>
      <c r="V15">
        <v>4</v>
      </c>
      <c r="W15">
        <f t="shared" si="3"/>
        <v>4</v>
      </c>
      <c r="X15">
        <v>1.63595</v>
      </c>
      <c r="Y15" s="26">
        <f>W15*$Y$13</f>
        <v>9.05994056678988</v>
      </c>
      <c r="Z15">
        <f t="shared" si="4"/>
        <v>5.5380302373482566</v>
      </c>
      <c r="AA15" s="26">
        <f t="shared" si="5"/>
        <v>5.6624628542436755</v>
      </c>
      <c r="AB15">
        <f t="shared" si="6"/>
        <v>3.4612688983426603</v>
      </c>
      <c r="AC15" s="26">
        <f t="shared" ref="AC15:AC19" si="8">W15*$AC$13</f>
        <v>2.8312314271218377</v>
      </c>
      <c r="AD15">
        <f t="shared" si="7"/>
        <v>1.7306344491713301</v>
      </c>
    </row>
    <row r="16" spans="1:30">
      <c r="A16" t="s">
        <v>86</v>
      </c>
      <c r="C16" s="22"/>
      <c r="T16" t="s">
        <v>26</v>
      </c>
      <c r="U16">
        <v>1</v>
      </c>
      <c r="V16">
        <v>8</v>
      </c>
      <c r="W16">
        <f t="shared" si="3"/>
        <v>8</v>
      </c>
      <c r="X16">
        <v>2.4076</v>
      </c>
      <c r="Y16" s="26">
        <f t="shared" ref="Y16:Y19" si="9">W16*$Y$13</f>
        <v>18.11988113357976</v>
      </c>
      <c r="Z16">
        <f t="shared" si="4"/>
        <v>7.5261177660656919</v>
      </c>
      <c r="AA16" s="26">
        <f t="shared" si="5"/>
        <v>11.324925708487351</v>
      </c>
      <c r="AB16">
        <f t="shared" si="6"/>
        <v>4.7038236037910579</v>
      </c>
      <c r="AC16" s="26">
        <f t="shared" si="8"/>
        <v>5.6624628542436755</v>
      </c>
      <c r="AD16">
        <f t="shared" si="7"/>
        <v>2.351911801895529</v>
      </c>
    </row>
    <row r="17" spans="1:30">
      <c r="A17" t="s">
        <v>87</v>
      </c>
      <c r="C17" s="22"/>
      <c r="T17" t="s">
        <v>26</v>
      </c>
      <c r="U17">
        <v>2</v>
      </c>
      <c r="V17">
        <v>8</v>
      </c>
      <c r="W17">
        <f t="shared" si="3"/>
        <v>16</v>
      </c>
      <c r="X17">
        <v>3.3893300000000002</v>
      </c>
      <c r="Y17" s="26">
        <f t="shared" si="9"/>
        <v>36.23976226715952</v>
      </c>
      <c r="Z17">
        <f t="shared" si="4"/>
        <v>10.692308588175102</v>
      </c>
      <c r="AA17" s="26">
        <f t="shared" si="5"/>
        <v>22.649851416974702</v>
      </c>
      <c r="AB17">
        <f t="shared" si="6"/>
        <v>6.6826928676094388</v>
      </c>
      <c r="AC17" s="26">
        <f t="shared" si="8"/>
        <v>11.324925708487351</v>
      </c>
      <c r="AD17">
        <f t="shared" si="7"/>
        <v>3.3413464338047194</v>
      </c>
    </row>
    <row r="18" spans="1:30">
      <c r="A18" t="s">
        <v>88</v>
      </c>
      <c r="C18">
        <f>D18*D13</f>
        <v>270000</v>
      </c>
      <c r="D18">
        <v>90000</v>
      </c>
      <c r="E18" t="s">
        <v>75</v>
      </c>
      <c r="T18" t="s">
        <v>26</v>
      </c>
      <c r="U18">
        <v>4</v>
      </c>
      <c r="V18">
        <v>8</v>
      </c>
      <c r="W18">
        <f t="shared" si="3"/>
        <v>32</v>
      </c>
      <c r="X18">
        <v>5.5845700000000003</v>
      </c>
      <c r="Y18" s="26">
        <f t="shared" si="9"/>
        <v>72.47952453431904</v>
      </c>
      <c r="Z18">
        <f t="shared" si="4"/>
        <v>12.978532731135797</v>
      </c>
      <c r="AA18" s="26">
        <f t="shared" si="5"/>
        <v>45.299702833949404</v>
      </c>
      <c r="AB18">
        <f t="shared" si="6"/>
        <v>8.1115829569598734</v>
      </c>
      <c r="AC18" s="26">
        <f t="shared" si="8"/>
        <v>22.649851416974702</v>
      </c>
      <c r="AD18">
        <f t="shared" si="7"/>
        <v>4.0557914784799367</v>
      </c>
    </row>
    <row r="19" spans="1:30">
      <c r="A19" t="s">
        <v>73</v>
      </c>
      <c r="C19">
        <f>C14*D19*D13</f>
        <v>90000</v>
      </c>
      <c r="D19" s="21">
        <v>0.2</v>
      </c>
      <c r="E19" t="s">
        <v>76</v>
      </c>
      <c r="T19" t="s">
        <v>26</v>
      </c>
      <c r="U19">
        <v>8</v>
      </c>
      <c r="V19">
        <v>8</v>
      </c>
      <c r="W19">
        <f t="shared" si="3"/>
        <v>64</v>
      </c>
      <c r="X19">
        <v>10.6447</v>
      </c>
      <c r="Y19" s="26">
        <f t="shared" si="9"/>
        <v>144.95904906863808</v>
      </c>
      <c r="Z19">
        <f t="shared" si="4"/>
        <v>13.617955326936229</v>
      </c>
      <c r="AA19" s="26">
        <f t="shared" si="5"/>
        <v>90.599405667898807</v>
      </c>
      <c r="AB19">
        <f t="shared" si="6"/>
        <v>8.511222079335143</v>
      </c>
      <c r="AC19" s="26">
        <f t="shared" si="8"/>
        <v>45.299702833949404</v>
      </c>
      <c r="AD19">
        <f t="shared" si="7"/>
        <v>4.2556110396675715</v>
      </c>
    </row>
    <row r="20" spans="1:30">
      <c r="B20" s="19" t="s">
        <v>77</v>
      </c>
      <c r="C20" s="19">
        <f>SUM(C14:C19)</f>
        <v>559200</v>
      </c>
    </row>
    <row r="22" spans="1:30">
      <c r="B22" t="s">
        <v>78</v>
      </c>
      <c r="C22">
        <f>C20/3</f>
        <v>186400</v>
      </c>
    </row>
    <row r="23" spans="1:30">
      <c r="B23" t="s">
        <v>70</v>
      </c>
      <c r="C23">
        <f>E7</f>
        <v>3363840</v>
      </c>
    </row>
    <row r="24" spans="1:30">
      <c r="B24" t="s">
        <v>79</v>
      </c>
      <c r="C24">
        <f>C22/C23</f>
        <v>5.5412861491628614E-2</v>
      </c>
    </row>
    <row r="29" spans="1:30">
      <c r="B29" t="s">
        <v>69</v>
      </c>
    </row>
    <row r="30" spans="1:30">
      <c r="A30" t="s">
        <v>80</v>
      </c>
      <c r="B30">
        <v>1</v>
      </c>
      <c r="C30">
        <v>2</v>
      </c>
      <c r="D30">
        <v>4</v>
      </c>
      <c r="E30">
        <v>8</v>
      </c>
      <c r="F30">
        <v>10</v>
      </c>
      <c r="G30">
        <v>12</v>
      </c>
      <c r="H30">
        <v>16</v>
      </c>
      <c r="I30">
        <v>24</v>
      </c>
      <c r="J30">
        <v>32</v>
      </c>
    </row>
    <row r="31" spans="1:30">
      <c r="A31" t="s">
        <v>81</v>
      </c>
      <c r="B31">
        <f t="shared" ref="B31:H31" si="10">B30/$J$30</f>
        <v>3.125E-2</v>
      </c>
      <c r="C31">
        <f t="shared" si="10"/>
        <v>6.25E-2</v>
      </c>
      <c r="D31">
        <f t="shared" si="10"/>
        <v>0.125</v>
      </c>
      <c r="E31">
        <f t="shared" si="10"/>
        <v>0.25</v>
      </c>
      <c r="F31">
        <f t="shared" si="10"/>
        <v>0.3125</v>
      </c>
      <c r="G31">
        <f t="shared" si="10"/>
        <v>0.375</v>
      </c>
      <c r="H31">
        <f t="shared" si="10"/>
        <v>0.5</v>
      </c>
      <c r="I31">
        <f>I30/$J$30</f>
        <v>0.75</v>
      </c>
      <c r="J31">
        <v>100</v>
      </c>
    </row>
    <row r="32" spans="1:30">
      <c r="B32">
        <f t="shared" ref="B32:H32" si="11">$J$32/B31</f>
        <v>1.7732115677321156</v>
      </c>
      <c r="C32">
        <f t="shared" si="11"/>
        <v>0.88660578386605782</v>
      </c>
      <c r="D32">
        <f t="shared" si="11"/>
        <v>0.44330289193302891</v>
      </c>
      <c r="E32">
        <f t="shared" si="11"/>
        <v>0.22165144596651445</v>
      </c>
      <c r="F32">
        <f t="shared" si="11"/>
        <v>0.17732115677321156</v>
      </c>
      <c r="G32">
        <f t="shared" si="11"/>
        <v>0.14776763064434298</v>
      </c>
      <c r="H32">
        <f t="shared" si="11"/>
        <v>0.11082572298325723</v>
      </c>
      <c r="I32">
        <f>$J$32/I31</f>
        <v>7.3883815322171489E-2</v>
      </c>
      <c r="J32">
        <f>C24</f>
        <v>5.5412861491628614E-2</v>
      </c>
    </row>
    <row r="36" spans="1:11">
      <c r="A36" s="19" t="s">
        <v>89</v>
      </c>
    </row>
    <row r="37" spans="1:11">
      <c r="A37" t="s">
        <v>90</v>
      </c>
    </row>
    <row r="40" spans="1:11">
      <c r="A40" s="24" t="s">
        <v>91</v>
      </c>
      <c r="B40" s="19">
        <f>C14*100/7/3/(365*24*B43*C7)</f>
        <v>0.70780785678045943</v>
      </c>
    </row>
    <row r="43" spans="1:11">
      <c r="A43" t="s">
        <v>69</v>
      </c>
      <c r="B43" s="21">
        <v>0.3</v>
      </c>
    </row>
    <row r="46" spans="1:11">
      <c r="C46" t="s">
        <v>69</v>
      </c>
    </row>
    <row r="47" spans="1:11">
      <c r="B47" t="s">
        <v>80</v>
      </c>
      <c r="C47">
        <v>1</v>
      </c>
      <c r="D47">
        <v>2</v>
      </c>
      <c r="E47">
        <v>4</v>
      </c>
      <c r="F47">
        <v>8</v>
      </c>
      <c r="G47" s="19">
        <v>10</v>
      </c>
      <c r="H47">
        <v>12</v>
      </c>
      <c r="I47">
        <v>16</v>
      </c>
      <c r="J47">
        <v>24</v>
      </c>
      <c r="K47">
        <v>32</v>
      </c>
    </row>
    <row r="48" spans="1:11">
      <c r="B48" t="s">
        <v>81</v>
      </c>
      <c r="C48">
        <f t="shared" ref="C48:I48" si="12">C47/$J$30</f>
        <v>3.125E-2</v>
      </c>
      <c r="D48">
        <f t="shared" si="12"/>
        <v>6.25E-2</v>
      </c>
      <c r="E48">
        <f t="shared" si="12"/>
        <v>0.125</v>
      </c>
      <c r="F48">
        <f t="shared" si="12"/>
        <v>0.25</v>
      </c>
      <c r="G48" s="19">
        <f t="shared" si="12"/>
        <v>0.3125</v>
      </c>
      <c r="H48">
        <f t="shared" si="12"/>
        <v>0.375</v>
      </c>
      <c r="I48">
        <f t="shared" si="12"/>
        <v>0.5</v>
      </c>
      <c r="J48">
        <f>J47/$J$30</f>
        <v>0.75</v>
      </c>
      <c r="K48">
        <v>100</v>
      </c>
    </row>
    <row r="49" spans="3:11">
      <c r="C49" s="26">
        <f t="shared" ref="C49:I49" si="13">$K$49/C48</f>
        <v>22.649851416974702</v>
      </c>
      <c r="D49" s="26">
        <f t="shared" si="13"/>
        <v>11.324925708487351</v>
      </c>
      <c r="E49" s="26">
        <f t="shared" si="13"/>
        <v>5.6624628542436755</v>
      </c>
      <c r="F49" s="26">
        <f t="shared" si="13"/>
        <v>2.8312314271218377</v>
      </c>
      <c r="G49" s="27">
        <f t="shared" si="13"/>
        <v>2.26498514169747</v>
      </c>
      <c r="H49" s="26">
        <f t="shared" si="13"/>
        <v>1.8874876180812252</v>
      </c>
      <c r="I49" s="26">
        <f t="shared" si="13"/>
        <v>1.4156157135609189</v>
      </c>
      <c r="J49" s="26">
        <f>$K$49/J48</f>
        <v>0.94374380904061261</v>
      </c>
      <c r="K49" s="26">
        <f>B40</f>
        <v>0.70780785678045943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5"/>
  <sheetViews>
    <sheetView workbookViewId="0">
      <selection activeCell="V7" sqref="V7"/>
    </sheetView>
  </sheetViews>
  <sheetFormatPr defaultRowHeight="15"/>
  <cols>
    <col min="1" max="1" width="12.140625" bestFit="1" customWidth="1"/>
    <col min="2" max="2" width="10.7109375" bestFit="1" customWidth="1"/>
    <col min="3" max="3" width="10" bestFit="1" customWidth="1"/>
    <col min="4" max="4" width="12.85546875" bestFit="1" customWidth="1"/>
    <col min="5" max="5" width="7.42578125" bestFit="1" customWidth="1"/>
    <col min="6" max="6" width="25" customWidth="1"/>
    <col min="7" max="7" width="26.7109375" customWidth="1"/>
    <col min="8" max="8" width="16.5703125" customWidth="1"/>
    <col min="9" max="9" width="20" bestFit="1" customWidth="1"/>
    <col min="10" max="10" width="14" bestFit="1" customWidth="1"/>
    <col min="11" max="11" width="15.7109375" bestFit="1" customWidth="1"/>
    <col min="12" max="13" width="16.28515625" bestFit="1" customWidth="1"/>
    <col min="14" max="14" width="15.85546875" bestFit="1" customWidth="1"/>
    <col min="15" max="15" width="13.85546875" bestFit="1" customWidth="1"/>
    <col min="16" max="16" width="16.140625" bestFit="1" customWidth="1"/>
    <col min="17" max="17" width="18" bestFit="1" customWidth="1"/>
    <col min="18" max="19" width="18.5703125" bestFit="1" customWidth="1"/>
    <col min="20" max="20" width="18.140625" bestFit="1" customWidth="1"/>
    <col min="21" max="21" width="16" bestFit="1" customWidth="1"/>
    <col min="22" max="22" width="14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46</v>
      </c>
      <c r="G1" s="6" t="s">
        <v>6</v>
      </c>
      <c r="H1" s="6" t="s">
        <v>47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t="s">
        <v>21</v>
      </c>
    </row>
    <row r="2" spans="1:22">
      <c r="A2" t="s">
        <v>22</v>
      </c>
      <c r="B2">
        <v>16</v>
      </c>
      <c r="C2">
        <v>1</v>
      </c>
      <c r="D2">
        <v>16</v>
      </c>
      <c r="E2">
        <v>1.28</v>
      </c>
      <c r="F2">
        <v>49.783000000000001</v>
      </c>
      <c r="G2">
        <v>10.292</v>
      </c>
      <c r="H2">
        <v>306.62700000000001</v>
      </c>
      <c r="I2">
        <v>140.34100000000001</v>
      </c>
      <c r="J2">
        <v>23.327000000000002</v>
      </c>
      <c r="K2">
        <v>22.94</v>
      </c>
      <c r="L2">
        <v>6.6719999999999997</v>
      </c>
      <c r="M2">
        <v>100</v>
      </c>
      <c r="N2">
        <v>6.6720000000000002E-2</v>
      </c>
      <c r="O2">
        <v>2955</v>
      </c>
      <c r="P2">
        <v>20.276</v>
      </c>
      <c r="Q2">
        <v>20.120999999999999</v>
      </c>
      <c r="R2">
        <v>2.4744000000000002</v>
      </c>
      <c r="S2">
        <v>100</v>
      </c>
      <c r="T2">
        <v>2.4743999999999999E-2</v>
      </c>
      <c r="U2">
        <v>2678</v>
      </c>
      <c r="V2">
        <v>2.9358399999999998</v>
      </c>
    </row>
    <row r="3" spans="1:22">
      <c r="A3" t="s">
        <v>22</v>
      </c>
      <c r="B3">
        <v>1</v>
      </c>
      <c r="C3">
        <v>1</v>
      </c>
      <c r="D3">
        <v>1</v>
      </c>
      <c r="E3">
        <v>0.08</v>
      </c>
      <c r="F3" s="3" t="s">
        <v>23</v>
      </c>
      <c r="G3" s="3" t="s">
        <v>23</v>
      </c>
      <c r="H3" s="3" t="s">
        <v>23</v>
      </c>
      <c r="I3" s="3" t="s">
        <v>23</v>
      </c>
      <c r="J3" s="9">
        <v>6.8680000000000003</v>
      </c>
      <c r="K3" s="9">
        <v>6.3773999999999997</v>
      </c>
      <c r="L3" s="9">
        <v>59.165999999999997</v>
      </c>
      <c r="M3" s="1">
        <v>100</v>
      </c>
      <c r="N3" s="1">
        <v>0.59165999999999996</v>
      </c>
      <c r="O3" s="1">
        <v>338</v>
      </c>
      <c r="P3" s="15">
        <v>2.9973999999999998</v>
      </c>
      <c r="Q3" s="15">
        <v>2.8188</v>
      </c>
      <c r="R3" s="15">
        <v>19.015000000000001</v>
      </c>
      <c r="S3" s="12">
        <v>100</v>
      </c>
      <c r="T3" s="12">
        <v>0.19015000000000001</v>
      </c>
      <c r="U3" s="12">
        <v>357</v>
      </c>
      <c r="V3">
        <v>0.25373099999999998</v>
      </c>
    </row>
    <row r="4" spans="1:22">
      <c r="A4" t="s">
        <v>22</v>
      </c>
      <c r="B4">
        <v>2</v>
      </c>
      <c r="C4">
        <v>1</v>
      </c>
      <c r="D4">
        <v>2</v>
      </c>
      <c r="E4">
        <v>0.16</v>
      </c>
      <c r="F4" s="3">
        <v>36.357999999999997</v>
      </c>
      <c r="G4" s="3">
        <v>0</v>
      </c>
      <c r="H4" s="3">
        <v>258.911</v>
      </c>
      <c r="I4" s="3">
        <v>0</v>
      </c>
      <c r="J4" s="9">
        <v>11.476000000000001</v>
      </c>
      <c r="K4" s="9">
        <v>10.95</v>
      </c>
      <c r="L4" s="9">
        <v>32.674999999999997</v>
      </c>
      <c r="M4" s="1">
        <v>100</v>
      </c>
      <c r="N4" s="1">
        <v>0.32674999999999998</v>
      </c>
      <c r="O4" s="1">
        <v>611</v>
      </c>
      <c r="P4" s="15">
        <v>3.6568000000000001</v>
      </c>
      <c r="Q4" s="15">
        <v>3.4821</v>
      </c>
      <c r="R4" s="15">
        <v>10.853</v>
      </c>
      <c r="S4" s="12">
        <v>100</v>
      </c>
      <c r="T4" s="12">
        <v>0.10853</v>
      </c>
      <c r="U4" s="12">
        <v>624</v>
      </c>
      <c r="V4">
        <v>0.47585499999999997</v>
      </c>
    </row>
    <row r="5" spans="1:22">
      <c r="A5" s="5" t="s">
        <v>22</v>
      </c>
      <c r="B5" s="5">
        <v>32</v>
      </c>
      <c r="C5" s="5">
        <v>1</v>
      </c>
      <c r="D5" s="5">
        <v>32</v>
      </c>
      <c r="E5">
        <v>2.56</v>
      </c>
      <c r="F5" s="3">
        <v>49.527000000000001</v>
      </c>
      <c r="G5" s="3">
        <v>13.175000000000001</v>
      </c>
      <c r="H5" s="3">
        <v>340.58300000000003</v>
      </c>
      <c r="I5" s="3">
        <v>158.624</v>
      </c>
      <c r="J5" s="9">
        <v>58.475000000000001</v>
      </c>
      <c r="K5" s="9">
        <v>58.031999999999996</v>
      </c>
      <c r="L5" s="9">
        <v>9.0873000000000008</v>
      </c>
      <c r="M5" s="5">
        <v>200</v>
      </c>
      <c r="N5" s="1">
        <v>4.5436499999999998E-2</v>
      </c>
      <c r="O5" s="1">
        <v>4308</v>
      </c>
      <c r="P5" s="15">
        <v>52.628</v>
      </c>
      <c r="Q5" s="15">
        <v>52.363999999999997</v>
      </c>
      <c r="R5" s="15">
        <v>4.2066999999999997</v>
      </c>
      <c r="S5" s="5">
        <v>200</v>
      </c>
      <c r="T5" s="12">
        <v>2.1033499999999899E-2</v>
      </c>
      <c r="U5" s="12">
        <v>3100</v>
      </c>
      <c r="V5">
        <v>5.1288900000000002</v>
      </c>
    </row>
    <row r="6" spans="1:22">
      <c r="A6" t="s">
        <v>22</v>
      </c>
      <c r="B6">
        <v>4</v>
      </c>
      <c r="C6">
        <v>1</v>
      </c>
      <c r="D6">
        <v>4</v>
      </c>
      <c r="E6">
        <v>0.32</v>
      </c>
      <c r="F6" s="3">
        <v>43.712000000000003</v>
      </c>
      <c r="G6" s="3">
        <v>10.932</v>
      </c>
      <c r="H6" s="3">
        <v>326.12799999999999</v>
      </c>
      <c r="I6" s="3">
        <v>97.016999999999996</v>
      </c>
      <c r="J6" s="9">
        <v>6.8853</v>
      </c>
      <c r="K6" s="9">
        <v>6.5549999999999997</v>
      </c>
      <c r="L6" s="9">
        <v>17.359000000000002</v>
      </c>
      <c r="M6" s="1">
        <v>100</v>
      </c>
      <c r="N6" s="1">
        <v>0.17358999999999999</v>
      </c>
      <c r="O6" s="1">
        <v>1150</v>
      </c>
      <c r="P6" s="15">
        <v>2.4746999999999999</v>
      </c>
      <c r="Q6" s="15">
        <v>2.3689</v>
      </c>
      <c r="R6" s="15">
        <v>5.5811999999999999</v>
      </c>
      <c r="S6" s="12">
        <v>100</v>
      </c>
      <c r="T6" s="12">
        <v>5.5812E-2</v>
      </c>
      <c r="U6" s="12">
        <v>1211</v>
      </c>
      <c r="V6">
        <v>0.94122700000000004</v>
      </c>
    </row>
    <row r="7" spans="1:22">
      <c r="A7" s="5" t="s">
        <v>22</v>
      </c>
      <c r="B7" s="5">
        <v>64</v>
      </c>
      <c r="C7" s="5">
        <v>1</v>
      </c>
      <c r="D7" s="5">
        <v>64</v>
      </c>
      <c r="E7">
        <v>5.12</v>
      </c>
      <c r="F7" s="3">
        <v>50.497</v>
      </c>
      <c r="G7" s="3">
        <v>13.807</v>
      </c>
      <c r="H7" s="3">
        <v>318.303</v>
      </c>
      <c r="I7" s="3">
        <v>154.227</v>
      </c>
      <c r="J7" s="9">
        <v>134.86000000000001</v>
      </c>
      <c r="K7" s="9">
        <v>134.46</v>
      </c>
      <c r="L7" s="9">
        <v>7.7325999999999997</v>
      </c>
      <c r="M7" s="5">
        <v>200</v>
      </c>
      <c r="N7" s="1">
        <v>3.8662999999999899E-2</v>
      </c>
      <c r="O7" s="1">
        <v>4912</v>
      </c>
      <c r="P7" s="15">
        <v>124.65</v>
      </c>
      <c r="Q7" s="15">
        <v>124.28</v>
      </c>
      <c r="R7" s="15">
        <v>4.2450000000000001</v>
      </c>
      <c r="S7" s="5">
        <v>200</v>
      </c>
      <c r="T7" s="12">
        <v>2.1225000000000001E-2</v>
      </c>
      <c r="U7" s="12">
        <v>2927</v>
      </c>
      <c r="V7">
        <v>9.2306000000000008</v>
      </c>
    </row>
    <row r="8" spans="1:22">
      <c r="A8" t="s">
        <v>22</v>
      </c>
      <c r="B8">
        <v>8</v>
      </c>
      <c r="C8">
        <v>1</v>
      </c>
      <c r="D8">
        <v>8</v>
      </c>
      <c r="E8">
        <v>0.64</v>
      </c>
      <c r="F8">
        <v>39.420999999999999</v>
      </c>
      <c r="G8">
        <v>8.6340000000000003</v>
      </c>
      <c r="H8">
        <v>406.31299999999999</v>
      </c>
      <c r="I8">
        <v>166.56100000000001</v>
      </c>
      <c r="J8">
        <v>10.895</v>
      </c>
      <c r="K8">
        <v>10.632999999999999</v>
      </c>
      <c r="L8">
        <v>11.090999999999999</v>
      </c>
      <c r="M8">
        <v>100</v>
      </c>
      <c r="N8">
        <v>0.11090999999999999</v>
      </c>
      <c r="O8">
        <v>1792</v>
      </c>
      <c r="P8">
        <v>6.8097000000000003</v>
      </c>
      <c r="Q8">
        <v>6.5646000000000004</v>
      </c>
      <c r="R8">
        <v>4.1685999999999996</v>
      </c>
      <c r="S8">
        <v>100</v>
      </c>
      <c r="T8">
        <v>4.1685999999999897E-2</v>
      </c>
      <c r="U8">
        <v>1610</v>
      </c>
      <c r="V8">
        <v>1.6217200000000001</v>
      </c>
    </row>
    <row r="11" spans="1:22">
      <c r="A11" t="s">
        <v>48</v>
      </c>
    </row>
    <row r="12" spans="1:22">
      <c r="A12" t="s">
        <v>49</v>
      </c>
    </row>
    <row r="15" spans="1:22">
      <c r="A15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0"/>
  <sheetViews>
    <sheetView topLeftCell="M1" workbookViewId="0">
      <selection activeCell="U15" sqref="U15:U21"/>
    </sheetView>
  </sheetViews>
  <sheetFormatPr defaultRowHeight="15"/>
  <cols>
    <col min="1" max="1" width="12.140625" bestFit="1" customWidth="1"/>
    <col min="2" max="2" width="10.7109375" bestFit="1" customWidth="1"/>
    <col min="3" max="3" width="10" bestFit="1" customWidth="1"/>
    <col min="4" max="4" width="12.85546875" bestFit="1" customWidth="1"/>
    <col min="5" max="5" width="7.42578125" bestFit="1" customWidth="1"/>
    <col min="6" max="6" width="14.85546875" bestFit="1" customWidth="1"/>
    <col min="7" max="7" width="23.7109375" bestFit="1" customWidth="1"/>
    <col min="8" max="8" width="11.140625" bestFit="1" customWidth="1"/>
    <col min="9" max="9" width="20" bestFit="1" customWidth="1"/>
    <col min="10" max="10" width="14" bestFit="1" customWidth="1"/>
    <col min="11" max="11" width="15.7109375" bestFit="1" customWidth="1"/>
    <col min="12" max="13" width="16.28515625" bestFit="1" customWidth="1"/>
    <col min="14" max="14" width="15.85546875" bestFit="1" customWidth="1"/>
    <col min="15" max="15" width="13.85546875" bestFit="1" customWidth="1"/>
    <col min="16" max="16" width="16.140625" bestFit="1" customWidth="1"/>
    <col min="17" max="17" width="18" bestFit="1" customWidth="1"/>
    <col min="18" max="19" width="18.5703125" bestFit="1" customWidth="1"/>
    <col min="20" max="20" width="18.140625" bestFit="1" customWidth="1"/>
    <col min="21" max="21" width="16" bestFit="1" customWidth="1"/>
    <col min="22" max="22" width="14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t="s">
        <v>21</v>
      </c>
    </row>
    <row r="2" spans="1:22">
      <c r="A2" t="s">
        <v>24</v>
      </c>
      <c r="B2">
        <v>1</v>
      </c>
      <c r="C2">
        <v>1</v>
      </c>
      <c r="D2">
        <v>1</v>
      </c>
      <c r="E2">
        <v>0.7</v>
      </c>
      <c r="F2" s="3" t="s">
        <v>23</v>
      </c>
      <c r="G2" s="3" t="s">
        <v>23</v>
      </c>
      <c r="H2" s="3" t="s">
        <v>23</v>
      </c>
      <c r="I2" s="3" t="s">
        <v>23</v>
      </c>
      <c r="J2" s="14">
        <v>6.6093000000000002</v>
      </c>
      <c r="K2" s="14">
        <v>6.1341999999999999</v>
      </c>
      <c r="L2" s="9">
        <v>136.44999999999999</v>
      </c>
      <c r="M2" s="5">
        <v>200</v>
      </c>
      <c r="N2" s="5">
        <v>0.68224999999999902</v>
      </c>
      <c r="O2" s="5">
        <v>295</v>
      </c>
      <c r="P2" s="15">
        <v>2.3229000000000002</v>
      </c>
      <c r="Q2" s="15">
        <v>2.1520000000000001</v>
      </c>
      <c r="R2" s="17">
        <v>31.64</v>
      </c>
      <c r="S2" s="12">
        <v>143</v>
      </c>
      <c r="T2" s="12">
        <v>0.22125874125874101</v>
      </c>
      <c r="U2" s="12">
        <v>308</v>
      </c>
      <c r="V2">
        <v>0.20673</v>
      </c>
    </row>
    <row r="3" spans="1:22">
      <c r="A3" t="s">
        <v>24</v>
      </c>
      <c r="B3">
        <v>1</v>
      </c>
      <c r="C3">
        <v>2</v>
      </c>
      <c r="D3">
        <v>2</v>
      </c>
      <c r="E3">
        <f>B3*$E$2</f>
        <v>0.7</v>
      </c>
      <c r="F3" s="3" t="s">
        <v>23</v>
      </c>
      <c r="G3" s="3" t="s">
        <v>23</v>
      </c>
      <c r="H3" s="3" t="s">
        <v>23</v>
      </c>
      <c r="I3" s="3" t="s">
        <v>23</v>
      </c>
      <c r="J3" s="14">
        <v>5.8352000000000004</v>
      </c>
      <c r="K3" s="14">
        <v>5.5887000000000002</v>
      </c>
      <c r="L3" s="9">
        <v>72.247</v>
      </c>
      <c r="M3" s="5">
        <v>200</v>
      </c>
      <c r="N3" s="5">
        <v>0.36123499999999997</v>
      </c>
      <c r="O3" s="5">
        <v>557</v>
      </c>
      <c r="P3" s="15">
        <v>1.9765999999999999</v>
      </c>
      <c r="Q3" s="15">
        <v>1.8865000000000001</v>
      </c>
      <c r="R3" s="17">
        <v>18.286999999999999</v>
      </c>
      <c r="S3" s="12">
        <v>166</v>
      </c>
      <c r="T3" s="12">
        <v>0.110162650602409</v>
      </c>
      <c r="U3" s="12">
        <v>617</v>
      </c>
      <c r="V3">
        <v>0.39683200000000002</v>
      </c>
    </row>
    <row r="4" spans="1:22">
      <c r="A4" t="s">
        <v>24</v>
      </c>
      <c r="B4">
        <v>1</v>
      </c>
      <c r="C4">
        <v>4</v>
      </c>
      <c r="D4">
        <v>4</v>
      </c>
      <c r="E4">
        <f t="shared" ref="E4:E11" si="0">B4*$E$2</f>
        <v>0.7</v>
      </c>
      <c r="F4" s="3" t="s">
        <v>23</v>
      </c>
      <c r="G4" s="3" t="s">
        <v>23</v>
      </c>
      <c r="H4" s="3" t="s">
        <v>23</v>
      </c>
      <c r="I4" s="3" t="s">
        <v>23</v>
      </c>
      <c r="J4" s="14">
        <v>3.5213000000000001</v>
      </c>
      <c r="K4" s="14">
        <v>3.3159999999999998</v>
      </c>
      <c r="L4" s="9">
        <v>41.862000000000002</v>
      </c>
      <c r="M4" s="5">
        <v>200</v>
      </c>
      <c r="N4" s="5">
        <v>0.20931</v>
      </c>
      <c r="O4" s="5">
        <v>960</v>
      </c>
      <c r="P4" s="15">
        <v>1.2281</v>
      </c>
      <c r="Q4" s="15">
        <v>1.1507000000000001</v>
      </c>
      <c r="R4" s="17">
        <v>10.91</v>
      </c>
      <c r="S4" s="12">
        <v>169</v>
      </c>
      <c r="T4" s="12">
        <v>6.4556213017751399E-2</v>
      </c>
      <c r="U4" s="12">
        <v>1052</v>
      </c>
      <c r="V4">
        <v>0.67330900000000005</v>
      </c>
    </row>
    <row r="5" spans="1:22">
      <c r="A5" s="5" t="s">
        <v>24</v>
      </c>
      <c r="B5" s="5">
        <v>1</v>
      </c>
      <c r="C5" s="5">
        <v>8</v>
      </c>
      <c r="D5" s="5">
        <v>8</v>
      </c>
      <c r="E5">
        <f t="shared" si="0"/>
        <v>0.7</v>
      </c>
      <c r="F5" s="3" t="s">
        <v>23</v>
      </c>
      <c r="G5" s="3" t="s">
        <v>23</v>
      </c>
      <c r="H5" s="3" t="s">
        <v>23</v>
      </c>
      <c r="I5" s="3" t="s">
        <v>23</v>
      </c>
      <c r="J5" s="14">
        <v>2.3096999999999999</v>
      </c>
      <c r="K5" s="14">
        <v>2.1897000000000002</v>
      </c>
      <c r="L5" s="9">
        <v>27.381</v>
      </c>
      <c r="M5" s="5">
        <v>200</v>
      </c>
      <c r="N5" s="5">
        <v>0.136905</v>
      </c>
      <c r="O5" s="5">
        <v>1462</v>
      </c>
      <c r="P5" s="15">
        <v>0.91354000000000002</v>
      </c>
      <c r="Q5" s="15">
        <v>0.85031000000000001</v>
      </c>
      <c r="R5" s="17">
        <v>7.9756</v>
      </c>
      <c r="S5" s="13">
        <v>199</v>
      </c>
      <c r="T5" s="12">
        <v>4.0078391959798898E-2</v>
      </c>
      <c r="U5" s="12">
        <v>1685</v>
      </c>
      <c r="V5">
        <v>1.0550999999999999</v>
      </c>
    </row>
    <row r="6" spans="1:22">
      <c r="A6" t="s">
        <v>24</v>
      </c>
      <c r="B6">
        <v>2</v>
      </c>
      <c r="C6">
        <v>1</v>
      </c>
      <c r="D6">
        <v>2</v>
      </c>
      <c r="E6">
        <f t="shared" si="0"/>
        <v>1.4</v>
      </c>
      <c r="F6" s="3">
        <v>75.436000000000007</v>
      </c>
      <c r="G6" s="3">
        <v>4.9000000000000002E-2</v>
      </c>
      <c r="H6" s="3">
        <v>257.07499999999999</v>
      </c>
      <c r="I6" s="3">
        <v>17.184000000000001</v>
      </c>
      <c r="J6" s="14">
        <v>8.1227</v>
      </c>
      <c r="K6" s="14">
        <v>7.7675999999999998</v>
      </c>
      <c r="L6" s="9">
        <v>82.197000000000003</v>
      </c>
      <c r="M6" s="5">
        <v>200</v>
      </c>
      <c r="N6" s="5">
        <v>0.41098499999999999</v>
      </c>
      <c r="O6" s="5">
        <v>489</v>
      </c>
      <c r="P6" s="15">
        <v>2.6429999999999998</v>
      </c>
      <c r="Q6" s="15">
        <v>2.5196000000000001</v>
      </c>
      <c r="R6" s="17">
        <v>21.658999999999999</v>
      </c>
      <c r="S6" s="12">
        <v>166</v>
      </c>
      <c r="T6" s="12">
        <v>0.13047590361445699</v>
      </c>
      <c r="U6" s="12">
        <v>521</v>
      </c>
      <c r="V6" t="s">
        <v>23</v>
      </c>
    </row>
    <row r="7" spans="1:22">
      <c r="A7" s="5" t="s">
        <v>24</v>
      </c>
      <c r="B7" s="5">
        <v>2</v>
      </c>
      <c r="C7" s="5">
        <v>8</v>
      </c>
      <c r="D7" s="5">
        <v>16</v>
      </c>
      <c r="E7">
        <f t="shared" si="0"/>
        <v>1.4</v>
      </c>
      <c r="F7" s="13" t="s">
        <v>23</v>
      </c>
      <c r="G7" s="13" t="s">
        <v>23</v>
      </c>
      <c r="H7" s="13" t="s">
        <v>23</v>
      </c>
      <c r="I7" s="13" t="s">
        <v>23</v>
      </c>
      <c r="J7" s="14">
        <v>14.944000000000001</v>
      </c>
      <c r="K7" s="14">
        <v>12.340999999999999</v>
      </c>
      <c r="L7" s="9">
        <v>13.612</v>
      </c>
      <c r="M7" s="5">
        <v>200</v>
      </c>
      <c r="N7" s="5">
        <v>6.8059999999999996E-2</v>
      </c>
      <c r="O7" s="5">
        <v>2917</v>
      </c>
      <c r="P7" s="15">
        <v>13.002000000000001</v>
      </c>
      <c r="Q7" s="15">
        <v>10.542999999999999</v>
      </c>
      <c r="R7" s="17">
        <v>4.2248000000000001</v>
      </c>
      <c r="S7" s="13">
        <v>192</v>
      </c>
      <c r="T7" s="12">
        <v>2.2004166666666599E-2</v>
      </c>
      <c r="U7" s="12">
        <v>3032</v>
      </c>
      <c r="V7">
        <v>1.8108599999999999</v>
      </c>
    </row>
    <row r="8" spans="1:22">
      <c r="A8" t="s">
        <v>24</v>
      </c>
      <c r="B8">
        <v>4</v>
      </c>
      <c r="C8">
        <v>1</v>
      </c>
      <c r="D8">
        <v>4</v>
      </c>
      <c r="E8">
        <f t="shared" si="0"/>
        <v>2.8</v>
      </c>
      <c r="F8" s="3">
        <v>70.081999999999994</v>
      </c>
      <c r="G8" s="3">
        <v>7.2530000000000001</v>
      </c>
      <c r="H8" s="3">
        <v>213.291</v>
      </c>
      <c r="I8" s="3">
        <v>21.338999999999999</v>
      </c>
      <c r="J8" s="14">
        <v>5.5381</v>
      </c>
      <c r="K8" s="14">
        <v>5.2925000000000004</v>
      </c>
      <c r="L8" s="9">
        <v>43.744999999999997</v>
      </c>
      <c r="M8" s="5">
        <v>200</v>
      </c>
      <c r="N8" s="5">
        <v>0.218724999999999</v>
      </c>
      <c r="O8" s="5">
        <v>919</v>
      </c>
      <c r="P8" s="15">
        <v>2.0792999999999999</v>
      </c>
      <c r="Q8" s="15">
        <v>1.9834000000000001</v>
      </c>
      <c r="R8" s="17">
        <v>11.641999999999999</v>
      </c>
      <c r="S8" s="12">
        <v>169</v>
      </c>
      <c r="T8" s="12">
        <v>6.8887573964497004E-2</v>
      </c>
      <c r="U8" s="12">
        <v>986</v>
      </c>
      <c r="V8">
        <v>0.61793500000000001</v>
      </c>
    </row>
    <row r="9" spans="1:22">
      <c r="A9" s="5" t="s">
        <v>24</v>
      </c>
      <c r="B9" s="5">
        <v>4</v>
      </c>
      <c r="C9" s="5">
        <v>8</v>
      </c>
      <c r="D9" s="5">
        <v>32</v>
      </c>
      <c r="E9">
        <f t="shared" si="0"/>
        <v>2.8</v>
      </c>
      <c r="F9" s="13" t="s">
        <v>23</v>
      </c>
      <c r="G9" s="13" t="s">
        <v>23</v>
      </c>
      <c r="H9" s="13" t="s">
        <v>23</v>
      </c>
      <c r="I9" s="13" t="s">
        <v>23</v>
      </c>
      <c r="J9" s="14">
        <v>50.427999999999997</v>
      </c>
      <c r="K9" s="14">
        <v>47.777999999999999</v>
      </c>
      <c r="L9" s="9">
        <v>7.7843999999999998</v>
      </c>
      <c r="M9" s="5">
        <v>200</v>
      </c>
      <c r="N9" s="5">
        <v>3.8921999999999998E-2</v>
      </c>
      <c r="O9" s="5">
        <v>5029</v>
      </c>
      <c r="P9" s="15">
        <v>45.779000000000003</v>
      </c>
      <c r="Q9" s="15">
        <v>43.177</v>
      </c>
      <c r="R9" s="17">
        <v>2.9643000000000002</v>
      </c>
      <c r="S9" s="5">
        <v>200</v>
      </c>
      <c r="T9" s="12">
        <v>1.48215E-2</v>
      </c>
      <c r="U9" s="12">
        <v>4400</v>
      </c>
      <c r="V9">
        <v>3.2231000000000001</v>
      </c>
    </row>
    <row r="10" spans="1:22">
      <c r="A10" t="s">
        <v>24</v>
      </c>
      <c r="B10">
        <v>8</v>
      </c>
      <c r="C10">
        <v>1</v>
      </c>
      <c r="D10">
        <v>8</v>
      </c>
      <c r="E10">
        <f t="shared" si="0"/>
        <v>5.6</v>
      </c>
      <c r="F10" s="3">
        <v>61.707000000000001</v>
      </c>
      <c r="G10" s="3">
        <v>9.5670000000000002</v>
      </c>
      <c r="H10" s="3">
        <v>212.72</v>
      </c>
      <c r="I10" s="3">
        <v>23.806000000000001</v>
      </c>
      <c r="J10" s="14">
        <v>9.3378999999999994</v>
      </c>
      <c r="K10" s="14">
        <v>9.1182999999999996</v>
      </c>
      <c r="L10" s="9">
        <v>23.908000000000001</v>
      </c>
      <c r="M10" s="5">
        <v>200</v>
      </c>
      <c r="N10" s="5">
        <v>0.11953999999999999</v>
      </c>
      <c r="O10" s="5">
        <v>1675</v>
      </c>
      <c r="P10" s="15">
        <v>6.2079000000000004</v>
      </c>
      <c r="Q10" s="15">
        <v>6.1082000000000001</v>
      </c>
      <c r="R10" s="17">
        <v>7.9622999999999999</v>
      </c>
      <c r="S10" s="12">
        <v>199</v>
      </c>
      <c r="T10" s="12">
        <v>4.0011557788944697E-2</v>
      </c>
      <c r="U10" s="12">
        <v>1688</v>
      </c>
      <c r="V10">
        <v>1.18981</v>
      </c>
    </row>
    <row r="11" spans="1:22">
      <c r="A11" s="5" t="s">
        <v>24</v>
      </c>
      <c r="B11" s="5">
        <v>8</v>
      </c>
      <c r="C11" s="5">
        <v>8</v>
      </c>
      <c r="D11" s="5">
        <v>64</v>
      </c>
      <c r="E11">
        <f t="shared" si="0"/>
        <v>5.6</v>
      </c>
      <c r="F11" s="13" t="s">
        <v>23</v>
      </c>
      <c r="G11" s="13" t="s">
        <v>23</v>
      </c>
      <c r="H11" s="13" t="s">
        <v>23</v>
      </c>
      <c r="I11" s="13" t="s">
        <v>23</v>
      </c>
      <c r="J11" s="14">
        <v>125.62</v>
      </c>
      <c r="K11" s="14">
        <v>122.89</v>
      </c>
      <c r="L11" s="9">
        <v>5.4352</v>
      </c>
      <c r="M11" s="5">
        <v>200</v>
      </c>
      <c r="N11" s="5">
        <v>2.7175999999999999E-2</v>
      </c>
      <c r="O11" s="5">
        <v>6988</v>
      </c>
      <c r="P11" s="15">
        <v>118.16</v>
      </c>
      <c r="Q11" s="15">
        <v>115.52</v>
      </c>
      <c r="R11" s="17">
        <v>3.2582</v>
      </c>
      <c r="S11" s="5">
        <v>200</v>
      </c>
      <c r="T11" s="12">
        <v>1.6291E-2</v>
      </c>
      <c r="U11" s="12">
        <v>3813</v>
      </c>
      <c r="V11">
        <v>5.4516499999999999</v>
      </c>
    </row>
    <row r="13" spans="1:22">
      <c r="A13" s="29">
        <v>41988</v>
      </c>
    </row>
    <row r="14" spans="1:2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</row>
    <row r="15" spans="1:22">
      <c r="A15" t="s">
        <v>118</v>
      </c>
      <c r="B15">
        <v>1</v>
      </c>
      <c r="C15">
        <v>1</v>
      </c>
      <c r="D15">
        <v>1</v>
      </c>
      <c r="E15">
        <v>0</v>
      </c>
      <c r="F15" t="s">
        <v>23</v>
      </c>
      <c r="G15" t="s">
        <v>23</v>
      </c>
      <c r="H15" t="s">
        <v>23</v>
      </c>
      <c r="I15" t="s">
        <v>23</v>
      </c>
      <c r="J15" s="25">
        <v>3.9748999999999999</v>
      </c>
      <c r="K15" s="25">
        <v>3.5697000000000001</v>
      </c>
      <c r="L15" s="25">
        <v>84.721999999999994</v>
      </c>
      <c r="M15">
        <v>200</v>
      </c>
      <c r="N15">
        <v>0.42360999999999999</v>
      </c>
      <c r="O15">
        <v>475</v>
      </c>
      <c r="P15" s="25">
        <v>2.0373999999999999</v>
      </c>
      <c r="Q15" s="25">
        <v>1.8765000000000001</v>
      </c>
      <c r="R15" s="25">
        <v>28.513000000000002</v>
      </c>
      <c r="S15">
        <v>143</v>
      </c>
      <c r="T15">
        <v>0.19939160839160799</v>
      </c>
      <c r="U15">
        <v>342</v>
      </c>
      <c r="V15" t="s">
        <v>23</v>
      </c>
    </row>
    <row r="16" spans="1:22">
      <c r="A16" t="s">
        <v>118</v>
      </c>
      <c r="B16">
        <v>1</v>
      </c>
      <c r="C16">
        <v>2</v>
      </c>
      <c r="D16">
        <v>2</v>
      </c>
      <c r="E16">
        <v>0</v>
      </c>
      <c r="F16" t="s">
        <v>23</v>
      </c>
      <c r="G16" t="s">
        <v>23</v>
      </c>
      <c r="H16" t="s">
        <v>23</v>
      </c>
      <c r="I16" t="s">
        <v>23</v>
      </c>
      <c r="J16" s="25">
        <v>3.3702000000000001</v>
      </c>
      <c r="K16" s="25">
        <v>3.1486000000000001</v>
      </c>
      <c r="L16" s="25">
        <v>42.994999999999997</v>
      </c>
      <c r="M16">
        <v>200</v>
      </c>
      <c r="N16">
        <v>0.214975</v>
      </c>
      <c r="O16">
        <v>935</v>
      </c>
      <c r="P16" s="25">
        <v>1.8248</v>
      </c>
      <c r="Q16" s="25">
        <v>1.7149000000000001</v>
      </c>
      <c r="R16" s="25">
        <v>18.413</v>
      </c>
      <c r="S16">
        <v>166</v>
      </c>
      <c r="T16">
        <v>0.11092168674698701</v>
      </c>
      <c r="U16">
        <v>613</v>
      </c>
      <c r="V16" t="s">
        <v>23</v>
      </c>
    </row>
    <row r="17" spans="1:22">
      <c r="A17" t="s">
        <v>118</v>
      </c>
      <c r="B17">
        <v>1</v>
      </c>
      <c r="C17">
        <v>4</v>
      </c>
      <c r="D17">
        <v>4</v>
      </c>
      <c r="E17">
        <v>0</v>
      </c>
      <c r="F17" t="s">
        <v>23</v>
      </c>
      <c r="G17" t="s">
        <v>23</v>
      </c>
      <c r="H17" t="s">
        <v>23</v>
      </c>
      <c r="I17" t="s">
        <v>23</v>
      </c>
      <c r="J17" s="25">
        <v>2.2887</v>
      </c>
      <c r="K17" s="25">
        <v>2.0979000000000001</v>
      </c>
      <c r="L17" s="25">
        <v>23.157</v>
      </c>
      <c r="M17">
        <v>200</v>
      </c>
      <c r="N17">
        <v>0.115785</v>
      </c>
      <c r="O17">
        <v>1735</v>
      </c>
      <c r="P17" s="25">
        <v>1.0657000000000001</v>
      </c>
      <c r="Q17" s="25">
        <v>0.99797000000000002</v>
      </c>
      <c r="R17" s="25">
        <v>10.843999999999999</v>
      </c>
      <c r="S17">
        <v>169</v>
      </c>
      <c r="T17">
        <v>6.4165680473372705E-2</v>
      </c>
      <c r="U17">
        <v>1058</v>
      </c>
      <c r="V17" t="s">
        <v>23</v>
      </c>
    </row>
    <row r="18" spans="1:22">
      <c r="A18" t="s">
        <v>118</v>
      </c>
      <c r="B18">
        <v>1</v>
      </c>
      <c r="C18">
        <v>8</v>
      </c>
      <c r="D18">
        <v>8</v>
      </c>
      <c r="E18">
        <v>0</v>
      </c>
      <c r="F18" t="s">
        <v>23</v>
      </c>
      <c r="G18" t="s">
        <v>23</v>
      </c>
      <c r="H18" t="s">
        <v>23</v>
      </c>
      <c r="I18" t="s">
        <v>23</v>
      </c>
      <c r="J18" s="25">
        <v>1.583</v>
      </c>
      <c r="K18" s="25">
        <v>1.4754</v>
      </c>
      <c r="L18" s="25">
        <v>13.923999999999999</v>
      </c>
      <c r="M18">
        <v>200</v>
      </c>
      <c r="N18">
        <v>6.9620000000000001E-2</v>
      </c>
      <c r="O18">
        <v>2875</v>
      </c>
      <c r="P18" s="25">
        <v>0.77886</v>
      </c>
      <c r="Q18" s="25">
        <v>0.72243000000000002</v>
      </c>
      <c r="R18" s="25">
        <v>9.423</v>
      </c>
      <c r="S18">
        <v>199</v>
      </c>
      <c r="T18">
        <v>4.73517587939698E-2</v>
      </c>
      <c r="U18">
        <v>1426</v>
      </c>
      <c r="V18" t="s">
        <v>23</v>
      </c>
    </row>
    <row r="19" spans="1:22">
      <c r="A19" t="s">
        <v>118</v>
      </c>
      <c r="B19">
        <v>2</v>
      </c>
      <c r="C19">
        <v>8</v>
      </c>
      <c r="D19">
        <v>16</v>
      </c>
      <c r="E19">
        <v>0</v>
      </c>
      <c r="F19" t="s">
        <v>23</v>
      </c>
      <c r="G19" t="s">
        <v>23</v>
      </c>
      <c r="H19" t="s">
        <v>23</v>
      </c>
      <c r="I19" t="s">
        <v>23</v>
      </c>
      <c r="J19" s="25">
        <v>15.837999999999999</v>
      </c>
      <c r="K19" s="25">
        <v>13.289</v>
      </c>
      <c r="L19" s="25">
        <v>30.076000000000001</v>
      </c>
      <c r="M19">
        <v>400</v>
      </c>
      <c r="N19">
        <v>7.5190000000000007E-2</v>
      </c>
      <c r="O19">
        <v>2654</v>
      </c>
      <c r="P19" s="25">
        <v>13.233000000000001</v>
      </c>
      <c r="Q19" s="25">
        <v>10.705</v>
      </c>
      <c r="R19" s="25">
        <v>5.4653</v>
      </c>
      <c r="S19">
        <v>192</v>
      </c>
      <c r="T19">
        <v>2.8465104166666599E-2</v>
      </c>
      <c r="U19">
        <v>2344</v>
      </c>
      <c r="V19" t="s">
        <v>23</v>
      </c>
    </row>
    <row r="20" spans="1:22">
      <c r="A20" t="s">
        <v>118</v>
      </c>
      <c r="B20">
        <v>4</v>
      </c>
      <c r="C20">
        <v>8</v>
      </c>
      <c r="D20">
        <v>32</v>
      </c>
      <c r="E20">
        <v>0</v>
      </c>
      <c r="F20" t="s">
        <v>23</v>
      </c>
      <c r="G20" t="s">
        <v>23</v>
      </c>
      <c r="H20" t="s">
        <v>23</v>
      </c>
      <c r="I20" t="s">
        <v>23</v>
      </c>
      <c r="J20" s="25">
        <v>51.500999999999998</v>
      </c>
      <c r="K20" s="25">
        <v>48.887</v>
      </c>
      <c r="L20" s="25">
        <v>14.27</v>
      </c>
      <c r="M20">
        <v>400</v>
      </c>
      <c r="N20">
        <v>3.5674999999999998E-2</v>
      </c>
      <c r="O20">
        <v>5516</v>
      </c>
      <c r="P20" s="25">
        <v>46.79</v>
      </c>
      <c r="Q20" s="25">
        <v>44.268000000000001</v>
      </c>
      <c r="R20" s="25">
        <v>4.4348999999999998</v>
      </c>
      <c r="S20">
        <v>200</v>
      </c>
      <c r="T20">
        <v>2.21745E-2</v>
      </c>
      <c r="U20">
        <v>2941</v>
      </c>
      <c r="V20" t="s">
        <v>23</v>
      </c>
    </row>
    <row r="21" spans="1:22">
      <c r="A21" t="s">
        <v>118</v>
      </c>
      <c r="B21">
        <v>8</v>
      </c>
      <c r="C21">
        <v>8</v>
      </c>
      <c r="D21">
        <v>64</v>
      </c>
      <c r="E21">
        <v>0</v>
      </c>
      <c r="F21" t="s">
        <v>23</v>
      </c>
      <c r="G21" t="s">
        <v>23</v>
      </c>
      <c r="H21" t="s">
        <v>23</v>
      </c>
      <c r="I21" t="s">
        <v>23</v>
      </c>
      <c r="J21" s="25">
        <v>127.99</v>
      </c>
      <c r="K21" s="25">
        <v>125.35</v>
      </c>
      <c r="L21" s="25">
        <v>18.315000000000001</v>
      </c>
      <c r="M21">
        <v>800</v>
      </c>
      <c r="N21">
        <v>2.2893750000000001E-2</v>
      </c>
      <c r="O21">
        <v>8356</v>
      </c>
      <c r="P21" s="25">
        <v>121.32</v>
      </c>
      <c r="Q21" s="25">
        <v>118.71</v>
      </c>
      <c r="R21" s="25">
        <v>3.4196</v>
      </c>
      <c r="S21">
        <v>314</v>
      </c>
      <c r="T21">
        <v>1.0890445859872601E-2</v>
      </c>
      <c r="U21">
        <v>5723</v>
      </c>
      <c r="V21" t="s">
        <v>23</v>
      </c>
    </row>
    <row r="40" spans="4:4">
      <c r="D4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8"/>
  <sheetViews>
    <sheetView workbookViewId="0">
      <selection sqref="A1:E11"/>
    </sheetView>
  </sheetViews>
  <sheetFormatPr defaultRowHeight="15"/>
  <cols>
    <col min="1" max="1" width="12.140625" bestFit="1" customWidth="1"/>
    <col min="2" max="2" width="10.7109375" bestFit="1" customWidth="1"/>
    <col min="3" max="3" width="10" bestFit="1" customWidth="1"/>
    <col min="4" max="4" width="12.85546875" bestFit="1" customWidth="1"/>
    <col min="5" max="5" width="7.42578125" bestFit="1" customWidth="1"/>
    <col min="6" max="6" width="14.85546875" bestFit="1" customWidth="1"/>
    <col min="7" max="7" width="23.7109375" bestFit="1" customWidth="1"/>
    <col min="8" max="8" width="11.140625" bestFit="1" customWidth="1"/>
    <col min="9" max="9" width="20" bestFit="1" customWidth="1"/>
    <col min="10" max="10" width="14" bestFit="1" customWidth="1"/>
    <col min="11" max="11" width="15.7109375" bestFit="1" customWidth="1"/>
    <col min="12" max="13" width="16.28515625" bestFit="1" customWidth="1"/>
    <col min="14" max="14" width="15.85546875" bestFit="1" customWidth="1"/>
    <col min="15" max="15" width="13.85546875" bestFit="1" customWidth="1"/>
    <col min="16" max="16" width="16.140625" bestFit="1" customWidth="1"/>
    <col min="17" max="17" width="18" bestFit="1" customWidth="1"/>
    <col min="18" max="19" width="18.5703125" bestFit="1" customWidth="1"/>
    <col min="20" max="20" width="18.140625" bestFit="1" customWidth="1"/>
    <col min="21" max="21" width="16" bestFit="1" customWidth="1"/>
    <col min="22" max="22" width="14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t="s">
        <v>21</v>
      </c>
    </row>
    <row r="2" spans="1:22">
      <c r="A2" t="s">
        <v>25</v>
      </c>
      <c r="B2">
        <v>1</v>
      </c>
      <c r="C2">
        <v>1</v>
      </c>
      <c r="D2">
        <v>1</v>
      </c>
      <c r="E2">
        <v>2.379</v>
      </c>
      <c r="F2" s="3" t="s">
        <v>23</v>
      </c>
      <c r="G2" s="3" t="s">
        <v>23</v>
      </c>
      <c r="H2" s="3" t="s">
        <v>23</v>
      </c>
      <c r="I2" s="3" t="s">
        <v>23</v>
      </c>
      <c r="J2" s="14">
        <v>1.7544999999999999</v>
      </c>
      <c r="K2" s="14">
        <v>1.5748</v>
      </c>
      <c r="L2" s="14">
        <v>38.857999999999997</v>
      </c>
      <c r="M2" s="1">
        <v>200</v>
      </c>
      <c r="N2" s="1">
        <v>0.19428999999999999</v>
      </c>
      <c r="O2" s="1">
        <v>1036</v>
      </c>
      <c r="P2" s="15">
        <v>0.59077999999999997</v>
      </c>
      <c r="Q2" s="15">
        <v>0.53110999999999997</v>
      </c>
      <c r="R2" s="15">
        <v>8.9597999999999995</v>
      </c>
      <c r="S2" s="12">
        <v>143</v>
      </c>
      <c r="T2" s="12">
        <v>6.2655944055944005E-2</v>
      </c>
      <c r="U2" s="12">
        <v>1089</v>
      </c>
      <c r="V2">
        <v>0.76128700000000005</v>
      </c>
    </row>
    <row r="3" spans="1:22">
      <c r="A3" t="s">
        <v>25</v>
      </c>
      <c r="B3">
        <v>1</v>
      </c>
      <c r="C3">
        <v>2</v>
      </c>
      <c r="D3">
        <v>2</v>
      </c>
      <c r="E3">
        <v>2.379</v>
      </c>
      <c r="F3" s="3" t="s">
        <v>23</v>
      </c>
      <c r="G3" s="3" t="s">
        <v>23</v>
      </c>
      <c r="H3" s="3" t="s">
        <v>23</v>
      </c>
      <c r="I3" s="3" t="s">
        <v>23</v>
      </c>
      <c r="J3" s="14">
        <v>1.4767999999999999</v>
      </c>
      <c r="K3" s="14">
        <v>1.3776999999999999</v>
      </c>
      <c r="L3" s="14">
        <v>20.452000000000002</v>
      </c>
      <c r="M3" s="1">
        <v>200</v>
      </c>
      <c r="N3" s="1">
        <v>0.10226</v>
      </c>
      <c r="O3" s="1">
        <v>1966</v>
      </c>
      <c r="P3" s="15">
        <v>0.50241999999999998</v>
      </c>
      <c r="Q3" s="15">
        <v>0.46717999999999998</v>
      </c>
      <c r="R3" s="15">
        <v>5.2964000000000002</v>
      </c>
      <c r="S3" s="12">
        <v>166</v>
      </c>
      <c r="T3" s="12">
        <v>3.1906024096385502E-2</v>
      </c>
      <c r="U3" s="12">
        <v>2131</v>
      </c>
      <c r="V3">
        <v>1.3909100000000001</v>
      </c>
    </row>
    <row r="4" spans="1:22">
      <c r="A4" t="s">
        <v>25</v>
      </c>
      <c r="B4">
        <v>1</v>
      </c>
      <c r="C4">
        <v>4</v>
      </c>
      <c r="D4">
        <v>4</v>
      </c>
      <c r="E4">
        <v>2.379</v>
      </c>
      <c r="F4" s="3" t="s">
        <v>23</v>
      </c>
      <c r="G4" s="3" t="s">
        <v>23</v>
      </c>
      <c r="H4" s="3" t="s">
        <v>23</v>
      </c>
      <c r="I4" s="3" t="s">
        <v>23</v>
      </c>
      <c r="J4" s="14">
        <v>0.98324</v>
      </c>
      <c r="K4" s="14">
        <v>0.92035</v>
      </c>
      <c r="L4" s="14">
        <v>11.461</v>
      </c>
      <c r="M4" s="1">
        <v>200</v>
      </c>
      <c r="N4" s="1">
        <v>5.7305000000000002E-2</v>
      </c>
      <c r="O4" s="1">
        <v>3506</v>
      </c>
      <c r="P4" s="15">
        <v>0.33721000000000001</v>
      </c>
      <c r="Q4" s="15">
        <v>0.31106</v>
      </c>
      <c r="R4" s="15">
        <v>2.87</v>
      </c>
      <c r="S4" s="12">
        <v>169</v>
      </c>
      <c r="T4" s="12">
        <v>1.6982248520710001E-2</v>
      </c>
      <c r="U4" s="12">
        <v>3999</v>
      </c>
      <c r="V4">
        <v>2.4365399999999999</v>
      </c>
    </row>
    <row r="5" spans="1:22">
      <c r="A5" s="5" t="s">
        <v>25</v>
      </c>
      <c r="B5" s="5">
        <v>1</v>
      </c>
      <c r="C5" s="5">
        <v>8</v>
      </c>
      <c r="D5" s="5">
        <v>8</v>
      </c>
      <c r="E5">
        <v>2.379</v>
      </c>
      <c r="F5" s="3" t="s">
        <v>23</v>
      </c>
      <c r="G5" s="3" t="s">
        <v>23</v>
      </c>
      <c r="H5" s="3" t="s">
        <v>23</v>
      </c>
      <c r="I5" s="3" t="s">
        <v>23</v>
      </c>
      <c r="J5" s="8">
        <v>0.75580999999999998</v>
      </c>
      <c r="K5" s="8">
        <v>0.70384000000000002</v>
      </c>
      <c r="L5" s="8">
        <v>7.7927</v>
      </c>
      <c r="M5" s="5">
        <v>200</v>
      </c>
      <c r="N5" s="5">
        <v>3.8963499999999998E-2</v>
      </c>
      <c r="O5" s="5">
        <v>5137</v>
      </c>
      <c r="P5" s="16">
        <v>0.26618999999999998</v>
      </c>
      <c r="Q5" s="16">
        <v>0.23762</v>
      </c>
      <c r="R5" s="16">
        <v>2.1783999999999999</v>
      </c>
      <c r="S5" s="13">
        <v>199</v>
      </c>
      <c r="T5" s="12">
        <v>1.09467336683417E-2</v>
      </c>
      <c r="U5" s="12">
        <v>6170</v>
      </c>
      <c r="V5">
        <v>3.61416</v>
      </c>
    </row>
    <row r="6" spans="1:22">
      <c r="A6" t="s">
        <v>25</v>
      </c>
      <c r="B6">
        <v>2</v>
      </c>
      <c r="C6">
        <v>1</v>
      </c>
      <c r="D6">
        <v>2</v>
      </c>
      <c r="E6">
        <f>2*E2</f>
        <v>4.758</v>
      </c>
      <c r="F6" s="3">
        <v>3647.5450000000001</v>
      </c>
      <c r="G6" s="3">
        <v>0.36699999999999999</v>
      </c>
      <c r="H6" s="3">
        <v>2.782</v>
      </c>
      <c r="I6" s="3">
        <v>0.18099999999999999</v>
      </c>
      <c r="J6" s="14">
        <v>1.5144</v>
      </c>
      <c r="K6" s="14">
        <v>1.4159999999999999</v>
      </c>
      <c r="L6" s="14">
        <v>38.244999999999997</v>
      </c>
      <c r="M6" s="1">
        <v>400</v>
      </c>
      <c r="N6" s="1">
        <v>9.5612499999999906E-2</v>
      </c>
      <c r="O6" s="1">
        <v>2114</v>
      </c>
      <c r="P6" s="15">
        <v>0.54195000000000004</v>
      </c>
      <c r="Q6" s="15">
        <v>0.48243000000000003</v>
      </c>
      <c r="R6" s="15">
        <v>5.2790999999999997</v>
      </c>
      <c r="S6" s="12">
        <v>166</v>
      </c>
      <c r="T6" s="12">
        <v>3.1801807228915603E-2</v>
      </c>
      <c r="U6" s="12">
        <v>2138</v>
      </c>
      <c r="V6">
        <v>1.4999899999999999</v>
      </c>
    </row>
    <row r="7" spans="1:22" s="13" customFormat="1">
      <c r="A7" s="13" t="s">
        <v>25</v>
      </c>
      <c r="B7" s="13">
        <v>2</v>
      </c>
      <c r="C7" s="13">
        <v>8</v>
      </c>
      <c r="D7" s="13">
        <v>16</v>
      </c>
      <c r="E7">
        <f>2*E3</f>
        <v>4.758</v>
      </c>
      <c r="F7" s="3" t="s">
        <v>23</v>
      </c>
      <c r="G7" s="3" t="s">
        <v>23</v>
      </c>
      <c r="H7" s="3" t="s">
        <v>23</v>
      </c>
      <c r="I7" s="3" t="s">
        <v>23</v>
      </c>
      <c r="J7" s="7">
        <v>0.67107000000000006</v>
      </c>
      <c r="K7" s="7">
        <v>0.62272000000000005</v>
      </c>
      <c r="L7" s="7">
        <v>7.1459999999999999</v>
      </c>
      <c r="M7" s="13">
        <v>400</v>
      </c>
      <c r="N7" s="13">
        <v>1.7864999999999999E-2</v>
      </c>
      <c r="O7" s="13">
        <v>11171</v>
      </c>
      <c r="P7" s="16">
        <v>0.25935000000000002</v>
      </c>
      <c r="Q7" s="16">
        <v>0.22702</v>
      </c>
      <c r="R7" s="16">
        <v>1.0777000000000001</v>
      </c>
      <c r="S7" s="13">
        <v>192</v>
      </c>
      <c r="T7" s="13">
        <v>5.6130208333333301E-3</v>
      </c>
      <c r="U7" s="13">
        <v>11886</v>
      </c>
      <c r="V7" s="13">
        <v>6.9121199999999998</v>
      </c>
    </row>
    <row r="8" spans="1:22">
      <c r="A8" t="s">
        <v>25</v>
      </c>
      <c r="B8">
        <v>4</v>
      </c>
      <c r="C8">
        <v>1</v>
      </c>
      <c r="D8">
        <v>4</v>
      </c>
      <c r="E8">
        <f>B8*E2</f>
        <v>9.516</v>
      </c>
      <c r="F8" s="3">
        <v>3643.6849999999999</v>
      </c>
      <c r="G8" s="3">
        <v>4.0309999999999997</v>
      </c>
      <c r="H8" s="3">
        <v>2.8959999999999999</v>
      </c>
      <c r="I8" s="3">
        <v>0.223</v>
      </c>
      <c r="J8" s="14">
        <v>1.0198</v>
      </c>
      <c r="K8" s="14">
        <v>0.96204000000000001</v>
      </c>
      <c r="L8" s="14">
        <v>19.643000000000001</v>
      </c>
      <c r="M8" s="1">
        <v>400</v>
      </c>
      <c r="N8" s="1">
        <v>4.9107499999999998E-2</v>
      </c>
      <c r="O8" s="1">
        <v>4112</v>
      </c>
      <c r="P8" s="15">
        <v>0.37996000000000002</v>
      </c>
      <c r="Q8" s="15">
        <v>0.33026</v>
      </c>
      <c r="R8" s="15">
        <v>2.5775000000000001</v>
      </c>
      <c r="S8" s="12">
        <v>169</v>
      </c>
      <c r="T8" s="12">
        <v>1.5251479289940801E-2</v>
      </c>
      <c r="U8" s="12">
        <v>4453</v>
      </c>
      <c r="V8">
        <v>2.9811299999999998</v>
      </c>
    </row>
    <row r="9" spans="1:22" s="13" customFormat="1">
      <c r="A9" s="13" t="s">
        <v>25</v>
      </c>
      <c r="B9" s="13">
        <v>4</v>
      </c>
      <c r="C9" s="13">
        <v>8</v>
      </c>
      <c r="D9" s="13">
        <v>32</v>
      </c>
      <c r="E9">
        <f>B9*E3</f>
        <v>9.516</v>
      </c>
      <c r="F9" s="3" t="s">
        <v>23</v>
      </c>
      <c r="G9" s="3" t="s">
        <v>23</v>
      </c>
      <c r="H9" s="3" t="s">
        <v>23</v>
      </c>
      <c r="I9" s="3" t="s">
        <v>23</v>
      </c>
      <c r="J9" s="7">
        <v>0.64700999999999997</v>
      </c>
      <c r="K9" s="7">
        <v>0.60397999999999996</v>
      </c>
      <c r="L9" s="7">
        <v>3.5244</v>
      </c>
      <c r="M9" s="13">
        <v>400</v>
      </c>
      <c r="N9" s="13">
        <v>8.8109999999999994E-3</v>
      </c>
      <c r="O9" s="13">
        <v>22332</v>
      </c>
      <c r="P9" s="18">
        <v>0.27156000000000002</v>
      </c>
      <c r="Q9" s="18">
        <v>0.23734</v>
      </c>
      <c r="R9" s="18">
        <v>0.59913000000000005</v>
      </c>
      <c r="S9" s="5">
        <v>200</v>
      </c>
      <c r="T9" s="5">
        <v>2.9956499999999999E-3</v>
      </c>
      <c r="U9" s="5">
        <v>21768</v>
      </c>
      <c r="V9" s="5">
        <v>14.224500000000001</v>
      </c>
    </row>
    <row r="10" spans="1:22">
      <c r="A10" t="s">
        <v>25</v>
      </c>
      <c r="B10">
        <v>8</v>
      </c>
      <c r="C10">
        <v>1</v>
      </c>
      <c r="D10">
        <v>8</v>
      </c>
      <c r="E10">
        <f>B10*E2</f>
        <v>19.032</v>
      </c>
      <c r="F10" s="3">
        <v>3642.6210000000001</v>
      </c>
      <c r="G10" s="3">
        <v>5.984</v>
      </c>
      <c r="H10" s="3">
        <v>3.0649999999999999</v>
      </c>
      <c r="I10" s="3">
        <v>0.248</v>
      </c>
      <c r="J10" s="14">
        <v>0.78825000000000001</v>
      </c>
      <c r="K10" s="14">
        <v>0.74761</v>
      </c>
      <c r="L10" s="14">
        <v>19.818000000000001</v>
      </c>
      <c r="M10" s="1">
        <v>800</v>
      </c>
      <c r="N10" s="1">
        <v>2.4772499999999999E-2</v>
      </c>
      <c r="O10" s="1">
        <v>8135</v>
      </c>
      <c r="P10" s="15">
        <v>0.27456999999999998</v>
      </c>
      <c r="Q10" s="15">
        <v>0.25629000000000002</v>
      </c>
      <c r="R10" s="15">
        <v>1.5111000000000001</v>
      </c>
      <c r="S10" s="12">
        <v>199</v>
      </c>
      <c r="T10" s="12">
        <v>7.5934673366834099E-3</v>
      </c>
      <c r="U10" s="12">
        <v>8895</v>
      </c>
      <c r="V10">
        <v>5.9398999999999997</v>
      </c>
    </row>
    <row r="11" spans="1:22" s="13" customFormat="1">
      <c r="A11" s="13" t="s">
        <v>25</v>
      </c>
      <c r="B11" s="13">
        <v>8</v>
      </c>
      <c r="C11" s="13">
        <v>8</v>
      </c>
      <c r="D11" s="13">
        <v>64</v>
      </c>
      <c r="E11">
        <f>B11*E3</f>
        <v>19.032</v>
      </c>
      <c r="F11" s="3" t="s">
        <v>23</v>
      </c>
      <c r="G11" s="3" t="s">
        <v>23</v>
      </c>
      <c r="H11" s="3" t="s">
        <v>23</v>
      </c>
      <c r="I11" s="3" t="s">
        <v>23</v>
      </c>
      <c r="J11" s="7">
        <v>0.91278000000000004</v>
      </c>
      <c r="K11" s="7">
        <v>0.69352999999999998</v>
      </c>
      <c r="L11" s="7">
        <v>4.1317000000000004</v>
      </c>
      <c r="M11" s="13">
        <v>800</v>
      </c>
      <c r="N11" s="13">
        <v>5.1646249999999999E-3</v>
      </c>
      <c r="O11" s="13">
        <v>37040</v>
      </c>
      <c r="P11" s="16">
        <v>0.35160000000000002</v>
      </c>
      <c r="Q11" s="16">
        <v>0.32189000000000001</v>
      </c>
      <c r="R11" s="16">
        <v>0.72465999999999997</v>
      </c>
      <c r="S11" s="13">
        <v>314</v>
      </c>
      <c r="T11" s="13">
        <v>2.3078343949044502E-3</v>
      </c>
      <c r="U11" s="13">
        <v>27006</v>
      </c>
      <c r="V11" s="13">
        <v>27.428999999999998</v>
      </c>
    </row>
    <row r="15" spans="1:22">
      <c r="A15" t="s">
        <v>53</v>
      </c>
      <c r="S15">
        <v>199</v>
      </c>
    </row>
    <row r="16" spans="1:22">
      <c r="A16" t="s">
        <v>52</v>
      </c>
      <c r="S16">
        <v>192</v>
      </c>
    </row>
    <row r="17" spans="19:19">
      <c r="S17">
        <v>200</v>
      </c>
    </row>
    <row r="18" spans="19:19">
      <c r="S18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7"/>
  <sheetViews>
    <sheetView workbookViewId="0">
      <selection activeCell="F13" sqref="F13"/>
    </sheetView>
  </sheetViews>
  <sheetFormatPr defaultRowHeight="15"/>
  <cols>
    <col min="1" max="1" width="12.140625" bestFit="1" customWidth="1"/>
    <col min="2" max="2" width="10.7109375" bestFit="1" customWidth="1"/>
    <col min="3" max="3" width="10" bestFit="1" customWidth="1"/>
    <col min="4" max="4" width="12.85546875" bestFit="1" customWidth="1"/>
    <col min="5" max="5" width="9.5703125" bestFit="1" customWidth="1"/>
    <col min="6" max="6" width="14.85546875" bestFit="1" customWidth="1"/>
    <col min="7" max="7" width="23.7109375" bestFit="1" customWidth="1"/>
    <col min="8" max="8" width="11.140625" bestFit="1" customWidth="1"/>
    <col min="9" max="9" width="20" bestFit="1" customWidth="1"/>
    <col min="10" max="10" width="14" bestFit="1" customWidth="1"/>
    <col min="11" max="11" width="15.7109375" bestFit="1" customWidth="1"/>
    <col min="12" max="13" width="16.28515625" bestFit="1" customWidth="1"/>
    <col min="14" max="14" width="15.85546875" bestFit="1" customWidth="1"/>
    <col min="15" max="15" width="13.85546875" bestFit="1" customWidth="1"/>
    <col min="16" max="16" width="16.140625" bestFit="1" customWidth="1"/>
    <col min="17" max="17" width="18" bestFit="1" customWidth="1"/>
    <col min="18" max="19" width="18.5703125" bestFit="1" customWidth="1"/>
    <col min="20" max="20" width="18.140625" bestFit="1" customWidth="1"/>
    <col min="21" max="21" width="16" bestFit="1" customWidth="1"/>
    <col min="22" max="22" width="14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t="s">
        <v>21</v>
      </c>
    </row>
    <row r="2" spans="1:22">
      <c r="A2" t="s">
        <v>26</v>
      </c>
      <c r="B2">
        <v>1</v>
      </c>
      <c r="C2">
        <v>1</v>
      </c>
      <c r="D2">
        <f>B2*C2</f>
        <v>1</v>
      </c>
      <c r="E2" s="26">
        <f>Costs!G49</f>
        <v>2.26498514169747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>
        <v>0.56974599999999997</v>
      </c>
    </row>
    <row r="3" spans="1:22">
      <c r="A3" t="s">
        <v>26</v>
      </c>
      <c r="B3">
        <v>1</v>
      </c>
      <c r="C3">
        <v>2</v>
      </c>
      <c r="D3">
        <f t="shared" ref="D3:D8" si="0">B3*C3</f>
        <v>2</v>
      </c>
      <c r="E3" s="26">
        <f>D3*$E$2</f>
        <v>4.52997028339494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>
        <v>1.0184</v>
      </c>
    </row>
    <row r="4" spans="1:22">
      <c r="A4" t="s">
        <v>26</v>
      </c>
      <c r="B4">
        <v>1</v>
      </c>
      <c r="C4">
        <v>4</v>
      </c>
      <c r="D4">
        <f t="shared" si="0"/>
        <v>4</v>
      </c>
      <c r="E4" s="26">
        <f t="shared" ref="E4:E8" si="1">D4*$E$2</f>
        <v>9.05994056678988</v>
      </c>
      <c r="F4" t="s">
        <v>23</v>
      </c>
      <c r="G4" t="s">
        <v>23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>
        <v>1.63595</v>
      </c>
    </row>
    <row r="5" spans="1:22">
      <c r="A5" t="s">
        <v>26</v>
      </c>
      <c r="B5">
        <v>1</v>
      </c>
      <c r="C5">
        <v>8</v>
      </c>
      <c r="D5">
        <f t="shared" si="0"/>
        <v>8</v>
      </c>
      <c r="E5" s="26">
        <f t="shared" si="1"/>
        <v>18.11988113357976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>
        <v>200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>
        <v>2.4076</v>
      </c>
    </row>
    <row r="6" spans="1:22">
      <c r="A6" t="s">
        <v>26</v>
      </c>
      <c r="B6">
        <v>2</v>
      </c>
      <c r="C6">
        <v>8</v>
      </c>
      <c r="D6">
        <f t="shared" si="0"/>
        <v>16</v>
      </c>
      <c r="E6" s="26">
        <f t="shared" si="1"/>
        <v>36.23976226715952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>
        <v>200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>
        <v>3.3893300000000002</v>
      </c>
    </row>
    <row r="7" spans="1:22">
      <c r="A7" t="s">
        <v>26</v>
      </c>
      <c r="B7">
        <v>4</v>
      </c>
      <c r="C7">
        <v>8</v>
      </c>
      <c r="D7">
        <f t="shared" si="0"/>
        <v>32</v>
      </c>
      <c r="E7" s="26">
        <f t="shared" si="1"/>
        <v>72.47952453431904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>
        <v>200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>
        <v>5.5845700000000003</v>
      </c>
    </row>
    <row r="8" spans="1:22">
      <c r="A8" t="s">
        <v>26</v>
      </c>
      <c r="B8">
        <v>8</v>
      </c>
      <c r="C8">
        <v>8</v>
      </c>
      <c r="D8">
        <f t="shared" si="0"/>
        <v>64</v>
      </c>
      <c r="E8" s="26">
        <f t="shared" si="1"/>
        <v>144.95904906863808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>
        <v>200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>
        <v>10.6447</v>
      </c>
    </row>
    <row r="10" spans="1:22">
      <c r="J10" t="s">
        <v>54</v>
      </c>
    </row>
    <row r="11" spans="1:22">
      <c r="M11" s="19" t="s">
        <v>59</v>
      </c>
    </row>
    <row r="12" spans="1:22">
      <c r="L12" t="s">
        <v>56</v>
      </c>
      <c r="M12" t="s">
        <v>57</v>
      </c>
      <c r="O12" t="s">
        <v>60</v>
      </c>
      <c r="P12" s="19" t="s">
        <v>64</v>
      </c>
    </row>
    <row r="13" spans="1:22">
      <c r="I13" t="s">
        <v>62</v>
      </c>
      <c r="J13" t="s">
        <v>55</v>
      </c>
      <c r="K13" s="5" t="s">
        <v>26</v>
      </c>
      <c r="L13" s="5">
        <v>1</v>
      </c>
      <c r="M13" s="5">
        <v>2</v>
      </c>
      <c r="N13" s="5">
        <v>2</v>
      </c>
      <c r="O13" s="5">
        <v>200</v>
      </c>
      <c r="P13" s="5">
        <v>200</v>
      </c>
    </row>
    <row r="14" spans="1:22">
      <c r="K14" s="5" t="s">
        <v>26</v>
      </c>
      <c r="L14" s="5">
        <v>2</v>
      </c>
      <c r="M14" s="5">
        <v>2</v>
      </c>
      <c r="N14" s="5">
        <v>4</v>
      </c>
      <c r="O14" s="5">
        <v>400</v>
      </c>
      <c r="P14" s="5">
        <v>400</v>
      </c>
    </row>
    <row r="15" spans="1:22">
      <c r="K15" s="5" t="s">
        <v>26</v>
      </c>
      <c r="L15" s="5">
        <v>4</v>
      </c>
      <c r="M15" s="5">
        <v>2</v>
      </c>
      <c r="N15" s="5">
        <v>8</v>
      </c>
      <c r="O15" s="5">
        <v>400</v>
      </c>
      <c r="P15" s="5">
        <v>400</v>
      </c>
    </row>
    <row r="16" spans="1:22">
      <c r="K16" s="5" t="s">
        <v>26</v>
      </c>
      <c r="L16" s="5">
        <v>8</v>
      </c>
      <c r="M16" s="5">
        <v>2</v>
      </c>
      <c r="N16" s="5">
        <v>16</v>
      </c>
      <c r="O16" s="5">
        <v>800</v>
      </c>
      <c r="P16" s="5">
        <v>800</v>
      </c>
    </row>
    <row r="18" spans="1:22">
      <c r="I18" t="s">
        <v>63</v>
      </c>
      <c r="J18" t="s">
        <v>58</v>
      </c>
      <c r="K18" s="5" t="s">
        <v>26</v>
      </c>
      <c r="L18" s="5">
        <v>1</v>
      </c>
      <c r="M18" s="5">
        <v>2</v>
      </c>
      <c r="N18" s="5">
        <v>2</v>
      </c>
      <c r="O18" s="5">
        <v>199</v>
      </c>
      <c r="P18" s="5">
        <v>200</v>
      </c>
    </row>
    <row r="19" spans="1:22">
      <c r="K19" s="5" t="s">
        <v>26</v>
      </c>
      <c r="L19" s="5">
        <v>2</v>
      </c>
      <c r="M19" s="5">
        <v>2</v>
      </c>
      <c r="N19" s="5">
        <v>4</v>
      </c>
      <c r="O19" s="5">
        <v>192</v>
      </c>
      <c r="P19" s="5">
        <v>400</v>
      </c>
    </row>
    <row r="20" spans="1:22">
      <c r="K20" s="5" t="s">
        <v>26</v>
      </c>
      <c r="L20" s="5">
        <v>4</v>
      </c>
      <c r="M20" s="5">
        <v>2</v>
      </c>
      <c r="N20" s="5">
        <v>8</v>
      </c>
      <c r="O20" s="5">
        <v>200</v>
      </c>
      <c r="P20" s="5">
        <v>400</v>
      </c>
    </row>
    <row r="21" spans="1:22">
      <c r="K21" s="5" t="s">
        <v>26</v>
      </c>
      <c r="L21" s="5">
        <v>8</v>
      </c>
      <c r="M21" s="5">
        <v>2</v>
      </c>
      <c r="N21" s="5">
        <v>16</v>
      </c>
      <c r="O21" s="5">
        <v>314</v>
      </c>
      <c r="P21" s="5">
        <v>800</v>
      </c>
    </row>
    <row r="23" spans="1:22">
      <c r="M23" t="s">
        <v>61</v>
      </c>
    </row>
    <row r="28" spans="1:2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</row>
    <row r="29" spans="1:22">
      <c r="A29" t="s">
        <v>92</v>
      </c>
      <c r="B29">
        <v>1</v>
      </c>
      <c r="C29">
        <v>2</v>
      </c>
      <c r="D29">
        <v>2</v>
      </c>
      <c r="E29">
        <v>0</v>
      </c>
      <c r="F29" t="s">
        <v>23</v>
      </c>
      <c r="G29" t="s">
        <v>23</v>
      </c>
      <c r="H29" t="s">
        <v>23</v>
      </c>
      <c r="I29" t="s">
        <v>23</v>
      </c>
      <c r="J29" s="25">
        <v>5.3638000000000003</v>
      </c>
      <c r="K29" s="25">
        <v>5.1833999999999998</v>
      </c>
      <c r="L29" s="25">
        <v>35.622</v>
      </c>
      <c r="M29">
        <v>200</v>
      </c>
      <c r="N29">
        <v>0.17810999999999999</v>
      </c>
      <c r="O29">
        <v>1129</v>
      </c>
      <c r="P29" s="25">
        <v>1.5663</v>
      </c>
      <c r="Q29" s="25">
        <v>1.2834000000000001</v>
      </c>
      <c r="R29" s="25">
        <v>16.597999999999999</v>
      </c>
      <c r="S29">
        <v>166</v>
      </c>
      <c r="T29">
        <v>9.99879518072289E-2</v>
      </c>
      <c r="U29">
        <v>680</v>
      </c>
      <c r="V29" t="s">
        <v>23</v>
      </c>
    </row>
    <row r="30" spans="1:22">
      <c r="A30" t="s">
        <v>92</v>
      </c>
      <c r="B30">
        <v>2</v>
      </c>
      <c r="C30">
        <v>2</v>
      </c>
      <c r="D30">
        <v>4</v>
      </c>
      <c r="E30">
        <v>0</v>
      </c>
      <c r="F30" t="s">
        <v>23</v>
      </c>
      <c r="G30" t="s">
        <v>23</v>
      </c>
      <c r="H30" t="s">
        <v>23</v>
      </c>
      <c r="I30" t="s">
        <v>23</v>
      </c>
      <c r="J30" s="25">
        <v>1.4353</v>
      </c>
      <c r="K30" s="25">
        <v>1.3191999999999999</v>
      </c>
      <c r="L30" s="25">
        <v>73.454999999999998</v>
      </c>
      <c r="M30">
        <v>400</v>
      </c>
      <c r="N30" s="21">
        <v>0.18363750000000001</v>
      </c>
      <c r="O30">
        <v>1100</v>
      </c>
      <c r="P30" s="25">
        <v>0.50612999999999997</v>
      </c>
      <c r="Q30" s="25">
        <v>0.44852999999999998</v>
      </c>
      <c r="R30" s="25">
        <v>10.499000000000001</v>
      </c>
      <c r="S30">
        <v>169</v>
      </c>
      <c r="T30">
        <v>6.2124260355029499E-2</v>
      </c>
      <c r="U30">
        <v>1093</v>
      </c>
      <c r="V30" t="s">
        <v>23</v>
      </c>
    </row>
    <row r="31" spans="1:22">
      <c r="A31" t="s">
        <v>92</v>
      </c>
      <c r="B31">
        <v>4</v>
      </c>
      <c r="C31">
        <v>2</v>
      </c>
      <c r="D31">
        <v>8</v>
      </c>
      <c r="E31">
        <v>0</v>
      </c>
      <c r="F31" t="s">
        <v>23</v>
      </c>
      <c r="G31" t="s">
        <v>23</v>
      </c>
      <c r="H31" t="s">
        <v>23</v>
      </c>
      <c r="I31" t="s">
        <v>23</v>
      </c>
      <c r="J31" s="25">
        <v>1.1073</v>
      </c>
      <c r="K31" s="25">
        <v>1.0186999999999999</v>
      </c>
      <c r="L31" s="25">
        <v>41.222999999999999</v>
      </c>
      <c r="M31">
        <v>400</v>
      </c>
      <c r="N31">
        <v>0.1030575</v>
      </c>
      <c r="O31">
        <v>1952</v>
      </c>
      <c r="P31" s="25">
        <v>0.40128999999999998</v>
      </c>
      <c r="Q31" s="25">
        <v>0.35305999999999998</v>
      </c>
      <c r="R31" s="25">
        <v>7.8211000000000004</v>
      </c>
      <c r="S31">
        <v>199</v>
      </c>
      <c r="T31">
        <v>3.9302010050251197E-2</v>
      </c>
      <c r="U31">
        <v>1719</v>
      </c>
      <c r="V31" t="s">
        <v>23</v>
      </c>
    </row>
    <row r="32" spans="1:22">
      <c r="A32" t="s">
        <v>92</v>
      </c>
      <c r="B32">
        <v>8</v>
      </c>
      <c r="C32">
        <v>2</v>
      </c>
      <c r="D32">
        <v>16</v>
      </c>
      <c r="E32">
        <v>0</v>
      </c>
      <c r="F32" t="s">
        <v>23</v>
      </c>
      <c r="G32" t="s">
        <v>23</v>
      </c>
      <c r="H32" t="s">
        <v>23</v>
      </c>
      <c r="I32" t="s">
        <v>23</v>
      </c>
      <c r="J32" s="25">
        <v>4.4686000000000003</v>
      </c>
      <c r="K32" s="25">
        <v>3.8521999999999998</v>
      </c>
      <c r="L32" s="25">
        <v>47.924999999999997</v>
      </c>
      <c r="M32">
        <v>800</v>
      </c>
      <c r="N32">
        <v>5.9906249999999897E-2</v>
      </c>
      <c r="O32">
        <v>3337</v>
      </c>
      <c r="P32" s="25">
        <v>2.4371999999999998</v>
      </c>
      <c r="Q32" s="25">
        <v>1.2225999999999999</v>
      </c>
      <c r="R32" s="25">
        <v>6.1128999999999998</v>
      </c>
      <c r="S32">
        <v>192</v>
      </c>
      <c r="T32">
        <v>3.18380208333333E-2</v>
      </c>
      <c r="U32">
        <v>2096</v>
      </c>
      <c r="V32" t="s">
        <v>23</v>
      </c>
    </row>
    <row r="33" spans="1:22">
      <c r="A33" t="s">
        <v>102</v>
      </c>
      <c r="B33">
        <v>1</v>
      </c>
      <c r="C33">
        <v>4</v>
      </c>
      <c r="D33">
        <v>4</v>
      </c>
      <c r="E33">
        <v>0</v>
      </c>
      <c r="F33" t="s">
        <v>23</v>
      </c>
      <c r="G33" t="s">
        <v>23</v>
      </c>
      <c r="H33" t="s">
        <v>23</v>
      </c>
      <c r="I33" t="s">
        <v>23</v>
      </c>
      <c r="J33" s="25">
        <v>1.4252</v>
      </c>
      <c r="K33" s="25">
        <v>1.2681</v>
      </c>
      <c r="L33" s="25">
        <v>55.906999999999996</v>
      </c>
      <c r="M33">
        <v>200</v>
      </c>
      <c r="N33">
        <v>0.27953499999999998</v>
      </c>
      <c r="O33">
        <v>719</v>
      </c>
      <c r="P33" s="25">
        <v>0.50424000000000002</v>
      </c>
      <c r="Q33" s="25">
        <v>0.43304999999999999</v>
      </c>
      <c r="R33" s="25">
        <v>18.838999999999999</v>
      </c>
      <c r="S33">
        <v>169</v>
      </c>
      <c r="T33">
        <v>0.11147337278106501</v>
      </c>
      <c r="U33">
        <v>609</v>
      </c>
      <c r="V33" t="s">
        <v>23</v>
      </c>
    </row>
    <row r="34" spans="1:22">
      <c r="A34" t="s">
        <v>102</v>
      </c>
      <c r="B34">
        <v>1</v>
      </c>
      <c r="C34">
        <v>8</v>
      </c>
      <c r="D34">
        <v>8</v>
      </c>
      <c r="E34">
        <v>0</v>
      </c>
      <c r="F34" t="s">
        <v>23</v>
      </c>
      <c r="G34" t="s">
        <v>23</v>
      </c>
      <c r="H34" t="s">
        <v>23</v>
      </c>
      <c r="I34" t="s">
        <v>23</v>
      </c>
      <c r="J34" s="25">
        <v>2.4529999999999998</v>
      </c>
      <c r="K34" s="25">
        <v>2.2458</v>
      </c>
      <c r="L34" s="25">
        <v>62.673000000000002</v>
      </c>
      <c r="M34">
        <v>200</v>
      </c>
      <c r="N34">
        <v>0.313365</v>
      </c>
      <c r="O34">
        <v>639</v>
      </c>
      <c r="P34" s="25">
        <v>0.44341999999999998</v>
      </c>
      <c r="Q34" s="25">
        <v>0.33239000000000002</v>
      </c>
      <c r="R34" s="25">
        <v>30.451000000000001</v>
      </c>
      <c r="S34">
        <v>199</v>
      </c>
      <c r="T34">
        <v>0.153020100502512</v>
      </c>
      <c r="U34">
        <v>441</v>
      </c>
      <c r="V34" t="s">
        <v>23</v>
      </c>
    </row>
    <row r="35" spans="1:22">
      <c r="A35" t="s">
        <v>102</v>
      </c>
      <c r="B35">
        <v>2</v>
      </c>
      <c r="C35">
        <v>8</v>
      </c>
      <c r="D35">
        <v>16</v>
      </c>
      <c r="E35">
        <v>0</v>
      </c>
      <c r="F35" t="s">
        <v>23</v>
      </c>
      <c r="G35" t="s">
        <v>23</v>
      </c>
      <c r="H35" t="s">
        <v>23</v>
      </c>
      <c r="I35" t="s">
        <v>23</v>
      </c>
      <c r="J35" s="25">
        <v>1.2936000000000001</v>
      </c>
      <c r="K35" s="25">
        <v>0.89320999999999995</v>
      </c>
      <c r="L35" s="25">
        <v>125.48</v>
      </c>
      <c r="M35">
        <v>400</v>
      </c>
      <c r="N35">
        <v>0.31369999999999998</v>
      </c>
      <c r="O35">
        <v>636</v>
      </c>
      <c r="P35" s="25">
        <v>0.59123999999999999</v>
      </c>
      <c r="Q35" s="25">
        <v>0.30690000000000001</v>
      </c>
      <c r="R35" s="25">
        <v>43.213999999999999</v>
      </c>
      <c r="S35">
        <v>192</v>
      </c>
      <c r="T35">
        <v>0.22507291666666601</v>
      </c>
      <c r="U35">
        <v>296</v>
      </c>
      <c r="V35" t="s">
        <v>23</v>
      </c>
    </row>
    <row r="36" spans="1:22">
      <c r="A36" t="s">
        <v>102</v>
      </c>
      <c r="B36">
        <v>4</v>
      </c>
      <c r="C36">
        <v>8</v>
      </c>
      <c r="D36">
        <v>32</v>
      </c>
      <c r="E36">
        <v>0</v>
      </c>
      <c r="F36" t="s">
        <v>23</v>
      </c>
      <c r="G36" t="s">
        <v>23</v>
      </c>
      <c r="H36" t="s">
        <v>23</v>
      </c>
      <c r="I36" t="s">
        <v>23</v>
      </c>
      <c r="J36" s="25">
        <v>1.3208</v>
      </c>
      <c r="K36" s="25">
        <v>0.86778</v>
      </c>
      <c r="L36" s="25">
        <v>123.32</v>
      </c>
      <c r="M36">
        <v>400</v>
      </c>
      <c r="N36">
        <v>0.30829999999999902</v>
      </c>
      <c r="O36">
        <v>638</v>
      </c>
      <c r="P36" s="25">
        <v>0.58506000000000002</v>
      </c>
      <c r="Q36" s="25">
        <v>0.29953999999999997</v>
      </c>
      <c r="R36" s="25">
        <v>48.487000000000002</v>
      </c>
      <c r="S36">
        <v>200</v>
      </c>
      <c r="T36">
        <v>0.24243500000000001</v>
      </c>
      <c r="U36">
        <v>269</v>
      </c>
      <c r="V36" t="s">
        <v>23</v>
      </c>
    </row>
    <row r="37" spans="1:22">
      <c r="A37" t="s">
        <v>102</v>
      </c>
      <c r="B37">
        <v>8</v>
      </c>
      <c r="C37">
        <v>8</v>
      </c>
      <c r="D37">
        <v>64</v>
      </c>
      <c r="E37">
        <v>0</v>
      </c>
      <c r="F37" t="s">
        <v>23</v>
      </c>
      <c r="G37" t="s">
        <v>23</v>
      </c>
      <c r="H37" t="s">
        <v>23</v>
      </c>
      <c r="I37" t="s">
        <v>23</v>
      </c>
      <c r="J37" s="25">
        <v>1.2970999999999999</v>
      </c>
      <c r="K37" s="25">
        <v>0.88395999999999997</v>
      </c>
      <c r="L37" s="25">
        <v>269.18</v>
      </c>
      <c r="M37">
        <v>800</v>
      </c>
      <c r="N37">
        <v>0.33647500000000002</v>
      </c>
      <c r="O37">
        <v>569</v>
      </c>
      <c r="P37" s="25">
        <v>0.68100000000000005</v>
      </c>
      <c r="Q37" s="25">
        <v>0.36123</v>
      </c>
      <c r="R37" s="25">
        <v>90.254000000000005</v>
      </c>
      <c r="S37">
        <v>314</v>
      </c>
      <c r="T37">
        <v>0.28743312101910801</v>
      </c>
      <c r="U37">
        <v>217</v>
      </c>
      <c r="V37" t="s">
        <v>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Z39"/>
  <sheetViews>
    <sheetView topLeftCell="E1" workbookViewId="0">
      <selection activeCell="P13" sqref="P13"/>
    </sheetView>
  </sheetViews>
  <sheetFormatPr defaultRowHeight="15"/>
  <cols>
    <col min="5" max="5" width="14.5703125" customWidth="1"/>
  </cols>
  <sheetData>
    <row r="1" spans="2:26">
      <c r="B1" t="s">
        <v>98</v>
      </c>
      <c r="I1" t="s">
        <v>25</v>
      </c>
      <c r="M1" t="s">
        <v>131</v>
      </c>
      <c r="N1" t="s">
        <v>131</v>
      </c>
      <c r="P1" t="s">
        <v>97</v>
      </c>
      <c r="W1" t="s">
        <v>96</v>
      </c>
    </row>
    <row r="2" spans="2:26">
      <c r="C2" t="s">
        <v>80</v>
      </c>
      <c r="D2" t="s">
        <v>100</v>
      </c>
      <c r="E2" t="s">
        <v>101</v>
      </c>
      <c r="F2" s="4" t="s">
        <v>107</v>
      </c>
      <c r="G2" s="11" t="s">
        <v>107</v>
      </c>
      <c r="J2" t="s">
        <v>80</v>
      </c>
      <c r="K2" t="s">
        <v>100</v>
      </c>
      <c r="L2" t="s">
        <v>101</v>
      </c>
      <c r="M2" s="4" t="s">
        <v>25</v>
      </c>
      <c r="N2" s="11" t="s">
        <v>25</v>
      </c>
      <c r="Q2" t="s">
        <v>80</v>
      </c>
      <c r="R2" t="s">
        <v>100</v>
      </c>
      <c r="S2" t="s">
        <v>101</v>
      </c>
      <c r="T2" s="4" t="s">
        <v>95</v>
      </c>
      <c r="U2" s="11" t="s">
        <v>95</v>
      </c>
      <c r="W2" t="s">
        <v>1</v>
      </c>
      <c r="X2" t="s">
        <v>2</v>
      </c>
      <c r="Y2" t="s">
        <v>3</v>
      </c>
      <c r="Z2" s="4" t="s">
        <v>106</v>
      </c>
    </row>
    <row r="3" spans="2:26">
      <c r="B3" t="s">
        <v>24</v>
      </c>
      <c r="C3">
        <v>1</v>
      </c>
      <c r="D3">
        <v>1</v>
      </c>
      <c r="E3">
        <v>1</v>
      </c>
      <c r="F3">
        <f>(295)/(1000)</f>
        <v>0.29499999999999998</v>
      </c>
      <c r="G3">
        <f>308/(1000)</f>
        <v>0.308</v>
      </c>
      <c r="I3" t="s">
        <v>25</v>
      </c>
      <c r="J3">
        <v>1</v>
      </c>
      <c r="K3">
        <v>1</v>
      </c>
      <c r="L3">
        <v>1</v>
      </c>
      <c r="M3">
        <f>1036/(1000)</f>
        <v>1.036</v>
      </c>
      <c r="N3">
        <f>1089/(1000)</f>
        <v>1.089</v>
      </c>
      <c r="Q3">
        <v>1</v>
      </c>
      <c r="R3">
        <v>1</v>
      </c>
      <c r="S3">
        <f>Q3*R3</f>
        <v>1</v>
      </c>
      <c r="T3">
        <f>0/(1000)</f>
        <v>0</v>
      </c>
      <c r="U3">
        <f>0/(1000)</f>
        <v>0</v>
      </c>
      <c r="W3">
        <v>16</v>
      </c>
      <c r="X3">
        <v>1</v>
      </c>
      <c r="Y3">
        <v>16</v>
      </c>
      <c r="Z3">
        <f>2955/(1000)</f>
        <v>2.9550000000000001</v>
      </c>
    </row>
    <row r="4" spans="2:26">
      <c r="B4" t="s">
        <v>24</v>
      </c>
      <c r="C4">
        <v>1</v>
      </c>
      <c r="D4">
        <v>2</v>
      </c>
      <c r="E4">
        <v>2</v>
      </c>
      <c r="F4">
        <f>(557)/(1000)</f>
        <v>0.55700000000000005</v>
      </c>
      <c r="G4">
        <f>(617)/(1000)</f>
        <v>0.61699999999999999</v>
      </c>
      <c r="I4" t="s">
        <v>25</v>
      </c>
      <c r="J4">
        <v>1</v>
      </c>
      <c r="K4">
        <v>2</v>
      </c>
      <c r="L4">
        <v>2</v>
      </c>
      <c r="M4">
        <f>1966/(1000)</f>
        <v>1.966</v>
      </c>
      <c r="N4">
        <f>2131/(1000)</f>
        <v>2.1309999999999998</v>
      </c>
      <c r="P4" t="s">
        <v>95</v>
      </c>
      <c r="Q4">
        <v>1</v>
      </c>
      <c r="R4">
        <v>2</v>
      </c>
      <c r="S4">
        <f>Q4*R4</f>
        <v>2</v>
      </c>
      <c r="T4">
        <f>1129/(1000)</f>
        <v>1.129</v>
      </c>
      <c r="U4">
        <f>680/(1000)</f>
        <v>0.68</v>
      </c>
      <c r="W4">
        <v>1</v>
      </c>
      <c r="X4">
        <v>1</v>
      </c>
      <c r="Y4">
        <v>1</v>
      </c>
      <c r="Z4">
        <f>338/(1000)</f>
        <v>0.33800000000000002</v>
      </c>
    </row>
    <row r="5" spans="2:26">
      <c r="B5" t="s">
        <v>24</v>
      </c>
      <c r="C5">
        <v>1</v>
      </c>
      <c r="D5">
        <v>4</v>
      </c>
      <c r="E5">
        <v>4</v>
      </c>
      <c r="F5">
        <f>(960)/(1000)</f>
        <v>0.96</v>
      </c>
      <c r="G5">
        <f>1052/(1000)</f>
        <v>1.052</v>
      </c>
      <c r="I5" t="s">
        <v>25</v>
      </c>
      <c r="J5">
        <v>1</v>
      </c>
      <c r="K5">
        <v>4</v>
      </c>
      <c r="L5">
        <v>4</v>
      </c>
      <c r="M5">
        <f>3506/(1000)</f>
        <v>3.5059999999999998</v>
      </c>
      <c r="N5">
        <f>3999/(1000)</f>
        <v>3.9990000000000001</v>
      </c>
      <c r="P5" t="s">
        <v>95</v>
      </c>
      <c r="Q5">
        <v>1</v>
      </c>
      <c r="R5">
        <v>4</v>
      </c>
      <c r="S5">
        <f>Q5*R5</f>
        <v>4</v>
      </c>
      <c r="T5">
        <v>0.71899999999999997</v>
      </c>
      <c r="U5">
        <v>0.60899999999999999</v>
      </c>
      <c r="W5">
        <v>2</v>
      </c>
      <c r="X5">
        <v>1</v>
      </c>
      <c r="Y5">
        <v>2</v>
      </c>
      <c r="Z5">
        <f>611/(1000)</f>
        <v>0.61099999999999999</v>
      </c>
    </row>
    <row r="6" spans="2:26">
      <c r="B6" s="5" t="s">
        <v>24</v>
      </c>
      <c r="C6">
        <v>1</v>
      </c>
      <c r="D6">
        <v>8</v>
      </c>
      <c r="E6">
        <v>8</v>
      </c>
      <c r="F6">
        <f>(1462)/(1000)</f>
        <v>1.462</v>
      </c>
      <c r="G6">
        <f>(1685)/(1000)</f>
        <v>1.6850000000000001</v>
      </c>
      <c r="I6" t="s">
        <v>25</v>
      </c>
      <c r="J6">
        <v>1</v>
      </c>
      <c r="K6">
        <v>8</v>
      </c>
      <c r="L6">
        <v>8</v>
      </c>
      <c r="M6">
        <f>5137/(1000)</f>
        <v>5.1369999999999996</v>
      </c>
      <c r="N6">
        <f>6170/(1000)</f>
        <v>6.17</v>
      </c>
      <c r="P6" t="s">
        <v>95</v>
      </c>
      <c r="Q6">
        <v>1</v>
      </c>
      <c r="R6">
        <v>8</v>
      </c>
      <c r="S6">
        <f t="shared" ref="S6:S9" si="0">Q6*R6</f>
        <v>8</v>
      </c>
      <c r="T6">
        <f>1952/(1000)</f>
        <v>1.952</v>
      </c>
      <c r="U6">
        <f>1719/(1000)</f>
        <v>1.7190000000000001</v>
      </c>
      <c r="W6" s="5">
        <v>32</v>
      </c>
      <c r="X6" s="5">
        <v>1</v>
      </c>
      <c r="Y6" s="5">
        <v>32</v>
      </c>
      <c r="Z6">
        <f>4308/(1000)</f>
        <v>4.3079999999999998</v>
      </c>
    </row>
    <row r="7" spans="2:26">
      <c r="B7" s="5" t="s">
        <v>24</v>
      </c>
      <c r="C7">
        <v>2</v>
      </c>
      <c r="D7">
        <v>8</v>
      </c>
      <c r="E7">
        <v>16</v>
      </c>
      <c r="F7">
        <f>(2917)/(1000)</f>
        <v>2.9169999999999998</v>
      </c>
      <c r="G7">
        <f>3032/(1000)</f>
        <v>3.032</v>
      </c>
      <c r="I7" t="s">
        <v>25</v>
      </c>
      <c r="J7">
        <v>2</v>
      </c>
      <c r="K7">
        <v>8</v>
      </c>
      <c r="L7">
        <v>16</v>
      </c>
      <c r="M7">
        <f>11171/(1000)</f>
        <v>11.170999999999999</v>
      </c>
      <c r="N7">
        <f>11886/(1000)</f>
        <v>11.885999999999999</v>
      </c>
      <c r="P7" t="s">
        <v>95</v>
      </c>
      <c r="Q7">
        <v>2</v>
      </c>
      <c r="R7">
        <v>8</v>
      </c>
      <c r="S7">
        <f t="shared" si="0"/>
        <v>16</v>
      </c>
      <c r="T7">
        <v>0.63600000000000001</v>
      </c>
      <c r="U7">
        <v>0.29599999999999999</v>
      </c>
      <c r="W7">
        <v>4</v>
      </c>
      <c r="X7">
        <v>1</v>
      </c>
      <c r="Y7">
        <v>4</v>
      </c>
      <c r="Z7">
        <f>1150/(1000)</f>
        <v>1.1499999999999999</v>
      </c>
    </row>
    <row r="8" spans="2:26">
      <c r="B8" s="5" t="s">
        <v>24</v>
      </c>
      <c r="C8">
        <v>4</v>
      </c>
      <c r="D8">
        <v>8</v>
      </c>
      <c r="E8">
        <v>32</v>
      </c>
      <c r="F8">
        <f>5029/(1000)</f>
        <v>5.0289999999999999</v>
      </c>
      <c r="G8">
        <f>(1685)/(1000)</f>
        <v>1.6850000000000001</v>
      </c>
      <c r="I8" t="s">
        <v>25</v>
      </c>
      <c r="J8">
        <v>4</v>
      </c>
      <c r="K8">
        <v>8</v>
      </c>
      <c r="L8">
        <v>32</v>
      </c>
      <c r="M8">
        <f>22332/(1000)</f>
        <v>22.332000000000001</v>
      </c>
      <c r="N8">
        <f>21768/(1000)</f>
        <v>21.768000000000001</v>
      </c>
      <c r="P8" t="s">
        <v>95</v>
      </c>
      <c r="Q8">
        <v>4</v>
      </c>
      <c r="R8">
        <v>8</v>
      </c>
      <c r="S8">
        <f t="shared" si="0"/>
        <v>32</v>
      </c>
      <c r="T8">
        <v>0.63800000000000001</v>
      </c>
      <c r="U8">
        <v>0.26900000000000002</v>
      </c>
      <c r="W8" s="5">
        <v>64</v>
      </c>
      <c r="X8" s="5">
        <v>1</v>
      </c>
      <c r="Y8" s="5">
        <v>64</v>
      </c>
      <c r="Z8">
        <f>4912/(1000)</f>
        <v>4.9119999999999999</v>
      </c>
    </row>
    <row r="9" spans="2:26">
      <c r="B9" s="5" t="s">
        <v>24</v>
      </c>
      <c r="C9">
        <v>8</v>
      </c>
      <c r="D9">
        <v>8</v>
      </c>
      <c r="E9">
        <v>64</v>
      </c>
      <c r="F9">
        <f>6988/(1000)</f>
        <v>6.9880000000000004</v>
      </c>
      <c r="G9">
        <f>3813/(1000)</f>
        <v>3.8130000000000002</v>
      </c>
      <c r="I9" t="s">
        <v>25</v>
      </c>
      <c r="J9">
        <v>8</v>
      </c>
      <c r="K9">
        <v>8</v>
      </c>
      <c r="L9">
        <v>64</v>
      </c>
      <c r="M9">
        <f>37040/(1000)</f>
        <v>37.04</v>
      </c>
      <c r="N9">
        <f>27006/(1000)</f>
        <v>27.006</v>
      </c>
      <c r="P9" t="s">
        <v>95</v>
      </c>
      <c r="Q9">
        <v>8</v>
      </c>
      <c r="R9">
        <v>8</v>
      </c>
      <c r="S9">
        <f t="shared" si="0"/>
        <v>64</v>
      </c>
      <c r="T9">
        <v>0.56899999999999995</v>
      </c>
      <c r="U9">
        <v>0.217</v>
      </c>
      <c r="W9">
        <v>8</v>
      </c>
      <c r="X9">
        <v>1</v>
      </c>
      <c r="Y9">
        <v>8</v>
      </c>
      <c r="Z9">
        <f>1792/(1000)</f>
        <v>1.792</v>
      </c>
    </row>
    <row r="11" spans="2:26">
      <c r="B11" t="s">
        <v>24</v>
      </c>
      <c r="C11">
        <v>2</v>
      </c>
      <c r="D11">
        <v>1</v>
      </c>
      <c r="E11">
        <v>2</v>
      </c>
      <c r="F11" s="5">
        <v>489</v>
      </c>
      <c r="G11" s="12">
        <v>521</v>
      </c>
      <c r="I11" t="s">
        <v>25</v>
      </c>
      <c r="J11">
        <v>2</v>
      </c>
      <c r="K11">
        <v>1</v>
      </c>
      <c r="L11">
        <v>2</v>
      </c>
      <c r="M11" s="1">
        <v>2114</v>
      </c>
      <c r="N11" s="12">
        <v>2138</v>
      </c>
    </row>
    <row r="12" spans="2:26">
      <c r="B12" t="s">
        <v>24</v>
      </c>
      <c r="C12">
        <v>4</v>
      </c>
      <c r="D12">
        <v>1</v>
      </c>
      <c r="E12">
        <v>4</v>
      </c>
      <c r="F12" s="5">
        <v>919</v>
      </c>
      <c r="G12" s="12">
        <v>986</v>
      </c>
      <c r="I12" t="s">
        <v>25</v>
      </c>
      <c r="J12">
        <v>4</v>
      </c>
      <c r="K12">
        <v>1</v>
      </c>
      <c r="L12">
        <v>4</v>
      </c>
      <c r="M12" s="1">
        <v>4112</v>
      </c>
      <c r="N12" s="12">
        <v>4453</v>
      </c>
    </row>
    <row r="13" spans="2:26">
      <c r="B13" t="s">
        <v>24</v>
      </c>
      <c r="C13">
        <v>8</v>
      </c>
      <c r="D13">
        <v>1</v>
      </c>
      <c r="E13">
        <v>8</v>
      </c>
      <c r="F13" s="5">
        <v>1675</v>
      </c>
      <c r="G13" s="12">
        <v>1688</v>
      </c>
      <c r="I13" t="s">
        <v>25</v>
      </c>
      <c r="J13">
        <v>8</v>
      </c>
      <c r="K13">
        <v>1</v>
      </c>
      <c r="L13">
        <v>8</v>
      </c>
      <c r="M13" s="1">
        <v>8135</v>
      </c>
      <c r="N13" s="12">
        <v>8895</v>
      </c>
    </row>
    <row r="16" spans="2:26">
      <c r="B16" t="s">
        <v>105</v>
      </c>
      <c r="C16">
        <f>1000</f>
        <v>1000</v>
      </c>
      <c r="D16" t="s">
        <v>103</v>
      </c>
    </row>
    <row r="32" spans="3:9">
      <c r="C32" t="s">
        <v>80</v>
      </c>
      <c r="D32" t="s">
        <v>100</v>
      </c>
      <c r="E32" t="s">
        <v>101</v>
      </c>
      <c r="F32" s="4" t="s">
        <v>93</v>
      </c>
      <c r="G32" s="11" t="s">
        <v>94</v>
      </c>
      <c r="H32" s="4" t="s">
        <v>12</v>
      </c>
      <c r="I32" s="11" t="s">
        <v>94</v>
      </c>
    </row>
    <row r="33" spans="2:9">
      <c r="B33" t="s">
        <v>119</v>
      </c>
      <c r="C33">
        <v>1</v>
      </c>
      <c r="D33">
        <v>1</v>
      </c>
      <c r="E33">
        <v>1</v>
      </c>
      <c r="F33">
        <f>475/(1000)</f>
        <v>0.47499999999999998</v>
      </c>
      <c r="G33">
        <f>342/(1000)</f>
        <v>0.34200000000000003</v>
      </c>
      <c r="H33" s="1">
        <v>200</v>
      </c>
      <c r="I33" s="12">
        <v>200</v>
      </c>
    </row>
    <row r="34" spans="2:9">
      <c r="B34" t="s">
        <v>119</v>
      </c>
      <c r="C34">
        <v>1</v>
      </c>
      <c r="D34">
        <v>2</v>
      </c>
      <c r="E34">
        <v>2</v>
      </c>
      <c r="F34">
        <f>935/(1000)</f>
        <v>0.93500000000000005</v>
      </c>
      <c r="G34">
        <f>613/(1000)</f>
        <v>0.61299999999999999</v>
      </c>
      <c r="H34" s="1">
        <v>200</v>
      </c>
      <c r="I34" s="12">
        <v>200</v>
      </c>
    </row>
    <row r="35" spans="2:9">
      <c r="B35" t="s">
        <v>119</v>
      </c>
      <c r="C35">
        <v>1</v>
      </c>
      <c r="D35">
        <v>4</v>
      </c>
      <c r="E35">
        <v>4</v>
      </c>
      <c r="F35">
        <f>1735/(1000)</f>
        <v>1.7350000000000001</v>
      </c>
      <c r="G35">
        <f>1058/(1000)</f>
        <v>1.0580000000000001</v>
      </c>
      <c r="H35" s="1">
        <v>200</v>
      </c>
      <c r="I35" s="12">
        <v>200</v>
      </c>
    </row>
    <row r="36" spans="2:9">
      <c r="B36" t="s">
        <v>119</v>
      </c>
      <c r="C36">
        <v>1</v>
      </c>
      <c r="D36">
        <v>8</v>
      </c>
      <c r="E36">
        <v>8</v>
      </c>
      <c r="F36">
        <f>2875/(1000)</f>
        <v>2.875</v>
      </c>
      <c r="G36">
        <f>1426/(1000)</f>
        <v>1.4259999999999999</v>
      </c>
      <c r="H36" s="1">
        <v>200</v>
      </c>
      <c r="I36" s="12">
        <v>200</v>
      </c>
    </row>
    <row r="37" spans="2:9">
      <c r="B37" t="s">
        <v>119</v>
      </c>
      <c r="C37">
        <v>2</v>
      </c>
      <c r="D37">
        <v>8</v>
      </c>
      <c r="E37">
        <v>16</v>
      </c>
      <c r="F37">
        <f>2654/(1000)</f>
        <v>2.6539999999999999</v>
      </c>
      <c r="G37">
        <f>2344/(1000)</f>
        <v>2.3439999999999999</v>
      </c>
      <c r="H37" s="1">
        <v>400</v>
      </c>
      <c r="I37" s="12">
        <v>400</v>
      </c>
    </row>
    <row r="38" spans="2:9">
      <c r="B38" t="s">
        <v>119</v>
      </c>
      <c r="C38">
        <v>4</v>
      </c>
      <c r="D38">
        <v>8</v>
      </c>
      <c r="E38">
        <v>32</v>
      </c>
      <c r="F38">
        <f>5516/(1000)</f>
        <v>5.516</v>
      </c>
      <c r="G38">
        <f>2941/(1000)</f>
        <v>2.9409999999999998</v>
      </c>
      <c r="H38" s="1">
        <v>400</v>
      </c>
      <c r="I38" s="12">
        <v>400</v>
      </c>
    </row>
    <row r="39" spans="2:9">
      <c r="B39" t="s">
        <v>119</v>
      </c>
      <c r="C39">
        <v>8</v>
      </c>
      <c r="D39">
        <v>8</v>
      </c>
      <c r="E39">
        <v>64</v>
      </c>
      <c r="F39">
        <f>8356/(1000)</f>
        <v>8.3559999999999999</v>
      </c>
      <c r="G39">
        <f>5723/(1000)</f>
        <v>5.7229999999999999</v>
      </c>
      <c r="H39" s="1">
        <v>800</v>
      </c>
      <c r="I39" s="12">
        <v>800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Q9"/>
  <sheetViews>
    <sheetView tabSelected="1" workbookViewId="0">
      <selection activeCell="B19" sqref="B19"/>
    </sheetView>
  </sheetViews>
  <sheetFormatPr defaultRowHeight="15"/>
  <sheetData>
    <row r="2" spans="1:17">
      <c r="B2" t="s">
        <v>80</v>
      </c>
      <c r="C2" t="s">
        <v>100</v>
      </c>
      <c r="D2" t="s">
        <v>101</v>
      </c>
      <c r="E2" t="s">
        <v>25</v>
      </c>
      <c r="G2" t="s">
        <v>0</v>
      </c>
      <c r="H2" t="s">
        <v>1</v>
      </c>
      <c r="I2" t="s">
        <v>2</v>
      </c>
      <c r="J2" t="s">
        <v>3</v>
      </c>
      <c r="K2" t="s">
        <v>104</v>
      </c>
      <c r="N2" t="s">
        <v>80</v>
      </c>
      <c r="O2" t="s">
        <v>100</v>
      </c>
      <c r="P2" t="s">
        <v>101</v>
      </c>
      <c r="Q2" t="s">
        <v>97</v>
      </c>
    </row>
    <row r="3" spans="1:17">
      <c r="A3" t="s">
        <v>25</v>
      </c>
      <c r="B3">
        <v>1</v>
      </c>
      <c r="C3">
        <v>1</v>
      </c>
      <c r="D3">
        <v>1</v>
      </c>
      <c r="E3">
        <v>0.76128700000000005</v>
      </c>
      <c r="G3" t="s">
        <v>24</v>
      </c>
      <c r="H3">
        <v>1</v>
      </c>
      <c r="I3">
        <v>1</v>
      </c>
      <c r="J3">
        <v>1</v>
      </c>
      <c r="K3">
        <v>0.20673</v>
      </c>
      <c r="M3" t="s">
        <v>26</v>
      </c>
      <c r="N3">
        <v>1</v>
      </c>
      <c r="O3">
        <v>1</v>
      </c>
      <c r="P3">
        <f>N3*O3</f>
        <v>1</v>
      </c>
      <c r="Q3">
        <v>0.56974599999999997</v>
      </c>
    </row>
    <row r="4" spans="1:17">
      <c r="A4" t="s">
        <v>25</v>
      </c>
      <c r="B4">
        <v>1</v>
      </c>
      <c r="C4">
        <v>2</v>
      </c>
      <c r="D4">
        <v>2</v>
      </c>
      <c r="E4">
        <v>1.3909100000000001</v>
      </c>
      <c r="G4" t="s">
        <v>24</v>
      </c>
      <c r="H4">
        <v>1</v>
      </c>
      <c r="I4">
        <v>2</v>
      </c>
      <c r="J4">
        <v>2</v>
      </c>
      <c r="K4">
        <v>0.39683200000000002</v>
      </c>
      <c r="M4" t="s">
        <v>26</v>
      </c>
      <c r="N4">
        <v>1</v>
      </c>
      <c r="O4">
        <v>2</v>
      </c>
      <c r="P4">
        <f t="shared" ref="P4:P9" si="0">N4*O4</f>
        <v>2</v>
      </c>
      <c r="Q4">
        <v>1.0184</v>
      </c>
    </row>
    <row r="5" spans="1:17">
      <c r="A5" t="s">
        <v>25</v>
      </c>
      <c r="B5">
        <v>1</v>
      </c>
      <c r="C5">
        <v>4</v>
      </c>
      <c r="D5">
        <v>4</v>
      </c>
      <c r="E5">
        <v>2.4365399999999999</v>
      </c>
      <c r="G5" t="s">
        <v>24</v>
      </c>
      <c r="H5">
        <v>1</v>
      </c>
      <c r="I5">
        <v>4</v>
      </c>
      <c r="J5">
        <v>4</v>
      </c>
      <c r="K5">
        <v>0.67330900000000005</v>
      </c>
      <c r="M5" t="s">
        <v>26</v>
      </c>
      <c r="N5">
        <v>1</v>
      </c>
      <c r="O5">
        <v>4</v>
      </c>
      <c r="P5">
        <f t="shared" si="0"/>
        <v>4</v>
      </c>
      <c r="Q5">
        <v>1.63595</v>
      </c>
    </row>
    <row r="6" spans="1:17">
      <c r="A6" t="s">
        <v>25</v>
      </c>
      <c r="B6">
        <v>1</v>
      </c>
      <c r="C6">
        <v>8</v>
      </c>
      <c r="D6">
        <v>8</v>
      </c>
      <c r="E6">
        <v>3.61416</v>
      </c>
      <c r="G6" t="s">
        <v>24</v>
      </c>
      <c r="H6">
        <v>1</v>
      </c>
      <c r="I6">
        <v>8</v>
      </c>
      <c r="J6">
        <v>8</v>
      </c>
      <c r="K6">
        <v>1.0550999999999999</v>
      </c>
      <c r="M6" t="s">
        <v>26</v>
      </c>
      <c r="N6">
        <v>1</v>
      </c>
      <c r="O6">
        <v>8</v>
      </c>
      <c r="P6">
        <f t="shared" si="0"/>
        <v>8</v>
      </c>
      <c r="Q6">
        <v>2.4076</v>
      </c>
    </row>
    <row r="7" spans="1:17">
      <c r="A7" t="s">
        <v>25</v>
      </c>
      <c r="B7">
        <v>2</v>
      </c>
      <c r="C7">
        <v>8</v>
      </c>
      <c r="D7">
        <v>16</v>
      </c>
      <c r="E7">
        <v>6.9121199999999998</v>
      </c>
      <c r="G7" t="s">
        <v>24</v>
      </c>
      <c r="H7">
        <v>2</v>
      </c>
      <c r="I7">
        <v>8</v>
      </c>
      <c r="J7">
        <v>16</v>
      </c>
      <c r="K7">
        <v>1.8108599999999999</v>
      </c>
      <c r="M7" t="s">
        <v>26</v>
      </c>
      <c r="N7">
        <v>2</v>
      </c>
      <c r="O7">
        <v>8</v>
      </c>
      <c r="P7">
        <f t="shared" si="0"/>
        <v>16</v>
      </c>
      <c r="Q7">
        <v>3.3893300000000002</v>
      </c>
    </row>
    <row r="8" spans="1:17">
      <c r="A8" t="s">
        <v>25</v>
      </c>
      <c r="B8">
        <v>4</v>
      </c>
      <c r="C8">
        <v>8</v>
      </c>
      <c r="D8">
        <v>32</v>
      </c>
      <c r="E8">
        <v>14.224500000000001</v>
      </c>
      <c r="G8" t="s">
        <v>24</v>
      </c>
      <c r="H8">
        <v>4</v>
      </c>
      <c r="I8">
        <v>8</v>
      </c>
      <c r="J8">
        <v>32</v>
      </c>
      <c r="K8">
        <v>3.2231000000000001</v>
      </c>
      <c r="M8" t="s">
        <v>26</v>
      </c>
      <c r="N8">
        <v>4</v>
      </c>
      <c r="O8">
        <v>8</v>
      </c>
      <c r="P8">
        <f t="shared" si="0"/>
        <v>32</v>
      </c>
      <c r="Q8">
        <v>5.5845700000000003</v>
      </c>
    </row>
    <row r="9" spans="1:17">
      <c r="A9" t="s">
        <v>25</v>
      </c>
      <c r="B9">
        <v>8</v>
      </c>
      <c r="C9">
        <v>8</v>
      </c>
      <c r="D9">
        <v>64</v>
      </c>
      <c r="E9">
        <v>27.428999999999998</v>
      </c>
      <c r="G9" t="s">
        <v>24</v>
      </c>
      <c r="H9">
        <v>8</v>
      </c>
      <c r="I9">
        <v>8</v>
      </c>
      <c r="J9">
        <v>64</v>
      </c>
      <c r="K9">
        <v>5.4516499999999999</v>
      </c>
      <c r="M9" t="s">
        <v>26</v>
      </c>
      <c r="N9">
        <v>8</v>
      </c>
      <c r="O9">
        <v>8</v>
      </c>
      <c r="P9">
        <f t="shared" si="0"/>
        <v>64</v>
      </c>
      <c r="Q9">
        <v>10.6447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zoomScale="85" zoomScaleNormal="85" workbookViewId="0">
      <selection activeCell="F6" sqref="F6"/>
    </sheetView>
  </sheetViews>
  <sheetFormatPr defaultRowHeight="15"/>
  <cols>
    <col min="6" max="6" width="11.140625" customWidth="1"/>
  </cols>
  <sheetData>
    <row r="2" spans="2:16">
      <c r="B2" t="s">
        <v>110</v>
      </c>
      <c r="K2" t="s">
        <v>111</v>
      </c>
    </row>
    <row r="5" spans="2:16">
      <c r="C5" t="s">
        <v>80</v>
      </c>
      <c r="D5" t="s">
        <v>100</v>
      </c>
      <c r="E5" t="s">
        <v>101</v>
      </c>
      <c r="F5" t="s">
        <v>120</v>
      </c>
      <c r="G5" t="s">
        <v>121</v>
      </c>
      <c r="L5" t="s">
        <v>80</v>
      </c>
      <c r="M5" t="s">
        <v>100</v>
      </c>
      <c r="N5" t="s">
        <v>101</v>
      </c>
      <c r="O5" t="s">
        <v>108</v>
      </c>
      <c r="P5" t="s">
        <v>109</v>
      </c>
    </row>
    <row r="6" spans="2:16">
      <c r="B6" t="s">
        <v>99</v>
      </c>
      <c r="C6">
        <v>1</v>
      </c>
      <c r="D6">
        <v>8</v>
      </c>
      <c r="E6">
        <v>8</v>
      </c>
      <c r="F6" s="30">
        <v>4.6412037037037038E-3</v>
      </c>
      <c r="G6" s="30">
        <v>3.4722222222222224E-4</v>
      </c>
      <c r="K6" t="s">
        <v>99</v>
      </c>
      <c r="L6">
        <v>1</v>
      </c>
      <c r="M6">
        <v>8</v>
      </c>
      <c r="N6">
        <v>8</v>
      </c>
      <c r="O6" s="30">
        <v>4.0601851851851854E-2</v>
      </c>
      <c r="P6" s="30">
        <v>3.37962962962963E-3</v>
      </c>
    </row>
    <row r="7" spans="2:16">
      <c r="B7" t="s">
        <v>99</v>
      </c>
      <c r="C7">
        <v>2</v>
      </c>
      <c r="D7">
        <v>8</v>
      </c>
      <c r="E7">
        <v>16</v>
      </c>
      <c r="F7" s="30">
        <v>4.5486111111111109E-3</v>
      </c>
      <c r="G7" s="30">
        <v>4.0509259259259258E-4</v>
      </c>
      <c r="K7" t="s">
        <v>99</v>
      </c>
      <c r="L7">
        <v>2</v>
      </c>
      <c r="M7">
        <v>8</v>
      </c>
      <c r="N7">
        <v>16</v>
      </c>
      <c r="O7" s="30">
        <v>3.3252314814814811E-2</v>
      </c>
      <c r="P7" s="30">
        <v>3.483796296296296E-3</v>
      </c>
    </row>
    <row r="8" spans="2:16">
      <c r="B8" t="s">
        <v>99</v>
      </c>
      <c r="C8">
        <v>4</v>
      </c>
      <c r="D8">
        <v>8</v>
      </c>
      <c r="E8">
        <v>32</v>
      </c>
      <c r="F8" s="30">
        <v>4.6759259259259263E-3</v>
      </c>
      <c r="G8" s="30">
        <v>3.4722222222222224E-4</v>
      </c>
      <c r="K8" t="s">
        <v>99</v>
      </c>
      <c r="L8">
        <v>4</v>
      </c>
      <c r="M8">
        <v>8</v>
      </c>
      <c r="N8">
        <v>32</v>
      </c>
      <c r="O8" s="30">
        <v>3.4212962962962966E-2</v>
      </c>
      <c r="P8" s="30">
        <v>3.2291666666666666E-3</v>
      </c>
    </row>
    <row r="9" spans="2:16">
      <c r="B9" t="s">
        <v>99</v>
      </c>
      <c r="C9">
        <v>8</v>
      </c>
      <c r="D9">
        <v>8</v>
      </c>
      <c r="E9">
        <v>64</v>
      </c>
      <c r="F9" s="30">
        <v>4.7106481481481478E-3</v>
      </c>
      <c r="G9" s="30">
        <v>3.7037037037037035E-4</v>
      </c>
      <c r="K9" t="s">
        <v>99</v>
      </c>
      <c r="L9">
        <v>8</v>
      </c>
      <c r="M9">
        <v>8</v>
      </c>
      <c r="N9">
        <v>64</v>
      </c>
      <c r="O9" s="30">
        <v>4.4259259259259255E-2</v>
      </c>
      <c r="P9" s="30">
        <v>3.414351851851852E-3</v>
      </c>
    </row>
    <row r="14" spans="2:16">
      <c r="B14" t="s">
        <v>110</v>
      </c>
      <c r="K14" t="s">
        <v>111</v>
      </c>
    </row>
    <row r="17" spans="2:16">
      <c r="C17" t="s">
        <v>80</v>
      </c>
      <c r="D17" t="s">
        <v>100</v>
      </c>
      <c r="E17" t="s">
        <v>101</v>
      </c>
      <c r="F17" t="s">
        <v>108</v>
      </c>
      <c r="G17" t="s">
        <v>109</v>
      </c>
      <c r="L17" t="s">
        <v>80</v>
      </c>
      <c r="M17" t="s">
        <v>100</v>
      </c>
      <c r="N17" t="s">
        <v>101</v>
      </c>
      <c r="O17" t="s">
        <v>108</v>
      </c>
      <c r="P17" t="s">
        <v>109</v>
      </c>
    </row>
    <row r="18" spans="2:16">
      <c r="B18" t="s">
        <v>25</v>
      </c>
      <c r="C18">
        <v>1</v>
      </c>
      <c r="D18">
        <v>8</v>
      </c>
      <c r="E18">
        <v>8</v>
      </c>
      <c r="K18" t="s">
        <v>25</v>
      </c>
      <c r="L18">
        <v>1</v>
      </c>
      <c r="M18">
        <v>8</v>
      </c>
      <c r="N18">
        <v>8</v>
      </c>
    </row>
    <row r="19" spans="2:16">
      <c r="B19" t="s">
        <v>25</v>
      </c>
      <c r="C19">
        <v>2</v>
      </c>
      <c r="D19">
        <v>8</v>
      </c>
      <c r="E19">
        <v>16</v>
      </c>
      <c r="K19" t="s">
        <v>25</v>
      </c>
      <c r="L19">
        <v>2</v>
      </c>
      <c r="M19">
        <v>8</v>
      </c>
      <c r="N19">
        <v>16</v>
      </c>
    </row>
    <row r="20" spans="2:16">
      <c r="B20" t="s">
        <v>25</v>
      </c>
      <c r="C20">
        <v>4</v>
      </c>
      <c r="D20">
        <v>8</v>
      </c>
      <c r="E20">
        <v>32</v>
      </c>
      <c r="K20" t="s">
        <v>25</v>
      </c>
      <c r="L20">
        <v>4</v>
      </c>
      <c r="M20">
        <v>8</v>
      </c>
      <c r="N20">
        <v>32</v>
      </c>
    </row>
    <row r="21" spans="2:16">
      <c r="B21" t="s">
        <v>25</v>
      </c>
      <c r="C21">
        <v>8</v>
      </c>
      <c r="D21">
        <v>8</v>
      </c>
      <c r="E21">
        <v>64</v>
      </c>
      <c r="K21" t="s">
        <v>25</v>
      </c>
      <c r="L21">
        <v>8</v>
      </c>
      <c r="M21">
        <v>8</v>
      </c>
      <c r="N21">
        <v>64</v>
      </c>
    </row>
    <row r="27" spans="2:16">
      <c r="F27" s="28"/>
      <c r="G27" s="28"/>
      <c r="H27" s="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"/>
  <sheetViews>
    <sheetView zoomScale="85" zoomScaleNormal="85" workbookViewId="0">
      <selection activeCell="H7" sqref="H7"/>
    </sheetView>
  </sheetViews>
  <sheetFormatPr defaultRowHeight="15"/>
  <cols>
    <col min="2" max="2" width="25.85546875" customWidth="1"/>
    <col min="3" max="3" width="9.140625" customWidth="1"/>
    <col min="5" max="5" width="9.140625" customWidth="1"/>
    <col min="8" max="8" width="23.140625" bestFit="1" customWidth="1"/>
    <col min="10" max="11" width="9.140625" customWidth="1"/>
    <col min="14" max="14" width="31" bestFit="1" customWidth="1"/>
    <col min="16" max="17" width="9.140625" customWidth="1"/>
  </cols>
  <sheetData>
    <row r="3" spans="2:18">
      <c r="B3" s="32" t="s">
        <v>127</v>
      </c>
      <c r="C3" s="33">
        <v>8</v>
      </c>
      <c r="D3" s="33">
        <v>4</v>
      </c>
      <c r="E3" s="33">
        <v>2</v>
      </c>
      <c r="F3" s="33">
        <v>1</v>
      </c>
      <c r="H3" s="32" t="s">
        <v>128</v>
      </c>
      <c r="I3" s="33">
        <v>8</v>
      </c>
      <c r="J3" s="33">
        <v>4</v>
      </c>
      <c r="K3" s="33">
        <v>2</v>
      </c>
      <c r="L3" s="33">
        <v>1</v>
      </c>
      <c r="N3" s="32" t="s">
        <v>129</v>
      </c>
      <c r="O3" s="33">
        <v>8</v>
      </c>
      <c r="P3" s="33">
        <v>4</v>
      </c>
      <c r="Q3" s="33">
        <v>2</v>
      </c>
      <c r="R3" s="33">
        <v>1</v>
      </c>
    </row>
    <row r="4" spans="2:18">
      <c r="B4" s="31" t="s">
        <v>130</v>
      </c>
      <c r="C4" s="28">
        <v>4.6296296296296293E-4</v>
      </c>
      <c r="D4" s="28">
        <v>4.6296296296296293E-4</v>
      </c>
      <c r="E4" s="28">
        <v>5.3240740740740744E-4</v>
      </c>
      <c r="F4" s="28">
        <v>3.9467592592592592E-3</v>
      </c>
      <c r="H4" s="31" t="s">
        <v>132</v>
      </c>
      <c r="I4" s="30">
        <v>4.7106481481481478E-3</v>
      </c>
      <c r="J4" s="30">
        <v>4.6759259259259263E-3</v>
      </c>
      <c r="K4" s="30">
        <v>4.5486111111111109E-3</v>
      </c>
      <c r="L4" s="30">
        <v>4.6412037037037038E-3</v>
      </c>
      <c r="N4" s="31" t="s">
        <v>111</v>
      </c>
      <c r="O4" s="30">
        <v>3.414351851851852E-3</v>
      </c>
      <c r="P4" s="30">
        <v>3.2291666666666666E-3</v>
      </c>
      <c r="Q4" s="30">
        <v>3.483796296296296E-3</v>
      </c>
      <c r="R4" s="30">
        <v>3.37962962962963E-3</v>
      </c>
    </row>
    <row r="5" spans="2:18">
      <c r="B5" s="31" t="s">
        <v>122</v>
      </c>
      <c r="C5" s="28">
        <v>4.7453703703703704E-4</v>
      </c>
      <c r="D5" s="28">
        <v>4.7453703703703704E-4</v>
      </c>
      <c r="E5" s="28">
        <v>5.5555555555555556E-4</v>
      </c>
      <c r="F5" s="28">
        <v>4.7453703703703704E-4</v>
      </c>
      <c r="N5" s="31" t="s">
        <v>110</v>
      </c>
      <c r="O5" s="30">
        <v>3.7037037037037035E-4</v>
      </c>
      <c r="P5" s="30">
        <v>3.4722222222222224E-4</v>
      </c>
      <c r="Q5" s="30">
        <v>4.0509259259259258E-4</v>
      </c>
      <c r="R5" s="30">
        <v>3.4722222222222224E-4</v>
      </c>
    </row>
    <row r="6" spans="2:18">
      <c r="B6" s="31" t="s">
        <v>126</v>
      </c>
      <c r="C6" s="28">
        <v>1.5046296296296297E-4</v>
      </c>
      <c r="D6" s="28">
        <v>1.5046296296296297E-4</v>
      </c>
      <c r="E6" s="28">
        <v>2.3148148148148146E-4</v>
      </c>
      <c r="F6" s="28">
        <v>1.3888888888888889E-4</v>
      </c>
    </row>
    <row r="7" spans="2:18">
      <c r="B7" s="31" t="s">
        <v>124</v>
      </c>
      <c r="C7" s="28">
        <v>1.5833333333333335E-2</v>
      </c>
      <c r="D7" s="28">
        <v>1.0219907407407408E-2</v>
      </c>
      <c r="E7" s="28">
        <v>1.2592592592592593E-2</v>
      </c>
      <c r="F7" s="28">
        <v>1.7465277777777777E-2</v>
      </c>
    </row>
    <row r="8" spans="2:18">
      <c r="B8" s="31" t="s">
        <v>123</v>
      </c>
      <c r="C8" s="28">
        <v>2.7777777777777776E-2</v>
      </c>
      <c r="D8" s="28">
        <v>2.361111111111111E-2</v>
      </c>
      <c r="E8" s="28">
        <v>2.013888888888889E-2</v>
      </c>
      <c r="F8" s="28">
        <v>1.8749999999999999E-2</v>
      </c>
      <c r="K8" s="30"/>
      <c r="O8" s="30"/>
    </row>
    <row r="9" spans="2:18">
      <c r="B9" s="31" t="s">
        <v>125</v>
      </c>
      <c r="C9" s="28">
        <v>1.8750000000000001E-3</v>
      </c>
      <c r="D9" s="28">
        <v>2.488425925925926E-3</v>
      </c>
      <c r="E9" s="28">
        <v>2.0370370370370373E-3</v>
      </c>
      <c r="F9" s="28">
        <v>3.3680555555555551E-3</v>
      </c>
      <c r="K9" s="30"/>
      <c r="O9" s="30"/>
    </row>
    <row r="10" spans="2:18">
      <c r="K10" s="30"/>
      <c r="O10" s="30"/>
    </row>
    <row r="11" spans="2:18">
      <c r="K11" s="30"/>
      <c r="O11" s="3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Sheet2</vt:lpstr>
      <vt:lpstr>A2 1 core</vt:lpstr>
      <vt:lpstr>VeryLarge</vt:lpstr>
      <vt:lpstr>A8 with Infiniband</vt:lpstr>
      <vt:lpstr>HSR Cluster</vt:lpstr>
      <vt:lpstr>PETSc</vt:lpstr>
      <vt:lpstr>HPCG</vt:lpstr>
      <vt:lpstr>Deployment Time</vt:lpstr>
      <vt:lpstr>Deployment Time (breakdown)</vt:lpstr>
      <vt:lpstr>Costs</vt:lpstr>
      <vt:lpstr>'A8 with Infiniband'!output_A8</vt:lpstr>
      <vt:lpstr>'HSR Cluster'!output_cluster</vt:lpstr>
      <vt:lpstr>'A2 1 core'!output_small</vt:lpstr>
      <vt:lpstr>VeryLarge!output_verylarge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2015-01-22T15:40:03Z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