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9"/>
  </bookViews>
  <sheets>
    <sheet name="Sheet2" sheetId="1" state="visible" r:id="rId2"/>
    <sheet name="A2 1 core" sheetId="2" state="visible" r:id="rId3"/>
    <sheet name="VeryLarge" sheetId="3" state="visible" r:id="rId4"/>
    <sheet name="A8 with Infiniband" sheetId="4" state="visible" r:id="rId5"/>
    <sheet name="HSR Cluster" sheetId="5" state="visible" r:id="rId6"/>
    <sheet name="PETSc" sheetId="6" state="visible" r:id="rId7"/>
    <sheet name="HPCG" sheetId="7" state="visible" r:id="rId8"/>
    <sheet name="Deployment Time" sheetId="8" state="visible" r:id="rId9"/>
    <sheet name="Deployment Time (breakdown)" sheetId="9" state="visible" r:id="rId10"/>
    <sheet name="Costs" sheetId="10" state="visible" r:id="rId11"/>
  </sheets>
  <definedNames>
    <definedName function="false" hidden="false" localSheetId="1" name="output_small" vbProcedure="false">'A2 1 core'!$A$1:$V$8</definedName>
    <definedName function="false" hidden="false" localSheetId="2" name="output_verylarge" vbProcedure="false">VeryLarge!$A$1:$V$11</definedName>
    <definedName function="false" hidden="false" localSheetId="3" name="output_A8" vbProcedure="false">'A8 with Infiniband'!$A$1:$V$11</definedName>
    <definedName function="false" hidden="false" localSheetId="4" name="output_cluster" vbProcedure="false">'HSR Cluster'!$A$1:$V$8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<sst xmlns="http://schemas.openxmlformats.org/spreadsheetml/2006/main" count="742" uniqueCount="139">
  <si>
    <t>Explanation of the Columns</t>
  </si>
  <si>
    <t>machineSize</t>
  </si>
  <si>
    <t>Size / Type of Machine</t>
  </si>
  <si>
    <t>numNodes</t>
  </si>
  <si>
    <t>Number of Nodes</t>
  </si>
  <si>
    <t>numCores</t>
  </si>
  <si>
    <t>Number of Cores used per Node</t>
  </si>
  <si>
    <t>totNumCores</t>
  </si>
  <si>
    <t>Total Number of Cores (numNodes x numCores)</t>
  </si>
  <si>
    <t>totCost</t>
  </si>
  <si>
    <t>Total Cost per Hour of Deployment (cost per node * numNodes)</t>
  </si>
  <si>
    <t>mpiThroughput</t>
  </si>
  <si>
    <t>Average MPI Troughput between nodes in MegaBytes per Second (NOT MegaBITs) </t>
  </si>
  <si>
    <t>mpiThroughputDeviation</t>
  </si>
  <si>
    <t>Standard Deviation of all measured links</t>
  </si>
  <si>
    <t>mpiLatency</t>
  </si>
  <si>
    <t>Average MPI Latency for a message in ns</t>
  </si>
  <si>
    <t>mpiLatencyDeviation</t>
  </si>
  <si>
    <t>tStage1Ruepel</t>
  </si>
  <si>
    <t>Stage 1 duration for Matrix "ruepel" (stage 1 includes set-up of MPI environment and matrix loading)</t>
  </si>
  <si>
    <t>tMatLoadRuepel</t>
  </si>
  <si>
    <t>Duration of matrix loading for Matrix "ruepel" (sub-part of Stage 1)</t>
  </si>
  <si>
    <t>tKSPSolveRuepel</t>
  </si>
  <si>
    <t>Duration of solve for Matrix "ruepel" (does not solve until finished, but until a number of iterations are done)</t>
  </si>
  <si>
    <t>nIterationRuepel</t>
  </si>
  <si>
    <t>Number of iterations made, this can vary, as on large systems it is higher, in order to get a significant duration of execution</t>
  </si>
  <si>
    <t>tIterationRuepel</t>
  </si>
  <si>
    <t>Average duration of one iteration (tKSPSolve/nIteration) for Matrix "ruepel"</t>
  </si>
  <si>
    <t>mFlopsRuepel</t>
  </si>
  <si>
    <t>mFlops for solve phasis for Matrix "ruepel", as outputed by -log_summary of petsc</t>
  </si>
  <si>
    <t>tStage1Nordborg</t>
  </si>
  <si>
    <t>same data for matrix "nordborg"</t>
  </si>
  <si>
    <t>tMatLoadNordborg</t>
  </si>
  <si>
    <t>"</t>
  </si>
  <si>
    <t>tKSPSolveNordborg</t>
  </si>
  <si>
    <t>nIterationNordborg</t>
  </si>
  <si>
    <t>tIterationNordborg</t>
  </si>
  <si>
    <t>mFlopsNordborg</t>
  </si>
  <si>
    <t>winhpcgGFlops</t>
  </si>
  <si>
    <t>GFLOPs as measured by WINHPCG</t>
  </si>
  <si>
    <t>mpiThroughput [MB/sec.]</t>
  </si>
  <si>
    <t>mpiLatency [ns]</t>
  </si>
  <si>
    <t>small</t>
  </si>
  <si>
    <t>NA</t>
  </si>
  <si>
    <t>Average MPI Troughput between nodes in MegaBytes per Second  are much bigger for A8 nodes with Infiniband</t>
  </si>
  <si>
    <t>MPI Latency is much smaller between A8 nodes with Infiniband.</t>
  </si>
  <si>
    <t>Need a description of the small and veryLarge machine</t>
  </si>
  <si>
    <t>verylarge</t>
  </si>
  <si>
    <t>07-xtralarge</t>
  </si>
  <si>
    <t> </t>
  </si>
  <si>
    <t>A8</t>
  </si>
  <si>
    <t>Notes</t>
  </si>
  <si>
    <t>I don't think it makes sense to buy A8 machine and not use a max. number of cores</t>
  </si>
  <si>
    <t>cluster</t>
  </si>
  <si>
    <t>Tests to do:</t>
  </si>
  <si>
    <t>HSR CLUSTER</t>
  </si>
  <si>
    <t>Nodes</t>
  </si>
  <si>
    <t>Cores</t>
  </si>
  <si>
    <t>Old result</t>
  </si>
  <si>
    <t>ksp_max_it</t>
  </si>
  <si>
    <t>Does not converge</t>
  </si>
  <si>
    <t>Rupel Matrix</t>
  </si>
  <si>
    <t>converges</t>
  </si>
  <si>
    <t>Nordborg</t>
  </si>
  <si>
    <t>maybe we should max number of cores per node?</t>
  </si>
  <si>
    <t>cluster_petscsolveronly</t>
  </si>
  <si>
    <t>cluster_run02</t>
  </si>
  <si>
    <t>Verlarge</t>
  </si>
  <si>
    <t>GFLOPs</t>
  </si>
  <si>
    <t>HSR Cluster</t>
  </si>
  <si>
    <t>A2</t>
  </si>
  <si>
    <t># nodes</t>
  </si>
  <si>
    <t># cores</t>
  </si>
  <si>
    <t>Total</t>
  </si>
  <si>
    <t>veryLarge</t>
  </si>
  <si>
    <t>HSR</t>
  </si>
  <si>
    <t>GFlopsRuepel</t>
  </si>
  <si>
    <t>Gflop is equal to</t>
  </si>
  <si>
    <t>Mflops</t>
  </si>
  <si>
    <t>ruepel veryLarge</t>
  </si>
  <si>
    <t>nord veryLarge</t>
  </si>
  <si>
    <t>ExtraLarge</t>
  </si>
  <si>
    <t>VeryLarge</t>
  </si>
  <si>
    <t>SimplyHPC</t>
  </si>
  <si>
    <t>HPC Pack</t>
  </si>
  <si>
    <t>Deployment Time (HPC)</t>
  </si>
  <si>
    <t>Turn-down time (HPC)</t>
  </si>
  <si>
    <t>Deployment Time</t>
  </si>
  <si>
    <t>Turn-down time</t>
  </si>
  <si>
    <t>A4</t>
  </si>
  <si>
    <t>HPC Pack, A4 nodes</t>
  </si>
  <si>
    <t>SimplyHPC, A4 nodes</t>
  </si>
  <si>
    <t>Turndown time</t>
  </si>
  <si>
    <t>Create storage account</t>
  </si>
  <si>
    <t>Create cluster</t>
  </si>
  <si>
    <t>Create virtual network</t>
  </si>
  <si>
    <t>Create cloud service</t>
  </si>
  <si>
    <t>Create domain controller</t>
  </si>
  <si>
    <t>Create compute nodes</t>
  </si>
  <si>
    <t>Configure head node</t>
  </si>
  <si>
    <t>HPC Pack, A8 nodes</t>
  </si>
  <si>
    <t>Create VM for  domain controller</t>
  </si>
  <si>
    <t>Promote domain controller</t>
  </si>
  <si>
    <t>Preparing head node</t>
  </si>
  <si>
    <t>Configuring head node</t>
  </si>
  <si>
    <t>Create node templates</t>
  </si>
  <si>
    <t>Sum</t>
  </si>
  <si>
    <t>GFLOPs/$</t>
  </si>
  <si>
    <t>Cost per hour</t>
  </si>
  <si>
    <t>How the totCost was calculated for the HSR cluster?</t>
  </si>
  <si>
    <t># of nodes</t>
  </si>
  <si>
    <t># of cores</t>
  </si>
  <si>
    <t>Total cores</t>
  </si>
  <si>
    <t>Hours yearly</t>
  </si>
  <si>
    <t>Total core hours</t>
  </si>
  <si>
    <t>total number of core hours</t>
  </si>
  <si>
    <t>HPCG</t>
  </si>
  <si>
    <t>HSR (31%)</t>
  </si>
  <si>
    <t>HSR (50%)</t>
  </si>
  <si>
    <t>HSR (100%)</t>
  </si>
  <si>
    <t>years</t>
  </si>
  <si>
    <t>Price of the cluster</t>
  </si>
  <si>
    <t>Energy</t>
  </si>
  <si>
    <t>Assuming 180W per node, 24/7, and 0.28 Rp/kWh</t>
  </si>
  <si>
    <t>Source:  </t>
  </si>
  <si>
    <t>http://www.miniframe.com/tco-calculator.html</t>
  </si>
  <si>
    <t>Downtime</t>
  </si>
  <si>
    <t>Software</t>
  </si>
  <si>
    <t>Maitanance</t>
  </si>
  <si>
    <t>salary of system admin</t>
  </si>
  <si>
    <t>Amortization</t>
  </si>
  <si>
    <t>yearly</t>
  </si>
  <si>
    <t>Yearly</t>
  </si>
  <si>
    <t>core hour</t>
  </si>
  <si>
    <t>Utilization</t>
  </si>
  <si>
    <t>%</t>
  </si>
  <si>
    <t>Alternative calculation from</t>
  </si>
  <si>
    <t>Assumptions: hardware cost over 3 years: 7% of TCO</t>
  </si>
  <si>
    <t>Cost per core/h ($) = { Cluster price ($) * TCO factor for 1 year (100/7/3) } / { # cores * 365 * 24 * utilization (%) / 100 }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</si>
</sst>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E+00"/>
    <numFmt numFmtId="166" formatCode="DD/MM/YYYY"/>
    <numFmt numFmtId="167" formatCode="0.00"/>
    <numFmt numFmtId="168" formatCode="0%"/>
    <numFmt numFmtId="169" formatCode="H:MM:SS\ AM/PM"/>
    <numFmt numFmtId="170" formatCode="HH:MM:SS"/>
    <numFmt numFmtId="171" formatCode="H:MM:SS"/>
    <numFmt numFmtId="172" formatCode="0.0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</font>
    <font>
      <b val="true"/>
      <sz val="14"/>
      <color rgb="FF000000"/>
      <name val="Calibri"/>
      <family val="2"/>
    </font>
    <font>
      <b val="true"/>
      <sz val="12"/>
      <color rgb="FF000000"/>
      <name val="Calibri"/>
      <family val="2"/>
    </font>
    <font>
      <sz val="10"/>
      <color rgb="FF000000"/>
      <name val="Calibri"/>
      <family val="2"/>
    </font>
    <font>
      <sz val="9"/>
      <color rgb="FF595959"/>
      <name val="Calibri"/>
      <family val="2"/>
    </font>
    <font>
      <sz val="12"/>
      <color rgb="FF595959"/>
      <name val="Calibri"/>
      <family val="2"/>
    </font>
    <font>
      <sz val="10.5"/>
      <color rgb="FF595959"/>
      <name val="Calibri"/>
      <family val="2"/>
    </font>
    <font>
      <sz val="14"/>
      <color rgb="FF595959"/>
      <name val="Calibri"/>
      <family val="2"/>
    </font>
    <font>
      <sz val="11"/>
      <color rgb="FF3F3F76"/>
      <name val="Calibri"/>
      <family val="2"/>
      <charset val="1"/>
    </font>
    <font>
      <sz val="11"/>
      <color rgb="FF000000"/>
      <name val="Open Sans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C6EFCE"/>
        <bgColor rgb="FFDCE6F2"/>
      </patternFill>
    </fill>
    <fill>
      <patternFill patternType="solid">
        <fgColor rgb="FFFFC7CE"/>
        <bgColor rgb="FFFFCC99"/>
      </patternFill>
    </fill>
    <fill>
      <patternFill patternType="solid">
        <fgColor rgb="FFFFCC99"/>
        <bgColor rgb="FFFAC090"/>
      </patternFill>
    </fill>
    <fill>
      <patternFill patternType="solid">
        <fgColor rgb="FFEBF1DE"/>
        <bgColor rgb="FFFDEADA"/>
      </patternFill>
    </fill>
    <fill>
      <patternFill patternType="solid">
        <fgColor rgb="FFC3D69B"/>
        <bgColor rgb="FFD9D9D9"/>
      </patternFill>
    </fill>
    <fill>
      <patternFill patternType="solid">
        <fgColor rgb="FF95B3D7"/>
        <bgColor rgb="FF8EB4E3"/>
      </patternFill>
    </fill>
    <fill>
      <patternFill patternType="solid">
        <fgColor rgb="FFFAC090"/>
        <bgColor rgb="FFFFCC99"/>
      </patternFill>
    </fill>
    <fill>
      <patternFill patternType="solid">
        <fgColor rgb="FFDCE6F2"/>
        <bgColor rgb="FFD9D9D9"/>
      </patternFill>
    </fill>
    <fill>
      <patternFill patternType="solid">
        <fgColor rgb="FFFDEADA"/>
        <bgColor rgb="FFEBF1DE"/>
      </patternFill>
    </fill>
    <fill>
      <patternFill patternType="solid">
        <fgColor rgb="FF8EB4E3"/>
        <bgColor rgb="FF95B3D7"/>
      </patternFill>
    </fill>
    <fill>
      <patternFill patternType="solid">
        <fgColor rgb="FFD9D9D9"/>
        <bgColor rgb="FFDCE6F2"/>
      </patternFill>
    </fill>
    <fill>
      <patternFill patternType="solid">
        <fgColor rgb="FFFFFFFF"/>
        <bgColor rgb="FFEBF1DE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15" fillId="4" borderId="1" applyFont="true" applyBorder="tru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3" borderId="1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1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Good" xfId="20" builtinId="54" customBuiltin="true"/>
    <cellStyle name="Excel Built-in Bad" xfId="21" builtinId="54" customBuiltin="true"/>
    <cellStyle name="Excel Built-in Input" xfId="22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BBB59"/>
      <rgbColor rgb="FF800080"/>
      <rgbColor rgb="FF4F81BD"/>
      <rgbColor rgb="FFC3D69B"/>
      <rgbColor rgb="FF7F7F7F"/>
      <rgbColor rgb="FF95B3D7"/>
      <rgbColor rgb="FFBE4B48"/>
      <rgbColor rgb="FFEBF1DE"/>
      <rgbColor rgb="FFDCE6F2"/>
      <rgbColor rgb="FF660066"/>
      <rgbColor rgb="FFF79646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DEADA"/>
      <rgbColor rgb="FF8EB4E3"/>
      <rgbColor rgb="FFFFC7CE"/>
      <rgbColor rgb="FF8064A2"/>
      <rgbColor rgb="FFFFCC99"/>
      <rgbColor rgb="FF4A7EBB"/>
      <rgbColor rgb="FF4BACC6"/>
      <rgbColor rgb="FF98B855"/>
      <rgbColor rgb="FFFAC090"/>
      <rgbColor rgb="FFF59240"/>
      <rgbColor rgb="FFFF6600"/>
      <rgbColor rgb="FF7D5FA0"/>
      <rgbColor rgb="FF878787"/>
      <rgbColor rgb="FF003366"/>
      <rgbColor rgb="FF46AAC4"/>
      <rgbColor rgb="FF003300"/>
      <rgbColor rgb="FF333300"/>
      <rgbColor rgb="FF993300"/>
      <rgbColor rgb="FFC0504D"/>
      <rgbColor rgb="FF3F3F76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PETSc!$F$2</c:f>
              <c:strCache>
                <c:ptCount val="1"/>
                <c:pt idx="0">
                  <c:v>veryLarge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PETSc!$E$3:$E$9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PETSc!$F$3:$F$9</c:f>
              <c:numCache>
                <c:formatCode>General</c:formatCode>
                <c:ptCount val="7"/>
                <c:pt idx="0">
                  <c:v>0.295</c:v>
                </c:pt>
                <c:pt idx="1">
                  <c:v>0.557</c:v>
                </c:pt>
                <c:pt idx="2">
                  <c:v>0.96</c:v>
                </c:pt>
                <c:pt idx="3">
                  <c:v>1.462</c:v>
                </c:pt>
                <c:pt idx="4">
                  <c:v>2.917</c:v>
                </c:pt>
                <c:pt idx="5">
                  <c:v>5.029</c:v>
                </c:pt>
                <c:pt idx="6">
                  <c:v>6.988</c:v>
                </c:pt>
              </c:numCache>
            </c:numRef>
          </c:val>
        </c:ser>
        <c:ser>
          <c:idx val="1"/>
          <c:order val="1"/>
          <c:tx>
            <c:strRef>
              <c:f>PETSc!$M$2</c:f>
              <c:strCache>
                <c:ptCount val="1"/>
                <c:pt idx="0">
                  <c:v>A8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PETSc!$E$3:$E$9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PETSc!$M$3:$M$10</c:f>
              <c:numCache>
                <c:formatCode>General</c:formatCode>
                <c:ptCount val="8"/>
                <c:pt idx="0">
                  <c:v>1.036</c:v>
                </c:pt>
                <c:pt idx="1">
                  <c:v>1.966</c:v>
                </c:pt>
                <c:pt idx="2">
                  <c:v>3.506</c:v>
                </c:pt>
                <c:pt idx="3">
                  <c:v>5.137</c:v>
                </c:pt>
                <c:pt idx="4">
                  <c:v>11.171</c:v>
                </c:pt>
                <c:pt idx="5">
                  <c:v>22.332</c:v>
                </c:pt>
                <c:pt idx="6">
                  <c:v>37.04</c:v>
                </c:pt>
                <c:pt idx="7">
                  <c:v/>
                </c:pt>
              </c:numCache>
            </c:numRef>
          </c:val>
        </c:ser>
        <c:ser>
          <c:idx val="2"/>
          <c:order val="2"/>
          <c:tx>
            <c:strRef>
              <c:f>PETSc!$T$2</c:f>
              <c:strCache>
                <c:ptCount val="1"/>
                <c:pt idx="0">
                  <c:v>HSR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PETSc!$E$3:$E$9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PETSc!$T$3:$T$9</c:f>
              <c:numCache>
                <c:formatCode>General</c:formatCode>
                <c:ptCount val="7"/>
                <c:pt idx="0">
                  <c:v>0</c:v>
                </c:pt>
                <c:pt idx="1">
                  <c:v>1.129</c:v>
                </c:pt>
                <c:pt idx="2">
                  <c:v>0.719</c:v>
                </c:pt>
                <c:pt idx="3">
                  <c:v>1.952</c:v>
                </c:pt>
                <c:pt idx="4">
                  <c:v>0.636</c:v>
                </c:pt>
                <c:pt idx="5">
                  <c:v>0.638</c:v>
                </c:pt>
                <c:pt idx="6">
                  <c:v>0.569</c:v>
                </c:pt>
              </c:numCache>
            </c:numRef>
          </c:val>
        </c:ser>
        <c:ser>
          <c:idx val="3"/>
          <c:order val="3"/>
          <c:tx>
            <c:strRef>
              <c:f>PETSc!$B$33</c:f>
              <c:strCache>
                <c:ptCount val="1"/>
                <c:pt idx="0">
                  <c:v>ExtraLarge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PETSc!$E$3:$E$9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PETSc!$F$33:$F$39</c:f>
              <c:numCache>
                <c:formatCode>General</c:formatCode>
                <c:ptCount val="7"/>
                <c:pt idx="0">
                  <c:v>0.475</c:v>
                </c:pt>
                <c:pt idx="1">
                  <c:v>0.935</c:v>
                </c:pt>
                <c:pt idx="2">
                  <c:v>1.735</c:v>
                </c:pt>
                <c:pt idx="3">
                  <c:v>2.875</c:v>
                </c:pt>
                <c:pt idx="4">
                  <c:v>2.654</c:v>
                </c:pt>
                <c:pt idx="5">
                  <c:v>5.516</c:v>
                </c:pt>
                <c:pt idx="6">
                  <c:v>8.356</c:v>
                </c:pt>
              </c:numCache>
            </c:numRef>
          </c:val>
        </c:ser>
        <c:marker val="1"/>
        <c:axId val="60962661"/>
        <c:axId val="75708884"/>
      </c:lineChart>
      <c:catAx>
        <c:axId val="609626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Number of cores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5708884"/>
        <c:crosses val="autoZero"/>
        <c:auto val="1"/>
        <c:lblAlgn val="ctr"/>
        <c:lblOffset val="100"/>
      </c:catAx>
      <c:valAx>
        <c:axId val="757088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GFLOPs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0962661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PETSc!$G$2</c:f>
              <c:strCache>
                <c:ptCount val="1"/>
                <c:pt idx="0">
                  <c:v>veryLarge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PETSc!$E$3:$E$9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PETSc!$G$3:$G$9</c:f>
              <c:numCache>
                <c:formatCode>General</c:formatCode>
                <c:ptCount val="7"/>
                <c:pt idx="0">
                  <c:v>0.308</c:v>
                </c:pt>
                <c:pt idx="1">
                  <c:v>0.617</c:v>
                </c:pt>
                <c:pt idx="2">
                  <c:v>1.052</c:v>
                </c:pt>
                <c:pt idx="3">
                  <c:v>1.685</c:v>
                </c:pt>
                <c:pt idx="4">
                  <c:v>3.032</c:v>
                </c:pt>
                <c:pt idx="5">
                  <c:v>1.685</c:v>
                </c:pt>
                <c:pt idx="6">
                  <c:v>3.813</c:v>
                </c:pt>
              </c:numCache>
            </c:numRef>
          </c:val>
        </c:ser>
        <c:ser>
          <c:idx val="1"/>
          <c:order val="1"/>
          <c:tx>
            <c:strRef>
              <c:f>PETSc!$N$2</c:f>
              <c:strCache>
                <c:ptCount val="1"/>
                <c:pt idx="0">
                  <c:v>A8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PETSc!$E$3:$E$9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PETSc!$N$3:$N$10</c:f>
              <c:numCache>
                <c:formatCode>General</c:formatCode>
                <c:ptCount val="8"/>
                <c:pt idx="0">
                  <c:v>1.089</c:v>
                </c:pt>
                <c:pt idx="1">
                  <c:v>2.131</c:v>
                </c:pt>
                <c:pt idx="2">
                  <c:v>3.999</c:v>
                </c:pt>
                <c:pt idx="3">
                  <c:v>6.17</c:v>
                </c:pt>
                <c:pt idx="4">
                  <c:v>11.886</c:v>
                </c:pt>
                <c:pt idx="5">
                  <c:v>21.768</c:v>
                </c:pt>
                <c:pt idx="6">
                  <c:v>27.006</c:v>
                </c:pt>
                <c:pt idx="7">
                  <c:v/>
                </c:pt>
              </c:numCache>
            </c:numRef>
          </c:val>
        </c:ser>
        <c:ser>
          <c:idx val="2"/>
          <c:order val="2"/>
          <c:tx>
            <c:strRef>
              <c:f>PETSc!$U$2</c:f>
              <c:strCache>
                <c:ptCount val="1"/>
                <c:pt idx="0">
                  <c:v>HSR</c:v>
                </c:pt>
              </c:strCache>
            </c:strRef>
          </c:tx>
          <c:spPr>
            <a:solidFill>
              <a:srgbClr val="f59240"/>
            </a:solidFill>
            <a:ln w="28440">
              <a:solidFill>
                <a:srgbClr val="f59240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PETSc!$E$3:$E$9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PETSc!$U$3:$U$9</c:f>
              <c:numCache>
                <c:formatCode>General</c:formatCode>
                <c:ptCount val="7"/>
                <c:pt idx="0">
                  <c:v>0</c:v>
                </c:pt>
                <c:pt idx="1">
                  <c:v>0.68</c:v>
                </c:pt>
                <c:pt idx="2">
                  <c:v>0.609</c:v>
                </c:pt>
                <c:pt idx="3">
                  <c:v>1.719</c:v>
                </c:pt>
                <c:pt idx="4">
                  <c:v>0.296</c:v>
                </c:pt>
                <c:pt idx="5">
                  <c:v>0.269</c:v>
                </c:pt>
                <c:pt idx="6">
                  <c:v>0.217</c:v>
                </c:pt>
              </c:numCache>
            </c:numRef>
          </c:val>
        </c:ser>
        <c:ser>
          <c:idx val="3"/>
          <c:order val="3"/>
          <c:tx>
            <c:strRef>
              <c:f>PETSc!$B$33</c:f>
              <c:strCache>
                <c:ptCount val="1"/>
                <c:pt idx="0">
                  <c:v>ExtraLarge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PETSc!$E$3:$E$9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PETSc!$G$33:$G$39</c:f>
              <c:numCache>
                <c:formatCode>General</c:formatCode>
                <c:ptCount val="7"/>
                <c:pt idx="0">
                  <c:v>0.342</c:v>
                </c:pt>
                <c:pt idx="1">
                  <c:v>0.613</c:v>
                </c:pt>
                <c:pt idx="2">
                  <c:v>1.058</c:v>
                </c:pt>
                <c:pt idx="3">
                  <c:v>1.426</c:v>
                </c:pt>
                <c:pt idx="4">
                  <c:v>2.344</c:v>
                </c:pt>
                <c:pt idx="5">
                  <c:v>2.941</c:v>
                </c:pt>
                <c:pt idx="6">
                  <c:v>5.723</c:v>
                </c:pt>
              </c:numCache>
            </c:numRef>
          </c:val>
        </c:ser>
        <c:marker val="1"/>
        <c:axId val="10745096"/>
        <c:axId val="5463928"/>
      </c:lineChart>
      <c:catAx>
        <c:axId val="10745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Number cores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463928"/>
        <c:crosses val="autoZero"/>
        <c:auto val="1"/>
        <c:lblAlgn val="ctr"/>
        <c:lblOffset val="100"/>
      </c:catAx>
      <c:valAx>
        <c:axId val="54639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GFLOPs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745096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HPCG!$E$2</c:f>
              <c:strCache>
                <c:ptCount val="1"/>
                <c:pt idx="0">
                  <c:v>A8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HPCG!$D$3:$D$9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HPCG!$E$3:$E$9</c:f>
              <c:numCache>
                <c:formatCode>General</c:formatCode>
                <c:ptCount val="7"/>
                <c:pt idx="0">
                  <c:v>0.761287</c:v>
                </c:pt>
                <c:pt idx="1">
                  <c:v>1.39091</c:v>
                </c:pt>
                <c:pt idx="2">
                  <c:v>2.43654</c:v>
                </c:pt>
                <c:pt idx="3">
                  <c:v>3.61416</c:v>
                </c:pt>
                <c:pt idx="4">
                  <c:v>6.91212</c:v>
                </c:pt>
                <c:pt idx="5">
                  <c:v>14.2245</c:v>
                </c:pt>
                <c:pt idx="6">
                  <c:v>27.429</c:v>
                </c:pt>
              </c:numCache>
            </c:numRef>
          </c:val>
        </c:ser>
        <c:ser>
          <c:idx val="1"/>
          <c:order val="1"/>
          <c:tx>
            <c:strRef>
              <c:f>HPCG!$K$2</c:f>
              <c:strCache>
                <c:ptCount val="1"/>
                <c:pt idx="0">
                  <c:v>VeryLarge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HPCG!$D$3:$D$9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HPCG!$K$3:$K$9</c:f>
              <c:numCache>
                <c:formatCode>General</c:formatCode>
                <c:ptCount val="7"/>
                <c:pt idx="0">
                  <c:v>0.20673</c:v>
                </c:pt>
                <c:pt idx="1">
                  <c:v>0.396832</c:v>
                </c:pt>
                <c:pt idx="2">
                  <c:v>0.673309</c:v>
                </c:pt>
                <c:pt idx="3">
                  <c:v>1.0551</c:v>
                </c:pt>
                <c:pt idx="4">
                  <c:v>1.81086</c:v>
                </c:pt>
                <c:pt idx="5">
                  <c:v>3.2231</c:v>
                </c:pt>
                <c:pt idx="6">
                  <c:v>5.45165</c:v>
                </c:pt>
              </c:numCache>
            </c:numRef>
          </c:val>
        </c:ser>
        <c:ser>
          <c:idx val="2"/>
          <c:order val="2"/>
          <c:tx>
            <c:strRef>
              <c:f>HPCG!$Q$2</c:f>
              <c:strCache>
                <c:ptCount val="1"/>
                <c:pt idx="0">
                  <c:v>HSR Cluster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HPCG!$D$3:$D$9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HPCG!$Q$3:$Q$9</c:f>
              <c:numCache>
                <c:formatCode>General</c:formatCode>
                <c:ptCount val="7"/>
                <c:pt idx="0">
                  <c:v>0.569746</c:v>
                </c:pt>
                <c:pt idx="1">
                  <c:v>1.0184</c:v>
                </c:pt>
                <c:pt idx="2">
                  <c:v>1.63595</c:v>
                </c:pt>
                <c:pt idx="3">
                  <c:v>2.4076</c:v>
                </c:pt>
                <c:pt idx="4">
                  <c:v>3.38933</c:v>
                </c:pt>
                <c:pt idx="5">
                  <c:v>5.58457</c:v>
                </c:pt>
                <c:pt idx="6">
                  <c:v>10.6447</c:v>
                </c:pt>
              </c:numCache>
            </c:numRef>
          </c:val>
        </c:ser>
        <c:marker val="1"/>
        <c:axId val="78452873"/>
        <c:axId val="67762349"/>
      </c:lineChart>
      <c:catAx>
        <c:axId val="784528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200">
                    <a:solidFill>
                      <a:srgbClr val="000000"/>
                    </a:solidFill>
                    <a:latin typeface="Calibri"/>
                  </a:rPr>
                  <a:t>Number of cores 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7762349"/>
        <c:crosses val="autoZero"/>
        <c:auto val="1"/>
        <c:lblAlgn val="ctr"/>
        <c:lblOffset val="100"/>
      </c:catAx>
      <c:valAx>
        <c:axId val="6776234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200">
                    <a:solidFill>
                      <a:srgbClr val="000000"/>
                    </a:solidFill>
                    <a:latin typeface="Calibri"/>
                  </a:rPr>
                  <a:t>GFLOPs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8452873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'Deployment Time'!$F$5</c:f>
              <c:strCache>
                <c:ptCount val="1"/>
                <c:pt idx="0">
                  <c:v>Deployment Time (HPC)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'Deployment Time'!$F$6:$F$9</c:f>
              <c:numCache>
                <c:formatCode>General</c:formatCode>
                <c:ptCount val="4"/>
                <c:pt idx="0">
                  <c:v>0.0046412037037037</c:v>
                </c:pt>
                <c:pt idx="1">
                  <c:v>0.00454861111111111</c:v>
                </c:pt>
                <c:pt idx="2">
                  <c:v>0.00467592592592593</c:v>
                </c:pt>
                <c:pt idx="3">
                  <c:v>0.00471064814814815</c:v>
                </c:pt>
              </c:numCache>
            </c:numRef>
          </c:val>
        </c:ser>
        <c:ser>
          <c:idx val="1"/>
          <c:order val="1"/>
          <c:tx>
            <c:strRef>
              <c:f>'Deployment Time'!$G$5</c:f>
              <c:strCache>
                <c:ptCount val="1"/>
                <c:pt idx="0">
                  <c:v>Turn-down time (HPC)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'Deployment Time'!$G$6:$G$9</c:f>
              <c:numCache>
                <c:formatCode>General</c:formatCode>
                <c:ptCount val="4"/>
                <c:pt idx="0">
                  <c:v>0.000347222222222222</c:v>
                </c:pt>
                <c:pt idx="1">
                  <c:v>0.000405092592592593</c:v>
                </c:pt>
                <c:pt idx="2">
                  <c:v>0.000347222222222222</c:v>
                </c:pt>
                <c:pt idx="3">
                  <c:v>0.00037037037037037</c:v>
                </c:pt>
              </c:numCache>
            </c:numRef>
          </c:val>
        </c:ser>
        <c:ser>
          <c:idx val="2"/>
          <c:order val="2"/>
          <c:tx>
            <c:strRef>
              <c:f>'Deployment Time'!$O$5</c:f>
              <c:strCache>
                <c:ptCount val="1"/>
                <c:pt idx="0">
                  <c:v>Deployment Time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'Deployment Time'!$O$6:$O$9</c:f>
              <c:numCache>
                <c:formatCode>General</c:formatCode>
                <c:ptCount val="4"/>
                <c:pt idx="0">
                  <c:v>0.0406018518518519</c:v>
                </c:pt>
                <c:pt idx="1">
                  <c:v>0.0332523148148148</c:v>
                </c:pt>
                <c:pt idx="2">
                  <c:v>0.034212962962963</c:v>
                </c:pt>
                <c:pt idx="3">
                  <c:v>0.0442592592592593</c:v>
                </c:pt>
              </c:numCache>
            </c:numRef>
          </c:val>
        </c:ser>
        <c:ser>
          <c:idx val="3"/>
          <c:order val="3"/>
          <c:tx>
            <c:strRef>
              <c:f>'Deployment Time'!$P$5</c:f>
              <c:strCache>
                <c:ptCount val="1"/>
                <c:pt idx="0">
                  <c:v>Turn-down time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'Deployment Time'!$P$6:$P$9</c:f>
              <c:numCache>
                <c:formatCode>General</c:formatCode>
                <c:ptCount val="4"/>
                <c:pt idx="0">
                  <c:v>0.00337962962962963</c:v>
                </c:pt>
                <c:pt idx="1">
                  <c:v>0.0034837962962963</c:v>
                </c:pt>
                <c:pt idx="2">
                  <c:v>0.00322916666666667</c:v>
                </c:pt>
                <c:pt idx="3">
                  <c:v>0.00341435185185185</c:v>
                </c:pt>
              </c:numCache>
            </c:numRef>
          </c:val>
        </c:ser>
        <c:ser>
          <c:idx val="4"/>
          <c:order val="4"/>
          <c:spPr>
            <a:solidFill>
              <a:srgbClr val="ffffff"/>
            </a:solidFill>
            <a:ln w="28440">
              <a:solidFill>
                <a:srgbClr val="ffffff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78793070"/>
        <c:axId val="61324749"/>
      </c:lineChart>
      <c:catAx>
        <c:axId val="7879307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1324749"/>
        <c:crosses val="autoZero"/>
        <c:auto val="1"/>
        <c:lblAlgn val="ctr"/>
        <c:lblOffset val="100"/>
      </c:catAx>
      <c:valAx>
        <c:axId val="6132474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8793070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'Deployment Time (breakdown)'!$B$4</c:f>
              <c:strCache>
                <c:ptCount val="1"/>
                <c:pt idx="0">
                  <c:v>Create storage account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cat>
            <c:strRef>
              <c:f>'Deployment Time (breakdown)'!$C$3:$F$3</c:f>
              <c:strCach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strCache>
            </c:strRef>
          </c:cat>
          <c:val>
            <c:numRef>
              <c:f>'Deployment Time (breakdown)'!$C$4:$F$4</c:f>
              <c:numCache>
                <c:formatCode>General</c:formatCode>
                <c:ptCount val="4"/>
                <c:pt idx="0">
                  <c:v>0.000462962962962963</c:v>
                </c:pt>
                <c:pt idx="1">
                  <c:v>0.000462962962962963</c:v>
                </c:pt>
                <c:pt idx="2">
                  <c:v>0.000532407407407407</c:v>
                </c:pt>
                <c:pt idx="3">
                  <c:v>0.00394675925925926</c:v>
                </c:pt>
              </c:numCache>
            </c:numRef>
          </c:val>
        </c:ser>
        <c:ser>
          <c:idx val="1"/>
          <c:order val="1"/>
          <c:tx>
            <c:strRef>
              <c:f>'Deployment Time (breakdown)'!$B$5</c:f>
              <c:strCache>
                <c:ptCount val="1"/>
                <c:pt idx="0">
                  <c:v>Create virtual network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cat>
            <c:strRef>
              <c:f>'Deployment Time (breakdown)'!$C$3:$F$3</c:f>
              <c:strCach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strCache>
            </c:strRef>
          </c:cat>
          <c:val>
            <c:numRef>
              <c:f>'Deployment Time (breakdown)'!$C$5:$F$5</c:f>
              <c:numCache>
                <c:formatCode>General</c:formatCode>
                <c:ptCount val="4"/>
                <c:pt idx="0">
                  <c:v>0.000474537037037037</c:v>
                </c:pt>
                <c:pt idx="1">
                  <c:v>0.000474537037037037</c:v>
                </c:pt>
                <c:pt idx="2">
                  <c:v>0.000555555555555556</c:v>
                </c:pt>
                <c:pt idx="3">
                  <c:v>0.000474537037037037</c:v>
                </c:pt>
              </c:numCache>
            </c:numRef>
          </c:val>
        </c:ser>
        <c:ser>
          <c:idx val="2"/>
          <c:order val="2"/>
          <c:tx>
            <c:strRef>
              <c:f>'Deployment Time (breakdown)'!$B$6</c:f>
              <c:strCache>
                <c:ptCount val="1"/>
                <c:pt idx="0">
                  <c:v>Create cloud service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cat>
            <c:strRef>
              <c:f>'Deployment Time (breakdown)'!$C$3:$F$3</c:f>
              <c:strCach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strCache>
            </c:strRef>
          </c:cat>
          <c:val>
            <c:numRef>
              <c:f>'Deployment Time (breakdown)'!$C$6:$F$6</c:f>
              <c:numCache>
                <c:formatCode>General</c:formatCode>
                <c:ptCount val="4"/>
                <c:pt idx="0">
                  <c:v>0.000150462962962963</c:v>
                </c:pt>
                <c:pt idx="1">
                  <c:v>0.000150462962962963</c:v>
                </c:pt>
                <c:pt idx="2">
                  <c:v>0.000231481481481481</c:v>
                </c:pt>
                <c:pt idx="3">
                  <c:v>0.000138888888888889</c:v>
                </c:pt>
              </c:numCache>
            </c:numRef>
          </c:val>
        </c:ser>
        <c:ser>
          <c:idx val="3"/>
          <c:order val="3"/>
          <c:tx>
            <c:strRef>
              <c:f>'Deployment Time (breakdown)'!$B$7</c:f>
              <c:strCache>
                <c:ptCount val="1"/>
                <c:pt idx="0">
                  <c:v>Create domain controller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cat>
            <c:strRef>
              <c:f>'Deployment Time (breakdown)'!$C$3:$F$3</c:f>
              <c:strCach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strCache>
            </c:strRef>
          </c:cat>
          <c:val>
            <c:numRef>
              <c:f>'Deployment Time (breakdown)'!$C$7:$F$7</c:f>
              <c:numCache>
                <c:formatCode>General</c:formatCode>
                <c:ptCount val="4"/>
                <c:pt idx="0">
                  <c:v>0.0158333333333333</c:v>
                </c:pt>
                <c:pt idx="1">
                  <c:v>0.0102199074074074</c:v>
                </c:pt>
                <c:pt idx="2">
                  <c:v>0.0125925925925926</c:v>
                </c:pt>
                <c:pt idx="3">
                  <c:v>0.0174652777777778</c:v>
                </c:pt>
              </c:numCache>
            </c:numRef>
          </c:val>
        </c:ser>
        <c:ser>
          <c:idx val="4"/>
          <c:order val="4"/>
          <c:tx>
            <c:strRef>
              <c:f>'Deployment Time (breakdown)'!$B$8</c:f>
              <c:strCache>
                <c:ptCount val="1"/>
                <c:pt idx="0">
                  <c:v>Create compute nodes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cat>
            <c:strRef>
              <c:f>'Deployment Time (breakdown)'!$C$3:$F$3</c:f>
              <c:strCach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strCache>
            </c:strRef>
          </c:cat>
          <c:val>
            <c:numRef>
              <c:f>'Deployment Time (breakdown)'!$C$8:$F$8</c:f>
              <c:numCache>
                <c:formatCode>General</c:formatCode>
                <c:ptCount val="4"/>
                <c:pt idx="0">
                  <c:v>0.0277777777777778</c:v>
                </c:pt>
                <c:pt idx="1">
                  <c:v>0.0236111111111111</c:v>
                </c:pt>
                <c:pt idx="2">
                  <c:v>0.0201388888888889</c:v>
                </c:pt>
                <c:pt idx="3">
                  <c:v>0.01875</c:v>
                </c:pt>
              </c:numCache>
            </c:numRef>
          </c:val>
        </c:ser>
        <c:ser>
          <c:idx val="5"/>
          <c:order val="5"/>
          <c:tx>
            <c:strRef>
              <c:f>'Deployment Time (breakdown)'!$B$9</c:f>
              <c:strCache>
                <c:ptCount val="1"/>
                <c:pt idx="0">
                  <c:v>Configure head node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</c:spPr>
          <c:cat>
            <c:strRef>
              <c:f>'Deployment Time (breakdown)'!$C$3:$F$3</c:f>
              <c:strCach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strCache>
            </c:strRef>
          </c:cat>
          <c:val>
            <c:numRef>
              <c:f>'Deployment Time (breakdown)'!$C$9:$F$9</c:f>
              <c:numCache>
                <c:formatCode>General</c:formatCode>
                <c:ptCount val="4"/>
                <c:pt idx="0">
                  <c:v>0.001875</c:v>
                </c:pt>
                <c:pt idx="1">
                  <c:v>0.00248842592592593</c:v>
                </c:pt>
                <c:pt idx="2">
                  <c:v>0.00203703703703704</c:v>
                </c:pt>
                <c:pt idx="3">
                  <c:v>0.00336805555555555</c:v>
                </c:pt>
              </c:numCache>
            </c:numRef>
          </c:val>
        </c:ser>
        <c:gapWidth val="150"/>
        <c:overlap val="100"/>
        <c:axId val="83991168"/>
        <c:axId val="12876185"/>
      </c:barChart>
      <c:catAx>
        <c:axId val="8399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noFill/>
          </a:ln>
        </c:spPr>
        <c:crossAx val="12876185"/>
        <c:crosses val="autoZero"/>
        <c:auto val="1"/>
        <c:lblAlgn val="ctr"/>
        <c:lblOffset val="100"/>
      </c:catAx>
      <c:valAx>
        <c:axId val="128761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83991168"/>
        <c:crossesAt val="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'Deployment Time (breakdown)'!$H$4</c:f>
              <c:strCache>
                <c:ptCount val="1"/>
                <c:pt idx="0">
                  <c:v>Create cluster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cat>
            <c:strRef>
              <c:f>'Deployment Time (breakdown)'!$I$3:$L$3</c:f>
              <c:strCach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strCache>
            </c:strRef>
          </c:cat>
          <c:val>
            <c:numRef>
              <c:f>'Deployment Time (breakdown)'!$I$4:$L$4</c:f>
              <c:numCache>
                <c:formatCode>General</c:formatCode>
                <c:ptCount val="4"/>
                <c:pt idx="0">
                  <c:v>0.00471064814814815</c:v>
                </c:pt>
                <c:pt idx="1">
                  <c:v>0.00467592592592593</c:v>
                </c:pt>
                <c:pt idx="2">
                  <c:v>0.00454861111111111</c:v>
                </c:pt>
                <c:pt idx="3">
                  <c:v>0.0046412037037037</c:v>
                </c:pt>
              </c:numCache>
            </c:numRef>
          </c:val>
        </c:ser>
        <c:gapWidth val="75"/>
        <c:overlap val="100"/>
        <c:axId val="3675573"/>
        <c:axId val="63934329"/>
      </c:barChart>
      <c:catAx>
        <c:axId val="367557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3934329"/>
        <c:crosses val="autoZero"/>
        <c:auto val="1"/>
        <c:lblAlgn val="ctr"/>
        <c:lblOffset val="100"/>
      </c:catAx>
      <c:valAx>
        <c:axId val="63934329"/>
        <c:scaling>
          <c:orientation val="minMax"/>
          <c:max val="0.0047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3675573"/>
        <c:crossesAt val="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Turndown time</a:t>
            </a:r>
          </a:p>
        </c:rich>
      </c:tx>
      <c:layout/>
    </c:title>
    <c:view3D>
      <c:rotX val="16"/>
      <c:rotY val="19"/>
      <c:rAngAx val="1"/>
      <c:perspective val="30"/>
    </c:view3D>
    <c:floor>
      <c:spPr>
        <a:noFill/>
        <a:ln w="9360">
          <a:noFill/>
        </a:ln>
      </c:spPr>
    </c:floor>
    <c:backWall>
      <c:spPr>
        <a:noFill/>
        <a:ln w="9360">
          <a:noFill/>
        </a:ln>
      </c:spPr>
    </c:backWall>
    <c:plotArea>
      <c:layout/>
      <c:bar3DChart>
        <c:barDir val="col"/>
        <c:grouping val="clustered"/>
        <c:ser>
          <c:idx val="0"/>
          <c:order val="0"/>
          <c:tx>
            <c:strRef>
              <c:f>'Deployment Time (breakdown)'!$N$4</c:f>
              <c:strCache>
                <c:ptCount val="1"/>
                <c:pt idx="0">
                  <c:v>HPC Pack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cat>
            <c:strRef>
              <c:f>'Deployment Time (breakdown)'!$O$3:$R$3</c:f>
              <c:strCach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strCache>
            </c:strRef>
          </c:cat>
          <c:val>
            <c:numRef>
              <c:f>'Deployment Time (breakdown)'!$O$4:$R$4</c:f>
              <c:numCache>
                <c:formatCode>General</c:formatCode>
                <c:ptCount val="4"/>
                <c:pt idx="0">
                  <c:v>0.00341435185185185</c:v>
                </c:pt>
                <c:pt idx="1">
                  <c:v>0.00322916666666667</c:v>
                </c:pt>
                <c:pt idx="2">
                  <c:v>0.0034837962962963</c:v>
                </c:pt>
                <c:pt idx="3">
                  <c:v>0.00337962962962963</c:v>
                </c:pt>
              </c:numCache>
            </c:numRef>
          </c:val>
        </c:ser>
        <c:ser>
          <c:idx val="1"/>
          <c:order val="1"/>
          <c:tx>
            <c:strRef>
              <c:f>'Deployment Time (breakdown)'!$N$5</c:f>
              <c:strCache>
                <c:ptCount val="1"/>
                <c:pt idx="0">
                  <c:v>SimplyHPC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cat>
            <c:strRef>
              <c:f>'Deployment Time (breakdown)'!$O$3:$R$3</c:f>
              <c:strCach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strCache>
            </c:strRef>
          </c:cat>
          <c:val>
            <c:numRef>
              <c:f>'Deployment Time (breakdown)'!$O$5:$R$5</c:f>
              <c:numCache>
                <c:formatCode>General</c:formatCode>
                <c:ptCount val="4"/>
                <c:pt idx="0">
                  <c:v>0.00037037037037037</c:v>
                </c:pt>
                <c:pt idx="1">
                  <c:v>0.000347222222222222</c:v>
                </c:pt>
                <c:pt idx="2">
                  <c:v>0.000405092592592593</c:v>
                </c:pt>
                <c:pt idx="3">
                  <c:v>0.000347222222222222</c:v>
                </c:pt>
              </c:numCache>
            </c:numRef>
          </c:val>
        </c:ser>
        <c:gapWidth val="150"/>
        <c:shape val="box"/>
        <c:axId val="16537196"/>
        <c:axId val="31987049"/>
        <c:axId val="0"/>
      </c:bar3DChart>
      <c:catAx>
        <c:axId val="165371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noFill/>
          </a:ln>
        </c:spPr>
        <c:crossAx val="31987049"/>
        <c:crosses val="autoZero"/>
        <c:auto val="1"/>
        <c:lblAlgn val="ctr"/>
        <c:lblOffset val="100"/>
      </c:catAx>
      <c:valAx>
        <c:axId val="319870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16537196"/>
        <c:crossesAt val="0"/>
      </c:valAx>
      <c:spPr>
        <a:noFill/>
        <a:ln w="9360"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Costs!$R$3</c:f>
              <c:strCache>
                <c:ptCount val="1"/>
                <c:pt idx="0">
                  <c:v>A8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Costs!$O$4:$O$10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Costs!$R$4:$R$10</c:f>
              <c:numCache>
                <c:formatCode>General</c:formatCode>
                <c:ptCount val="7"/>
                <c:pt idx="0">
                  <c:v>3.12497126576442</c:v>
                </c:pt>
                <c:pt idx="1">
                  <c:v>1.71039103896011</c:v>
                </c:pt>
                <c:pt idx="2">
                  <c:v>0.97638454529784</c:v>
                </c:pt>
                <c:pt idx="3">
                  <c:v>0.65824423932532</c:v>
                </c:pt>
                <c:pt idx="4">
                  <c:v>0.688356104928734</c:v>
                </c:pt>
                <c:pt idx="5">
                  <c:v>0.668986607613624</c:v>
                </c:pt>
                <c:pt idx="6">
                  <c:v>0.693864158372525</c:v>
                </c:pt>
              </c:numCache>
            </c:numRef>
          </c:val>
        </c:ser>
        <c:ser>
          <c:idx val="1"/>
          <c:order val="1"/>
          <c:tx>
            <c:strRef>
              <c:f>Costs!$Z$3</c:f>
              <c:strCache>
                <c:ptCount val="1"/>
                <c:pt idx="0">
                  <c:v>VeryLarge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Costs!$O$4:$O$10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Costs!$Z$4:$Z$10</c:f>
              <c:numCache>
                <c:formatCode>General</c:formatCode>
                <c:ptCount val="7"/>
                <c:pt idx="0">
                  <c:v>3.38605911091762</c:v>
                </c:pt>
                <c:pt idx="1">
                  <c:v>1.76397064752843</c:v>
                </c:pt>
                <c:pt idx="2">
                  <c:v>1.0396415315999</c:v>
                </c:pt>
                <c:pt idx="3">
                  <c:v>0.66344422329637</c:v>
                </c:pt>
                <c:pt idx="4">
                  <c:v>0.773113327369316</c:v>
                </c:pt>
                <c:pt idx="5">
                  <c:v>0.86872886351649</c:v>
                </c:pt>
                <c:pt idx="6">
                  <c:v>1.02721194500747</c:v>
                </c:pt>
              </c:numCache>
            </c:numRef>
          </c:val>
        </c:ser>
        <c:ser>
          <c:idx val="2"/>
          <c:order val="2"/>
          <c:tx>
            <c:strRef>
              <c:f>Costs!$Z$12</c:f>
              <c:strCache>
                <c:ptCount val="1"/>
                <c:pt idx="0">
                  <c:v>HSR (31%)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Costs!$O$4:$O$10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Costs!$Z$13:$Z$19</c:f>
              <c:numCache>
                <c:formatCode>General</c:formatCode>
                <c:ptCount val="7"/>
                <c:pt idx="0">
                  <c:v>3.9754296505767</c:v>
                </c:pt>
                <c:pt idx="1">
                  <c:v>4.44812478730846</c:v>
                </c:pt>
                <c:pt idx="2">
                  <c:v>5.53803023734826</c:v>
                </c:pt>
                <c:pt idx="3">
                  <c:v>7.52611776606569</c:v>
                </c:pt>
                <c:pt idx="4">
                  <c:v>10.6923085881751</c:v>
                </c:pt>
                <c:pt idx="5">
                  <c:v>12.9785327311358</c:v>
                </c:pt>
                <c:pt idx="6">
                  <c:v>13.6179553269362</c:v>
                </c:pt>
              </c:numCache>
            </c:numRef>
          </c:val>
        </c:ser>
        <c:ser>
          <c:idx val="3"/>
          <c:order val="3"/>
          <c:tx>
            <c:strRef>
              <c:f>Costs!$AB$12</c:f>
              <c:strCache>
                <c:ptCount val="1"/>
                <c:pt idx="0">
                  <c:v>HSR (50%)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Costs!$O$4:$O$10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Costs!$AB$13:$AB$19</c:f>
              <c:numCache>
                <c:formatCode>General</c:formatCode>
                <c:ptCount val="7"/>
                <c:pt idx="0">
                  <c:v>2.48464353161043</c:v>
                </c:pt>
                <c:pt idx="1">
                  <c:v>2.78007799206779</c:v>
                </c:pt>
                <c:pt idx="2">
                  <c:v>3.46126889834266</c:v>
                </c:pt>
                <c:pt idx="3">
                  <c:v>4.70382360379106</c:v>
                </c:pt>
                <c:pt idx="4">
                  <c:v>6.68269286760944</c:v>
                </c:pt>
                <c:pt idx="5">
                  <c:v>8.11158295695987</c:v>
                </c:pt>
                <c:pt idx="6">
                  <c:v>8.51122207933514</c:v>
                </c:pt>
              </c:numCache>
            </c:numRef>
          </c:val>
        </c:ser>
        <c:ser>
          <c:idx val="4"/>
          <c:order val="4"/>
          <c:tx>
            <c:strRef>
              <c:f>Costs!$AD$12</c:f>
              <c:strCache>
                <c:ptCount val="1"/>
                <c:pt idx="0">
                  <c:v>HSR (100%)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Costs!$O$4:$O$10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Costs!$AD$13:$AD$19</c:f>
              <c:numCache>
                <c:formatCode>General</c:formatCode>
                <c:ptCount val="7"/>
                <c:pt idx="0">
                  <c:v>1.24232176580522</c:v>
                </c:pt>
                <c:pt idx="1">
                  <c:v>1.3900389960339</c:v>
                </c:pt>
                <c:pt idx="2">
                  <c:v>1.73063444917133</c:v>
                </c:pt>
                <c:pt idx="3">
                  <c:v>2.35191180189553</c:v>
                </c:pt>
                <c:pt idx="4">
                  <c:v>3.34134643380472</c:v>
                </c:pt>
                <c:pt idx="5">
                  <c:v>4.05579147847994</c:v>
                </c:pt>
                <c:pt idx="6">
                  <c:v>4.25561103966757</c:v>
                </c:pt>
              </c:numCache>
            </c:numRef>
          </c:val>
        </c:ser>
        <c:marker val="1"/>
        <c:axId val="69084590"/>
        <c:axId val="31431071"/>
      </c:lineChart>
      <c:catAx>
        <c:axId val="690845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Number of cores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1431071"/>
        <c:crosses val="autoZero"/>
        <c:auto val="1"/>
        <c:lblAlgn val="ctr"/>
        <c:lblOffset val="100"/>
      </c:catAx>
      <c:valAx>
        <c:axId val="3143107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200">
                    <a:solidFill>
                      <a:srgbClr val="000000"/>
                    </a:solidFill>
                    <a:latin typeface="Calibri"/>
                  </a:rPr>
                  <a:t>$ per  1 GFLOP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084590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312840</xdr:colOff>
      <xdr:row>14</xdr:row>
      <xdr:rowOff>86400</xdr:rowOff>
    </xdr:from>
    <xdr:to>
      <xdr:col>12</xdr:col>
      <xdr:colOff>226800</xdr:colOff>
      <xdr:row>29</xdr:row>
      <xdr:rowOff>28800</xdr:rowOff>
    </xdr:to>
    <xdr:graphicFrame>
      <xdr:nvGraphicFramePr>
        <xdr:cNvPr id="0" name="Chart 1"/>
        <xdr:cNvGraphicFramePr/>
      </xdr:nvGraphicFramePr>
      <xdr:xfrm>
        <a:off x="3363120" y="2646720"/>
        <a:ext cx="6546600" cy="268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522360</xdr:colOff>
      <xdr:row>14</xdr:row>
      <xdr:rowOff>67320</xdr:rowOff>
    </xdr:from>
    <xdr:to>
      <xdr:col>21</xdr:col>
      <xdr:colOff>179280</xdr:colOff>
      <xdr:row>29</xdr:row>
      <xdr:rowOff>9720</xdr:rowOff>
    </xdr:to>
    <xdr:graphicFrame>
      <xdr:nvGraphicFramePr>
        <xdr:cNvPr id="1" name="Chart 4"/>
        <xdr:cNvGraphicFramePr/>
      </xdr:nvGraphicFramePr>
      <xdr:xfrm>
        <a:off x="10205280" y="2627640"/>
        <a:ext cx="6520680" cy="268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227160</xdr:colOff>
      <xdr:row>13</xdr:row>
      <xdr:rowOff>62280</xdr:rowOff>
    </xdr:from>
    <xdr:to>
      <xdr:col>10</xdr:col>
      <xdr:colOff>531720</xdr:colOff>
      <xdr:row>27</xdr:row>
      <xdr:rowOff>138240</xdr:rowOff>
    </xdr:to>
    <xdr:graphicFrame>
      <xdr:nvGraphicFramePr>
        <xdr:cNvPr id="2" name="Chart 1"/>
        <xdr:cNvGraphicFramePr/>
      </xdr:nvGraphicFramePr>
      <xdr:xfrm>
        <a:off x="2514960" y="2439720"/>
        <a:ext cx="5643000" cy="263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74520</xdr:colOff>
      <xdr:row>22</xdr:row>
      <xdr:rowOff>10080</xdr:rowOff>
    </xdr:from>
    <xdr:to>
      <xdr:col>11</xdr:col>
      <xdr:colOff>379080</xdr:colOff>
      <xdr:row>36</xdr:row>
      <xdr:rowOff>86040</xdr:rowOff>
    </xdr:to>
    <xdr:graphicFrame>
      <xdr:nvGraphicFramePr>
        <xdr:cNvPr id="3" name="Chart 3"/>
        <xdr:cNvGraphicFramePr/>
      </xdr:nvGraphicFramePr>
      <xdr:xfrm>
        <a:off x="3124800" y="4033440"/>
        <a:ext cx="5868360" cy="263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636480</xdr:colOff>
      <xdr:row>12</xdr:row>
      <xdr:rowOff>181440</xdr:rowOff>
    </xdr:from>
    <xdr:to>
      <xdr:col>7</xdr:col>
      <xdr:colOff>321840</xdr:colOff>
      <xdr:row>29</xdr:row>
      <xdr:rowOff>182880</xdr:rowOff>
    </xdr:to>
    <xdr:graphicFrame>
      <xdr:nvGraphicFramePr>
        <xdr:cNvPr id="4" name="Chart 2"/>
        <xdr:cNvGraphicFramePr/>
      </xdr:nvGraphicFramePr>
      <xdr:xfrm>
        <a:off x="636480" y="2376000"/>
        <a:ext cx="6747120" cy="311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388800</xdr:colOff>
      <xdr:row>12</xdr:row>
      <xdr:rowOff>173880</xdr:rowOff>
    </xdr:from>
    <xdr:to>
      <xdr:col>13</xdr:col>
      <xdr:colOff>731520</xdr:colOff>
      <xdr:row>29</xdr:row>
      <xdr:rowOff>173520</xdr:rowOff>
    </xdr:to>
    <xdr:graphicFrame>
      <xdr:nvGraphicFramePr>
        <xdr:cNvPr id="5" name="Chart 3"/>
        <xdr:cNvGraphicFramePr/>
      </xdr:nvGraphicFramePr>
      <xdr:xfrm>
        <a:off x="7450560" y="2368440"/>
        <a:ext cx="5959800" cy="310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779400</xdr:colOff>
      <xdr:row>13</xdr:row>
      <xdr:rowOff>360</xdr:rowOff>
    </xdr:from>
    <xdr:to>
      <xdr:col>19</xdr:col>
      <xdr:colOff>597960</xdr:colOff>
      <xdr:row>29</xdr:row>
      <xdr:rowOff>162000</xdr:rowOff>
    </xdr:to>
    <xdr:graphicFrame>
      <xdr:nvGraphicFramePr>
        <xdr:cNvPr id="6" name="Chart 4"/>
        <xdr:cNvGraphicFramePr/>
      </xdr:nvGraphicFramePr>
      <xdr:xfrm>
        <a:off x="13458240" y="2377800"/>
        <a:ext cx="6483600" cy="308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27000</xdr:colOff>
      <xdr:row>15</xdr:row>
      <xdr:rowOff>105480</xdr:rowOff>
    </xdr:from>
    <xdr:to>
      <xdr:col>19</xdr:col>
      <xdr:colOff>93240</xdr:colOff>
      <xdr:row>29</xdr:row>
      <xdr:rowOff>173880</xdr:rowOff>
    </xdr:to>
    <xdr:graphicFrame>
      <xdr:nvGraphicFramePr>
        <xdr:cNvPr id="7" name="Chart 1"/>
        <xdr:cNvGraphicFramePr/>
      </xdr:nvGraphicFramePr>
      <xdr:xfrm>
        <a:off x="8526960" y="2848680"/>
        <a:ext cx="7016760" cy="262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2" activeCellId="0" sqref="A32"/>
    </sheetView>
  </sheetViews>
  <sheetFormatPr defaultRowHeight="14.4"/>
  <cols>
    <col collapsed="false" hidden="false" max="1" min="1" style="0" width="31.8866396761134"/>
    <col collapsed="false" hidden="false" max="1025" min="2" style="0" width="8.5748987854251"/>
  </cols>
  <sheetData>
    <row r="1" customFormat="false" ht="14.4" hidden="false" customHeight="false" outlineLevel="0" collapsed="false">
      <c r="A1" s="0" t="s">
        <v>0</v>
      </c>
    </row>
    <row r="2" customFormat="false" ht="14.4" hidden="false" customHeight="false" outlineLevel="0" collapsed="false">
      <c r="A2" s="0" t="s">
        <v>1</v>
      </c>
      <c r="B2" s="0" t="s">
        <v>2</v>
      </c>
    </row>
    <row r="3" customFormat="false" ht="14.4" hidden="false" customHeight="false" outlineLevel="0" collapsed="false">
      <c r="A3" s="0" t="s">
        <v>3</v>
      </c>
      <c r="B3" s="0" t="s">
        <v>4</v>
      </c>
    </row>
    <row r="4" customFormat="false" ht="14.4" hidden="false" customHeight="false" outlineLevel="0" collapsed="false">
      <c r="A4" s="0" t="s">
        <v>5</v>
      </c>
      <c r="B4" s="0" t="s">
        <v>6</v>
      </c>
    </row>
    <row r="5" customFormat="false" ht="14.4" hidden="false" customHeight="false" outlineLevel="0" collapsed="false">
      <c r="A5" s="0" t="s">
        <v>7</v>
      </c>
      <c r="B5" s="0" t="s">
        <v>8</v>
      </c>
    </row>
    <row r="6" customFormat="false" ht="14.4" hidden="false" customHeight="false" outlineLevel="0" collapsed="false">
      <c r="A6" s="0" t="s">
        <v>9</v>
      </c>
      <c r="B6" s="0" t="s">
        <v>10</v>
      </c>
    </row>
    <row r="7" customFormat="false" ht="14.4" hidden="false" customHeight="false" outlineLevel="0" collapsed="false">
      <c r="A7" s="0" t="s">
        <v>11</v>
      </c>
      <c r="B7" s="0" t="s">
        <v>12</v>
      </c>
    </row>
    <row r="8" customFormat="false" ht="14.4" hidden="false" customHeight="false" outlineLevel="0" collapsed="false">
      <c r="A8" s="0" t="s">
        <v>13</v>
      </c>
      <c r="B8" s="0" t="s">
        <v>14</v>
      </c>
    </row>
    <row r="9" customFormat="false" ht="14.4" hidden="false" customHeight="false" outlineLevel="0" collapsed="false">
      <c r="A9" s="0" t="s">
        <v>15</v>
      </c>
      <c r="B9" s="0" t="s">
        <v>16</v>
      </c>
    </row>
    <row r="10" customFormat="false" ht="14.4" hidden="false" customHeight="false" outlineLevel="0" collapsed="false">
      <c r="A10" s="0" t="s">
        <v>17</v>
      </c>
      <c r="B10" s="0" t="s">
        <v>14</v>
      </c>
    </row>
    <row r="11" customFormat="false" ht="14.4" hidden="false" customHeight="false" outlineLevel="0" collapsed="false">
      <c r="A11" s="0" t="s">
        <v>18</v>
      </c>
      <c r="B11" s="0" t="s">
        <v>19</v>
      </c>
    </row>
    <row r="12" customFormat="false" ht="14.4" hidden="false" customHeight="false" outlineLevel="0" collapsed="false">
      <c r="A12" s="0" t="s">
        <v>20</v>
      </c>
      <c r="B12" s="0" t="s">
        <v>21</v>
      </c>
    </row>
    <row r="13" customFormat="false" ht="14.4" hidden="false" customHeight="false" outlineLevel="0" collapsed="false">
      <c r="A13" s="0" t="s">
        <v>22</v>
      </c>
      <c r="B13" s="0" t="s">
        <v>23</v>
      </c>
    </row>
    <row r="14" customFormat="false" ht="14.4" hidden="false" customHeight="false" outlineLevel="0" collapsed="false">
      <c r="A14" s="0" t="s">
        <v>24</v>
      </c>
      <c r="B14" s="0" t="s">
        <v>25</v>
      </c>
    </row>
    <row r="15" customFormat="false" ht="14.4" hidden="false" customHeight="false" outlineLevel="0" collapsed="false">
      <c r="A15" s="0" t="s">
        <v>26</v>
      </c>
      <c r="B15" s="0" t="s">
        <v>27</v>
      </c>
    </row>
    <row r="16" customFormat="false" ht="14.4" hidden="false" customHeight="false" outlineLevel="0" collapsed="false">
      <c r="A16" s="0" t="s">
        <v>28</v>
      </c>
      <c r="B16" s="0" t="s">
        <v>29</v>
      </c>
    </row>
    <row r="17" customFormat="false" ht="14.4" hidden="false" customHeight="false" outlineLevel="0" collapsed="false">
      <c r="A17" s="0" t="s">
        <v>30</v>
      </c>
      <c r="B17" s="0" t="s">
        <v>31</v>
      </c>
    </row>
    <row r="18" customFormat="false" ht="14.4" hidden="false" customHeight="false" outlineLevel="0" collapsed="false">
      <c r="A18" s="0" t="s">
        <v>32</v>
      </c>
      <c r="B18" s="0" t="s">
        <v>33</v>
      </c>
    </row>
    <row r="19" customFormat="false" ht="14.4" hidden="false" customHeight="false" outlineLevel="0" collapsed="false">
      <c r="A19" s="0" t="s">
        <v>34</v>
      </c>
      <c r="B19" s="0" t="s">
        <v>33</v>
      </c>
    </row>
    <row r="20" customFormat="false" ht="14.4" hidden="false" customHeight="false" outlineLevel="0" collapsed="false">
      <c r="A20" s="0" t="s">
        <v>35</v>
      </c>
      <c r="B20" s="0" t="s">
        <v>33</v>
      </c>
    </row>
    <row r="21" customFormat="false" ht="14.4" hidden="false" customHeight="false" outlineLevel="0" collapsed="false">
      <c r="A21" s="0" t="s">
        <v>36</v>
      </c>
      <c r="B21" s="0" t="s">
        <v>33</v>
      </c>
    </row>
    <row r="22" customFormat="false" ht="14.4" hidden="false" customHeight="false" outlineLevel="0" collapsed="false">
      <c r="A22" s="0" t="s">
        <v>37</v>
      </c>
      <c r="B22" s="0" t="s">
        <v>33</v>
      </c>
    </row>
    <row r="23" customFormat="false" ht="14.4" hidden="false" customHeight="false" outlineLevel="0" collapsed="false">
      <c r="A23" s="1" t="s">
        <v>38</v>
      </c>
      <c r="B23" s="0" t="s">
        <v>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D4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C13" activeCellId="0" sqref="AC13"/>
    </sheetView>
  </sheetViews>
  <sheetFormatPr defaultRowHeight="14.4"/>
  <cols>
    <col collapsed="false" hidden="false" max="2" min="1" style="0" width="8.5748987854251"/>
    <col collapsed="false" hidden="false" max="4" min="3" style="0" width="10.5546558704453"/>
    <col collapsed="false" hidden="false" max="11" min="5" style="0" width="9.55465587044534"/>
    <col collapsed="false" hidden="false" max="1025" min="12" style="0" width="8.5748987854251"/>
  </cols>
  <sheetData>
    <row r="2" customFormat="false" ht="14.4" hidden="false" customHeight="false" outlineLevel="0" collapsed="false">
      <c r="L2" s="0" t="s">
        <v>107</v>
      </c>
    </row>
    <row r="3" customFormat="false" ht="14.4" hidden="false" customHeight="false" outlineLevel="0" collapsed="false">
      <c r="L3" s="0" t="s">
        <v>1</v>
      </c>
      <c r="M3" s="0" t="s">
        <v>3</v>
      </c>
      <c r="N3" s="0" t="s">
        <v>5</v>
      </c>
      <c r="O3" s="0" t="s">
        <v>7</v>
      </c>
      <c r="P3" s="0" t="s">
        <v>50</v>
      </c>
      <c r="Q3" s="0" t="s">
        <v>9</v>
      </c>
      <c r="R3" s="0" t="s">
        <v>50</v>
      </c>
      <c r="T3" s="0" t="s">
        <v>1</v>
      </c>
      <c r="U3" s="0" t="s">
        <v>3</v>
      </c>
      <c r="V3" s="0" t="s">
        <v>5</v>
      </c>
      <c r="W3" s="0" t="s">
        <v>7</v>
      </c>
      <c r="X3" s="0" t="s">
        <v>82</v>
      </c>
      <c r="Y3" s="0" t="s">
        <v>108</v>
      </c>
      <c r="Z3" s="0" t="s">
        <v>82</v>
      </c>
    </row>
    <row r="4" customFormat="false" ht="14.4" hidden="false" customHeight="false" outlineLevel="0" collapsed="false">
      <c r="A4" s="0" t="s">
        <v>109</v>
      </c>
      <c r="L4" s="0" t="s">
        <v>50</v>
      </c>
      <c r="M4" s="0" t="n">
        <v>1</v>
      </c>
      <c r="N4" s="0" t="n">
        <v>1</v>
      </c>
      <c r="O4" s="0" t="n">
        <v>1</v>
      </c>
      <c r="P4" s="0" t="n">
        <v>0.761287</v>
      </c>
      <c r="Q4" s="0" t="n">
        <v>2.379</v>
      </c>
      <c r="R4" s="0" t="n">
        <f aca="false">Q4/P4</f>
        <v>3.12497126576442</v>
      </c>
      <c r="T4" s="0" t="s">
        <v>47</v>
      </c>
      <c r="U4" s="0" t="n">
        <v>1</v>
      </c>
      <c r="V4" s="0" t="n">
        <v>1</v>
      </c>
      <c r="W4" s="0" t="n">
        <v>1</v>
      </c>
      <c r="X4" s="0" t="n">
        <v>0.20673</v>
      </c>
      <c r="Y4" s="0" t="n">
        <v>0.7</v>
      </c>
      <c r="Z4" s="0" t="n">
        <f aca="false">Y4/X4</f>
        <v>3.38605911091762</v>
      </c>
    </row>
    <row r="5" customFormat="false" ht="14.4" hidden="false" customHeight="false" outlineLevel="0" collapsed="false">
      <c r="L5" s="0" t="s">
        <v>50</v>
      </c>
      <c r="M5" s="0" t="n">
        <v>1</v>
      </c>
      <c r="N5" s="0" t="n">
        <v>2</v>
      </c>
      <c r="O5" s="0" t="n">
        <v>2</v>
      </c>
      <c r="P5" s="0" t="n">
        <v>1.39091</v>
      </c>
      <c r="Q5" s="0" t="n">
        <v>2.379</v>
      </c>
      <c r="R5" s="0" t="n">
        <f aca="false">Q5/P5</f>
        <v>1.71039103896011</v>
      </c>
      <c r="T5" s="0" t="s">
        <v>47</v>
      </c>
      <c r="U5" s="0" t="n">
        <v>1</v>
      </c>
      <c r="V5" s="0" t="n">
        <v>2</v>
      </c>
      <c r="W5" s="0" t="n">
        <v>2</v>
      </c>
      <c r="X5" s="0" t="n">
        <v>0.396832</v>
      </c>
      <c r="Y5" s="0" t="n">
        <v>0.7</v>
      </c>
      <c r="Z5" s="0" t="n">
        <f aca="false">Y5/X5</f>
        <v>1.76397064752843</v>
      </c>
    </row>
    <row r="6" customFormat="false" ht="14.4" hidden="false" customHeight="false" outlineLevel="0" collapsed="false">
      <c r="A6" s="0" t="s">
        <v>110</v>
      </c>
      <c r="B6" s="0" t="s">
        <v>111</v>
      </c>
      <c r="C6" s="0" t="s">
        <v>112</v>
      </c>
      <c r="D6" s="0" t="s">
        <v>113</v>
      </c>
      <c r="E6" s="0" t="s">
        <v>114</v>
      </c>
      <c r="L6" s="0" t="s">
        <v>50</v>
      </c>
      <c r="M6" s="0" t="n">
        <v>1</v>
      </c>
      <c r="N6" s="0" t="n">
        <v>4</v>
      </c>
      <c r="O6" s="0" t="n">
        <v>4</v>
      </c>
      <c r="P6" s="0" t="n">
        <v>2.43654</v>
      </c>
      <c r="Q6" s="0" t="n">
        <v>2.379</v>
      </c>
      <c r="R6" s="0" t="n">
        <f aca="false">Q6/P6</f>
        <v>0.97638454529784</v>
      </c>
      <c r="T6" s="0" t="s">
        <v>47</v>
      </c>
      <c r="U6" s="0" t="n">
        <v>1</v>
      </c>
      <c r="V6" s="0" t="n">
        <v>4</v>
      </c>
      <c r="W6" s="0" t="n">
        <v>4</v>
      </c>
      <c r="X6" s="0" t="n">
        <v>0.673309</v>
      </c>
      <c r="Y6" s="0" t="n">
        <v>0.7</v>
      </c>
      <c r="Z6" s="0" t="n">
        <f aca="false">Y6/X6</f>
        <v>1.0396415315999</v>
      </c>
    </row>
    <row r="7" customFormat="false" ht="14.4" hidden="false" customHeight="false" outlineLevel="0" collapsed="false">
      <c r="A7" s="27" t="n">
        <v>32</v>
      </c>
      <c r="B7" s="27" t="n">
        <v>12</v>
      </c>
      <c r="C7" s="9" t="n">
        <f aca="false">B7*A7</f>
        <v>384</v>
      </c>
      <c r="D7" s="9" t="n">
        <f aca="false">24*365</f>
        <v>8760</v>
      </c>
      <c r="E7" s="0" t="n">
        <f aca="false">D7*C7</f>
        <v>3363840</v>
      </c>
      <c r="F7" s="0" t="s">
        <v>115</v>
      </c>
      <c r="L7" s="9" t="s">
        <v>50</v>
      </c>
      <c r="M7" s="9" t="n">
        <v>1</v>
      </c>
      <c r="N7" s="9" t="n">
        <v>8</v>
      </c>
      <c r="O7" s="9" t="n">
        <v>8</v>
      </c>
      <c r="P7" s="0" t="n">
        <v>3.61416</v>
      </c>
      <c r="Q7" s="0" t="n">
        <v>2.379</v>
      </c>
      <c r="R7" s="0" t="n">
        <f aca="false">Q7/P7</f>
        <v>0.65824423932532</v>
      </c>
      <c r="T7" s="0" t="s">
        <v>47</v>
      </c>
      <c r="U7" s="0" t="n">
        <v>1</v>
      </c>
      <c r="V7" s="0" t="n">
        <v>8</v>
      </c>
      <c r="W7" s="0" t="n">
        <v>8</v>
      </c>
      <c r="X7" s="0" t="n">
        <v>1.0551</v>
      </c>
      <c r="Y7" s="0" t="n">
        <v>0.7</v>
      </c>
      <c r="Z7" s="0" t="n">
        <f aca="false">Y7/X7</f>
        <v>0.66344422329637</v>
      </c>
    </row>
    <row r="8" customFormat="false" ht="14.4" hidden="false" customHeight="false" outlineLevel="0" collapsed="false">
      <c r="L8" s="13" t="s">
        <v>50</v>
      </c>
      <c r="M8" s="13" t="n">
        <v>2</v>
      </c>
      <c r="N8" s="13" t="n">
        <v>8</v>
      </c>
      <c r="O8" s="13" t="n">
        <v>16</v>
      </c>
      <c r="P8" s="0" t="n">
        <v>6.91212</v>
      </c>
      <c r="Q8" s="0" t="n">
        <f aca="false">2*Q5</f>
        <v>4.758</v>
      </c>
      <c r="R8" s="0" t="n">
        <f aca="false">Q8/P8</f>
        <v>0.688356104928734</v>
      </c>
      <c r="T8" s="0" t="s">
        <v>47</v>
      </c>
      <c r="U8" s="0" t="n">
        <v>2</v>
      </c>
      <c r="V8" s="0" t="n">
        <v>8</v>
      </c>
      <c r="W8" s="0" t="n">
        <v>16</v>
      </c>
      <c r="X8" s="0" t="n">
        <v>1.81086</v>
      </c>
      <c r="Y8" s="0" t="n">
        <v>1.4</v>
      </c>
      <c r="Z8" s="0" t="n">
        <f aca="false">Y8/X8</f>
        <v>0.773113327369316</v>
      </c>
    </row>
    <row r="9" customFormat="false" ht="14.4" hidden="false" customHeight="false" outlineLevel="0" collapsed="false">
      <c r="D9" s="28"/>
      <c r="L9" s="13" t="s">
        <v>50</v>
      </c>
      <c r="M9" s="13" t="n">
        <v>4</v>
      </c>
      <c r="N9" s="13" t="n">
        <v>8</v>
      </c>
      <c r="O9" s="13" t="n">
        <v>32</v>
      </c>
      <c r="P9" s="0" t="n">
        <v>14.2245</v>
      </c>
      <c r="Q9" s="0" t="n">
        <f aca="false">M9*Q5</f>
        <v>9.516</v>
      </c>
      <c r="R9" s="0" t="n">
        <f aca="false">Q9/P9</f>
        <v>0.668986607613624</v>
      </c>
      <c r="T9" s="0" t="s">
        <v>47</v>
      </c>
      <c r="U9" s="0" t="n">
        <v>4</v>
      </c>
      <c r="V9" s="0" t="n">
        <v>8</v>
      </c>
      <c r="W9" s="0" t="n">
        <v>32</v>
      </c>
      <c r="X9" s="0" t="n">
        <v>3.2231</v>
      </c>
      <c r="Y9" s="0" t="n">
        <v>2.8</v>
      </c>
      <c r="Z9" s="0" t="n">
        <f aca="false">Y9/X9</f>
        <v>0.86872886351649</v>
      </c>
    </row>
    <row r="10" customFormat="false" ht="14.4" hidden="false" customHeight="false" outlineLevel="0" collapsed="false">
      <c r="D10" s="21"/>
      <c r="L10" s="13" t="s">
        <v>50</v>
      </c>
      <c r="M10" s="13" t="n">
        <v>8</v>
      </c>
      <c r="N10" s="13" t="n">
        <v>8</v>
      </c>
      <c r="O10" s="13" t="n">
        <v>64</v>
      </c>
      <c r="P10" s="0" t="n">
        <v>27.429</v>
      </c>
      <c r="Q10" s="0" t="n">
        <f aca="false">M10*Q5</f>
        <v>19.032</v>
      </c>
      <c r="R10" s="0" t="n">
        <f aca="false">Q10/P10</f>
        <v>0.693864158372525</v>
      </c>
      <c r="T10" s="0" t="s">
        <v>47</v>
      </c>
      <c r="U10" s="0" t="n">
        <v>8</v>
      </c>
      <c r="V10" s="0" t="n">
        <v>8</v>
      </c>
      <c r="W10" s="0" t="n">
        <v>64</v>
      </c>
      <c r="X10" s="0" t="n">
        <v>5.45165</v>
      </c>
      <c r="Y10" s="0" t="n">
        <v>5.6</v>
      </c>
      <c r="Z10" s="0" t="n">
        <f aca="false">Y10/X10</f>
        <v>1.02721194500747</v>
      </c>
    </row>
    <row r="11" customFormat="false" ht="14.4" hidden="false" customHeight="false" outlineLevel="0" collapsed="false">
      <c r="D11" s="21"/>
    </row>
    <row r="12" customFormat="false" ht="14.4" hidden="false" customHeight="false" outlineLevel="0" collapsed="false">
      <c r="U12" s="0" t="s">
        <v>71</v>
      </c>
      <c r="V12" s="0" t="s">
        <v>72</v>
      </c>
      <c r="W12" s="0" t="s">
        <v>73</v>
      </c>
      <c r="X12" s="0" t="s">
        <v>116</v>
      </c>
      <c r="Y12" s="0" t="s">
        <v>9</v>
      </c>
      <c r="Z12" s="0" t="s">
        <v>117</v>
      </c>
      <c r="AA12" s="0" t="s">
        <v>9</v>
      </c>
      <c r="AB12" s="0" t="s">
        <v>118</v>
      </c>
      <c r="AC12" s="0" t="s">
        <v>9</v>
      </c>
      <c r="AD12" s="0" t="s">
        <v>119</v>
      </c>
    </row>
    <row r="13" customFormat="false" ht="14.4" hidden="false" customHeight="false" outlineLevel="0" collapsed="false">
      <c r="D13" s="0" t="n">
        <v>3</v>
      </c>
      <c r="E13" s="0" t="s">
        <v>120</v>
      </c>
      <c r="T13" s="0" t="s">
        <v>53</v>
      </c>
      <c r="U13" s="0" t="n">
        <v>1</v>
      </c>
      <c r="V13" s="0" t="n">
        <v>1</v>
      </c>
      <c r="W13" s="0" t="n">
        <f aca="false">U13*V13</f>
        <v>1</v>
      </c>
      <c r="X13" s="0" t="n">
        <v>0.569746</v>
      </c>
      <c r="Y13" s="19" t="n">
        <f aca="false">G49</f>
        <v>2.26498514169747</v>
      </c>
      <c r="Z13" s="0" t="n">
        <f aca="false">Y13/X13</f>
        <v>3.9754296505767</v>
      </c>
      <c r="AA13" s="19" t="n">
        <f aca="false">I49</f>
        <v>1.41561571356092</v>
      </c>
      <c r="AB13" s="0" t="n">
        <f aca="false">AA13/X13</f>
        <v>2.48464353161043</v>
      </c>
      <c r="AC13" s="19" t="n">
        <f aca="false">K49</f>
        <v>0.707807856780459</v>
      </c>
      <c r="AD13" s="0" t="n">
        <f aca="false">AC13/X13</f>
        <v>1.24232176580522</v>
      </c>
    </row>
    <row r="14" customFormat="false" ht="14.4" hidden="false" customHeight="false" outlineLevel="0" collapsed="false">
      <c r="A14" s="0" t="s">
        <v>121</v>
      </c>
      <c r="C14" s="29" t="n">
        <v>150000</v>
      </c>
      <c r="T14" s="0" t="s">
        <v>53</v>
      </c>
      <c r="U14" s="0" t="n">
        <v>1</v>
      </c>
      <c r="V14" s="0" t="n">
        <v>2</v>
      </c>
      <c r="W14" s="0" t="n">
        <f aca="false">U14*V14</f>
        <v>2</v>
      </c>
      <c r="X14" s="0" t="n">
        <v>1.0184</v>
      </c>
      <c r="Y14" s="19" t="n">
        <f aca="false">W14*$Y$13</f>
        <v>4.52997028339494</v>
      </c>
      <c r="Z14" s="0" t="n">
        <f aca="false">Y14/X14</f>
        <v>4.44812478730846</v>
      </c>
      <c r="AA14" s="19" t="n">
        <f aca="false">W14*$AA$13</f>
        <v>2.83123142712184</v>
      </c>
      <c r="AB14" s="0" t="n">
        <f aca="false">AA14/X14</f>
        <v>2.78007799206779</v>
      </c>
      <c r="AC14" s="19" t="n">
        <f aca="false">W14*$AC$13</f>
        <v>1.41561571356092</v>
      </c>
      <c r="AD14" s="0" t="n">
        <f aca="false">AC14/X14</f>
        <v>1.3900389960339</v>
      </c>
    </row>
    <row r="15" customFormat="false" ht="14.4" hidden="false" customHeight="false" outlineLevel="0" collapsed="false">
      <c r="A15" s="0" t="s">
        <v>122</v>
      </c>
      <c r="C15" s="29" t="n">
        <f aca="false">16400*D13</f>
        <v>49200</v>
      </c>
      <c r="E15" s="0" t="s">
        <v>123</v>
      </c>
      <c r="J15" s="0" t="s">
        <v>124</v>
      </c>
      <c r="K15" s="0" t="s">
        <v>125</v>
      </c>
      <c r="T15" s="0" t="s">
        <v>53</v>
      </c>
      <c r="U15" s="0" t="n">
        <v>1</v>
      </c>
      <c r="V15" s="0" t="n">
        <v>4</v>
      </c>
      <c r="W15" s="0" t="n">
        <f aca="false">U15*V15</f>
        <v>4</v>
      </c>
      <c r="X15" s="0" t="n">
        <v>1.63595</v>
      </c>
      <c r="Y15" s="19" t="n">
        <f aca="false">W15*$Y$13</f>
        <v>9.05994056678988</v>
      </c>
      <c r="Z15" s="0" t="n">
        <f aca="false">Y15/X15</f>
        <v>5.53803023734826</v>
      </c>
      <c r="AA15" s="19" t="n">
        <f aca="false">W15*$AA$13</f>
        <v>5.66246285424368</v>
      </c>
      <c r="AB15" s="0" t="n">
        <f aca="false">AA15/X15</f>
        <v>3.46126889834266</v>
      </c>
      <c r="AC15" s="19" t="n">
        <f aca="false">W15*$AC$13</f>
        <v>2.83123142712184</v>
      </c>
      <c r="AD15" s="0" t="n">
        <f aca="false">AC15/X15</f>
        <v>1.73063444917133</v>
      </c>
    </row>
    <row r="16" customFormat="false" ht="14.4" hidden="false" customHeight="false" outlineLevel="0" collapsed="false">
      <c r="A16" s="0" t="s">
        <v>126</v>
      </c>
      <c r="C16" s="29"/>
      <c r="T16" s="0" t="s">
        <v>53</v>
      </c>
      <c r="U16" s="0" t="n">
        <v>1</v>
      </c>
      <c r="V16" s="0" t="n">
        <v>8</v>
      </c>
      <c r="W16" s="0" t="n">
        <f aca="false">U16*V16</f>
        <v>8</v>
      </c>
      <c r="X16" s="0" t="n">
        <v>2.4076</v>
      </c>
      <c r="Y16" s="19" t="n">
        <f aca="false">W16*$Y$13</f>
        <v>18.1198811335798</v>
      </c>
      <c r="Z16" s="0" t="n">
        <f aca="false">Y16/X16</f>
        <v>7.52611776606569</v>
      </c>
      <c r="AA16" s="19" t="n">
        <f aca="false">W16*$AA$13</f>
        <v>11.3249257084874</v>
      </c>
      <c r="AB16" s="0" t="n">
        <f aca="false">AA16/X16</f>
        <v>4.70382360379106</v>
      </c>
      <c r="AC16" s="19" t="n">
        <f aca="false">W16*$AC$13</f>
        <v>5.66246285424368</v>
      </c>
      <c r="AD16" s="0" t="n">
        <f aca="false">AC16/X16</f>
        <v>2.35191180189553</v>
      </c>
    </row>
    <row r="17" customFormat="false" ht="14.4" hidden="false" customHeight="false" outlineLevel="0" collapsed="false">
      <c r="A17" s="0" t="s">
        <v>127</v>
      </c>
      <c r="C17" s="29"/>
      <c r="T17" s="0" t="s">
        <v>53</v>
      </c>
      <c r="U17" s="0" t="n">
        <v>2</v>
      </c>
      <c r="V17" s="0" t="n">
        <v>8</v>
      </c>
      <c r="W17" s="0" t="n">
        <f aca="false">U17*V17</f>
        <v>16</v>
      </c>
      <c r="X17" s="0" t="n">
        <v>3.38933</v>
      </c>
      <c r="Y17" s="19" t="n">
        <f aca="false">W17*$Y$13</f>
        <v>36.2397622671595</v>
      </c>
      <c r="Z17" s="0" t="n">
        <f aca="false">Y17/X17</f>
        <v>10.6923085881751</v>
      </c>
      <c r="AA17" s="19" t="n">
        <f aca="false">W17*$AA$13</f>
        <v>22.6498514169747</v>
      </c>
      <c r="AB17" s="0" t="n">
        <f aca="false">AA17/X17</f>
        <v>6.68269286760944</v>
      </c>
      <c r="AC17" s="19" t="n">
        <f aca="false">W17*$AC$13</f>
        <v>11.3249257084874</v>
      </c>
      <c r="AD17" s="0" t="n">
        <f aca="false">AC17/X17</f>
        <v>3.34134643380472</v>
      </c>
    </row>
    <row r="18" customFormat="false" ht="14.4" hidden="false" customHeight="false" outlineLevel="0" collapsed="false">
      <c r="A18" s="0" t="s">
        <v>128</v>
      </c>
      <c r="C18" s="0" t="n">
        <f aca="false">D18*D13</f>
        <v>270000</v>
      </c>
      <c r="D18" s="0" t="n">
        <v>90000</v>
      </c>
      <c r="E18" s="0" t="s">
        <v>129</v>
      </c>
      <c r="T18" s="0" t="s">
        <v>53</v>
      </c>
      <c r="U18" s="0" t="n">
        <v>4</v>
      </c>
      <c r="V18" s="0" t="n">
        <v>8</v>
      </c>
      <c r="W18" s="0" t="n">
        <f aca="false">U18*V18</f>
        <v>32</v>
      </c>
      <c r="X18" s="0" t="n">
        <v>5.58457</v>
      </c>
      <c r="Y18" s="19" t="n">
        <f aca="false">W18*$Y$13</f>
        <v>72.479524534319</v>
      </c>
      <c r="Z18" s="0" t="n">
        <f aca="false">Y18/X18</f>
        <v>12.9785327311358</v>
      </c>
      <c r="AA18" s="19" t="n">
        <f aca="false">W18*$AA$13</f>
        <v>45.2997028339494</v>
      </c>
      <c r="AB18" s="0" t="n">
        <f aca="false">AA18/X18</f>
        <v>8.11158295695987</v>
      </c>
      <c r="AC18" s="19" t="n">
        <f aca="false">W18*$AC$13</f>
        <v>22.6498514169747</v>
      </c>
      <c r="AD18" s="0" t="n">
        <f aca="false">AC18/X18</f>
        <v>4.05579147847994</v>
      </c>
    </row>
    <row r="19" customFormat="false" ht="14.4" hidden="false" customHeight="false" outlineLevel="0" collapsed="false">
      <c r="A19" s="0" t="s">
        <v>130</v>
      </c>
      <c r="C19" s="0" t="n">
        <f aca="false">C14*D19*D13</f>
        <v>90000</v>
      </c>
      <c r="D19" s="21" t="n">
        <v>0.2</v>
      </c>
      <c r="E19" s="0" t="s">
        <v>131</v>
      </c>
      <c r="T19" s="0" t="s">
        <v>53</v>
      </c>
      <c r="U19" s="0" t="n">
        <v>8</v>
      </c>
      <c r="V19" s="0" t="n">
        <v>8</v>
      </c>
      <c r="W19" s="0" t="n">
        <f aca="false">U19*V19</f>
        <v>64</v>
      </c>
      <c r="X19" s="0" t="n">
        <v>10.6447</v>
      </c>
      <c r="Y19" s="19" t="n">
        <f aca="false">W19*$Y$13</f>
        <v>144.959049068638</v>
      </c>
      <c r="Z19" s="0" t="n">
        <f aca="false">Y19/X19</f>
        <v>13.6179553269362</v>
      </c>
      <c r="AA19" s="19" t="n">
        <f aca="false">W19*$AA$13</f>
        <v>90.5994056678988</v>
      </c>
      <c r="AB19" s="0" t="n">
        <f aca="false">AA19/X19</f>
        <v>8.51122207933514</v>
      </c>
      <c r="AC19" s="19" t="n">
        <f aca="false">W19*$AC$13</f>
        <v>45.2997028339494</v>
      </c>
      <c r="AD19" s="0" t="n">
        <f aca="false">AC19/X19</f>
        <v>4.25561103966757</v>
      </c>
    </row>
    <row r="20" customFormat="false" ht="14.4" hidden="false" customHeight="false" outlineLevel="0" collapsed="false">
      <c r="B20" s="20" t="s">
        <v>106</v>
      </c>
      <c r="C20" s="20" t="n">
        <f aca="false">SUM(C14:C19)</f>
        <v>559200</v>
      </c>
    </row>
    <row r="22" customFormat="false" ht="14.4" hidden="false" customHeight="false" outlineLevel="0" collapsed="false">
      <c r="B22" s="0" t="s">
        <v>132</v>
      </c>
      <c r="C22" s="0" t="n">
        <f aca="false">C20/3</f>
        <v>186400</v>
      </c>
    </row>
    <row r="23" customFormat="false" ht="14.4" hidden="false" customHeight="false" outlineLevel="0" collapsed="false">
      <c r="B23" s="0" t="s">
        <v>114</v>
      </c>
      <c r="C23" s="0" t="n">
        <f aca="false">E7</f>
        <v>3363840</v>
      </c>
    </row>
    <row r="24" customFormat="false" ht="14.4" hidden="false" customHeight="false" outlineLevel="0" collapsed="false">
      <c r="B24" s="0" t="s">
        <v>133</v>
      </c>
      <c r="C24" s="0" t="n">
        <f aca="false">C22/C23</f>
        <v>0.0554128614916286</v>
      </c>
    </row>
    <row r="29" customFormat="false" ht="14.4" hidden="false" customHeight="false" outlineLevel="0" collapsed="false">
      <c r="B29" s="0" t="s">
        <v>134</v>
      </c>
    </row>
    <row r="30" customFormat="false" ht="14.4" hidden="false" customHeight="false" outlineLevel="0" collapsed="false">
      <c r="A30" s="0" t="s">
        <v>71</v>
      </c>
      <c r="B30" s="0" t="n">
        <v>1</v>
      </c>
      <c r="C30" s="0" t="n">
        <v>2</v>
      </c>
      <c r="D30" s="0" t="n">
        <v>4</v>
      </c>
      <c r="E30" s="0" t="n">
        <v>8</v>
      </c>
      <c r="F30" s="0" t="n">
        <v>10</v>
      </c>
      <c r="G30" s="0" t="n">
        <v>12</v>
      </c>
      <c r="H30" s="0" t="n">
        <v>16</v>
      </c>
      <c r="I30" s="0" t="n">
        <v>24</v>
      </c>
      <c r="J30" s="0" t="n">
        <v>32</v>
      </c>
    </row>
    <row r="31" customFormat="false" ht="14.4" hidden="false" customHeight="false" outlineLevel="0" collapsed="false">
      <c r="A31" s="0" t="s">
        <v>135</v>
      </c>
      <c r="B31" s="0" t="n">
        <f aca="false">B30/$J$30</f>
        <v>0.03125</v>
      </c>
      <c r="C31" s="0" t="n">
        <f aca="false">C30/$J$30</f>
        <v>0.0625</v>
      </c>
      <c r="D31" s="0" t="n">
        <f aca="false">D30/$J$30</f>
        <v>0.125</v>
      </c>
      <c r="E31" s="0" t="n">
        <f aca="false">E30/$J$30</f>
        <v>0.25</v>
      </c>
      <c r="F31" s="0" t="n">
        <f aca="false">F30/$J$30</f>
        <v>0.3125</v>
      </c>
      <c r="G31" s="0" t="n">
        <f aca="false">G30/$J$30</f>
        <v>0.375</v>
      </c>
      <c r="H31" s="0" t="n">
        <f aca="false">H30/$J$30</f>
        <v>0.5</v>
      </c>
      <c r="I31" s="0" t="n">
        <f aca="false">I30/$J$30</f>
        <v>0.75</v>
      </c>
      <c r="J31" s="0" t="n">
        <v>100</v>
      </c>
    </row>
    <row r="32" customFormat="false" ht="14.4" hidden="false" customHeight="false" outlineLevel="0" collapsed="false">
      <c r="B32" s="0" t="n">
        <f aca="false">$J$32/B31</f>
        <v>1.77321156773212</v>
      </c>
      <c r="C32" s="0" t="n">
        <f aca="false">$J$32/C31</f>
        <v>0.886605783866058</v>
      </c>
      <c r="D32" s="0" t="n">
        <f aca="false">$J$32/D31</f>
        <v>0.443302891933029</v>
      </c>
      <c r="E32" s="0" t="n">
        <f aca="false">$J$32/E31</f>
        <v>0.221651445966514</v>
      </c>
      <c r="F32" s="0" t="n">
        <f aca="false">$J$32/F31</f>
        <v>0.177321156773212</v>
      </c>
      <c r="G32" s="0" t="n">
        <f aca="false">$J$32/G31</f>
        <v>0.147767630644343</v>
      </c>
      <c r="H32" s="0" t="n">
        <f aca="false">$J$32/H31</f>
        <v>0.110825722983257</v>
      </c>
      <c r="I32" s="0" t="n">
        <f aca="false">$J$32/I31</f>
        <v>0.0738838153221715</v>
      </c>
      <c r="J32" s="0" t="n">
        <f aca="false">C24</f>
        <v>0.0554128614916286</v>
      </c>
    </row>
    <row r="36" customFormat="false" ht="14.4" hidden="false" customHeight="false" outlineLevel="0" collapsed="false">
      <c r="A36" s="20" t="s">
        <v>136</v>
      </c>
    </row>
    <row r="37" customFormat="false" ht="14.4" hidden="false" customHeight="false" outlineLevel="0" collapsed="false">
      <c r="A37" s="0" t="s">
        <v>137</v>
      </c>
    </row>
    <row r="40" customFormat="false" ht="14.4" hidden="false" customHeight="false" outlineLevel="0" collapsed="false">
      <c r="A40" s="30" t="s">
        <v>138</v>
      </c>
      <c r="B40" s="20" t="n">
        <f aca="false">C14*100/7/3/(365*24*B43*C7)</f>
        <v>0.707807856780459</v>
      </c>
    </row>
    <row r="43" customFormat="false" ht="14.4" hidden="false" customHeight="false" outlineLevel="0" collapsed="false">
      <c r="A43" s="0" t="s">
        <v>134</v>
      </c>
      <c r="B43" s="21" t="n">
        <v>0.3</v>
      </c>
    </row>
    <row r="46" customFormat="false" ht="14.4" hidden="false" customHeight="false" outlineLevel="0" collapsed="false">
      <c r="C46" s="0" t="s">
        <v>134</v>
      </c>
    </row>
    <row r="47" customFormat="false" ht="14.4" hidden="false" customHeight="false" outlineLevel="0" collapsed="false">
      <c r="B47" s="0" t="s">
        <v>71</v>
      </c>
      <c r="C47" s="0" t="n">
        <v>1</v>
      </c>
      <c r="D47" s="0" t="n">
        <v>2</v>
      </c>
      <c r="E47" s="0" t="n">
        <v>4</v>
      </c>
      <c r="F47" s="0" t="n">
        <v>8</v>
      </c>
      <c r="G47" s="20" t="n">
        <v>10</v>
      </c>
      <c r="H47" s="0" t="n">
        <v>12</v>
      </c>
      <c r="I47" s="0" t="n">
        <v>16</v>
      </c>
      <c r="J47" s="0" t="n">
        <v>24</v>
      </c>
      <c r="K47" s="0" t="n">
        <v>32</v>
      </c>
    </row>
    <row r="48" customFormat="false" ht="14.4" hidden="false" customHeight="false" outlineLevel="0" collapsed="false">
      <c r="B48" s="0" t="s">
        <v>135</v>
      </c>
      <c r="C48" s="0" t="n">
        <f aca="false">C47/$J$30</f>
        <v>0.03125</v>
      </c>
      <c r="D48" s="0" t="n">
        <f aca="false">D47/$J$30</f>
        <v>0.0625</v>
      </c>
      <c r="E48" s="0" t="n">
        <f aca="false">E47/$J$30</f>
        <v>0.125</v>
      </c>
      <c r="F48" s="0" t="n">
        <f aca="false">F47/$J$30</f>
        <v>0.25</v>
      </c>
      <c r="G48" s="20" t="n">
        <f aca="false">G47/$J$30</f>
        <v>0.3125</v>
      </c>
      <c r="H48" s="0" t="n">
        <f aca="false">H47/$J$30</f>
        <v>0.375</v>
      </c>
      <c r="I48" s="0" t="n">
        <f aca="false">I47/$J$30</f>
        <v>0.5</v>
      </c>
      <c r="J48" s="0" t="n">
        <f aca="false">J47/$J$30</f>
        <v>0.75</v>
      </c>
      <c r="K48" s="0" t="n">
        <v>100</v>
      </c>
    </row>
    <row r="49" customFormat="false" ht="14.4" hidden="false" customHeight="false" outlineLevel="0" collapsed="false">
      <c r="C49" s="19" t="n">
        <f aca="false">$K$49/C48</f>
        <v>22.6498514169747</v>
      </c>
      <c r="D49" s="19" t="n">
        <f aca="false">$K$49/D48</f>
        <v>11.3249257084874</v>
      </c>
      <c r="E49" s="19" t="n">
        <f aca="false">$K$49/E48</f>
        <v>5.66246285424368</v>
      </c>
      <c r="F49" s="19" t="n">
        <f aca="false">$K$49/F48</f>
        <v>2.83123142712184</v>
      </c>
      <c r="G49" s="31" t="n">
        <f aca="false">$K$49/G48</f>
        <v>2.26498514169747</v>
      </c>
      <c r="H49" s="19" t="n">
        <f aca="false">$K$49/H48</f>
        <v>1.88748761808123</v>
      </c>
      <c r="I49" s="19" t="n">
        <f aca="false">$K$49/I48</f>
        <v>1.41561571356092</v>
      </c>
      <c r="J49" s="19" t="n">
        <f aca="false">$K$49/J48</f>
        <v>0.943743809040613</v>
      </c>
      <c r="K49" s="19" t="n">
        <f aca="false">B40</f>
        <v>0.707807856780459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7" activeCellId="0" sqref="V7"/>
    </sheetView>
  </sheetViews>
  <sheetFormatPr defaultRowHeight="14.4"/>
  <cols>
    <col collapsed="false" hidden="false" max="1" min="1" style="0" width="12.1133603238866"/>
    <col collapsed="false" hidden="false" max="2" min="2" style="0" width="10.6599190283401"/>
    <col collapsed="false" hidden="false" max="3" min="3" style="0" width="9.99595141700405"/>
    <col collapsed="false" hidden="false" max="4" min="4" style="0" width="12.8906882591093"/>
    <col collapsed="false" hidden="false" max="5" min="5" style="0" width="7.4412955465587"/>
    <col collapsed="false" hidden="false" max="6" min="6" style="0" width="25"/>
    <col collapsed="false" hidden="false" max="7" min="7" style="0" width="26.663967611336"/>
    <col collapsed="false" hidden="false" max="8" min="8" style="0" width="16.5546558704453"/>
    <col collapsed="false" hidden="false" max="9" min="9" style="0" width="20.004048582996"/>
    <col collapsed="false" hidden="false" max="10" min="10" style="0" width="13.9959514170041"/>
    <col collapsed="false" hidden="false" max="11" min="11" style="0" width="15.6599190283401"/>
    <col collapsed="false" hidden="false" max="13" min="12" style="0" width="16.331983805668"/>
    <col collapsed="false" hidden="false" max="14" min="14" style="0" width="15.8906882591093"/>
    <col collapsed="false" hidden="false" max="15" min="15" style="0" width="13.8906882591093"/>
    <col collapsed="false" hidden="false" max="16" min="16" style="0" width="16.1093117408907"/>
    <col collapsed="false" hidden="false" max="17" min="17" style="0" width="18.004048582996"/>
    <col collapsed="false" hidden="false" max="19" min="18" style="0" width="18.5546558704453"/>
    <col collapsed="false" hidden="false" max="20" min="20" style="0" width="18.1093117408907"/>
    <col collapsed="false" hidden="false" max="21" min="21" style="0" width="16.004048582996"/>
    <col collapsed="false" hidden="false" max="22" min="22" style="0" width="14.5546558704453"/>
    <col collapsed="false" hidden="false" max="1025" min="23" style="0" width="8.5748987854251"/>
  </cols>
  <sheetData>
    <row r="1" customFormat="false" ht="14.4" hidden="false" customHeight="false" outlineLevel="0" collapsed="false">
      <c r="A1" s="0" t="s">
        <v>1</v>
      </c>
      <c r="B1" s="0" t="s">
        <v>3</v>
      </c>
      <c r="C1" s="0" t="s">
        <v>5</v>
      </c>
      <c r="D1" s="0" t="s">
        <v>7</v>
      </c>
      <c r="E1" s="0" t="s">
        <v>9</v>
      </c>
      <c r="F1" s="2" t="s">
        <v>40</v>
      </c>
      <c r="G1" s="2" t="s">
        <v>13</v>
      </c>
      <c r="H1" s="2" t="s">
        <v>41</v>
      </c>
      <c r="I1" s="2" t="s">
        <v>17</v>
      </c>
      <c r="J1" s="3" t="s">
        <v>18</v>
      </c>
      <c r="K1" s="3" t="s">
        <v>20</v>
      </c>
      <c r="L1" s="3" t="s">
        <v>22</v>
      </c>
      <c r="M1" s="3" t="s">
        <v>24</v>
      </c>
      <c r="N1" s="3" t="s">
        <v>26</v>
      </c>
      <c r="O1" s="3" t="s">
        <v>28</v>
      </c>
      <c r="P1" s="4" t="s">
        <v>30</v>
      </c>
      <c r="Q1" s="4" t="s">
        <v>32</v>
      </c>
      <c r="R1" s="4" t="s">
        <v>34</v>
      </c>
      <c r="S1" s="4" t="s">
        <v>35</v>
      </c>
      <c r="T1" s="4" t="s">
        <v>36</v>
      </c>
      <c r="U1" s="4" t="s">
        <v>37</v>
      </c>
      <c r="V1" s="0" t="s">
        <v>38</v>
      </c>
    </row>
    <row r="2" customFormat="false" ht="14.4" hidden="false" customHeight="false" outlineLevel="0" collapsed="false">
      <c r="A2" s="0" t="s">
        <v>42</v>
      </c>
      <c r="B2" s="0" t="n">
        <v>16</v>
      </c>
      <c r="C2" s="0" t="n">
        <v>1</v>
      </c>
      <c r="D2" s="0" t="n">
        <v>16</v>
      </c>
      <c r="E2" s="0" t="n">
        <v>1.28</v>
      </c>
      <c r="F2" s="0" t="n">
        <v>49.783</v>
      </c>
      <c r="G2" s="0" t="n">
        <v>10.292</v>
      </c>
      <c r="H2" s="0" t="n">
        <v>306.627</v>
      </c>
      <c r="I2" s="0" t="n">
        <v>140.341</v>
      </c>
      <c r="J2" s="0" t="n">
        <v>23.327</v>
      </c>
      <c r="K2" s="0" t="n">
        <v>22.94</v>
      </c>
      <c r="L2" s="0" t="n">
        <v>6.672</v>
      </c>
      <c r="M2" s="0" t="n">
        <v>100</v>
      </c>
      <c r="N2" s="0" t="n">
        <v>0.06672</v>
      </c>
      <c r="O2" s="0" t="n">
        <v>2955</v>
      </c>
      <c r="P2" s="0" t="n">
        <v>20.276</v>
      </c>
      <c r="Q2" s="0" t="n">
        <v>20.121</v>
      </c>
      <c r="R2" s="0" t="n">
        <v>2.4744</v>
      </c>
      <c r="S2" s="0" t="n">
        <v>100</v>
      </c>
      <c r="T2" s="0" t="n">
        <v>0.024744</v>
      </c>
      <c r="U2" s="0" t="n">
        <v>2678</v>
      </c>
      <c r="V2" s="0" t="n">
        <v>2.93584</v>
      </c>
    </row>
    <row r="3" customFormat="false" ht="14.4" hidden="false" customHeight="false" outlineLevel="0" collapsed="false">
      <c r="A3" s="0" t="s">
        <v>42</v>
      </c>
      <c r="B3" s="0" t="n">
        <v>1</v>
      </c>
      <c r="C3" s="0" t="n">
        <v>1</v>
      </c>
      <c r="D3" s="0" t="n">
        <v>1</v>
      </c>
      <c r="E3" s="0" t="n">
        <v>0.08</v>
      </c>
      <c r="F3" s="1" t="s">
        <v>43</v>
      </c>
      <c r="G3" s="1" t="s">
        <v>43</v>
      </c>
      <c r="H3" s="1" t="s">
        <v>43</v>
      </c>
      <c r="I3" s="1" t="s">
        <v>43</v>
      </c>
      <c r="J3" s="5" t="n">
        <v>6.868</v>
      </c>
      <c r="K3" s="5" t="n">
        <v>6.3774</v>
      </c>
      <c r="L3" s="5" t="n">
        <v>59.166</v>
      </c>
      <c r="M3" s="6" t="n">
        <v>100</v>
      </c>
      <c r="N3" s="6" t="n">
        <v>0.59166</v>
      </c>
      <c r="O3" s="6" t="n">
        <v>338</v>
      </c>
      <c r="P3" s="7" t="n">
        <v>2.9974</v>
      </c>
      <c r="Q3" s="7" t="n">
        <v>2.8188</v>
      </c>
      <c r="R3" s="7" t="n">
        <v>19.015</v>
      </c>
      <c r="S3" s="8" t="n">
        <v>100</v>
      </c>
      <c r="T3" s="8" t="n">
        <v>0.19015</v>
      </c>
      <c r="U3" s="8" t="n">
        <v>357</v>
      </c>
      <c r="V3" s="0" t="n">
        <v>0.253731</v>
      </c>
    </row>
    <row r="4" customFormat="false" ht="14.4" hidden="false" customHeight="false" outlineLevel="0" collapsed="false">
      <c r="A4" s="0" t="s">
        <v>42</v>
      </c>
      <c r="B4" s="0" t="n">
        <v>2</v>
      </c>
      <c r="C4" s="0" t="n">
        <v>1</v>
      </c>
      <c r="D4" s="0" t="n">
        <v>2</v>
      </c>
      <c r="E4" s="0" t="n">
        <v>0.16</v>
      </c>
      <c r="F4" s="1" t="n">
        <v>36.358</v>
      </c>
      <c r="G4" s="1" t="n">
        <v>0</v>
      </c>
      <c r="H4" s="1" t="n">
        <v>258.911</v>
      </c>
      <c r="I4" s="1" t="n">
        <v>0</v>
      </c>
      <c r="J4" s="5" t="n">
        <v>11.476</v>
      </c>
      <c r="K4" s="5" t="n">
        <v>10.95</v>
      </c>
      <c r="L4" s="5" t="n">
        <v>32.675</v>
      </c>
      <c r="M4" s="6" t="n">
        <v>100</v>
      </c>
      <c r="N4" s="6" t="n">
        <v>0.32675</v>
      </c>
      <c r="O4" s="6" t="n">
        <v>611</v>
      </c>
      <c r="P4" s="7" t="n">
        <v>3.6568</v>
      </c>
      <c r="Q4" s="7" t="n">
        <v>3.4821</v>
      </c>
      <c r="R4" s="7" t="n">
        <v>10.853</v>
      </c>
      <c r="S4" s="8" t="n">
        <v>100</v>
      </c>
      <c r="T4" s="8" t="n">
        <v>0.10853</v>
      </c>
      <c r="U4" s="8" t="n">
        <v>624</v>
      </c>
      <c r="V4" s="0" t="n">
        <v>0.475855</v>
      </c>
    </row>
    <row r="5" customFormat="false" ht="14.4" hidden="false" customHeight="false" outlineLevel="0" collapsed="false">
      <c r="A5" s="9" t="s">
        <v>42</v>
      </c>
      <c r="B5" s="9" t="n">
        <v>32</v>
      </c>
      <c r="C5" s="9" t="n">
        <v>1</v>
      </c>
      <c r="D5" s="9" t="n">
        <v>32</v>
      </c>
      <c r="E5" s="0" t="n">
        <v>2.56</v>
      </c>
      <c r="F5" s="1" t="n">
        <v>49.527</v>
      </c>
      <c r="G5" s="1" t="n">
        <v>13.175</v>
      </c>
      <c r="H5" s="1" t="n">
        <v>340.583</v>
      </c>
      <c r="I5" s="1" t="n">
        <v>158.624</v>
      </c>
      <c r="J5" s="5" t="n">
        <v>58.475</v>
      </c>
      <c r="K5" s="5" t="n">
        <v>58.032</v>
      </c>
      <c r="L5" s="5" t="n">
        <v>9.0873</v>
      </c>
      <c r="M5" s="9" t="n">
        <v>200</v>
      </c>
      <c r="N5" s="6" t="n">
        <v>0.0454365</v>
      </c>
      <c r="O5" s="6" t="n">
        <v>4308</v>
      </c>
      <c r="P5" s="7" t="n">
        <v>52.628</v>
      </c>
      <c r="Q5" s="7" t="n">
        <v>52.364</v>
      </c>
      <c r="R5" s="7" t="n">
        <v>4.2067</v>
      </c>
      <c r="S5" s="9" t="n">
        <v>200</v>
      </c>
      <c r="T5" s="8" t="n">
        <v>0.0210334999999999</v>
      </c>
      <c r="U5" s="8" t="n">
        <v>3100</v>
      </c>
      <c r="V5" s="0" t="n">
        <v>5.12889</v>
      </c>
    </row>
    <row r="6" customFormat="false" ht="14.4" hidden="false" customHeight="false" outlineLevel="0" collapsed="false">
      <c r="A6" s="0" t="s">
        <v>42</v>
      </c>
      <c r="B6" s="0" t="n">
        <v>4</v>
      </c>
      <c r="C6" s="0" t="n">
        <v>1</v>
      </c>
      <c r="D6" s="0" t="n">
        <v>4</v>
      </c>
      <c r="E6" s="0" t="n">
        <v>0.32</v>
      </c>
      <c r="F6" s="1" t="n">
        <v>43.712</v>
      </c>
      <c r="G6" s="1" t="n">
        <v>10.932</v>
      </c>
      <c r="H6" s="1" t="n">
        <v>326.128</v>
      </c>
      <c r="I6" s="1" t="n">
        <v>97.017</v>
      </c>
      <c r="J6" s="5" t="n">
        <v>6.8853</v>
      </c>
      <c r="K6" s="5" t="n">
        <v>6.555</v>
      </c>
      <c r="L6" s="5" t="n">
        <v>17.359</v>
      </c>
      <c r="M6" s="6" t="n">
        <v>100</v>
      </c>
      <c r="N6" s="6" t="n">
        <v>0.17359</v>
      </c>
      <c r="O6" s="6" t="n">
        <v>1150</v>
      </c>
      <c r="P6" s="7" t="n">
        <v>2.4747</v>
      </c>
      <c r="Q6" s="7" t="n">
        <v>2.3689</v>
      </c>
      <c r="R6" s="7" t="n">
        <v>5.5812</v>
      </c>
      <c r="S6" s="8" t="n">
        <v>100</v>
      </c>
      <c r="T6" s="8" t="n">
        <v>0.055812</v>
      </c>
      <c r="U6" s="8" t="n">
        <v>1211</v>
      </c>
      <c r="V6" s="0" t="n">
        <v>0.941227</v>
      </c>
    </row>
    <row r="7" customFormat="false" ht="14.4" hidden="false" customHeight="false" outlineLevel="0" collapsed="false">
      <c r="A7" s="9" t="s">
        <v>42</v>
      </c>
      <c r="B7" s="9" t="n">
        <v>64</v>
      </c>
      <c r="C7" s="9" t="n">
        <v>1</v>
      </c>
      <c r="D7" s="9" t="n">
        <v>64</v>
      </c>
      <c r="E7" s="0" t="n">
        <v>5.12</v>
      </c>
      <c r="F7" s="1" t="n">
        <v>50.497</v>
      </c>
      <c r="G7" s="1" t="n">
        <v>13.807</v>
      </c>
      <c r="H7" s="1" t="n">
        <v>318.303</v>
      </c>
      <c r="I7" s="1" t="n">
        <v>154.227</v>
      </c>
      <c r="J7" s="5" t="n">
        <v>134.86</v>
      </c>
      <c r="K7" s="5" t="n">
        <v>134.46</v>
      </c>
      <c r="L7" s="5" t="n">
        <v>7.7326</v>
      </c>
      <c r="M7" s="9" t="n">
        <v>200</v>
      </c>
      <c r="N7" s="6" t="n">
        <v>0.0386629999999999</v>
      </c>
      <c r="O7" s="6" t="n">
        <v>4912</v>
      </c>
      <c r="P7" s="7" t="n">
        <v>124.65</v>
      </c>
      <c r="Q7" s="7" t="n">
        <v>124.28</v>
      </c>
      <c r="R7" s="7" t="n">
        <v>4.245</v>
      </c>
      <c r="S7" s="9" t="n">
        <v>200</v>
      </c>
      <c r="T7" s="8" t="n">
        <v>0.021225</v>
      </c>
      <c r="U7" s="8" t="n">
        <v>2927</v>
      </c>
      <c r="V7" s="0" t="n">
        <v>9.2306</v>
      </c>
    </row>
    <row r="8" customFormat="false" ht="14.4" hidden="false" customHeight="false" outlineLevel="0" collapsed="false">
      <c r="A8" s="0" t="s">
        <v>42</v>
      </c>
      <c r="B8" s="0" t="n">
        <v>8</v>
      </c>
      <c r="C8" s="0" t="n">
        <v>1</v>
      </c>
      <c r="D8" s="0" t="n">
        <v>8</v>
      </c>
      <c r="E8" s="0" t="n">
        <v>0.64</v>
      </c>
      <c r="F8" s="0" t="n">
        <v>39.421</v>
      </c>
      <c r="G8" s="0" t="n">
        <v>8.634</v>
      </c>
      <c r="H8" s="0" t="n">
        <v>406.313</v>
      </c>
      <c r="I8" s="0" t="n">
        <v>166.561</v>
      </c>
      <c r="J8" s="0" t="n">
        <v>10.895</v>
      </c>
      <c r="K8" s="0" t="n">
        <v>10.633</v>
      </c>
      <c r="L8" s="0" t="n">
        <v>11.091</v>
      </c>
      <c r="M8" s="0" t="n">
        <v>100</v>
      </c>
      <c r="N8" s="0" t="n">
        <v>0.11091</v>
      </c>
      <c r="O8" s="0" t="n">
        <v>1792</v>
      </c>
      <c r="P8" s="0" t="n">
        <v>6.8097</v>
      </c>
      <c r="Q8" s="0" t="n">
        <v>6.5646</v>
      </c>
      <c r="R8" s="0" t="n">
        <v>4.1686</v>
      </c>
      <c r="S8" s="0" t="n">
        <v>100</v>
      </c>
      <c r="T8" s="0" t="n">
        <v>0.0416859999999999</v>
      </c>
      <c r="U8" s="0" t="n">
        <v>1610</v>
      </c>
      <c r="V8" s="0" t="n">
        <v>1.62172</v>
      </c>
    </row>
    <row r="11" customFormat="false" ht="14.4" hidden="false" customHeight="false" outlineLevel="0" collapsed="false">
      <c r="A11" s="0" t="s">
        <v>44</v>
      </c>
    </row>
    <row r="12" customFormat="false" ht="14.4" hidden="false" customHeight="false" outlineLevel="0" collapsed="false">
      <c r="A12" s="0" t="s">
        <v>45</v>
      </c>
    </row>
    <row r="15" customFormat="false" ht="14.4" hidden="false" customHeight="false" outlineLevel="0" collapsed="false">
      <c r="A15" s="0" t="s">
        <v>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40"/>
  <sheetViews>
    <sheetView windowProtection="false"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U15" activeCellId="0" sqref="U15"/>
    </sheetView>
  </sheetViews>
  <sheetFormatPr defaultRowHeight="14.4"/>
  <cols>
    <col collapsed="false" hidden="false" max="1" min="1" style="0" width="12.1133603238866"/>
    <col collapsed="false" hidden="false" max="2" min="2" style="0" width="10.6599190283401"/>
    <col collapsed="false" hidden="false" max="3" min="3" style="0" width="9.99595141700405"/>
    <col collapsed="false" hidden="false" max="4" min="4" style="0" width="12.8906882591093"/>
    <col collapsed="false" hidden="false" max="5" min="5" style="0" width="7.4412955465587"/>
    <col collapsed="false" hidden="false" max="6" min="6" style="0" width="14.8906882591093"/>
    <col collapsed="false" hidden="false" max="7" min="7" style="0" width="23.668016194332"/>
    <col collapsed="false" hidden="false" max="8" min="8" style="0" width="11.1133603238866"/>
    <col collapsed="false" hidden="false" max="9" min="9" style="0" width="20.004048582996"/>
    <col collapsed="false" hidden="false" max="10" min="10" style="0" width="13.9959514170041"/>
    <col collapsed="false" hidden="false" max="11" min="11" style="0" width="15.6599190283401"/>
    <col collapsed="false" hidden="false" max="13" min="12" style="0" width="16.331983805668"/>
    <col collapsed="false" hidden="false" max="14" min="14" style="0" width="15.8906882591093"/>
    <col collapsed="false" hidden="false" max="15" min="15" style="0" width="13.8906882591093"/>
    <col collapsed="false" hidden="false" max="16" min="16" style="0" width="16.1093117408907"/>
    <col collapsed="false" hidden="false" max="17" min="17" style="0" width="18.004048582996"/>
    <col collapsed="false" hidden="false" max="19" min="18" style="0" width="18.5546558704453"/>
    <col collapsed="false" hidden="false" max="20" min="20" style="0" width="18.1093117408907"/>
    <col collapsed="false" hidden="false" max="21" min="21" style="0" width="16.004048582996"/>
    <col collapsed="false" hidden="false" max="22" min="22" style="0" width="14.5546558704453"/>
    <col collapsed="false" hidden="false" max="1025" min="23" style="0" width="8.5748987854251"/>
  </cols>
  <sheetData>
    <row r="1" customFormat="false" ht="14.4" hidden="false" customHeight="false" outlineLevel="0" collapsed="false">
      <c r="A1" s="0" t="s">
        <v>1</v>
      </c>
      <c r="B1" s="0" t="s">
        <v>3</v>
      </c>
      <c r="C1" s="0" t="s">
        <v>5</v>
      </c>
      <c r="D1" s="0" t="s">
        <v>7</v>
      </c>
      <c r="E1" s="0" t="s">
        <v>9</v>
      </c>
      <c r="F1" s="10" t="s">
        <v>11</v>
      </c>
      <c r="G1" s="10" t="s">
        <v>13</v>
      </c>
      <c r="H1" s="10" t="s">
        <v>15</v>
      </c>
      <c r="I1" s="10" t="s">
        <v>17</v>
      </c>
      <c r="J1" s="3" t="s">
        <v>18</v>
      </c>
      <c r="K1" s="3" t="s">
        <v>20</v>
      </c>
      <c r="L1" s="3" t="s">
        <v>22</v>
      </c>
      <c r="M1" s="3" t="s">
        <v>24</v>
      </c>
      <c r="N1" s="3" t="s">
        <v>26</v>
      </c>
      <c r="O1" s="3" t="s">
        <v>28</v>
      </c>
      <c r="P1" s="4" t="s">
        <v>30</v>
      </c>
      <c r="Q1" s="4" t="s">
        <v>32</v>
      </c>
      <c r="R1" s="4" t="s">
        <v>34</v>
      </c>
      <c r="S1" s="4" t="s">
        <v>35</v>
      </c>
      <c r="T1" s="4" t="s">
        <v>36</v>
      </c>
      <c r="U1" s="4" t="s">
        <v>37</v>
      </c>
      <c r="V1" s="0" t="s">
        <v>38</v>
      </c>
    </row>
    <row r="2" customFormat="false" ht="14.4" hidden="false" customHeight="false" outlineLevel="0" collapsed="false">
      <c r="A2" s="0" t="s">
        <v>47</v>
      </c>
      <c r="B2" s="0" t="n">
        <v>1</v>
      </c>
      <c r="C2" s="0" t="n">
        <v>1</v>
      </c>
      <c r="D2" s="0" t="n">
        <v>1</v>
      </c>
      <c r="E2" s="0" t="n">
        <v>0.7</v>
      </c>
      <c r="F2" s="1" t="s">
        <v>43</v>
      </c>
      <c r="G2" s="1" t="s">
        <v>43</v>
      </c>
      <c r="H2" s="1" t="s">
        <v>43</v>
      </c>
      <c r="I2" s="1" t="s">
        <v>43</v>
      </c>
      <c r="J2" s="11" t="n">
        <v>6.6093</v>
      </c>
      <c r="K2" s="11" t="n">
        <v>6.1342</v>
      </c>
      <c r="L2" s="5" t="n">
        <v>136.45</v>
      </c>
      <c r="M2" s="9" t="n">
        <v>200</v>
      </c>
      <c r="N2" s="9" t="n">
        <v>0.682249999999999</v>
      </c>
      <c r="O2" s="9" t="n">
        <v>295</v>
      </c>
      <c r="P2" s="7" t="n">
        <v>2.3229</v>
      </c>
      <c r="Q2" s="7" t="n">
        <v>2.152</v>
      </c>
      <c r="R2" s="12" t="n">
        <v>31.64</v>
      </c>
      <c r="S2" s="8" t="n">
        <v>143</v>
      </c>
      <c r="T2" s="8" t="n">
        <v>0.221258741258741</v>
      </c>
      <c r="U2" s="8" t="n">
        <v>308</v>
      </c>
      <c r="V2" s="0" t="n">
        <v>0.20673</v>
      </c>
    </row>
    <row r="3" customFormat="false" ht="14.4" hidden="false" customHeight="false" outlineLevel="0" collapsed="false">
      <c r="A3" s="0" t="s">
        <v>47</v>
      </c>
      <c r="B3" s="0" t="n">
        <v>1</v>
      </c>
      <c r="C3" s="0" t="n">
        <v>2</v>
      </c>
      <c r="D3" s="0" t="n">
        <v>2</v>
      </c>
      <c r="E3" s="0" t="n">
        <f aca="false">B3*$E$2</f>
        <v>0.7</v>
      </c>
      <c r="F3" s="1" t="s">
        <v>43</v>
      </c>
      <c r="G3" s="1" t="s">
        <v>43</v>
      </c>
      <c r="H3" s="1" t="s">
        <v>43</v>
      </c>
      <c r="I3" s="1" t="s">
        <v>43</v>
      </c>
      <c r="J3" s="11" t="n">
        <v>5.8352</v>
      </c>
      <c r="K3" s="11" t="n">
        <v>5.5887</v>
      </c>
      <c r="L3" s="5" t="n">
        <v>72.247</v>
      </c>
      <c r="M3" s="9" t="n">
        <v>200</v>
      </c>
      <c r="N3" s="9" t="n">
        <v>0.361235</v>
      </c>
      <c r="O3" s="9" t="n">
        <v>557</v>
      </c>
      <c r="P3" s="7" t="n">
        <v>1.9766</v>
      </c>
      <c r="Q3" s="7" t="n">
        <v>1.8865</v>
      </c>
      <c r="R3" s="12" t="n">
        <v>18.287</v>
      </c>
      <c r="S3" s="8" t="n">
        <v>166</v>
      </c>
      <c r="T3" s="8" t="n">
        <v>0.110162650602409</v>
      </c>
      <c r="U3" s="8" t="n">
        <v>617</v>
      </c>
      <c r="V3" s="0" t="n">
        <v>0.396832</v>
      </c>
    </row>
    <row r="4" customFormat="false" ht="14.4" hidden="false" customHeight="false" outlineLevel="0" collapsed="false">
      <c r="A4" s="0" t="s">
        <v>47</v>
      </c>
      <c r="B4" s="0" t="n">
        <v>1</v>
      </c>
      <c r="C4" s="0" t="n">
        <v>4</v>
      </c>
      <c r="D4" s="0" t="n">
        <v>4</v>
      </c>
      <c r="E4" s="0" t="n">
        <f aca="false">B4*$E$2</f>
        <v>0.7</v>
      </c>
      <c r="F4" s="1" t="s">
        <v>43</v>
      </c>
      <c r="G4" s="1" t="s">
        <v>43</v>
      </c>
      <c r="H4" s="1" t="s">
        <v>43</v>
      </c>
      <c r="I4" s="1" t="s">
        <v>43</v>
      </c>
      <c r="J4" s="11" t="n">
        <v>3.5213</v>
      </c>
      <c r="K4" s="11" t="n">
        <v>3.316</v>
      </c>
      <c r="L4" s="5" t="n">
        <v>41.862</v>
      </c>
      <c r="M4" s="9" t="n">
        <v>200</v>
      </c>
      <c r="N4" s="9" t="n">
        <v>0.20931</v>
      </c>
      <c r="O4" s="9" t="n">
        <v>960</v>
      </c>
      <c r="P4" s="7" t="n">
        <v>1.2281</v>
      </c>
      <c r="Q4" s="7" t="n">
        <v>1.1507</v>
      </c>
      <c r="R4" s="12" t="n">
        <v>10.91</v>
      </c>
      <c r="S4" s="8" t="n">
        <v>169</v>
      </c>
      <c r="T4" s="8" t="n">
        <v>0.0645562130177514</v>
      </c>
      <c r="U4" s="8" t="n">
        <v>1052</v>
      </c>
      <c r="V4" s="0" t="n">
        <v>0.673309</v>
      </c>
    </row>
    <row r="5" customFormat="false" ht="14.4" hidden="false" customHeight="false" outlineLevel="0" collapsed="false">
      <c r="A5" s="9" t="s">
        <v>47</v>
      </c>
      <c r="B5" s="9" t="n">
        <v>1</v>
      </c>
      <c r="C5" s="9" t="n">
        <v>8</v>
      </c>
      <c r="D5" s="9" t="n">
        <v>8</v>
      </c>
      <c r="E5" s="0" t="n">
        <f aca="false">B5*$E$2</f>
        <v>0.7</v>
      </c>
      <c r="F5" s="1" t="s">
        <v>43</v>
      </c>
      <c r="G5" s="1" t="s">
        <v>43</v>
      </c>
      <c r="H5" s="1" t="s">
        <v>43</v>
      </c>
      <c r="I5" s="1" t="s">
        <v>43</v>
      </c>
      <c r="J5" s="11" t="n">
        <v>2.3097</v>
      </c>
      <c r="K5" s="11" t="n">
        <v>2.1897</v>
      </c>
      <c r="L5" s="5" t="n">
        <v>27.381</v>
      </c>
      <c r="M5" s="9" t="n">
        <v>200</v>
      </c>
      <c r="N5" s="9" t="n">
        <v>0.136905</v>
      </c>
      <c r="O5" s="9" t="n">
        <v>1462</v>
      </c>
      <c r="P5" s="7" t="n">
        <v>0.91354</v>
      </c>
      <c r="Q5" s="7" t="n">
        <v>0.85031</v>
      </c>
      <c r="R5" s="12" t="n">
        <v>7.9756</v>
      </c>
      <c r="S5" s="13" t="n">
        <v>199</v>
      </c>
      <c r="T5" s="8" t="n">
        <v>0.0400783919597989</v>
      </c>
      <c r="U5" s="8" t="n">
        <v>1685</v>
      </c>
      <c r="V5" s="0" t="n">
        <v>1.0551</v>
      </c>
    </row>
    <row r="6" customFormat="false" ht="14.4" hidden="false" customHeight="false" outlineLevel="0" collapsed="false">
      <c r="A6" s="0" t="s">
        <v>47</v>
      </c>
      <c r="B6" s="0" t="n">
        <v>2</v>
      </c>
      <c r="C6" s="0" t="n">
        <v>1</v>
      </c>
      <c r="D6" s="0" t="n">
        <v>2</v>
      </c>
      <c r="E6" s="0" t="n">
        <f aca="false">B6*$E$2</f>
        <v>1.4</v>
      </c>
      <c r="F6" s="1" t="n">
        <v>75.436</v>
      </c>
      <c r="G6" s="1" t="n">
        <v>0.049</v>
      </c>
      <c r="H6" s="1" t="n">
        <v>257.075</v>
      </c>
      <c r="I6" s="1" t="n">
        <v>17.184</v>
      </c>
      <c r="J6" s="11" t="n">
        <v>8.1227</v>
      </c>
      <c r="K6" s="11" t="n">
        <v>7.7676</v>
      </c>
      <c r="L6" s="5" t="n">
        <v>82.197</v>
      </c>
      <c r="M6" s="9" t="n">
        <v>200</v>
      </c>
      <c r="N6" s="9" t="n">
        <v>0.410985</v>
      </c>
      <c r="O6" s="9" t="n">
        <v>489</v>
      </c>
      <c r="P6" s="7" t="n">
        <v>2.643</v>
      </c>
      <c r="Q6" s="7" t="n">
        <v>2.5196</v>
      </c>
      <c r="R6" s="12" t="n">
        <v>21.659</v>
      </c>
      <c r="S6" s="8" t="n">
        <v>166</v>
      </c>
      <c r="T6" s="8" t="n">
        <v>0.130475903614457</v>
      </c>
      <c r="U6" s="8" t="n">
        <v>521</v>
      </c>
      <c r="V6" s="0" t="s">
        <v>43</v>
      </c>
    </row>
    <row r="7" customFormat="false" ht="14.4" hidden="false" customHeight="false" outlineLevel="0" collapsed="false">
      <c r="A7" s="9" t="s">
        <v>47</v>
      </c>
      <c r="B7" s="9" t="n">
        <v>2</v>
      </c>
      <c r="C7" s="9" t="n">
        <v>8</v>
      </c>
      <c r="D7" s="9" t="n">
        <v>16</v>
      </c>
      <c r="E7" s="0" t="n">
        <f aca="false">B7*$E$2</f>
        <v>1.4</v>
      </c>
      <c r="F7" s="13" t="s">
        <v>43</v>
      </c>
      <c r="G7" s="13" t="s">
        <v>43</v>
      </c>
      <c r="H7" s="13" t="s">
        <v>43</v>
      </c>
      <c r="I7" s="13" t="s">
        <v>43</v>
      </c>
      <c r="J7" s="11" t="n">
        <v>14.944</v>
      </c>
      <c r="K7" s="11" t="n">
        <v>12.341</v>
      </c>
      <c r="L7" s="5" t="n">
        <v>13.612</v>
      </c>
      <c r="M7" s="9" t="n">
        <v>200</v>
      </c>
      <c r="N7" s="9" t="n">
        <v>0.06806</v>
      </c>
      <c r="O7" s="9" t="n">
        <v>2917</v>
      </c>
      <c r="P7" s="7" t="n">
        <v>13.002</v>
      </c>
      <c r="Q7" s="7" t="n">
        <v>10.543</v>
      </c>
      <c r="R7" s="12" t="n">
        <v>4.2248</v>
      </c>
      <c r="S7" s="13" t="n">
        <v>192</v>
      </c>
      <c r="T7" s="8" t="n">
        <v>0.0220041666666666</v>
      </c>
      <c r="U7" s="8" t="n">
        <v>3032</v>
      </c>
      <c r="V7" s="0" t="n">
        <v>1.81086</v>
      </c>
    </row>
    <row r="8" customFormat="false" ht="14.4" hidden="false" customHeight="false" outlineLevel="0" collapsed="false">
      <c r="A8" s="0" t="s">
        <v>47</v>
      </c>
      <c r="B8" s="0" t="n">
        <v>4</v>
      </c>
      <c r="C8" s="0" t="n">
        <v>1</v>
      </c>
      <c r="D8" s="0" t="n">
        <v>4</v>
      </c>
      <c r="E8" s="0" t="n">
        <f aca="false">B8*$E$2</f>
        <v>2.8</v>
      </c>
      <c r="F8" s="1" t="n">
        <v>70.082</v>
      </c>
      <c r="G8" s="1" t="n">
        <v>7.253</v>
      </c>
      <c r="H8" s="1" t="n">
        <v>213.291</v>
      </c>
      <c r="I8" s="1" t="n">
        <v>21.339</v>
      </c>
      <c r="J8" s="11" t="n">
        <v>5.5381</v>
      </c>
      <c r="K8" s="11" t="n">
        <v>5.2925</v>
      </c>
      <c r="L8" s="5" t="n">
        <v>43.745</v>
      </c>
      <c r="M8" s="9" t="n">
        <v>200</v>
      </c>
      <c r="N8" s="9" t="n">
        <v>0.218724999999999</v>
      </c>
      <c r="O8" s="9" t="n">
        <v>919</v>
      </c>
      <c r="P8" s="7" t="n">
        <v>2.0793</v>
      </c>
      <c r="Q8" s="7" t="n">
        <v>1.9834</v>
      </c>
      <c r="R8" s="12" t="n">
        <v>11.642</v>
      </c>
      <c r="S8" s="8" t="n">
        <v>169</v>
      </c>
      <c r="T8" s="8" t="n">
        <v>0.068887573964497</v>
      </c>
      <c r="U8" s="8" t="n">
        <v>986</v>
      </c>
      <c r="V8" s="0" t="n">
        <v>0.617935</v>
      </c>
    </row>
    <row r="9" customFormat="false" ht="14.4" hidden="false" customHeight="false" outlineLevel="0" collapsed="false">
      <c r="A9" s="9" t="s">
        <v>47</v>
      </c>
      <c r="B9" s="9" t="n">
        <v>4</v>
      </c>
      <c r="C9" s="9" t="n">
        <v>8</v>
      </c>
      <c r="D9" s="9" t="n">
        <v>32</v>
      </c>
      <c r="E9" s="0" t="n">
        <f aca="false">B9*$E$2</f>
        <v>2.8</v>
      </c>
      <c r="F9" s="13" t="s">
        <v>43</v>
      </c>
      <c r="G9" s="13" t="s">
        <v>43</v>
      </c>
      <c r="H9" s="13" t="s">
        <v>43</v>
      </c>
      <c r="I9" s="13" t="s">
        <v>43</v>
      </c>
      <c r="J9" s="11" t="n">
        <v>50.428</v>
      </c>
      <c r="K9" s="11" t="n">
        <v>47.778</v>
      </c>
      <c r="L9" s="5" t="n">
        <v>7.7844</v>
      </c>
      <c r="M9" s="9" t="n">
        <v>200</v>
      </c>
      <c r="N9" s="9" t="n">
        <v>0.038922</v>
      </c>
      <c r="O9" s="9" t="n">
        <v>5029</v>
      </c>
      <c r="P9" s="7" t="n">
        <v>45.779</v>
      </c>
      <c r="Q9" s="7" t="n">
        <v>43.177</v>
      </c>
      <c r="R9" s="12" t="n">
        <v>2.9643</v>
      </c>
      <c r="S9" s="9" t="n">
        <v>200</v>
      </c>
      <c r="T9" s="8" t="n">
        <v>0.0148215</v>
      </c>
      <c r="U9" s="8" t="n">
        <v>4400</v>
      </c>
      <c r="V9" s="0" t="n">
        <v>3.2231</v>
      </c>
    </row>
    <row r="10" customFormat="false" ht="14.4" hidden="false" customHeight="false" outlineLevel="0" collapsed="false">
      <c r="A10" s="0" t="s">
        <v>47</v>
      </c>
      <c r="B10" s="0" t="n">
        <v>8</v>
      </c>
      <c r="C10" s="0" t="n">
        <v>1</v>
      </c>
      <c r="D10" s="0" t="n">
        <v>8</v>
      </c>
      <c r="E10" s="0" t="n">
        <f aca="false">B10*$E$2</f>
        <v>5.6</v>
      </c>
      <c r="F10" s="1" t="n">
        <v>61.707</v>
      </c>
      <c r="G10" s="1" t="n">
        <v>9.567</v>
      </c>
      <c r="H10" s="1" t="n">
        <v>212.72</v>
      </c>
      <c r="I10" s="1" t="n">
        <v>23.806</v>
      </c>
      <c r="J10" s="11" t="n">
        <v>9.3379</v>
      </c>
      <c r="K10" s="11" t="n">
        <v>9.1183</v>
      </c>
      <c r="L10" s="5" t="n">
        <v>23.908</v>
      </c>
      <c r="M10" s="9" t="n">
        <v>200</v>
      </c>
      <c r="N10" s="9" t="n">
        <v>0.11954</v>
      </c>
      <c r="O10" s="9" t="n">
        <v>1675</v>
      </c>
      <c r="P10" s="7" t="n">
        <v>6.2079</v>
      </c>
      <c r="Q10" s="7" t="n">
        <v>6.1082</v>
      </c>
      <c r="R10" s="12" t="n">
        <v>7.9623</v>
      </c>
      <c r="S10" s="8" t="n">
        <v>199</v>
      </c>
      <c r="T10" s="8" t="n">
        <v>0.0400115577889447</v>
      </c>
      <c r="U10" s="8" t="n">
        <v>1688</v>
      </c>
      <c r="V10" s="0" t="n">
        <v>1.18981</v>
      </c>
    </row>
    <row r="11" customFormat="false" ht="14.4" hidden="false" customHeight="false" outlineLevel="0" collapsed="false">
      <c r="A11" s="9" t="s">
        <v>47</v>
      </c>
      <c r="B11" s="9" t="n">
        <v>8</v>
      </c>
      <c r="C11" s="9" t="n">
        <v>8</v>
      </c>
      <c r="D11" s="9" t="n">
        <v>64</v>
      </c>
      <c r="E11" s="0" t="n">
        <f aca="false">B11*$E$2</f>
        <v>5.6</v>
      </c>
      <c r="F11" s="13" t="s">
        <v>43</v>
      </c>
      <c r="G11" s="13" t="s">
        <v>43</v>
      </c>
      <c r="H11" s="13" t="s">
        <v>43</v>
      </c>
      <c r="I11" s="13" t="s">
        <v>43</v>
      </c>
      <c r="J11" s="11" t="n">
        <v>125.62</v>
      </c>
      <c r="K11" s="11" t="n">
        <v>122.89</v>
      </c>
      <c r="L11" s="5" t="n">
        <v>5.4352</v>
      </c>
      <c r="M11" s="9" t="n">
        <v>200</v>
      </c>
      <c r="N11" s="9" t="n">
        <v>0.027176</v>
      </c>
      <c r="O11" s="9" t="n">
        <v>6988</v>
      </c>
      <c r="P11" s="7" t="n">
        <v>118.16</v>
      </c>
      <c r="Q11" s="7" t="n">
        <v>115.52</v>
      </c>
      <c r="R11" s="12" t="n">
        <v>3.2582</v>
      </c>
      <c r="S11" s="9" t="n">
        <v>200</v>
      </c>
      <c r="T11" s="8" t="n">
        <v>0.016291</v>
      </c>
      <c r="U11" s="8" t="n">
        <v>3813</v>
      </c>
      <c r="V11" s="0" t="n">
        <v>5.45165</v>
      </c>
    </row>
    <row r="13" customFormat="false" ht="14.4" hidden="false" customHeight="false" outlineLevel="0" collapsed="false">
      <c r="A13" s="14" t="n">
        <v>41988</v>
      </c>
    </row>
    <row r="14" customFormat="false" ht="14.4" hidden="false" customHeight="false" outlineLevel="0" collapsed="false">
      <c r="A14" s="0" t="s">
        <v>1</v>
      </c>
      <c r="B14" s="0" t="s">
        <v>3</v>
      </c>
      <c r="C14" s="0" t="s">
        <v>5</v>
      </c>
      <c r="D14" s="0" t="s">
        <v>7</v>
      </c>
      <c r="E14" s="0" t="s">
        <v>9</v>
      </c>
      <c r="F14" s="0" t="s">
        <v>11</v>
      </c>
      <c r="G14" s="0" t="s">
        <v>13</v>
      </c>
      <c r="H14" s="0" t="s">
        <v>15</v>
      </c>
      <c r="I14" s="0" t="s">
        <v>17</v>
      </c>
      <c r="J14" s="0" t="s">
        <v>18</v>
      </c>
      <c r="K14" s="0" t="s">
        <v>20</v>
      </c>
      <c r="L14" s="0" t="s">
        <v>22</v>
      </c>
      <c r="M14" s="0" t="s">
        <v>24</v>
      </c>
      <c r="N14" s="0" t="s">
        <v>26</v>
      </c>
      <c r="O14" s="0" t="s">
        <v>28</v>
      </c>
      <c r="P14" s="0" t="s">
        <v>30</v>
      </c>
      <c r="Q14" s="0" t="s">
        <v>32</v>
      </c>
      <c r="R14" s="0" t="s">
        <v>34</v>
      </c>
      <c r="S14" s="0" t="s">
        <v>35</v>
      </c>
      <c r="T14" s="0" t="s">
        <v>36</v>
      </c>
      <c r="U14" s="0" t="s">
        <v>37</v>
      </c>
      <c r="V14" s="0" t="s">
        <v>38</v>
      </c>
    </row>
    <row r="15" customFormat="false" ht="14.4" hidden="false" customHeight="false" outlineLevel="0" collapsed="false">
      <c r="A15" s="0" t="s">
        <v>48</v>
      </c>
      <c r="B15" s="0" t="n">
        <v>1</v>
      </c>
      <c r="C15" s="0" t="n">
        <v>1</v>
      </c>
      <c r="D15" s="0" t="n">
        <v>1</v>
      </c>
      <c r="E15" s="0" t="n">
        <v>0</v>
      </c>
      <c r="F15" s="0" t="s">
        <v>43</v>
      </c>
      <c r="G15" s="0" t="s">
        <v>43</v>
      </c>
      <c r="H15" s="0" t="s">
        <v>43</v>
      </c>
      <c r="I15" s="0" t="s">
        <v>43</v>
      </c>
      <c r="J15" s="15" t="n">
        <v>3.9749</v>
      </c>
      <c r="K15" s="15" t="n">
        <v>3.5697</v>
      </c>
      <c r="L15" s="15" t="n">
        <v>84.722</v>
      </c>
      <c r="M15" s="0" t="n">
        <v>200</v>
      </c>
      <c r="N15" s="0" t="n">
        <v>0.42361</v>
      </c>
      <c r="O15" s="0" t="n">
        <v>475</v>
      </c>
      <c r="P15" s="15" t="n">
        <v>2.0374</v>
      </c>
      <c r="Q15" s="15" t="n">
        <v>1.8765</v>
      </c>
      <c r="R15" s="15" t="n">
        <v>28.513</v>
      </c>
      <c r="S15" s="0" t="n">
        <v>143</v>
      </c>
      <c r="T15" s="0" t="n">
        <v>0.199391608391608</v>
      </c>
      <c r="U15" s="0" t="n">
        <v>342</v>
      </c>
      <c r="V15" s="0" t="s">
        <v>43</v>
      </c>
    </row>
    <row r="16" customFormat="false" ht="14.4" hidden="false" customHeight="false" outlineLevel="0" collapsed="false">
      <c r="A16" s="0" t="s">
        <v>48</v>
      </c>
      <c r="B16" s="0" t="n">
        <v>1</v>
      </c>
      <c r="C16" s="0" t="n">
        <v>2</v>
      </c>
      <c r="D16" s="0" t="n">
        <v>2</v>
      </c>
      <c r="E16" s="0" t="n">
        <v>0</v>
      </c>
      <c r="F16" s="0" t="s">
        <v>43</v>
      </c>
      <c r="G16" s="0" t="s">
        <v>43</v>
      </c>
      <c r="H16" s="0" t="s">
        <v>43</v>
      </c>
      <c r="I16" s="0" t="s">
        <v>43</v>
      </c>
      <c r="J16" s="15" t="n">
        <v>3.3702</v>
      </c>
      <c r="K16" s="15" t="n">
        <v>3.1486</v>
      </c>
      <c r="L16" s="15" t="n">
        <v>42.995</v>
      </c>
      <c r="M16" s="0" t="n">
        <v>200</v>
      </c>
      <c r="N16" s="0" t="n">
        <v>0.214975</v>
      </c>
      <c r="O16" s="0" t="n">
        <v>935</v>
      </c>
      <c r="P16" s="15" t="n">
        <v>1.8248</v>
      </c>
      <c r="Q16" s="15" t="n">
        <v>1.7149</v>
      </c>
      <c r="R16" s="15" t="n">
        <v>18.413</v>
      </c>
      <c r="S16" s="0" t="n">
        <v>166</v>
      </c>
      <c r="T16" s="0" t="n">
        <v>0.110921686746987</v>
      </c>
      <c r="U16" s="0" t="n">
        <v>613</v>
      </c>
      <c r="V16" s="0" t="s">
        <v>43</v>
      </c>
    </row>
    <row r="17" customFormat="false" ht="14.4" hidden="false" customHeight="false" outlineLevel="0" collapsed="false">
      <c r="A17" s="0" t="s">
        <v>48</v>
      </c>
      <c r="B17" s="0" t="n">
        <v>1</v>
      </c>
      <c r="C17" s="0" t="n">
        <v>4</v>
      </c>
      <c r="D17" s="0" t="n">
        <v>4</v>
      </c>
      <c r="E17" s="0" t="n">
        <v>0</v>
      </c>
      <c r="F17" s="0" t="s">
        <v>43</v>
      </c>
      <c r="G17" s="0" t="s">
        <v>43</v>
      </c>
      <c r="H17" s="0" t="s">
        <v>43</v>
      </c>
      <c r="I17" s="0" t="s">
        <v>43</v>
      </c>
      <c r="J17" s="15" t="n">
        <v>2.2887</v>
      </c>
      <c r="K17" s="15" t="n">
        <v>2.0979</v>
      </c>
      <c r="L17" s="15" t="n">
        <v>23.157</v>
      </c>
      <c r="M17" s="0" t="n">
        <v>200</v>
      </c>
      <c r="N17" s="0" t="n">
        <v>0.115785</v>
      </c>
      <c r="O17" s="0" t="n">
        <v>1735</v>
      </c>
      <c r="P17" s="15" t="n">
        <v>1.0657</v>
      </c>
      <c r="Q17" s="15" t="n">
        <v>0.99797</v>
      </c>
      <c r="R17" s="15" t="n">
        <v>10.844</v>
      </c>
      <c r="S17" s="0" t="n">
        <v>169</v>
      </c>
      <c r="T17" s="0" t="n">
        <v>0.0641656804733727</v>
      </c>
      <c r="U17" s="0" t="n">
        <v>1058</v>
      </c>
      <c r="V17" s="0" t="s">
        <v>43</v>
      </c>
    </row>
    <row r="18" customFormat="false" ht="14.4" hidden="false" customHeight="false" outlineLevel="0" collapsed="false">
      <c r="A18" s="0" t="s">
        <v>48</v>
      </c>
      <c r="B18" s="0" t="n">
        <v>1</v>
      </c>
      <c r="C18" s="0" t="n">
        <v>8</v>
      </c>
      <c r="D18" s="0" t="n">
        <v>8</v>
      </c>
      <c r="E18" s="0" t="n">
        <v>0</v>
      </c>
      <c r="F18" s="0" t="s">
        <v>43</v>
      </c>
      <c r="G18" s="0" t="s">
        <v>43</v>
      </c>
      <c r="H18" s="0" t="s">
        <v>43</v>
      </c>
      <c r="I18" s="0" t="s">
        <v>43</v>
      </c>
      <c r="J18" s="15" t="n">
        <v>1.583</v>
      </c>
      <c r="K18" s="15" t="n">
        <v>1.4754</v>
      </c>
      <c r="L18" s="15" t="n">
        <v>13.924</v>
      </c>
      <c r="M18" s="0" t="n">
        <v>200</v>
      </c>
      <c r="N18" s="0" t="n">
        <v>0.06962</v>
      </c>
      <c r="O18" s="0" t="n">
        <v>2875</v>
      </c>
      <c r="P18" s="15" t="n">
        <v>0.77886</v>
      </c>
      <c r="Q18" s="15" t="n">
        <v>0.72243</v>
      </c>
      <c r="R18" s="15" t="n">
        <v>9.423</v>
      </c>
      <c r="S18" s="0" t="n">
        <v>199</v>
      </c>
      <c r="T18" s="0" t="n">
        <v>0.0473517587939698</v>
      </c>
      <c r="U18" s="0" t="n">
        <v>1426</v>
      </c>
      <c r="V18" s="0" t="s">
        <v>43</v>
      </c>
    </row>
    <row r="19" customFormat="false" ht="14.4" hidden="false" customHeight="false" outlineLevel="0" collapsed="false">
      <c r="A19" s="0" t="s">
        <v>48</v>
      </c>
      <c r="B19" s="0" t="n">
        <v>2</v>
      </c>
      <c r="C19" s="0" t="n">
        <v>8</v>
      </c>
      <c r="D19" s="0" t="n">
        <v>16</v>
      </c>
      <c r="E19" s="0" t="n">
        <v>0</v>
      </c>
      <c r="F19" s="0" t="s">
        <v>43</v>
      </c>
      <c r="G19" s="0" t="s">
        <v>43</v>
      </c>
      <c r="H19" s="0" t="s">
        <v>43</v>
      </c>
      <c r="I19" s="0" t="s">
        <v>43</v>
      </c>
      <c r="J19" s="15" t="n">
        <v>15.838</v>
      </c>
      <c r="K19" s="15" t="n">
        <v>13.289</v>
      </c>
      <c r="L19" s="15" t="n">
        <v>30.076</v>
      </c>
      <c r="M19" s="0" t="n">
        <v>400</v>
      </c>
      <c r="N19" s="0" t="n">
        <v>0.07519</v>
      </c>
      <c r="O19" s="0" t="n">
        <v>2654</v>
      </c>
      <c r="P19" s="15" t="n">
        <v>13.233</v>
      </c>
      <c r="Q19" s="15" t="n">
        <v>10.705</v>
      </c>
      <c r="R19" s="15" t="n">
        <v>5.4653</v>
      </c>
      <c r="S19" s="0" t="n">
        <v>192</v>
      </c>
      <c r="T19" s="0" t="n">
        <v>0.0284651041666666</v>
      </c>
      <c r="U19" s="0" t="n">
        <v>2344</v>
      </c>
      <c r="V19" s="0" t="s">
        <v>43</v>
      </c>
    </row>
    <row r="20" customFormat="false" ht="14.4" hidden="false" customHeight="false" outlineLevel="0" collapsed="false">
      <c r="A20" s="0" t="s">
        <v>48</v>
      </c>
      <c r="B20" s="0" t="n">
        <v>4</v>
      </c>
      <c r="C20" s="0" t="n">
        <v>8</v>
      </c>
      <c r="D20" s="0" t="n">
        <v>32</v>
      </c>
      <c r="E20" s="0" t="n">
        <v>0</v>
      </c>
      <c r="F20" s="0" t="s">
        <v>43</v>
      </c>
      <c r="G20" s="0" t="s">
        <v>43</v>
      </c>
      <c r="H20" s="0" t="s">
        <v>43</v>
      </c>
      <c r="I20" s="0" t="s">
        <v>43</v>
      </c>
      <c r="J20" s="15" t="n">
        <v>51.501</v>
      </c>
      <c r="K20" s="15" t="n">
        <v>48.887</v>
      </c>
      <c r="L20" s="15" t="n">
        <v>14.27</v>
      </c>
      <c r="M20" s="0" t="n">
        <v>400</v>
      </c>
      <c r="N20" s="0" t="n">
        <v>0.035675</v>
      </c>
      <c r="O20" s="0" t="n">
        <v>5516</v>
      </c>
      <c r="P20" s="15" t="n">
        <v>46.79</v>
      </c>
      <c r="Q20" s="15" t="n">
        <v>44.268</v>
      </c>
      <c r="R20" s="15" t="n">
        <v>4.4349</v>
      </c>
      <c r="S20" s="0" t="n">
        <v>200</v>
      </c>
      <c r="T20" s="0" t="n">
        <v>0.0221745</v>
      </c>
      <c r="U20" s="0" t="n">
        <v>2941</v>
      </c>
      <c r="V20" s="0" t="s">
        <v>43</v>
      </c>
    </row>
    <row r="21" customFormat="false" ht="14.4" hidden="false" customHeight="false" outlineLevel="0" collapsed="false">
      <c r="A21" s="0" t="s">
        <v>48</v>
      </c>
      <c r="B21" s="0" t="n">
        <v>8</v>
      </c>
      <c r="C21" s="0" t="n">
        <v>8</v>
      </c>
      <c r="D21" s="0" t="n">
        <v>64</v>
      </c>
      <c r="E21" s="0" t="n">
        <v>0</v>
      </c>
      <c r="F21" s="0" t="s">
        <v>43</v>
      </c>
      <c r="G21" s="0" t="s">
        <v>43</v>
      </c>
      <c r="H21" s="0" t="s">
        <v>43</v>
      </c>
      <c r="I21" s="0" t="s">
        <v>43</v>
      </c>
      <c r="J21" s="15" t="n">
        <v>127.99</v>
      </c>
      <c r="K21" s="15" t="n">
        <v>125.35</v>
      </c>
      <c r="L21" s="15" t="n">
        <v>18.315</v>
      </c>
      <c r="M21" s="0" t="n">
        <v>800</v>
      </c>
      <c r="N21" s="0" t="n">
        <v>0.02289375</v>
      </c>
      <c r="O21" s="0" t="n">
        <v>8356</v>
      </c>
      <c r="P21" s="15" t="n">
        <v>121.32</v>
      </c>
      <c r="Q21" s="15" t="n">
        <v>118.71</v>
      </c>
      <c r="R21" s="15" t="n">
        <v>3.4196</v>
      </c>
      <c r="S21" s="0" t="n">
        <v>314</v>
      </c>
      <c r="T21" s="0" t="n">
        <v>0.0108904458598726</v>
      </c>
      <c r="U21" s="0" t="n">
        <v>5723</v>
      </c>
      <c r="V21" s="0" t="s">
        <v>43</v>
      </c>
    </row>
    <row r="40" customFormat="false" ht="14.4" hidden="false" customHeight="false" outlineLevel="0" collapsed="false">
      <c r="D40" s="0" t="s">
        <v>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" min="1" style="0" width="12.1133603238866"/>
    <col collapsed="false" hidden="false" max="2" min="2" style="0" width="10.6599190283401"/>
    <col collapsed="false" hidden="false" max="3" min="3" style="0" width="9.99595141700405"/>
    <col collapsed="false" hidden="false" max="4" min="4" style="0" width="12.8906882591093"/>
    <col collapsed="false" hidden="false" max="5" min="5" style="0" width="7.4412955465587"/>
    <col collapsed="false" hidden="false" max="6" min="6" style="0" width="14.8906882591093"/>
    <col collapsed="false" hidden="false" max="7" min="7" style="0" width="23.668016194332"/>
    <col collapsed="false" hidden="false" max="8" min="8" style="0" width="11.1133603238866"/>
    <col collapsed="false" hidden="false" max="9" min="9" style="0" width="20.004048582996"/>
    <col collapsed="false" hidden="false" max="10" min="10" style="0" width="13.9959514170041"/>
    <col collapsed="false" hidden="false" max="11" min="11" style="0" width="15.6599190283401"/>
    <col collapsed="false" hidden="false" max="13" min="12" style="0" width="16.331983805668"/>
    <col collapsed="false" hidden="false" max="14" min="14" style="0" width="15.8906882591093"/>
    <col collapsed="false" hidden="false" max="15" min="15" style="0" width="13.8906882591093"/>
    <col collapsed="false" hidden="false" max="16" min="16" style="0" width="16.1093117408907"/>
    <col collapsed="false" hidden="false" max="17" min="17" style="0" width="18.004048582996"/>
    <col collapsed="false" hidden="false" max="19" min="18" style="0" width="18.5546558704453"/>
    <col collapsed="false" hidden="false" max="20" min="20" style="0" width="18.1093117408907"/>
    <col collapsed="false" hidden="false" max="21" min="21" style="0" width="16.004048582996"/>
    <col collapsed="false" hidden="false" max="22" min="22" style="0" width="14.5546558704453"/>
    <col collapsed="false" hidden="false" max="1025" min="23" style="0" width="8.5748987854251"/>
  </cols>
  <sheetData>
    <row r="1" customFormat="false" ht="14.4" hidden="false" customHeight="false" outlineLevel="0" collapsed="false">
      <c r="A1" s="0" t="s">
        <v>1</v>
      </c>
      <c r="B1" s="0" t="s">
        <v>3</v>
      </c>
      <c r="C1" s="0" t="s">
        <v>5</v>
      </c>
      <c r="D1" s="0" t="s">
        <v>7</v>
      </c>
      <c r="E1" s="0" t="s">
        <v>9</v>
      </c>
      <c r="F1" s="10" t="s">
        <v>11</v>
      </c>
      <c r="G1" s="10" t="s">
        <v>13</v>
      </c>
      <c r="H1" s="10" t="s">
        <v>15</v>
      </c>
      <c r="I1" s="10" t="s">
        <v>17</v>
      </c>
      <c r="J1" s="3" t="s">
        <v>18</v>
      </c>
      <c r="K1" s="3" t="s">
        <v>20</v>
      </c>
      <c r="L1" s="3" t="s">
        <v>22</v>
      </c>
      <c r="M1" s="3" t="s">
        <v>24</v>
      </c>
      <c r="N1" s="3" t="s">
        <v>26</v>
      </c>
      <c r="O1" s="3" t="s">
        <v>28</v>
      </c>
      <c r="P1" s="4" t="s">
        <v>30</v>
      </c>
      <c r="Q1" s="4" t="s">
        <v>32</v>
      </c>
      <c r="R1" s="4" t="s">
        <v>34</v>
      </c>
      <c r="S1" s="4" t="s">
        <v>35</v>
      </c>
      <c r="T1" s="4" t="s">
        <v>36</v>
      </c>
      <c r="U1" s="4" t="s">
        <v>37</v>
      </c>
      <c r="V1" s="0" t="s">
        <v>38</v>
      </c>
    </row>
    <row r="2" customFormat="false" ht="14.4" hidden="false" customHeight="false" outlineLevel="0" collapsed="false">
      <c r="A2" s="0" t="s">
        <v>50</v>
      </c>
      <c r="B2" s="0" t="n">
        <v>1</v>
      </c>
      <c r="C2" s="0" t="n">
        <v>1</v>
      </c>
      <c r="D2" s="0" t="n">
        <v>1</v>
      </c>
      <c r="E2" s="0" t="n">
        <v>2.379</v>
      </c>
      <c r="F2" s="1" t="s">
        <v>43</v>
      </c>
      <c r="G2" s="1" t="s">
        <v>43</v>
      </c>
      <c r="H2" s="1" t="s">
        <v>43</v>
      </c>
      <c r="I2" s="1" t="s">
        <v>43</v>
      </c>
      <c r="J2" s="11" t="n">
        <v>1.7545</v>
      </c>
      <c r="K2" s="11" t="n">
        <v>1.5748</v>
      </c>
      <c r="L2" s="11" t="n">
        <v>38.858</v>
      </c>
      <c r="M2" s="6" t="n">
        <v>200</v>
      </c>
      <c r="N2" s="6" t="n">
        <v>0.19429</v>
      </c>
      <c r="O2" s="6" t="n">
        <v>1036</v>
      </c>
      <c r="P2" s="7" t="n">
        <v>0.59078</v>
      </c>
      <c r="Q2" s="7" t="n">
        <v>0.53111</v>
      </c>
      <c r="R2" s="7" t="n">
        <v>8.9598</v>
      </c>
      <c r="S2" s="8" t="n">
        <v>143</v>
      </c>
      <c r="T2" s="8" t="n">
        <v>0.062655944055944</v>
      </c>
      <c r="U2" s="8" t="n">
        <v>1089</v>
      </c>
      <c r="V2" s="0" t="n">
        <v>0.761287</v>
      </c>
    </row>
    <row r="3" customFormat="false" ht="14.4" hidden="false" customHeight="false" outlineLevel="0" collapsed="false">
      <c r="A3" s="0" t="s">
        <v>50</v>
      </c>
      <c r="B3" s="0" t="n">
        <v>1</v>
      </c>
      <c r="C3" s="0" t="n">
        <v>2</v>
      </c>
      <c r="D3" s="0" t="n">
        <v>2</v>
      </c>
      <c r="E3" s="0" t="n">
        <v>2.379</v>
      </c>
      <c r="F3" s="1" t="s">
        <v>43</v>
      </c>
      <c r="G3" s="1" t="s">
        <v>43</v>
      </c>
      <c r="H3" s="1" t="s">
        <v>43</v>
      </c>
      <c r="I3" s="1" t="s">
        <v>43</v>
      </c>
      <c r="J3" s="11" t="n">
        <v>1.4768</v>
      </c>
      <c r="K3" s="11" t="n">
        <v>1.3777</v>
      </c>
      <c r="L3" s="11" t="n">
        <v>20.452</v>
      </c>
      <c r="M3" s="6" t="n">
        <v>200</v>
      </c>
      <c r="N3" s="6" t="n">
        <v>0.10226</v>
      </c>
      <c r="O3" s="6" t="n">
        <v>1966</v>
      </c>
      <c r="P3" s="7" t="n">
        <v>0.50242</v>
      </c>
      <c r="Q3" s="7" t="n">
        <v>0.46718</v>
      </c>
      <c r="R3" s="7" t="n">
        <v>5.2964</v>
      </c>
      <c r="S3" s="8" t="n">
        <v>166</v>
      </c>
      <c r="T3" s="8" t="n">
        <v>0.0319060240963855</v>
      </c>
      <c r="U3" s="8" t="n">
        <v>2131</v>
      </c>
      <c r="V3" s="0" t="n">
        <v>1.39091</v>
      </c>
    </row>
    <row r="4" customFormat="false" ht="14.4" hidden="false" customHeight="false" outlineLevel="0" collapsed="false">
      <c r="A4" s="0" t="s">
        <v>50</v>
      </c>
      <c r="B4" s="0" t="n">
        <v>1</v>
      </c>
      <c r="C4" s="0" t="n">
        <v>4</v>
      </c>
      <c r="D4" s="0" t="n">
        <v>4</v>
      </c>
      <c r="E4" s="0" t="n">
        <v>2.379</v>
      </c>
      <c r="F4" s="1" t="s">
        <v>43</v>
      </c>
      <c r="G4" s="1" t="s">
        <v>43</v>
      </c>
      <c r="H4" s="1" t="s">
        <v>43</v>
      </c>
      <c r="I4" s="1" t="s">
        <v>43</v>
      </c>
      <c r="J4" s="11" t="n">
        <v>0.98324</v>
      </c>
      <c r="K4" s="11" t="n">
        <v>0.92035</v>
      </c>
      <c r="L4" s="11" t="n">
        <v>11.461</v>
      </c>
      <c r="M4" s="6" t="n">
        <v>200</v>
      </c>
      <c r="N4" s="6" t="n">
        <v>0.057305</v>
      </c>
      <c r="O4" s="6" t="n">
        <v>3506</v>
      </c>
      <c r="P4" s="7" t="n">
        <v>0.33721</v>
      </c>
      <c r="Q4" s="7" t="n">
        <v>0.31106</v>
      </c>
      <c r="R4" s="7" t="n">
        <v>2.87</v>
      </c>
      <c r="S4" s="8" t="n">
        <v>169</v>
      </c>
      <c r="T4" s="8" t="n">
        <v>0.01698224852071</v>
      </c>
      <c r="U4" s="8" t="n">
        <v>3999</v>
      </c>
      <c r="V4" s="0" t="n">
        <v>2.43654</v>
      </c>
    </row>
    <row r="5" customFormat="false" ht="14.4" hidden="false" customHeight="false" outlineLevel="0" collapsed="false">
      <c r="A5" s="9" t="s">
        <v>50</v>
      </c>
      <c r="B5" s="9" t="n">
        <v>1</v>
      </c>
      <c r="C5" s="9" t="n">
        <v>8</v>
      </c>
      <c r="D5" s="9" t="n">
        <v>8</v>
      </c>
      <c r="E5" s="0" t="n">
        <v>2.379</v>
      </c>
      <c r="F5" s="1" t="s">
        <v>43</v>
      </c>
      <c r="G5" s="1" t="s">
        <v>43</v>
      </c>
      <c r="H5" s="1" t="s">
        <v>43</v>
      </c>
      <c r="I5" s="1" t="s">
        <v>43</v>
      </c>
      <c r="J5" s="9" t="n">
        <v>0.75581</v>
      </c>
      <c r="K5" s="9" t="n">
        <v>0.70384</v>
      </c>
      <c r="L5" s="9" t="n">
        <v>7.7927</v>
      </c>
      <c r="M5" s="9" t="n">
        <v>200</v>
      </c>
      <c r="N5" s="9" t="n">
        <v>0.0389635</v>
      </c>
      <c r="O5" s="9" t="n">
        <v>5137</v>
      </c>
      <c r="P5" s="16" t="n">
        <v>0.26619</v>
      </c>
      <c r="Q5" s="16" t="n">
        <v>0.23762</v>
      </c>
      <c r="R5" s="16" t="n">
        <v>2.1784</v>
      </c>
      <c r="S5" s="13" t="n">
        <v>199</v>
      </c>
      <c r="T5" s="8" t="n">
        <v>0.0109467336683417</v>
      </c>
      <c r="U5" s="8" t="n">
        <v>6170</v>
      </c>
      <c r="V5" s="0" t="n">
        <v>3.61416</v>
      </c>
    </row>
    <row r="6" customFormat="false" ht="14.4" hidden="false" customHeight="false" outlineLevel="0" collapsed="false">
      <c r="A6" s="0" t="s">
        <v>50</v>
      </c>
      <c r="B6" s="0" t="n">
        <v>2</v>
      </c>
      <c r="C6" s="0" t="n">
        <v>1</v>
      </c>
      <c r="D6" s="0" t="n">
        <v>2</v>
      </c>
      <c r="E6" s="0" t="n">
        <f aca="false">2*E2</f>
        <v>4.758</v>
      </c>
      <c r="F6" s="1" t="n">
        <v>3647.545</v>
      </c>
      <c r="G6" s="1" t="n">
        <v>0.367</v>
      </c>
      <c r="H6" s="1" t="n">
        <v>2.782</v>
      </c>
      <c r="I6" s="1" t="n">
        <v>0.181</v>
      </c>
      <c r="J6" s="11" t="n">
        <v>1.5144</v>
      </c>
      <c r="K6" s="11" t="n">
        <v>1.416</v>
      </c>
      <c r="L6" s="11" t="n">
        <v>38.245</v>
      </c>
      <c r="M6" s="6" t="n">
        <v>400</v>
      </c>
      <c r="N6" s="6" t="n">
        <v>0.0956124999999999</v>
      </c>
      <c r="O6" s="6" t="n">
        <v>2114</v>
      </c>
      <c r="P6" s="7" t="n">
        <v>0.54195</v>
      </c>
      <c r="Q6" s="7" t="n">
        <v>0.48243</v>
      </c>
      <c r="R6" s="7" t="n">
        <v>5.2791</v>
      </c>
      <c r="S6" s="8" t="n">
        <v>166</v>
      </c>
      <c r="T6" s="8" t="n">
        <v>0.0318018072289156</v>
      </c>
      <c r="U6" s="8" t="n">
        <v>2138</v>
      </c>
      <c r="V6" s="0" t="n">
        <v>1.49999</v>
      </c>
    </row>
    <row r="7" s="13" customFormat="true" ht="14.4" hidden="false" customHeight="false" outlineLevel="0" collapsed="false">
      <c r="A7" s="13" t="s">
        <v>50</v>
      </c>
      <c r="B7" s="13" t="n">
        <v>2</v>
      </c>
      <c r="C7" s="13" t="n">
        <v>8</v>
      </c>
      <c r="D7" s="13" t="n">
        <v>16</v>
      </c>
      <c r="E7" s="13" t="n">
        <f aca="false">2*E3</f>
        <v>4.758</v>
      </c>
      <c r="F7" s="1" t="s">
        <v>43</v>
      </c>
      <c r="G7" s="1" t="s">
        <v>43</v>
      </c>
      <c r="H7" s="1" t="s">
        <v>43</v>
      </c>
      <c r="I7" s="1" t="s">
        <v>43</v>
      </c>
      <c r="J7" s="13" t="n">
        <v>0.67107</v>
      </c>
      <c r="K7" s="13" t="n">
        <v>0.62272</v>
      </c>
      <c r="L7" s="13" t="n">
        <v>7.146</v>
      </c>
      <c r="M7" s="13" t="n">
        <v>400</v>
      </c>
      <c r="N7" s="13" t="n">
        <v>0.017865</v>
      </c>
      <c r="O7" s="13" t="n">
        <v>11171</v>
      </c>
      <c r="P7" s="16" t="n">
        <v>0.25935</v>
      </c>
      <c r="Q7" s="16" t="n">
        <v>0.22702</v>
      </c>
      <c r="R7" s="16" t="n">
        <v>1.0777</v>
      </c>
      <c r="S7" s="13" t="n">
        <v>192</v>
      </c>
      <c r="T7" s="13" t="n">
        <v>0.00561302083333333</v>
      </c>
      <c r="U7" s="13" t="n">
        <v>11886</v>
      </c>
      <c r="V7" s="13" t="n">
        <v>6.91212</v>
      </c>
    </row>
    <row r="8" customFormat="false" ht="14.4" hidden="false" customHeight="false" outlineLevel="0" collapsed="false">
      <c r="A8" s="0" t="s">
        <v>50</v>
      </c>
      <c r="B8" s="0" t="n">
        <v>4</v>
      </c>
      <c r="C8" s="0" t="n">
        <v>1</v>
      </c>
      <c r="D8" s="0" t="n">
        <v>4</v>
      </c>
      <c r="E8" s="0" t="n">
        <f aca="false">B8*E2</f>
        <v>9.516</v>
      </c>
      <c r="F8" s="1" t="n">
        <v>3643.685</v>
      </c>
      <c r="G8" s="1" t="n">
        <v>4.031</v>
      </c>
      <c r="H8" s="1" t="n">
        <v>2.896</v>
      </c>
      <c r="I8" s="1" t="n">
        <v>0.223</v>
      </c>
      <c r="J8" s="11" t="n">
        <v>1.0198</v>
      </c>
      <c r="K8" s="11" t="n">
        <v>0.96204</v>
      </c>
      <c r="L8" s="11" t="n">
        <v>19.643</v>
      </c>
      <c r="M8" s="6" t="n">
        <v>400</v>
      </c>
      <c r="N8" s="6" t="n">
        <v>0.0491075</v>
      </c>
      <c r="O8" s="6" t="n">
        <v>4112</v>
      </c>
      <c r="P8" s="7" t="n">
        <v>0.37996</v>
      </c>
      <c r="Q8" s="7" t="n">
        <v>0.33026</v>
      </c>
      <c r="R8" s="7" t="n">
        <v>2.5775</v>
      </c>
      <c r="S8" s="8" t="n">
        <v>169</v>
      </c>
      <c r="T8" s="8" t="n">
        <v>0.0152514792899408</v>
      </c>
      <c r="U8" s="8" t="n">
        <v>4453</v>
      </c>
      <c r="V8" s="0" t="n">
        <v>2.98113</v>
      </c>
    </row>
    <row r="9" s="13" customFormat="true" ht="14.4" hidden="false" customHeight="false" outlineLevel="0" collapsed="false">
      <c r="A9" s="13" t="s">
        <v>50</v>
      </c>
      <c r="B9" s="13" t="n">
        <v>4</v>
      </c>
      <c r="C9" s="13" t="n">
        <v>8</v>
      </c>
      <c r="D9" s="13" t="n">
        <v>32</v>
      </c>
      <c r="E9" s="13" t="n">
        <f aca="false">B9*E3</f>
        <v>9.516</v>
      </c>
      <c r="F9" s="1" t="s">
        <v>43</v>
      </c>
      <c r="G9" s="1" t="s">
        <v>43</v>
      </c>
      <c r="H9" s="1" t="s">
        <v>43</v>
      </c>
      <c r="I9" s="1" t="s">
        <v>43</v>
      </c>
      <c r="J9" s="13" t="n">
        <v>0.64701</v>
      </c>
      <c r="K9" s="13" t="n">
        <v>0.60398</v>
      </c>
      <c r="L9" s="13" t="n">
        <v>3.5244</v>
      </c>
      <c r="M9" s="13" t="n">
        <v>400</v>
      </c>
      <c r="N9" s="13" t="n">
        <v>0.008811</v>
      </c>
      <c r="O9" s="13" t="n">
        <v>22332</v>
      </c>
      <c r="P9" s="17" t="n">
        <v>0.27156</v>
      </c>
      <c r="Q9" s="17" t="n">
        <v>0.23734</v>
      </c>
      <c r="R9" s="17" t="n">
        <v>0.59913</v>
      </c>
      <c r="S9" s="9" t="n">
        <v>200</v>
      </c>
      <c r="T9" s="9" t="n">
        <v>0.00299565</v>
      </c>
      <c r="U9" s="9" t="n">
        <v>21768</v>
      </c>
      <c r="V9" s="9" t="n">
        <v>14.2245</v>
      </c>
    </row>
    <row r="10" customFormat="false" ht="14.4" hidden="false" customHeight="false" outlineLevel="0" collapsed="false">
      <c r="A10" s="0" t="s">
        <v>50</v>
      </c>
      <c r="B10" s="0" t="n">
        <v>8</v>
      </c>
      <c r="C10" s="0" t="n">
        <v>1</v>
      </c>
      <c r="D10" s="0" t="n">
        <v>8</v>
      </c>
      <c r="E10" s="0" t="n">
        <f aca="false">B10*E2</f>
        <v>19.032</v>
      </c>
      <c r="F10" s="1" t="n">
        <v>3642.621</v>
      </c>
      <c r="G10" s="1" t="n">
        <v>5.984</v>
      </c>
      <c r="H10" s="1" t="n">
        <v>3.065</v>
      </c>
      <c r="I10" s="1" t="n">
        <v>0.248</v>
      </c>
      <c r="J10" s="11" t="n">
        <v>0.78825</v>
      </c>
      <c r="K10" s="11" t="n">
        <v>0.74761</v>
      </c>
      <c r="L10" s="11" t="n">
        <v>19.818</v>
      </c>
      <c r="M10" s="6" t="n">
        <v>800</v>
      </c>
      <c r="N10" s="6" t="n">
        <v>0.0247725</v>
      </c>
      <c r="O10" s="6" t="n">
        <v>8135</v>
      </c>
      <c r="P10" s="7" t="n">
        <v>0.27457</v>
      </c>
      <c r="Q10" s="7" t="n">
        <v>0.25629</v>
      </c>
      <c r="R10" s="7" t="n">
        <v>1.5111</v>
      </c>
      <c r="S10" s="8" t="n">
        <v>199</v>
      </c>
      <c r="T10" s="8" t="n">
        <v>0.00759346733668341</v>
      </c>
      <c r="U10" s="8" t="n">
        <v>8895</v>
      </c>
      <c r="V10" s="0" t="n">
        <v>5.9399</v>
      </c>
    </row>
    <row r="11" s="13" customFormat="true" ht="14.4" hidden="false" customHeight="false" outlineLevel="0" collapsed="false">
      <c r="A11" s="13" t="s">
        <v>50</v>
      </c>
      <c r="B11" s="13" t="n">
        <v>8</v>
      </c>
      <c r="C11" s="13" t="n">
        <v>8</v>
      </c>
      <c r="D11" s="13" t="n">
        <v>64</v>
      </c>
      <c r="E11" s="13" t="n">
        <f aca="false">B11*E3</f>
        <v>19.032</v>
      </c>
      <c r="F11" s="1" t="s">
        <v>43</v>
      </c>
      <c r="G11" s="1" t="s">
        <v>43</v>
      </c>
      <c r="H11" s="1" t="s">
        <v>43</v>
      </c>
      <c r="I11" s="1" t="s">
        <v>43</v>
      </c>
      <c r="J11" s="13" t="n">
        <v>0.91278</v>
      </c>
      <c r="K11" s="13" t="n">
        <v>0.69353</v>
      </c>
      <c r="L11" s="13" t="n">
        <v>4.1317</v>
      </c>
      <c r="M11" s="13" t="n">
        <v>800</v>
      </c>
      <c r="N11" s="13" t="n">
        <v>0.005164625</v>
      </c>
      <c r="O11" s="13" t="n">
        <v>37040</v>
      </c>
      <c r="P11" s="16" t="n">
        <v>0.3516</v>
      </c>
      <c r="Q11" s="16" t="n">
        <v>0.32189</v>
      </c>
      <c r="R11" s="16" t="n">
        <v>0.72466</v>
      </c>
      <c r="S11" s="13" t="n">
        <v>314</v>
      </c>
      <c r="T11" s="13" t="n">
        <v>0.00230783439490445</v>
      </c>
      <c r="U11" s="13" t="n">
        <v>27006</v>
      </c>
      <c r="V11" s="13" t="n">
        <v>27.429</v>
      </c>
    </row>
    <row r="15" customFormat="false" ht="14.4" hidden="false" customHeight="false" outlineLevel="0" collapsed="false">
      <c r="A15" s="0" t="s">
        <v>51</v>
      </c>
      <c r="S15" s="0" t="n">
        <v>199</v>
      </c>
    </row>
    <row r="16" customFormat="false" ht="14.4" hidden="false" customHeight="false" outlineLevel="0" collapsed="false">
      <c r="A16" s="0" t="s">
        <v>52</v>
      </c>
      <c r="S16" s="0" t="n">
        <v>192</v>
      </c>
    </row>
    <row r="17" customFormat="false" ht="14.4" hidden="false" customHeight="false" outlineLevel="0" collapsed="false">
      <c r="S17" s="0" t="n">
        <v>200</v>
      </c>
    </row>
    <row r="18" customFormat="false" ht="14.4" hidden="false" customHeight="false" outlineLevel="0" collapsed="false">
      <c r="S18" s="0" t="n">
        <v>314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4.4"/>
  <cols>
    <col collapsed="false" hidden="false" max="1" min="1" style="0" width="12.1133603238866"/>
    <col collapsed="false" hidden="false" max="2" min="2" style="0" width="10.6599190283401"/>
    <col collapsed="false" hidden="false" max="3" min="3" style="0" width="9.99595141700405"/>
    <col collapsed="false" hidden="false" max="4" min="4" style="0" width="12.8906882591093"/>
    <col collapsed="false" hidden="false" max="5" min="5" style="0" width="9.55465587044534"/>
    <col collapsed="false" hidden="false" max="6" min="6" style="0" width="14.8906882591093"/>
    <col collapsed="false" hidden="false" max="7" min="7" style="0" width="23.668016194332"/>
    <col collapsed="false" hidden="false" max="8" min="8" style="0" width="11.1133603238866"/>
    <col collapsed="false" hidden="false" max="9" min="9" style="0" width="20.004048582996"/>
    <col collapsed="false" hidden="false" max="10" min="10" style="0" width="13.9959514170041"/>
    <col collapsed="false" hidden="false" max="11" min="11" style="0" width="15.6599190283401"/>
    <col collapsed="false" hidden="false" max="13" min="12" style="0" width="16.331983805668"/>
    <col collapsed="false" hidden="false" max="14" min="14" style="0" width="15.8906882591093"/>
    <col collapsed="false" hidden="false" max="15" min="15" style="0" width="13.8906882591093"/>
    <col collapsed="false" hidden="false" max="16" min="16" style="0" width="16.1093117408907"/>
    <col collapsed="false" hidden="false" max="17" min="17" style="0" width="18.004048582996"/>
    <col collapsed="false" hidden="false" max="19" min="18" style="0" width="18.5546558704453"/>
    <col collapsed="false" hidden="false" max="20" min="20" style="0" width="18.1093117408907"/>
    <col collapsed="false" hidden="false" max="21" min="21" style="0" width="16.004048582996"/>
    <col collapsed="false" hidden="false" max="22" min="22" style="0" width="14.5546558704453"/>
    <col collapsed="false" hidden="false" max="1025" min="23" style="0" width="8.5748987854251"/>
  </cols>
  <sheetData>
    <row r="1" customFormat="false" ht="14.4" hidden="false" customHeight="false" outlineLevel="0" collapsed="false">
      <c r="A1" s="0" t="s">
        <v>1</v>
      </c>
      <c r="B1" s="0" t="s">
        <v>3</v>
      </c>
      <c r="C1" s="0" t="s">
        <v>5</v>
      </c>
      <c r="D1" s="0" t="s">
        <v>7</v>
      </c>
      <c r="E1" s="0" t="s">
        <v>9</v>
      </c>
      <c r="F1" s="10" t="s">
        <v>11</v>
      </c>
      <c r="G1" s="10" t="s">
        <v>13</v>
      </c>
      <c r="H1" s="10" t="s">
        <v>15</v>
      </c>
      <c r="I1" s="10" t="s">
        <v>17</v>
      </c>
      <c r="J1" s="18" t="s">
        <v>18</v>
      </c>
      <c r="K1" s="18" t="s">
        <v>20</v>
      </c>
      <c r="L1" s="18" t="s">
        <v>22</v>
      </c>
      <c r="M1" s="18" t="s">
        <v>24</v>
      </c>
      <c r="N1" s="18" t="s">
        <v>26</v>
      </c>
      <c r="O1" s="18" t="s">
        <v>28</v>
      </c>
      <c r="P1" s="4" t="s">
        <v>30</v>
      </c>
      <c r="Q1" s="4" t="s">
        <v>32</v>
      </c>
      <c r="R1" s="4" t="s">
        <v>34</v>
      </c>
      <c r="S1" s="4" t="s">
        <v>35</v>
      </c>
      <c r="T1" s="4" t="s">
        <v>36</v>
      </c>
      <c r="U1" s="4" t="s">
        <v>37</v>
      </c>
      <c r="V1" s="0" t="s">
        <v>38</v>
      </c>
    </row>
    <row r="2" customFormat="false" ht="14.4" hidden="false" customHeight="false" outlineLevel="0" collapsed="false">
      <c r="A2" s="0" t="s">
        <v>53</v>
      </c>
      <c r="B2" s="0" t="n">
        <v>1</v>
      </c>
      <c r="C2" s="0" t="n">
        <v>1</v>
      </c>
      <c r="D2" s="0" t="n">
        <f aca="false">B2*C2</f>
        <v>1</v>
      </c>
      <c r="E2" s="19" t="n">
        <f aca="false">Costs!G49</f>
        <v>2.26498514169747</v>
      </c>
      <c r="F2" s="0" t="s">
        <v>43</v>
      </c>
      <c r="G2" s="0" t="s">
        <v>43</v>
      </c>
      <c r="H2" s="0" t="s">
        <v>43</v>
      </c>
      <c r="I2" s="0" t="s">
        <v>43</v>
      </c>
      <c r="J2" s="0" t="s">
        <v>43</v>
      </c>
      <c r="K2" s="0" t="s">
        <v>43</v>
      </c>
      <c r="L2" s="0" t="s">
        <v>43</v>
      </c>
      <c r="M2" s="0" t="s">
        <v>43</v>
      </c>
      <c r="N2" s="0" t="s">
        <v>43</v>
      </c>
      <c r="O2" s="0" t="s">
        <v>43</v>
      </c>
      <c r="P2" s="0" t="s">
        <v>43</v>
      </c>
      <c r="Q2" s="0" t="s">
        <v>43</v>
      </c>
      <c r="R2" s="0" t="s">
        <v>43</v>
      </c>
      <c r="S2" s="0" t="s">
        <v>43</v>
      </c>
      <c r="T2" s="0" t="s">
        <v>43</v>
      </c>
      <c r="U2" s="0" t="s">
        <v>43</v>
      </c>
      <c r="V2" s="0" t="n">
        <v>0.569746</v>
      </c>
    </row>
    <row r="3" customFormat="false" ht="14.4" hidden="false" customHeight="false" outlineLevel="0" collapsed="false">
      <c r="A3" s="0" t="s">
        <v>53</v>
      </c>
      <c r="B3" s="0" t="n">
        <v>1</v>
      </c>
      <c r="C3" s="0" t="n">
        <v>2</v>
      </c>
      <c r="D3" s="0" t="n">
        <f aca="false">B3*C3</f>
        <v>2</v>
      </c>
      <c r="E3" s="19" t="n">
        <f aca="false">D3*$E$2</f>
        <v>4.52997028339494</v>
      </c>
      <c r="F3" s="0" t="s">
        <v>43</v>
      </c>
      <c r="G3" s="0" t="s">
        <v>43</v>
      </c>
      <c r="H3" s="0" t="s">
        <v>43</v>
      </c>
      <c r="I3" s="0" t="s">
        <v>43</v>
      </c>
      <c r="J3" s="0" t="s">
        <v>43</v>
      </c>
      <c r="K3" s="0" t="s">
        <v>43</v>
      </c>
      <c r="L3" s="0" t="s">
        <v>43</v>
      </c>
      <c r="M3" s="0" t="s">
        <v>43</v>
      </c>
      <c r="N3" s="0" t="s">
        <v>43</v>
      </c>
      <c r="O3" s="0" t="s">
        <v>43</v>
      </c>
      <c r="P3" s="0" t="s">
        <v>43</v>
      </c>
      <c r="Q3" s="0" t="s">
        <v>43</v>
      </c>
      <c r="R3" s="0" t="s">
        <v>43</v>
      </c>
      <c r="S3" s="0" t="s">
        <v>43</v>
      </c>
      <c r="T3" s="0" t="s">
        <v>43</v>
      </c>
      <c r="U3" s="0" t="s">
        <v>43</v>
      </c>
      <c r="V3" s="0" t="n">
        <v>1.0184</v>
      </c>
    </row>
    <row r="4" customFormat="false" ht="14.4" hidden="false" customHeight="false" outlineLevel="0" collapsed="false">
      <c r="A4" s="0" t="s">
        <v>53</v>
      </c>
      <c r="B4" s="0" t="n">
        <v>1</v>
      </c>
      <c r="C4" s="0" t="n">
        <v>4</v>
      </c>
      <c r="D4" s="0" t="n">
        <f aca="false">B4*C4</f>
        <v>4</v>
      </c>
      <c r="E4" s="19" t="n">
        <f aca="false">D4*$E$2</f>
        <v>9.05994056678988</v>
      </c>
      <c r="F4" s="0" t="s">
        <v>43</v>
      </c>
      <c r="G4" s="0" t="s">
        <v>43</v>
      </c>
      <c r="H4" s="0" t="s">
        <v>43</v>
      </c>
      <c r="I4" s="0" t="s">
        <v>43</v>
      </c>
      <c r="J4" s="0" t="s">
        <v>43</v>
      </c>
      <c r="K4" s="0" t="s">
        <v>43</v>
      </c>
      <c r="L4" s="0" t="s">
        <v>43</v>
      </c>
      <c r="M4" s="0" t="s">
        <v>43</v>
      </c>
      <c r="N4" s="0" t="s">
        <v>43</v>
      </c>
      <c r="O4" s="0" t="s">
        <v>43</v>
      </c>
      <c r="P4" s="0" t="s">
        <v>43</v>
      </c>
      <c r="Q4" s="0" t="s">
        <v>43</v>
      </c>
      <c r="R4" s="0" t="s">
        <v>43</v>
      </c>
      <c r="S4" s="0" t="s">
        <v>43</v>
      </c>
      <c r="T4" s="0" t="s">
        <v>43</v>
      </c>
      <c r="U4" s="0" t="s">
        <v>43</v>
      </c>
      <c r="V4" s="0" t="n">
        <v>1.63595</v>
      </c>
    </row>
    <row r="5" customFormat="false" ht="14.4" hidden="false" customHeight="false" outlineLevel="0" collapsed="false">
      <c r="A5" s="0" t="s">
        <v>53</v>
      </c>
      <c r="B5" s="0" t="n">
        <v>1</v>
      </c>
      <c r="C5" s="0" t="n">
        <v>8</v>
      </c>
      <c r="D5" s="0" t="n">
        <f aca="false">B5*C5</f>
        <v>8</v>
      </c>
      <c r="E5" s="19" t="n">
        <f aca="false">D5*$E$2</f>
        <v>18.1198811335798</v>
      </c>
      <c r="F5" s="0" t="s">
        <v>43</v>
      </c>
      <c r="G5" s="0" t="s">
        <v>43</v>
      </c>
      <c r="H5" s="0" t="s">
        <v>43</v>
      </c>
      <c r="I5" s="0" t="s">
        <v>43</v>
      </c>
      <c r="J5" s="0" t="s">
        <v>43</v>
      </c>
      <c r="K5" s="0" t="s">
        <v>43</v>
      </c>
      <c r="L5" s="0" t="s">
        <v>43</v>
      </c>
      <c r="M5" s="0" t="n">
        <v>200</v>
      </c>
      <c r="N5" s="0" t="s">
        <v>43</v>
      </c>
      <c r="O5" s="0" t="s">
        <v>43</v>
      </c>
      <c r="P5" s="0" t="s">
        <v>43</v>
      </c>
      <c r="Q5" s="0" t="s">
        <v>43</v>
      </c>
      <c r="R5" s="0" t="s">
        <v>43</v>
      </c>
      <c r="S5" s="0" t="s">
        <v>43</v>
      </c>
      <c r="T5" s="0" t="s">
        <v>43</v>
      </c>
      <c r="U5" s="0" t="s">
        <v>43</v>
      </c>
      <c r="V5" s="0" t="n">
        <v>2.4076</v>
      </c>
    </row>
    <row r="6" customFormat="false" ht="14.4" hidden="false" customHeight="false" outlineLevel="0" collapsed="false">
      <c r="A6" s="0" t="s">
        <v>53</v>
      </c>
      <c r="B6" s="0" t="n">
        <v>2</v>
      </c>
      <c r="C6" s="0" t="n">
        <v>8</v>
      </c>
      <c r="D6" s="0" t="n">
        <f aca="false">B6*C6</f>
        <v>16</v>
      </c>
      <c r="E6" s="19" t="n">
        <f aca="false">D6*$E$2</f>
        <v>36.2397622671595</v>
      </c>
      <c r="F6" s="0" t="s">
        <v>43</v>
      </c>
      <c r="G6" s="0" t="s">
        <v>43</v>
      </c>
      <c r="H6" s="0" t="s">
        <v>43</v>
      </c>
      <c r="I6" s="0" t="s">
        <v>43</v>
      </c>
      <c r="J6" s="0" t="s">
        <v>43</v>
      </c>
      <c r="K6" s="0" t="s">
        <v>43</v>
      </c>
      <c r="L6" s="0" t="s">
        <v>43</v>
      </c>
      <c r="M6" s="0" t="n">
        <v>200</v>
      </c>
      <c r="N6" s="0" t="s">
        <v>43</v>
      </c>
      <c r="O6" s="0" t="s">
        <v>43</v>
      </c>
      <c r="P6" s="0" t="s">
        <v>43</v>
      </c>
      <c r="Q6" s="0" t="s">
        <v>43</v>
      </c>
      <c r="R6" s="0" t="s">
        <v>43</v>
      </c>
      <c r="S6" s="0" t="s">
        <v>43</v>
      </c>
      <c r="T6" s="0" t="s">
        <v>43</v>
      </c>
      <c r="U6" s="0" t="s">
        <v>43</v>
      </c>
      <c r="V6" s="0" t="n">
        <v>3.38933</v>
      </c>
    </row>
    <row r="7" customFormat="false" ht="14.4" hidden="false" customHeight="false" outlineLevel="0" collapsed="false">
      <c r="A7" s="0" t="s">
        <v>53</v>
      </c>
      <c r="B7" s="0" t="n">
        <v>4</v>
      </c>
      <c r="C7" s="0" t="n">
        <v>8</v>
      </c>
      <c r="D7" s="0" t="n">
        <f aca="false">B7*C7</f>
        <v>32</v>
      </c>
      <c r="E7" s="19" t="n">
        <f aca="false">D7*$E$2</f>
        <v>72.479524534319</v>
      </c>
      <c r="F7" s="0" t="s">
        <v>43</v>
      </c>
      <c r="G7" s="0" t="s">
        <v>43</v>
      </c>
      <c r="H7" s="0" t="s">
        <v>43</v>
      </c>
      <c r="I7" s="0" t="s">
        <v>43</v>
      </c>
      <c r="J7" s="0" t="s">
        <v>43</v>
      </c>
      <c r="K7" s="0" t="s">
        <v>43</v>
      </c>
      <c r="L7" s="0" t="s">
        <v>43</v>
      </c>
      <c r="M7" s="0" t="n">
        <v>200</v>
      </c>
      <c r="N7" s="0" t="s">
        <v>43</v>
      </c>
      <c r="O7" s="0" t="s">
        <v>43</v>
      </c>
      <c r="P7" s="0" t="s">
        <v>43</v>
      </c>
      <c r="Q7" s="0" t="s">
        <v>43</v>
      </c>
      <c r="R7" s="0" t="s">
        <v>43</v>
      </c>
      <c r="S7" s="0" t="s">
        <v>43</v>
      </c>
      <c r="T7" s="0" t="s">
        <v>43</v>
      </c>
      <c r="U7" s="0" t="s">
        <v>43</v>
      </c>
      <c r="V7" s="0" t="n">
        <v>5.58457</v>
      </c>
    </row>
    <row r="8" customFormat="false" ht="14.4" hidden="false" customHeight="false" outlineLevel="0" collapsed="false">
      <c r="A8" s="0" t="s">
        <v>53</v>
      </c>
      <c r="B8" s="0" t="n">
        <v>8</v>
      </c>
      <c r="C8" s="0" t="n">
        <v>8</v>
      </c>
      <c r="D8" s="0" t="n">
        <f aca="false">B8*C8</f>
        <v>64</v>
      </c>
      <c r="E8" s="19" t="n">
        <f aca="false">D8*$E$2</f>
        <v>144.959049068638</v>
      </c>
      <c r="F8" s="0" t="s">
        <v>43</v>
      </c>
      <c r="G8" s="0" t="s">
        <v>43</v>
      </c>
      <c r="H8" s="0" t="s">
        <v>43</v>
      </c>
      <c r="I8" s="0" t="s">
        <v>43</v>
      </c>
      <c r="J8" s="0" t="s">
        <v>43</v>
      </c>
      <c r="K8" s="0" t="s">
        <v>43</v>
      </c>
      <c r="L8" s="0" t="s">
        <v>43</v>
      </c>
      <c r="M8" s="0" t="n">
        <v>200</v>
      </c>
      <c r="N8" s="0" t="s">
        <v>43</v>
      </c>
      <c r="O8" s="0" t="s">
        <v>43</v>
      </c>
      <c r="P8" s="0" t="s">
        <v>43</v>
      </c>
      <c r="Q8" s="0" t="s">
        <v>43</v>
      </c>
      <c r="R8" s="0" t="s">
        <v>43</v>
      </c>
      <c r="S8" s="0" t="s">
        <v>43</v>
      </c>
      <c r="T8" s="0" t="s">
        <v>43</v>
      </c>
      <c r="U8" s="0" t="s">
        <v>43</v>
      </c>
      <c r="V8" s="0" t="n">
        <v>10.6447</v>
      </c>
    </row>
    <row r="10" customFormat="false" ht="14.4" hidden="false" customHeight="false" outlineLevel="0" collapsed="false">
      <c r="J10" s="0" t="s">
        <v>54</v>
      </c>
    </row>
    <row r="11" customFormat="false" ht="14.4" hidden="false" customHeight="false" outlineLevel="0" collapsed="false">
      <c r="M11" s="20" t="s">
        <v>55</v>
      </c>
    </row>
    <row r="12" customFormat="false" ht="14.4" hidden="false" customHeight="false" outlineLevel="0" collapsed="false">
      <c r="L12" s="0" t="s">
        <v>56</v>
      </c>
      <c r="M12" s="0" t="s">
        <v>57</v>
      </c>
      <c r="O12" s="0" t="s">
        <v>58</v>
      </c>
      <c r="P12" s="20" t="s">
        <v>59</v>
      </c>
    </row>
    <row r="13" customFormat="false" ht="14.4" hidden="false" customHeight="false" outlineLevel="0" collapsed="false">
      <c r="I13" s="0" t="s">
        <v>60</v>
      </c>
      <c r="J13" s="0" t="s">
        <v>61</v>
      </c>
      <c r="K13" s="9" t="s">
        <v>53</v>
      </c>
      <c r="L13" s="9" t="n">
        <v>1</v>
      </c>
      <c r="M13" s="9" t="n">
        <v>2</v>
      </c>
      <c r="N13" s="9" t="n">
        <v>2</v>
      </c>
      <c r="O13" s="9" t="n">
        <v>200</v>
      </c>
      <c r="P13" s="9" t="n">
        <v>200</v>
      </c>
    </row>
    <row r="14" customFormat="false" ht="14.4" hidden="false" customHeight="false" outlineLevel="0" collapsed="false">
      <c r="K14" s="9" t="s">
        <v>53</v>
      </c>
      <c r="L14" s="9" t="n">
        <v>2</v>
      </c>
      <c r="M14" s="9" t="n">
        <v>2</v>
      </c>
      <c r="N14" s="9" t="n">
        <v>4</v>
      </c>
      <c r="O14" s="9" t="n">
        <v>400</v>
      </c>
      <c r="P14" s="9" t="n">
        <v>400</v>
      </c>
    </row>
    <row r="15" customFormat="false" ht="14.4" hidden="false" customHeight="false" outlineLevel="0" collapsed="false">
      <c r="K15" s="9" t="s">
        <v>53</v>
      </c>
      <c r="L15" s="9" t="n">
        <v>4</v>
      </c>
      <c r="M15" s="9" t="n">
        <v>2</v>
      </c>
      <c r="N15" s="9" t="n">
        <v>8</v>
      </c>
      <c r="O15" s="9" t="n">
        <v>400</v>
      </c>
      <c r="P15" s="9" t="n">
        <v>400</v>
      </c>
    </row>
    <row r="16" customFormat="false" ht="14.4" hidden="false" customHeight="false" outlineLevel="0" collapsed="false">
      <c r="K16" s="9" t="s">
        <v>53</v>
      </c>
      <c r="L16" s="9" t="n">
        <v>8</v>
      </c>
      <c r="M16" s="9" t="n">
        <v>2</v>
      </c>
      <c r="N16" s="9" t="n">
        <v>16</v>
      </c>
      <c r="O16" s="9" t="n">
        <v>800</v>
      </c>
      <c r="P16" s="9" t="n">
        <v>800</v>
      </c>
    </row>
    <row r="18" customFormat="false" ht="14.4" hidden="false" customHeight="false" outlineLevel="0" collapsed="false">
      <c r="I18" s="0" t="s">
        <v>62</v>
      </c>
      <c r="J18" s="0" t="s">
        <v>63</v>
      </c>
      <c r="K18" s="9" t="s">
        <v>53</v>
      </c>
      <c r="L18" s="9" t="n">
        <v>1</v>
      </c>
      <c r="M18" s="9" t="n">
        <v>2</v>
      </c>
      <c r="N18" s="9" t="n">
        <v>2</v>
      </c>
      <c r="O18" s="9" t="n">
        <v>199</v>
      </c>
      <c r="P18" s="9" t="n">
        <v>200</v>
      </c>
    </row>
    <row r="19" customFormat="false" ht="14.4" hidden="false" customHeight="false" outlineLevel="0" collapsed="false">
      <c r="K19" s="9" t="s">
        <v>53</v>
      </c>
      <c r="L19" s="9" t="n">
        <v>2</v>
      </c>
      <c r="M19" s="9" t="n">
        <v>2</v>
      </c>
      <c r="N19" s="9" t="n">
        <v>4</v>
      </c>
      <c r="O19" s="9" t="n">
        <v>192</v>
      </c>
      <c r="P19" s="9" t="n">
        <v>400</v>
      </c>
    </row>
    <row r="20" customFormat="false" ht="14.4" hidden="false" customHeight="false" outlineLevel="0" collapsed="false">
      <c r="K20" s="9" t="s">
        <v>53</v>
      </c>
      <c r="L20" s="9" t="n">
        <v>4</v>
      </c>
      <c r="M20" s="9" t="n">
        <v>2</v>
      </c>
      <c r="N20" s="9" t="n">
        <v>8</v>
      </c>
      <c r="O20" s="9" t="n">
        <v>200</v>
      </c>
      <c r="P20" s="9" t="n">
        <v>400</v>
      </c>
    </row>
    <row r="21" customFormat="false" ht="14.4" hidden="false" customHeight="false" outlineLevel="0" collapsed="false">
      <c r="K21" s="9" t="s">
        <v>53</v>
      </c>
      <c r="L21" s="9" t="n">
        <v>8</v>
      </c>
      <c r="M21" s="9" t="n">
        <v>2</v>
      </c>
      <c r="N21" s="9" t="n">
        <v>16</v>
      </c>
      <c r="O21" s="9" t="n">
        <v>314</v>
      </c>
      <c r="P21" s="9" t="n">
        <v>800</v>
      </c>
    </row>
    <row r="23" customFormat="false" ht="14.4" hidden="false" customHeight="false" outlineLevel="0" collapsed="false">
      <c r="M23" s="0" t="s">
        <v>64</v>
      </c>
    </row>
    <row r="28" customFormat="false" ht="14.4" hidden="false" customHeight="false" outlineLevel="0" collapsed="false">
      <c r="A28" s="0" t="s">
        <v>1</v>
      </c>
      <c r="B28" s="0" t="s">
        <v>3</v>
      </c>
      <c r="C28" s="0" t="s">
        <v>5</v>
      </c>
      <c r="D28" s="0" t="s">
        <v>7</v>
      </c>
      <c r="E28" s="0" t="s">
        <v>9</v>
      </c>
      <c r="F28" s="0" t="s">
        <v>11</v>
      </c>
      <c r="G28" s="0" t="s">
        <v>13</v>
      </c>
      <c r="H28" s="0" t="s">
        <v>15</v>
      </c>
      <c r="I28" s="0" t="s">
        <v>17</v>
      </c>
      <c r="J28" s="0" t="s">
        <v>18</v>
      </c>
      <c r="K28" s="0" t="s">
        <v>20</v>
      </c>
      <c r="L28" s="0" t="s">
        <v>22</v>
      </c>
      <c r="M28" s="0" t="s">
        <v>24</v>
      </c>
      <c r="N28" s="0" t="s">
        <v>26</v>
      </c>
      <c r="O28" s="0" t="s">
        <v>28</v>
      </c>
      <c r="P28" s="0" t="s">
        <v>30</v>
      </c>
      <c r="Q28" s="0" t="s">
        <v>32</v>
      </c>
      <c r="R28" s="0" t="s">
        <v>34</v>
      </c>
      <c r="S28" s="0" t="s">
        <v>35</v>
      </c>
      <c r="T28" s="0" t="s">
        <v>36</v>
      </c>
      <c r="U28" s="0" t="s">
        <v>37</v>
      </c>
      <c r="V28" s="0" t="s">
        <v>38</v>
      </c>
    </row>
    <row r="29" customFormat="false" ht="14.4" hidden="false" customHeight="false" outlineLevel="0" collapsed="false">
      <c r="A29" s="0" t="s">
        <v>65</v>
      </c>
      <c r="B29" s="0" t="n">
        <v>1</v>
      </c>
      <c r="C29" s="0" t="n">
        <v>2</v>
      </c>
      <c r="D29" s="0" t="n">
        <v>2</v>
      </c>
      <c r="E29" s="0" t="n">
        <v>0</v>
      </c>
      <c r="F29" s="0" t="s">
        <v>43</v>
      </c>
      <c r="G29" s="0" t="s">
        <v>43</v>
      </c>
      <c r="H29" s="0" t="s">
        <v>43</v>
      </c>
      <c r="I29" s="0" t="s">
        <v>43</v>
      </c>
      <c r="J29" s="15" t="n">
        <v>5.3638</v>
      </c>
      <c r="K29" s="15" t="n">
        <v>5.1834</v>
      </c>
      <c r="L29" s="15" t="n">
        <v>35.622</v>
      </c>
      <c r="M29" s="0" t="n">
        <v>200</v>
      </c>
      <c r="N29" s="0" t="n">
        <v>0.17811</v>
      </c>
      <c r="O29" s="0" t="n">
        <v>1129</v>
      </c>
      <c r="P29" s="15" t="n">
        <v>1.5663</v>
      </c>
      <c r="Q29" s="15" t="n">
        <v>1.2834</v>
      </c>
      <c r="R29" s="15" t="n">
        <v>16.598</v>
      </c>
      <c r="S29" s="0" t="n">
        <v>166</v>
      </c>
      <c r="T29" s="0" t="n">
        <v>0.0999879518072289</v>
      </c>
      <c r="U29" s="0" t="n">
        <v>680</v>
      </c>
      <c r="V29" s="0" t="s">
        <v>43</v>
      </c>
    </row>
    <row r="30" customFormat="false" ht="14.4" hidden="false" customHeight="false" outlineLevel="0" collapsed="false">
      <c r="A30" s="0" t="s">
        <v>65</v>
      </c>
      <c r="B30" s="0" t="n">
        <v>2</v>
      </c>
      <c r="C30" s="0" t="n">
        <v>2</v>
      </c>
      <c r="D30" s="0" t="n">
        <v>4</v>
      </c>
      <c r="E30" s="0" t="n">
        <v>0</v>
      </c>
      <c r="F30" s="0" t="s">
        <v>43</v>
      </c>
      <c r="G30" s="0" t="s">
        <v>43</v>
      </c>
      <c r="H30" s="0" t="s">
        <v>43</v>
      </c>
      <c r="I30" s="0" t="s">
        <v>43</v>
      </c>
      <c r="J30" s="15" t="n">
        <v>1.4353</v>
      </c>
      <c r="K30" s="15" t="n">
        <v>1.3192</v>
      </c>
      <c r="L30" s="15" t="n">
        <v>73.455</v>
      </c>
      <c r="M30" s="0" t="n">
        <v>400</v>
      </c>
      <c r="N30" s="21" t="n">
        <v>0.1836375</v>
      </c>
      <c r="O30" s="0" t="n">
        <v>1100</v>
      </c>
      <c r="P30" s="15" t="n">
        <v>0.50613</v>
      </c>
      <c r="Q30" s="15" t="n">
        <v>0.44853</v>
      </c>
      <c r="R30" s="15" t="n">
        <v>10.499</v>
      </c>
      <c r="S30" s="0" t="n">
        <v>169</v>
      </c>
      <c r="T30" s="0" t="n">
        <v>0.0621242603550295</v>
      </c>
      <c r="U30" s="0" t="n">
        <v>1093</v>
      </c>
      <c r="V30" s="0" t="s">
        <v>43</v>
      </c>
    </row>
    <row r="31" customFormat="false" ht="14.4" hidden="false" customHeight="false" outlineLevel="0" collapsed="false">
      <c r="A31" s="0" t="s">
        <v>65</v>
      </c>
      <c r="B31" s="0" t="n">
        <v>4</v>
      </c>
      <c r="C31" s="0" t="n">
        <v>2</v>
      </c>
      <c r="D31" s="0" t="n">
        <v>8</v>
      </c>
      <c r="E31" s="0" t="n">
        <v>0</v>
      </c>
      <c r="F31" s="0" t="s">
        <v>43</v>
      </c>
      <c r="G31" s="0" t="s">
        <v>43</v>
      </c>
      <c r="H31" s="0" t="s">
        <v>43</v>
      </c>
      <c r="I31" s="0" t="s">
        <v>43</v>
      </c>
      <c r="J31" s="15" t="n">
        <v>1.1073</v>
      </c>
      <c r="K31" s="15" t="n">
        <v>1.0187</v>
      </c>
      <c r="L31" s="15" t="n">
        <v>41.223</v>
      </c>
      <c r="M31" s="0" t="n">
        <v>400</v>
      </c>
      <c r="N31" s="0" t="n">
        <v>0.1030575</v>
      </c>
      <c r="O31" s="0" t="n">
        <v>1952</v>
      </c>
      <c r="P31" s="15" t="n">
        <v>0.40129</v>
      </c>
      <c r="Q31" s="15" t="n">
        <v>0.35306</v>
      </c>
      <c r="R31" s="15" t="n">
        <v>7.8211</v>
      </c>
      <c r="S31" s="0" t="n">
        <v>199</v>
      </c>
      <c r="T31" s="0" t="n">
        <v>0.0393020100502512</v>
      </c>
      <c r="U31" s="0" t="n">
        <v>1719</v>
      </c>
      <c r="V31" s="0" t="s">
        <v>43</v>
      </c>
    </row>
    <row r="32" customFormat="false" ht="14.4" hidden="false" customHeight="false" outlineLevel="0" collapsed="false">
      <c r="A32" s="0" t="s">
        <v>65</v>
      </c>
      <c r="B32" s="0" t="n">
        <v>8</v>
      </c>
      <c r="C32" s="0" t="n">
        <v>2</v>
      </c>
      <c r="D32" s="0" t="n">
        <v>16</v>
      </c>
      <c r="E32" s="0" t="n">
        <v>0</v>
      </c>
      <c r="F32" s="0" t="s">
        <v>43</v>
      </c>
      <c r="G32" s="0" t="s">
        <v>43</v>
      </c>
      <c r="H32" s="0" t="s">
        <v>43</v>
      </c>
      <c r="I32" s="0" t="s">
        <v>43</v>
      </c>
      <c r="J32" s="15" t="n">
        <v>4.4686</v>
      </c>
      <c r="K32" s="15" t="n">
        <v>3.8522</v>
      </c>
      <c r="L32" s="15" t="n">
        <v>47.925</v>
      </c>
      <c r="M32" s="0" t="n">
        <v>800</v>
      </c>
      <c r="N32" s="0" t="n">
        <v>0.0599062499999999</v>
      </c>
      <c r="O32" s="0" t="n">
        <v>3337</v>
      </c>
      <c r="P32" s="15" t="n">
        <v>2.4372</v>
      </c>
      <c r="Q32" s="15" t="n">
        <v>1.2226</v>
      </c>
      <c r="R32" s="15" t="n">
        <v>6.1129</v>
      </c>
      <c r="S32" s="0" t="n">
        <v>192</v>
      </c>
      <c r="T32" s="0" t="n">
        <v>0.0318380208333333</v>
      </c>
      <c r="U32" s="0" t="n">
        <v>2096</v>
      </c>
      <c r="V32" s="0" t="s">
        <v>43</v>
      </c>
    </row>
    <row r="33" customFormat="false" ht="14.4" hidden="false" customHeight="false" outlineLevel="0" collapsed="false">
      <c r="A33" s="0" t="s">
        <v>66</v>
      </c>
      <c r="B33" s="0" t="n">
        <v>1</v>
      </c>
      <c r="C33" s="0" t="n">
        <v>4</v>
      </c>
      <c r="D33" s="0" t="n">
        <v>4</v>
      </c>
      <c r="E33" s="0" t="n">
        <v>0</v>
      </c>
      <c r="F33" s="0" t="s">
        <v>43</v>
      </c>
      <c r="G33" s="0" t="s">
        <v>43</v>
      </c>
      <c r="H33" s="0" t="s">
        <v>43</v>
      </c>
      <c r="I33" s="0" t="s">
        <v>43</v>
      </c>
      <c r="J33" s="15" t="n">
        <v>1.4252</v>
      </c>
      <c r="K33" s="15" t="n">
        <v>1.2681</v>
      </c>
      <c r="L33" s="15" t="n">
        <v>55.907</v>
      </c>
      <c r="M33" s="0" t="n">
        <v>200</v>
      </c>
      <c r="N33" s="0" t="n">
        <v>0.279535</v>
      </c>
      <c r="O33" s="0" t="n">
        <v>719</v>
      </c>
      <c r="P33" s="15" t="n">
        <v>0.50424</v>
      </c>
      <c r="Q33" s="15" t="n">
        <v>0.43305</v>
      </c>
      <c r="R33" s="15" t="n">
        <v>18.839</v>
      </c>
      <c r="S33" s="0" t="n">
        <v>169</v>
      </c>
      <c r="T33" s="0" t="n">
        <v>0.111473372781065</v>
      </c>
      <c r="U33" s="0" t="n">
        <v>609</v>
      </c>
      <c r="V33" s="0" t="s">
        <v>43</v>
      </c>
    </row>
    <row r="34" customFormat="false" ht="14.4" hidden="false" customHeight="false" outlineLevel="0" collapsed="false">
      <c r="A34" s="0" t="s">
        <v>66</v>
      </c>
      <c r="B34" s="0" t="n">
        <v>1</v>
      </c>
      <c r="C34" s="0" t="n">
        <v>8</v>
      </c>
      <c r="D34" s="0" t="n">
        <v>8</v>
      </c>
      <c r="E34" s="0" t="n">
        <v>0</v>
      </c>
      <c r="F34" s="0" t="s">
        <v>43</v>
      </c>
      <c r="G34" s="0" t="s">
        <v>43</v>
      </c>
      <c r="H34" s="0" t="s">
        <v>43</v>
      </c>
      <c r="I34" s="0" t="s">
        <v>43</v>
      </c>
      <c r="J34" s="15" t="n">
        <v>2.453</v>
      </c>
      <c r="K34" s="15" t="n">
        <v>2.2458</v>
      </c>
      <c r="L34" s="15" t="n">
        <v>62.673</v>
      </c>
      <c r="M34" s="0" t="n">
        <v>200</v>
      </c>
      <c r="N34" s="0" t="n">
        <v>0.313365</v>
      </c>
      <c r="O34" s="0" t="n">
        <v>639</v>
      </c>
      <c r="P34" s="15" t="n">
        <v>0.44342</v>
      </c>
      <c r="Q34" s="15" t="n">
        <v>0.33239</v>
      </c>
      <c r="R34" s="15" t="n">
        <v>30.451</v>
      </c>
      <c r="S34" s="0" t="n">
        <v>199</v>
      </c>
      <c r="T34" s="0" t="n">
        <v>0.153020100502512</v>
      </c>
      <c r="U34" s="0" t="n">
        <v>441</v>
      </c>
      <c r="V34" s="0" t="s">
        <v>43</v>
      </c>
    </row>
    <row r="35" customFormat="false" ht="14.4" hidden="false" customHeight="false" outlineLevel="0" collapsed="false">
      <c r="A35" s="0" t="s">
        <v>66</v>
      </c>
      <c r="B35" s="0" t="n">
        <v>2</v>
      </c>
      <c r="C35" s="0" t="n">
        <v>8</v>
      </c>
      <c r="D35" s="0" t="n">
        <v>16</v>
      </c>
      <c r="E35" s="0" t="n">
        <v>0</v>
      </c>
      <c r="F35" s="0" t="s">
        <v>43</v>
      </c>
      <c r="G35" s="0" t="s">
        <v>43</v>
      </c>
      <c r="H35" s="0" t="s">
        <v>43</v>
      </c>
      <c r="I35" s="0" t="s">
        <v>43</v>
      </c>
      <c r="J35" s="15" t="n">
        <v>1.2936</v>
      </c>
      <c r="K35" s="15" t="n">
        <v>0.89321</v>
      </c>
      <c r="L35" s="15" t="n">
        <v>125.48</v>
      </c>
      <c r="M35" s="0" t="n">
        <v>400</v>
      </c>
      <c r="N35" s="0" t="n">
        <v>0.3137</v>
      </c>
      <c r="O35" s="0" t="n">
        <v>636</v>
      </c>
      <c r="P35" s="15" t="n">
        <v>0.59124</v>
      </c>
      <c r="Q35" s="15" t="n">
        <v>0.3069</v>
      </c>
      <c r="R35" s="15" t="n">
        <v>43.214</v>
      </c>
      <c r="S35" s="0" t="n">
        <v>192</v>
      </c>
      <c r="T35" s="0" t="n">
        <v>0.225072916666666</v>
      </c>
      <c r="U35" s="0" t="n">
        <v>296</v>
      </c>
      <c r="V35" s="0" t="s">
        <v>43</v>
      </c>
    </row>
    <row r="36" customFormat="false" ht="14.4" hidden="false" customHeight="false" outlineLevel="0" collapsed="false">
      <c r="A36" s="0" t="s">
        <v>66</v>
      </c>
      <c r="B36" s="0" t="n">
        <v>4</v>
      </c>
      <c r="C36" s="0" t="n">
        <v>8</v>
      </c>
      <c r="D36" s="0" t="n">
        <v>32</v>
      </c>
      <c r="E36" s="0" t="n">
        <v>0</v>
      </c>
      <c r="F36" s="0" t="s">
        <v>43</v>
      </c>
      <c r="G36" s="0" t="s">
        <v>43</v>
      </c>
      <c r="H36" s="0" t="s">
        <v>43</v>
      </c>
      <c r="I36" s="0" t="s">
        <v>43</v>
      </c>
      <c r="J36" s="15" t="n">
        <v>1.3208</v>
      </c>
      <c r="K36" s="15" t="n">
        <v>0.86778</v>
      </c>
      <c r="L36" s="15" t="n">
        <v>123.32</v>
      </c>
      <c r="M36" s="0" t="n">
        <v>400</v>
      </c>
      <c r="N36" s="0" t="n">
        <v>0.308299999999999</v>
      </c>
      <c r="O36" s="0" t="n">
        <v>638</v>
      </c>
      <c r="P36" s="15" t="n">
        <v>0.58506</v>
      </c>
      <c r="Q36" s="15" t="n">
        <v>0.29954</v>
      </c>
      <c r="R36" s="15" t="n">
        <v>48.487</v>
      </c>
      <c r="S36" s="0" t="n">
        <v>200</v>
      </c>
      <c r="T36" s="0" t="n">
        <v>0.242435</v>
      </c>
      <c r="U36" s="0" t="n">
        <v>269</v>
      </c>
      <c r="V36" s="0" t="s">
        <v>43</v>
      </c>
    </row>
    <row r="37" customFormat="false" ht="14.4" hidden="false" customHeight="false" outlineLevel="0" collapsed="false">
      <c r="A37" s="0" t="s">
        <v>66</v>
      </c>
      <c r="B37" s="0" t="n">
        <v>8</v>
      </c>
      <c r="C37" s="0" t="n">
        <v>8</v>
      </c>
      <c r="D37" s="0" t="n">
        <v>64</v>
      </c>
      <c r="E37" s="0" t="n">
        <v>0</v>
      </c>
      <c r="F37" s="0" t="s">
        <v>43</v>
      </c>
      <c r="G37" s="0" t="s">
        <v>43</v>
      </c>
      <c r="H37" s="0" t="s">
        <v>43</v>
      </c>
      <c r="I37" s="0" t="s">
        <v>43</v>
      </c>
      <c r="J37" s="15" t="n">
        <v>1.2971</v>
      </c>
      <c r="K37" s="15" t="n">
        <v>0.88396</v>
      </c>
      <c r="L37" s="15" t="n">
        <v>269.18</v>
      </c>
      <c r="M37" s="0" t="n">
        <v>800</v>
      </c>
      <c r="N37" s="0" t="n">
        <v>0.336475</v>
      </c>
      <c r="O37" s="0" t="n">
        <v>569</v>
      </c>
      <c r="P37" s="15" t="n">
        <v>0.681</v>
      </c>
      <c r="Q37" s="15" t="n">
        <v>0.36123</v>
      </c>
      <c r="R37" s="15" t="n">
        <v>90.254</v>
      </c>
      <c r="S37" s="0" t="n">
        <v>314</v>
      </c>
      <c r="T37" s="0" t="n">
        <v>0.287433121019108</v>
      </c>
      <c r="U37" s="0" t="n">
        <v>217</v>
      </c>
      <c r="V37" s="0" t="s">
        <v>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Z39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P13" activeCellId="0" sqref="P13"/>
    </sheetView>
  </sheetViews>
  <sheetFormatPr defaultRowHeight="14.4"/>
  <cols>
    <col collapsed="false" hidden="false" max="4" min="1" style="0" width="8.5748987854251"/>
    <col collapsed="false" hidden="false" max="5" min="5" style="0" width="14.5546558704453"/>
    <col collapsed="false" hidden="false" max="1025" min="6" style="0" width="8.5748987854251"/>
  </cols>
  <sheetData>
    <row r="1" customFormat="false" ht="14.4" hidden="false" customHeight="false" outlineLevel="0" collapsed="false">
      <c r="B1" s="0" t="s">
        <v>67</v>
      </c>
      <c r="I1" s="0" t="s">
        <v>50</v>
      </c>
      <c r="M1" s="0" t="s">
        <v>68</v>
      </c>
      <c r="N1" s="0" t="s">
        <v>68</v>
      </c>
      <c r="P1" s="0" t="s">
        <v>69</v>
      </c>
      <c r="W1" s="0" t="s">
        <v>70</v>
      </c>
    </row>
    <row r="2" customFormat="false" ht="14.4" hidden="false" customHeight="false" outlineLevel="0" collapsed="false">
      <c r="C2" s="0" t="s">
        <v>71</v>
      </c>
      <c r="D2" s="0" t="s">
        <v>72</v>
      </c>
      <c r="E2" s="0" t="s">
        <v>73</v>
      </c>
      <c r="F2" s="3" t="s">
        <v>74</v>
      </c>
      <c r="G2" s="4" t="s">
        <v>74</v>
      </c>
      <c r="J2" s="0" t="s">
        <v>71</v>
      </c>
      <c r="K2" s="0" t="s">
        <v>72</v>
      </c>
      <c r="L2" s="0" t="s">
        <v>73</v>
      </c>
      <c r="M2" s="3" t="s">
        <v>50</v>
      </c>
      <c r="N2" s="4" t="s">
        <v>50</v>
      </c>
      <c r="Q2" s="0" t="s">
        <v>71</v>
      </c>
      <c r="R2" s="0" t="s">
        <v>72</v>
      </c>
      <c r="S2" s="0" t="s">
        <v>73</v>
      </c>
      <c r="T2" s="3" t="s">
        <v>75</v>
      </c>
      <c r="U2" s="4" t="s">
        <v>75</v>
      </c>
      <c r="W2" s="0" t="s">
        <v>3</v>
      </c>
      <c r="X2" s="0" t="s">
        <v>5</v>
      </c>
      <c r="Y2" s="0" t="s">
        <v>7</v>
      </c>
      <c r="Z2" s="3" t="s">
        <v>76</v>
      </c>
    </row>
    <row r="3" customFormat="false" ht="14.4" hidden="false" customHeight="false" outlineLevel="0" collapsed="false">
      <c r="B3" s="0" t="s">
        <v>47</v>
      </c>
      <c r="C3" s="0" t="n">
        <v>1</v>
      </c>
      <c r="D3" s="0" t="n">
        <v>1</v>
      </c>
      <c r="E3" s="0" t="n">
        <v>1</v>
      </c>
      <c r="F3" s="0" t="n">
        <f aca="false">(295)/(1000)</f>
        <v>0.295</v>
      </c>
      <c r="G3" s="0" t="n">
        <f aca="false">308/(1000)</f>
        <v>0.308</v>
      </c>
      <c r="I3" s="0" t="s">
        <v>50</v>
      </c>
      <c r="J3" s="0" t="n">
        <v>1</v>
      </c>
      <c r="K3" s="0" t="n">
        <v>1</v>
      </c>
      <c r="L3" s="0" t="n">
        <v>1</v>
      </c>
      <c r="M3" s="0" t="n">
        <f aca="false">1036/(1000)</f>
        <v>1.036</v>
      </c>
      <c r="N3" s="0" t="n">
        <f aca="false">1089/(1000)</f>
        <v>1.089</v>
      </c>
      <c r="Q3" s="0" t="n">
        <v>1</v>
      </c>
      <c r="R3" s="0" t="n">
        <v>1</v>
      </c>
      <c r="S3" s="0" t="n">
        <f aca="false">Q3*R3</f>
        <v>1</v>
      </c>
      <c r="T3" s="0" t="n">
        <f aca="false">0/(1000)</f>
        <v>0</v>
      </c>
      <c r="U3" s="0" t="n">
        <f aca="false">0/(1000)</f>
        <v>0</v>
      </c>
      <c r="W3" s="0" t="n">
        <v>16</v>
      </c>
      <c r="X3" s="0" t="n">
        <v>1</v>
      </c>
      <c r="Y3" s="0" t="n">
        <v>16</v>
      </c>
      <c r="Z3" s="0" t="n">
        <f aca="false">2955/(1000)</f>
        <v>2.955</v>
      </c>
    </row>
    <row r="4" customFormat="false" ht="14.4" hidden="false" customHeight="false" outlineLevel="0" collapsed="false">
      <c r="B4" s="0" t="s">
        <v>47</v>
      </c>
      <c r="C4" s="0" t="n">
        <v>1</v>
      </c>
      <c r="D4" s="0" t="n">
        <v>2</v>
      </c>
      <c r="E4" s="0" t="n">
        <v>2</v>
      </c>
      <c r="F4" s="0" t="n">
        <f aca="false">(557)/(1000)</f>
        <v>0.557</v>
      </c>
      <c r="G4" s="0" t="n">
        <f aca="false">(617)/(1000)</f>
        <v>0.617</v>
      </c>
      <c r="I4" s="0" t="s">
        <v>50</v>
      </c>
      <c r="J4" s="0" t="n">
        <v>1</v>
      </c>
      <c r="K4" s="0" t="n">
        <v>2</v>
      </c>
      <c r="L4" s="0" t="n">
        <v>2</v>
      </c>
      <c r="M4" s="0" t="n">
        <f aca="false">1966/(1000)</f>
        <v>1.966</v>
      </c>
      <c r="N4" s="0" t="n">
        <f aca="false">2131/(1000)</f>
        <v>2.131</v>
      </c>
      <c r="P4" s="0" t="s">
        <v>75</v>
      </c>
      <c r="Q4" s="0" t="n">
        <v>1</v>
      </c>
      <c r="R4" s="0" t="n">
        <v>2</v>
      </c>
      <c r="S4" s="0" t="n">
        <f aca="false">Q4*R4</f>
        <v>2</v>
      </c>
      <c r="T4" s="0" t="n">
        <f aca="false">1129/(1000)</f>
        <v>1.129</v>
      </c>
      <c r="U4" s="0" t="n">
        <f aca="false">680/(1000)</f>
        <v>0.68</v>
      </c>
      <c r="W4" s="0" t="n">
        <v>1</v>
      </c>
      <c r="X4" s="0" t="n">
        <v>1</v>
      </c>
      <c r="Y4" s="0" t="n">
        <v>1</v>
      </c>
      <c r="Z4" s="0" t="n">
        <f aca="false">338/(1000)</f>
        <v>0.338</v>
      </c>
    </row>
    <row r="5" customFormat="false" ht="14.4" hidden="false" customHeight="false" outlineLevel="0" collapsed="false">
      <c r="B5" s="0" t="s">
        <v>47</v>
      </c>
      <c r="C5" s="0" t="n">
        <v>1</v>
      </c>
      <c r="D5" s="0" t="n">
        <v>4</v>
      </c>
      <c r="E5" s="0" t="n">
        <v>4</v>
      </c>
      <c r="F5" s="0" t="n">
        <f aca="false">(960)/(1000)</f>
        <v>0.96</v>
      </c>
      <c r="G5" s="0" t="n">
        <f aca="false">1052/(1000)</f>
        <v>1.052</v>
      </c>
      <c r="I5" s="0" t="s">
        <v>50</v>
      </c>
      <c r="J5" s="0" t="n">
        <v>1</v>
      </c>
      <c r="K5" s="0" t="n">
        <v>4</v>
      </c>
      <c r="L5" s="0" t="n">
        <v>4</v>
      </c>
      <c r="M5" s="0" t="n">
        <f aca="false">3506/(1000)</f>
        <v>3.506</v>
      </c>
      <c r="N5" s="0" t="n">
        <f aca="false">3999/(1000)</f>
        <v>3.999</v>
      </c>
      <c r="P5" s="0" t="s">
        <v>75</v>
      </c>
      <c r="Q5" s="0" t="n">
        <v>1</v>
      </c>
      <c r="R5" s="0" t="n">
        <v>4</v>
      </c>
      <c r="S5" s="0" t="n">
        <f aca="false">Q5*R5</f>
        <v>4</v>
      </c>
      <c r="T5" s="0" t="n">
        <v>0.719</v>
      </c>
      <c r="U5" s="0" t="n">
        <v>0.609</v>
      </c>
      <c r="W5" s="0" t="n">
        <v>2</v>
      </c>
      <c r="X5" s="0" t="n">
        <v>1</v>
      </c>
      <c r="Y5" s="0" t="n">
        <v>2</v>
      </c>
      <c r="Z5" s="0" t="n">
        <f aca="false">611/(1000)</f>
        <v>0.611</v>
      </c>
    </row>
    <row r="6" customFormat="false" ht="14.4" hidden="false" customHeight="false" outlineLevel="0" collapsed="false">
      <c r="B6" s="9" t="s">
        <v>47</v>
      </c>
      <c r="C6" s="0" t="n">
        <v>1</v>
      </c>
      <c r="D6" s="0" t="n">
        <v>8</v>
      </c>
      <c r="E6" s="0" t="n">
        <v>8</v>
      </c>
      <c r="F6" s="0" t="n">
        <f aca="false">(1462)/(1000)</f>
        <v>1.462</v>
      </c>
      <c r="G6" s="0" t="n">
        <f aca="false">(1685)/(1000)</f>
        <v>1.685</v>
      </c>
      <c r="I6" s="0" t="s">
        <v>50</v>
      </c>
      <c r="J6" s="0" t="n">
        <v>1</v>
      </c>
      <c r="K6" s="0" t="n">
        <v>8</v>
      </c>
      <c r="L6" s="0" t="n">
        <v>8</v>
      </c>
      <c r="M6" s="0" t="n">
        <f aca="false">5137/(1000)</f>
        <v>5.137</v>
      </c>
      <c r="N6" s="0" t="n">
        <f aca="false">6170/(1000)</f>
        <v>6.17</v>
      </c>
      <c r="P6" s="0" t="s">
        <v>75</v>
      </c>
      <c r="Q6" s="0" t="n">
        <v>1</v>
      </c>
      <c r="R6" s="0" t="n">
        <v>8</v>
      </c>
      <c r="S6" s="0" t="n">
        <f aca="false">Q6*R6</f>
        <v>8</v>
      </c>
      <c r="T6" s="0" t="n">
        <f aca="false">1952/(1000)</f>
        <v>1.952</v>
      </c>
      <c r="U6" s="0" t="n">
        <f aca="false">1719/(1000)</f>
        <v>1.719</v>
      </c>
      <c r="W6" s="9" t="n">
        <v>32</v>
      </c>
      <c r="X6" s="9" t="n">
        <v>1</v>
      </c>
      <c r="Y6" s="9" t="n">
        <v>32</v>
      </c>
      <c r="Z6" s="0" t="n">
        <f aca="false">4308/(1000)</f>
        <v>4.308</v>
      </c>
    </row>
    <row r="7" customFormat="false" ht="14.4" hidden="false" customHeight="false" outlineLevel="0" collapsed="false">
      <c r="B7" s="9" t="s">
        <v>47</v>
      </c>
      <c r="C7" s="0" t="n">
        <v>2</v>
      </c>
      <c r="D7" s="0" t="n">
        <v>8</v>
      </c>
      <c r="E7" s="0" t="n">
        <v>16</v>
      </c>
      <c r="F7" s="0" t="n">
        <f aca="false">(2917)/(1000)</f>
        <v>2.917</v>
      </c>
      <c r="G7" s="0" t="n">
        <f aca="false">3032/(1000)</f>
        <v>3.032</v>
      </c>
      <c r="I7" s="0" t="s">
        <v>50</v>
      </c>
      <c r="J7" s="0" t="n">
        <v>2</v>
      </c>
      <c r="K7" s="0" t="n">
        <v>8</v>
      </c>
      <c r="L7" s="0" t="n">
        <v>16</v>
      </c>
      <c r="M7" s="0" t="n">
        <f aca="false">11171/(1000)</f>
        <v>11.171</v>
      </c>
      <c r="N7" s="0" t="n">
        <f aca="false">11886/(1000)</f>
        <v>11.886</v>
      </c>
      <c r="P7" s="0" t="s">
        <v>75</v>
      </c>
      <c r="Q7" s="0" t="n">
        <v>2</v>
      </c>
      <c r="R7" s="0" t="n">
        <v>8</v>
      </c>
      <c r="S7" s="0" t="n">
        <f aca="false">Q7*R7</f>
        <v>16</v>
      </c>
      <c r="T7" s="0" t="n">
        <v>0.636</v>
      </c>
      <c r="U7" s="0" t="n">
        <v>0.296</v>
      </c>
      <c r="W7" s="0" t="n">
        <v>4</v>
      </c>
      <c r="X7" s="0" t="n">
        <v>1</v>
      </c>
      <c r="Y7" s="0" t="n">
        <v>4</v>
      </c>
      <c r="Z7" s="0" t="n">
        <f aca="false">1150/(1000)</f>
        <v>1.15</v>
      </c>
    </row>
    <row r="8" customFormat="false" ht="14.4" hidden="false" customHeight="false" outlineLevel="0" collapsed="false">
      <c r="B8" s="9" t="s">
        <v>47</v>
      </c>
      <c r="C8" s="0" t="n">
        <v>4</v>
      </c>
      <c r="D8" s="0" t="n">
        <v>8</v>
      </c>
      <c r="E8" s="0" t="n">
        <v>32</v>
      </c>
      <c r="F8" s="0" t="n">
        <f aca="false">5029/(1000)</f>
        <v>5.029</v>
      </c>
      <c r="G8" s="0" t="n">
        <f aca="false">(1685)/(1000)</f>
        <v>1.685</v>
      </c>
      <c r="I8" s="0" t="s">
        <v>50</v>
      </c>
      <c r="J8" s="0" t="n">
        <v>4</v>
      </c>
      <c r="K8" s="0" t="n">
        <v>8</v>
      </c>
      <c r="L8" s="0" t="n">
        <v>32</v>
      </c>
      <c r="M8" s="0" t="n">
        <f aca="false">22332/(1000)</f>
        <v>22.332</v>
      </c>
      <c r="N8" s="0" t="n">
        <f aca="false">21768/(1000)</f>
        <v>21.768</v>
      </c>
      <c r="P8" s="0" t="s">
        <v>75</v>
      </c>
      <c r="Q8" s="0" t="n">
        <v>4</v>
      </c>
      <c r="R8" s="0" t="n">
        <v>8</v>
      </c>
      <c r="S8" s="0" t="n">
        <f aca="false">Q8*R8</f>
        <v>32</v>
      </c>
      <c r="T8" s="0" t="n">
        <v>0.638</v>
      </c>
      <c r="U8" s="0" t="n">
        <v>0.269</v>
      </c>
      <c r="W8" s="9" t="n">
        <v>64</v>
      </c>
      <c r="X8" s="9" t="n">
        <v>1</v>
      </c>
      <c r="Y8" s="9" t="n">
        <v>64</v>
      </c>
      <c r="Z8" s="0" t="n">
        <f aca="false">4912/(1000)</f>
        <v>4.912</v>
      </c>
    </row>
    <row r="9" customFormat="false" ht="14.4" hidden="false" customHeight="false" outlineLevel="0" collapsed="false">
      <c r="B9" s="9" t="s">
        <v>47</v>
      </c>
      <c r="C9" s="0" t="n">
        <v>8</v>
      </c>
      <c r="D9" s="0" t="n">
        <v>8</v>
      </c>
      <c r="E9" s="0" t="n">
        <v>64</v>
      </c>
      <c r="F9" s="0" t="n">
        <f aca="false">6988/(1000)</f>
        <v>6.988</v>
      </c>
      <c r="G9" s="0" t="n">
        <f aca="false">3813/(1000)</f>
        <v>3.813</v>
      </c>
      <c r="I9" s="0" t="s">
        <v>50</v>
      </c>
      <c r="J9" s="0" t="n">
        <v>8</v>
      </c>
      <c r="K9" s="0" t="n">
        <v>8</v>
      </c>
      <c r="L9" s="0" t="n">
        <v>64</v>
      </c>
      <c r="M9" s="0" t="n">
        <f aca="false">37040/(1000)</f>
        <v>37.04</v>
      </c>
      <c r="N9" s="0" t="n">
        <f aca="false">27006/(1000)</f>
        <v>27.006</v>
      </c>
      <c r="P9" s="0" t="s">
        <v>75</v>
      </c>
      <c r="Q9" s="0" t="n">
        <v>8</v>
      </c>
      <c r="R9" s="0" t="n">
        <v>8</v>
      </c>
      <c r="S9" s="0" t="n">
        <f aca="false">Q9*R9</f>
        <v>64</v>
      </c>
      <c r="T9" s="0" t="n">
        <v>0.569</v>
      </c>
      <c r="U9" s="0" t="n">
        <v>0.217</v>
      </c>
      <c r="W9" s="0" t="n">
        <v>8</v>
      </c>
      <c r="X9" s="0" t="n">
        <v>1</v>
      </c>
      <c r="Y9" s="0" t="n">
        <v>8</v>
      </c>
      <c r="Z9" s="0" t="n">
        <f aca="false">1792/(1000)</f>
        <v>1.792</v>
      </c>
    </row>
    <row r="11" customFormat="false" ht="14.4" hidden="false" customHeight="false" outlineLevel="0" collapsed="false">
      <c r="B11" s="0" t="s">
        <v>47</v>
      </c>
      <c r="C11" s="0" t="n">
        <v>2</v>
      </c>
      <c r="D11" s="0" t="n">
        <v>1</v>
      </c>
      <c r="E11" s="0" t="n">
        <v>2</v>
      </c>
      <c r="F11" s="9" t="n">
        <v>489</v>
      </c>
      <c r="G11" s="8" t="n">
        <v>521</v>
      </c>
      <c r="I11" s="0" t="s">
        <v>50</v>
      </c>
      <c r="J11" s="0" t="n">
        <v>2</v>
      </c>
      <c r="K11" s="0" t="n">
        <v>1</v>
      </c>
      <c r="L11" s="0" t="n">
        <v>2</v>
      </c>
      <c r="M11" s="6" t="n">
        <v>2114</v>
      </c>
      <c r="N11" s="8" t="n">
        <v>2138</v>
      </c>
    </row>
    <row r="12" customFormat="false" ht="14.4" hidden="false" customHeight="false" outlineLevel="0" collapsed="false">
      <c r="B12" s="0" t="s">
        <v>47</v>
      </c>
      <c r="C12" s="0" t="n">
        <v>4</v>
      </c>
      <c r="D12" s="0" t="n">
        <v>1</v>
      </c>
      <c r="E12" s="0" t="n">
        <v>4</v>
      </c>
      <c r="F12" s="9" t="n">
        <v>919</v>
      </c>
      <c r="G12" s="8" t="n">
        <v>986</v>
      </c>
      <c r="I12" s="0" t="s">
        <v>50</v>
      </c>
      <c r="J12" s="0" t="n">
        <v>4</v>
      </c>
      <c r="K12" s="0" t="n">
        <v>1</v>
      </c>
      <c r="L12" s="0" t="n">
        <v>4</v>
      </c>
      <c r="M12" s="6" t="n">
        <v>4112</v>
      </c>
      <c r="N12" s="8" t="n">
        <v>4453</v>
      </c>
    </row>
    <row r="13" customFormat="false" ht="14.4" hidden="false" customHeight="false" outlineLevel="0" collapsed="false">
      <c r="B13" s="0" t="s">
        <v>47</v>
      </c>
      <c r="C13" s="0" t="n">
        <v>8</v>
      </c>
      <c r="D13" s="0" t="n">
        <v>1</v>
      </c>
      <c r="E13" s="0" t="n">
        <v>8</v>
      </c>
      <c r="F13" s="9" t="n">
        <v>1675</v>
      </c>
      <c r="G13" s="8" t="n">
        <v>1688</v>
      </c>
      <c r="I13" s="0" t="s">
        <v>50</v>
      </c>
      <c r="J13" s="0" t="n">
        <v>8</v>
      </c>
      <c r="K13" s="0" t="n">
        <v>1</v>
      </c>
      <c r="L13" s="0" t="n">
        <v>8</v>
      </c>
      <c r="M13" s="6" t="n">
        <v>8135</v>
      </c>
      <c r="N13" s="8" t="n">
        <v>8895</v>
      </c>
    </row>
    <row r="16" customFormat="false" ht="14.4" hidden="false" customHeight="false" outlineLevel="0" collapsed="false">
      <c r="B16" s="0" t="s">
        <v>77</v>
      </c>
      <c r="C16" s="0" t="n">
        <f aca="false">1000</f>
        <v>1000</v>
      </c>
      <c r="D16" s="0" t="s">
        <v>78</v>
      </c>
    </row>
    <row r="32" customFormat="false" ht="14.4" hidden="false" customHeight="false" outlineLevel="0" collapsed="false">
      <c r="C32" s="0" t="s">
        <v>71</v>
      </c>
      <c r="D32" s="0" t="s">
        <v>72</v>
      </c>
      <c r="E32" s="0" t="s">
        <v>73</v>
      </c>
      <c r="F32" s="3" t="s">
        <v>79</v>
      </c>
      <c r="G32" s="4" t="s">
        <v>80</v>
      </c>
      <c r="H32" s="3" t="s">
        <v>24</v>
      </c>
      <c r="I32" s="4" t="s">
        <v>80</v>
      </c>
    </row>
    <row r="33" customFormat="false" ht="14.4" hidden="false" customHeight="false" outlineLevel="0" collapsed="false">
      <c r="B33" s="0" t="s">
        <v>81</v>
      </c>
      <c r="C33" s="0" t="n">
        <v>1</v>
      </c>
      <c r="D33" s="0" t="n">
        <v>1</v>
      </c>
      <c r="E33" s="0" t="n">
        <v>1</v>
      </c>
      <c r="F33" s="0" t="n">
        <f aca="false">475/(1000)</f>
        <v>0.475</v>
      </c>
      <c r="G33" s="0" t="n">
        <f aca="false">342/(1000)</f>
        <v>0.342</v>
      </c>
      <c r="H33" s="6" t="n">
        <v>200</v>
      </c>
      <c r="I33" s="8" t="n">
        <v>200</v>
      </c>
    </row>
    <row r="34" customFormat="false" ht="14.4" hidden="false" customHeight="false" outlineLevel="0" collapsed="false">
      <c r="B34" s="0" t="s">
        <v>81</v>
      </c>
      <c r="C34" s="0" t="n">
        <v>1</v>
      </c>
      <c r="D34" s="0" t="n">
        <v>2</v>
      </c>
      <c r="E34" s="0" t="n">
        <v>2</v>
      </c>
      <c r="F34" s="0" t="n">
        <f aca="false">935/(1000)</f>
        <v>0.935</v>
      </c>
      <c r="G34" s="0" t="n">
        <f aca="false">613/(1000)</f>
        <v>0.613</v>
      </c>
      <c r="H34" s="6" t="n">
        <v>200</v>
      </c>
      <c r="I34" s="8" t="n">
        <v>200</v>
      </c>
    </row>
    <row r="35" customFormat="false" ht="14.4" hidden="false" customHeight="false" outlineLevel="0" collapsed="false">
      <c r="B35" s="0" t="s">
        <v>81</v>
      </c>
      <c r="C35" s="0" t="n">
        <v>1</v>
      </c>
      <c r="D35" s="0" t="n">
        <v>4</v>
      </c>
      <c r="E35" s="0" t="n">
        <v>4</v>
      </c>
      <c r="F35" s="0" t="n">
        <f aca="false">1735/(1000)</f>
        <v>1.735</v>
      </c>
      <c r="G35" s="0" t="n">
        <f aca="false">1058/(1000)</f>
        <v>1.058</v>
      </c>
      <c r="H35" s="6" t="n">
        <v>200</v>
      </c>
      <c r="I35" s="8" t="n">
        <v>200</v>
      </c>
    </row>
    <row r="36" customFormat="false" ht="14.4" hidden="false" customHeight="false" outlineLevel="0" collapsed="false">
      <c r="B36" s="0" t="s">
        <v>81</v>
      </c>
      <c r="C36" s="0" t="n">
        <v>1</v>
      </c>
      <c r="D36" s="0" t="n">
        <v>8</v>
      </c>
      <c r="E36" s="0" t="n">
        <v>8</v>
      </c>
      <c r="F36" s="0" t="n">
        <f aca="false">2875/(1000)</f>
        <v>2.875</v>
      </c>
      <c r="G36" s="0" t="n">
        <f aca="false">1426/(1000)</f>
        <v>1.426</v>
      </c>
      <c r="H36" s="6" t="n">
        <v>200</v>
      </c>
      <c r="I36" s="8" t="n">
        <v>200</v>
      </c>
    </row>
    <row r="37" customFormat="false" ht="14.4" hidden="false" customHeight="false" outlineLevel="0" collapsed="false">
      <c r="B37" s="0" t="s">
        <v>81</v>
      </c>
      <c r="C37" s="0" t="n">
        <v>2</v>
      </c>
      <c r="D37" s="0" t="n">
        <v>8</v>
      </c>
      <c r="E37" s="0" t="n">
        <v>16</v>
      </c>
      <c r="F37" s="0" t="n">
        <f aca="false">2654/(1000)</f>
        <v>2.654</v>
      </c>
      <c r="G37" s="0" t="n">
        <f aca="false">2344/(1000)</f>
        <v>2.344</v>
      </c>
      <c r="H37" s="6" t="n">
        <v>400</v>
      </c>
      <c r="I37" s="8" t="n">
        <v>400</v>
      </c>
    </row>
    <row r="38" customFormat="false" ht="14.4" hidden="false" customHeight="false" outlineLevel="0" collapsed="false">
      <c r="B38" s="0" t="s">
        <v>81</v>
      </c>
      <c r="C38" s="0" t="n">
        <v>4</v>
      </c>
      <c r="D38" s="0" t="n">
        <v>8</v>
      </c>
      <c r="E38" s="0" t="n">
        <v>32</v>
      </c>
      <c r="F38" s="0" t="n">
        <f aca="false">5516/(1000)</f>
        <v>5.516</v>
      </c>
      <c r="G38" s="0" t="n">
        <f aca="false">2941/(1000)</f>
        <v>2.941</v>
      </c>
      <c r="H38" s="6" t="n">
        <v>400</v>
      </c>
      <c r="I38" s="8" t="n">
        <v>400</v>
      </c>
    </row>
    <row r="39" customFormat="false" ht="14.4" hidden="false" customHeight="false" outlineLevel="0" collapsed="false">
      <c r="B39" s="0" t="s">
        <v>81</v>
      </c>
      <c r="C39" s="0" t="n">
        <v>8</v>
      </c>
      <c r="D39" s="0" t="n">
        <v>8</v>
      </c>
      <c r="E39" s="0" t="n">
        <v>64</v>
      </c>
      <c r="F39" s="0" t="n">
        <f aca="false">8356/(1000)</f>
        <v>8.356</v>
      </c>
      <c r="G39" s="0" t="n">
        <f aca="false">5723/(1000)</f>
        <v>5.723</v>
      </c>
      <c r="H39" s="6" t="n">
        <v>800</v>
      </c>
      <c r="I39" s="8" t="n">
        <v>800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9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B19" activeCellId="0" sqref="B19"/>
    </sheetView>
  </sheetViews>
  <sheetFormatPr defaultRowHeight="14.4"/>
  <cols>
    <col collapsed="false" hidden="false" max="1025" min="1" style="0" width="8.5748987854251"/>
  </cols>
  <sheetData>
    <row r="2" customFormat="false" ht="14.4" hidden="false" customHeight="false" outlineLevel="0" collapsed="false">
      <c r="B2" s="0" t="s">
        <v>71</v>
      </c>
      <c r="C2" s="0" t="s">
        <v>72</v>
      </c>
      <c r="D2" s="0" t="s">
        <v>73</v>
      </c>
      <c r="E2" s="0" t="s">
        <v>50</v>
      </c>
      <c r="G2" s="0" t="s">
        <v>1</v>
      </c>
      <c r="H2" s="0" t="s">
        <v>3</v>
      </c>
      <c r="I2" s="0" t="s">
        <v>5</v>
      </c>
      <c r="J2" s="0" t="s">
        <v>7</v>
      </c>
      <c r="K2" s="0" t="s">
        <v>82</v>
      </c>
      <c r="N2" s="0" t="s">
        <v>71</v>
      </c>
      <c r="O2" s="0" t="s">
        <v>72</v>
      </c>
      <c r="P2" s="0" t="s">
        <v>73</v>
      </c>
      <c r="Q2" s="0" t="s">
        <v>69</v>
      </c>
    </row>
    <row r="3" customFormat="false" ht="14.4" hidden="false" customHeight="false" outlineLevel="0" collapsed="false">
      <c r="A3" s="0" t="s">
        <v>50</v>
      </c>
      <c r="B3" s="0" t="n">
        <v>1</v>
      </c>
      <c r="C3" s="0" t="n">
        <v>1</v>
      </c>
      <c r="D3" s="0" t="n">
        <v>1</v>
      </c>
      <c r="E3" s="0" t="n">
        <v>0.761287</v>
      </c>
      <c r="G3" s="0" t="s">
        <v>47</v>
      </c>
      <c r="H3" s="0" t="n">
        <v>1</v>
      </c>
      <c r="I3" s="0" t="n">
        <v>1</v>
      </c>
      <c r="J3" s="0" t="n">
        <v>1</v>
      </c>
      <c r="K3" s="0" t="n">
        <v>0.20673</v>
      </c>
      <c r="M3" s="0" t="s">
        <v>53</v>
      </c>
      <c r="N3" s="0" t="n">
        <v>1</v>
      </c>
      <c r="O3" s="0" t="n">
        <v>1</v>
      </c>
      <c r="P3" s="0" t="n">
        <f aca="false">N3*O3</f>
        <v>1</v>
      </c>
      <c r="Q3" s="0" t="n">
        <v>0.569746</v>
      </c>
    </row>
    <row r="4" customFormat="false" ht="14.4" hidden="false" customHeight="false" outlineLevel="0" collapsed="false">
      <c r="A4" s="0" t="s">
        <v>50</v>
      </c>
      <c r="B4" s="0" t="n">
        <v>1</v>
      </c>
      <c r="C4" s="0" t="n">
        <v>2</v>
      </c>
      <c r="D4" s="0" t="n">
        <v>2</v>
      </c>
      <c r="E4" s="0" t="n">
        <v>1.39091</v>
      </c>
      <c r="G4" s="0" t="s">
        <v>47</v>
      </c>
      <c r="H4" s="0" t="n">
        <v>1</v>
      </c>
      <c r="I4" s="0" t="n">
        <v>2</v>
      </c>
      <c r="J4" s="0" t="n">
        <v>2</v>
      </c>
      <c r="K4" s="0" t="n">
        <v>0.396832</v>
      </c>
      <c r="M4" s="0" t="s">
        <v>53</v>
      </c>
      <c r="N4" s="0" t="n">
        <v>1</v>
      </c>
      <c r="O4" s="0" t="n">
        <v>2</v>
      </c>
      <c r="P4" s="0" t="n">
        <f aca="false">N4*O4</f>
        <v>2</v>
      </c>
      <c r="Q4" s="0" t="n">
        <v>1.0184</v>
      </c>
    </row>
    <row r="5" customFormat="false" ht="14.4" hidden="false" customHeight="false" outlineLevel="0" collapsed="false">
      <c r="A5" s="0" t="s">
        <v>50</v>
      </c>
      <c r="B5" s="0" t="n">
        <v>1</v>
      </c>
      <c r="C5" s="0" t="n">
        <v>4</v>
      </c>
      <c r="D5" s="0" t="n">
        <v>4</v>
      </c>
      <c r="E5" s="0" t="n">
        <v>2.43654</v>
      </c>
      <c r="G5" s="0" t="s">
        <v>47</v>
      </c>
      <c r="H5" s="0" t="n">
        <v>1</v>
      </c>
      <c r="I5" s="0" t="n">
        <v>4</v>
      </c>
      <c r="J5" s="0" t="n">
        <v>4</v>
      </c>
      <c r="K5" s="0" t="n">
        <v>0.673309</v>
      </c>
      <c r="M5" s="0" t="s">
        <v>53</v>
      </c>
      <c r="N5" s="0" t="n">
        <v>1</v>
      </c>
      <c r="O5" s="0" t="n">
        <v>4</v>
      </c>
      <c r="P5" s="0" t="n">
        <f aca="false">N5*O5</f>
        <v>4</v>
      </c>
      <c r="Q5" s="0" t="n">
        <v>1.63595</v>
      </c>
    </row>
    <row r="6" customFormat="false" ht="14.4" hidden="false" customHeight="false" outlineLevel="0" collapsed="false">
      <c r="A6" s="0" t="s">
        <v>50</v>
      </c>
      <c r="B6" s="0" t="n">
        <v>1</v>
      </c>
      <c r="C6" s="0" t="n">
        <v>8</v>
      </c>
      <c r="D6" s="0" t="n">
        <v>8</v>
      </c>
      <c r="E6" s="0" t="n">
        <v>3.61416</v>
      </c>
      <c r="G6" s="0" t="s">
        <v>47</v>
      </c>
      <c r="H6" s="0" t="n">
        <v>1</v>
      </c>
      <c r="I6" s="0" t="n">
        <v>8</v>
      </c>
      <c r="J6" s="0" t="n">
        <v>8</v>
      </c>
      <c r="K6" s="0" t="n">
        <v>1.0551</v>
      </c>
      <c r="M6" s="0" t="s">
        <v>53</v>
      </c>
      <c r="N6" s="0" t="n">
        <v>1</v>
      </c>
      <c r="O6" s="0" t="n">
        <v>8</v>
      </c>
      <c r="P6" s="0" t="n">
        <f aca="false">N6*O6</f>
        <v>8</v>
      </c>
      <c r="Q6" s="0" t="n">
        <v>2.4076</v>
      </c>
    </row>
    <row r="7" customFormat="false" ht="14.4" hidden="false" customHeight="false" outlineLevel="0" collapsed="false">
      <c r="A7" s="0" t="s">
        <v>50</v>
      </c>
      <c r="B7" s="0" t="n">
        <v>2</v>
      </c>
      <c r="C7" s="0" t="n">
        <v>8</v>
      </c>
      <c r="D7" s="0" t="n">
        <v>16</v>
      </c>
      <c r="E7" s="0" t="n">
        <v>6.91212</v>
      </c>
      <c r="G7" s="0" t="s">
        <v>47</v>
      </c>
      <c r="H7" s="0" t="n">
        <v>2</v>
      </c>
      <c r="I7" s="0" t="n">
        <v>8</v>
      </c>
      <c r="J7" s="0" t="n">
        <v>16</v>
      </c>
      <c r="K7" s="0" t="n">
        <v>1.81086</v>
      </c>
      <c r="M7" s="0" t="s">
        <v>53</v>
      </c>
      <c r="N7" s="0" t="n">
        <v>2</v>
      </c>
      <c r="O7" s="0" t="n">
        <v>8</v>
      </c>
      <c r="P7" s="0" t="n">
        <f aca="false">N7*O7</f>
        <v>16</v>
      </c>
      <c r="Q7" s="0" t="n">
        <v>3.38933</v>
      </c>
    </row>
    <row r="8" customFormat="false" ht="14.4" hidden="false" customHeight="false" outlineLevel="0" collapsed="false">
      <c r="A8" s="0" t="s">
        <v>50</v>
      </c>
      <c r="B8" s="0" t="n">
        <v>4</v>
      </c>
      <c r="C8" s="0" t="n">
        <v>8</v>
      </c>
      <c r="D8" s="0" t="n">
        <v>32</v>
      </c>
      <c r="E8" s="0" t="n">
        <v>14.2245</v>
      </c>
      <c r="G8" s="0" t="s">
        <v>47</v>
      </c>
      <c r="H8" s="0" t="n">
        <v>4</v>
      </c>
      <c r="I8" s="0" t="n">
        <v>8</v>
      </c>
      <c r="J8" s="0" t="n">
        <v>32</v>
      </c>
      <c r="K8" s="0" t="n">
        <v>3.2231</v>
      </c>
      <c r="M8" s="0" t="s">
        <v>53</v>
      </c>
      <c r="N8" s="0" t="n">
        <v>4</v>
      </c>
      <c r="O8" s="0" t="n">
        <v>8</v>
      </c>
      <c r="P8" s="0" t="n">
        <f aca="false">N8*O8</f>
        <v>32</v>
      </c>
      <c r="Q8" s="0" t="n">
        <v>5.58457</v>
      </c>
    </row>
    <row r="9" customFormat="false" ht="14.4" hidden="false" customHeight="false" outlineLevel="0" collapsed="false">
      <c r="A9" s="0" t="s">
        <v>50</v>
      </c>
      <c r="B9" s="0" t="n">
        <v>8</v>
      </c>
      <c r="C9" s="0" t="n">
        <v>8</v>
      </c>
      <c r="D9" s="0" t="n">
        <v>64</v>
      </c>
      <c r="E9" s="0" t="n">
        <v>27.429</v>
      </c>
      <c r="G9" s="0" t="s">
        <v>47</v>
      </c>
      <c r="H9" s="0" t="n">
        <v>8</v>
      </c>
      <c r="I9" s="0" t="n">
        <v>8</v>
      </c>
      <c r="J9" s="0" t="n">
        <v>64</v>
      </c>
      <c r="K9" s="0" t="n">
        <v>5.45165</v>
      </c>
      <c r="M9" s="0" t="s">
        <v>53</v>
      </c>
      <c r="N9" s="0" t="n">
        <v>8</v>
      </c>
      <c r="O9" s="0" t="n">
        <v>8</v>
      </c>
      <c r="P9" s="0" t="n">
        <f aca="false">N9*O9</f>
        <v>64</v>
      </c>
      <c r="Q9" s="0" t="n">
        <v>10.6447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P21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F6" activeCellId="0" sqref="F6"/>
    </sheetView>
  </sheetViews>
  <sheetFormatPr defaultRowHeight="14.4"/>
  <cols>
    <col collapsed="false" hidden="false" max="5" min="1" style="0" width="8.5748987854251"/>
    <col collapsed="false" hidden="false" max="6" min="6" style="0" width="11.1133603238866"/>
    <col collapsed="false" hidden="false" max="1025" min="7" style="0" width="8.5748987854251"/>
  </cols>
  <sheetData>
    <row r="2" customFormat="false" ht="14.4" hidden="false" customHeight="false" outlineLevel="0" collapsed="false">
      <c r="B2" s="0" t="s">
        <v>83</v>
      </c>
      <c r="K2" s="0" t="s">
        <v>84</v>
      </c>
    </row>
    <row r="5" customFormat="false" ht="14.4" hidden="false" customHeight="false" outlineLevel="0" collapsed="false">
      <c r="C5" s="0" t="s">
        <v>71</v>
      </c>
      <c r="D5" s="0" t="s">
        <v>72</v>
      </c>
      <c r="E5" s="0" t="s">
        <v>73</v>
      </c>
      <c r="F5" s="0" t="s">
        <v>85</v>
      </c>
      <c r="G5" s="0" t="s">
        <v>86</v>
      </c>
      <c r="L5" s="0" t="s">
        <v>71</v>
      </c>
      <c r="M5" s="0" t="s">
        <v>72</v>
      </c>
      <c r="N5" s="0" t="s">
        <v>73</v>
      </c>
      <c r="O5" s="0" t="s">
        <v>87</v>
      </c>
      <c r="P5" s="0" t="s">
        <v>88</v>
      </c>
    </row>
    <row r="6" customFormat="false" ht="14.4" hidden="false" customHeight="false" outlineLevel="0" collapsed="false">
      <c r="B6" s="0" t="s">
        <v>89</v>
      </c>
      <c r="C6" s="0" t="n">
        <v>1</v>
      </c>
      <c r="D6" s="0" t="n">
        <v>8</v>
      </c>
      <c r="E6" s="0" t="n">
        <v>8</v>
      </c>
      <c r="F6" s="22" t="n">
        <v>0.0046412037037037</v>
      </c>
      <c r="G6" s="22" t="n">
        <v>0.000347222222222222</v>
      </c>
      <c r="K6" s="0" t="s">
        <v>89</v>
      </c>
      <c r="L6" s="0" t="n">
        <v>1</v>
      </c>
      <c r="M6" s="0" t="n">
        <v>8</v>
      </c>
      <c r="N6" s="0" t="n">
        <v>8</v>
      </c>
      <c r="O6" s="22" t="n">
        <v>0.0406018518518519</v>
      </c>
      <c r="P6" s="22" t="n">
        <v>0.00337962962962963</v>
      </c>
    </row>
    <row r="7" customFormat="false" ht="14.4" hidden="false" customHeight="false" outlineLevel="0" collapsed="false">
      <c r="B7" s="0" t="s">
        <v>89</v>
      </c>
      <c r="C7" s="0" t="n">
        <v>2</v>
      </c>
      <c r="D7" s="0" t="n">
        <v>8</v>
      </c>
      <c r="E7" s="0" t="n">
        <v>16</v>
      </c>
      <c r="F7" s="22" t="n">
        <v>0.00454861111111111</v>
      </c>
      <c r="G7" s="22" t="n">
        <v>0.000405092592592593</v>
      </c>
      <c r="K7" s="0" t="s">
        <v>89</v>
      </c>
      <c r="L7" s="0" t="n">
        <v>2</v>
      </c>
      <c r="M7" s="0" t="n">
        <v>8</v>
      </c>
      <c r="N7" s="0" t="n">
        <v>16</v>
      </c>
      <c r="O7" s="22" t="n">
        <v>0.0332523148148148</v>
      </c>
      <c r="P7" s="22" t="n">
        <v>0.0034837962962963</v>
      </c>
    </row>
    <row r="8" customFormat="false" ht="14.4" hidden="false" customHeight="false" outlineLevel="0" collapsed="false">
      <c r="B8" s="0" t="s">
        <v>89</v>
      </c>
      <c r="C8" s="0" t="n">
        <v>4</v>
      </c>
      <c r="D8" s="0" t="n">
        <v>8</v>
      </c>
      <c r="E8" s="0" t="n">
        <v>32</v>
      </c>
      <c r="F8" s="22" t="n">
        <v>0.00467592592592593</v>
      </c>
      <c r="G8" s="22" t="n">
        <v>0.000347222222222222</v>
      </c>
      <c r="K8" s="0" t="s">
        <v>89</v>
      </c>
      <c r="L8" s="0" t="n">
        <v>4</v>
      </c>
      <c r="M8" s="0" t="n">
        <v>8</v>
      </c>
      <c r="N8" s="0" t="n">
        <v>32</v>
      </c>
      <c r="O8" s="22" t="n">
        <v>0.034212962962963</v>
      </c>
      <c r="P8" s="22" t="n">
        <v>0.00322916666666667</v>
      </c>
    </row>
    <row r="9" customFormat="false" ht="14.4" hidden="false" customHeight="false" outlineLevel="0" collapsed="false">
      <c r="B9" s="0" t="s">
        <v>89</v>
      </c>
      <c r="C9" s="0" t="n">
        <v>8</v>
      </c>
      <c r="D9" s="0" t="n">
        <v>8</v>
      </c>
      <c r="E9" s="0" t="n">
        <v>64</v>
      </c>
      <c r="F9" s="22" t="n">
        <v>0.00471064814814815</v>
      </c>
      <c r="G9" s="22" t="n">
        <v>0.00037037037037037</v>
      </c>
      <c r="K9" s="0" t="s">
        <v>89</v>
      </c>
      <c r="L9" s="0" t="n">
        <v>8</v>
      </c>
      <c r="M9" s="0" t="n">
        <v>8</v>
      </c>
      <c r="N9" s="0" t="n">
        <v>64</v>
      </c>
      <c r="O9" s="22" t="n">
        <v>0.0442592592592593</v>
      </c>
      <c r="P9" s="22" t="n">
        <v>0.00341435185185185</v>
      </c>
    </row>
    <row r="14" customFormat="false" ht="14.4" hidden="false" customHeight="false" outlineLevel="0" collapsed="false">
      <c r="B14" s="0" t="s">
        <v>83</v>
      </c>
      <c r="K14" s="0" t="s">
        <v>84</v>
      </c>
    </row>
    <row r="17" customFormat="false" ht="14.4" hidden="false" customHeight="false" outlineLevel="0" collapsed="false">
      <c r="C17" s="0" t="s">
        <v>71</v>
      </c>
      <c r="D17" s="0" t="s">
        <v>72</v>
      </c>
      <c r="E17" s="0" t="s">
        <v>73</v>
      </c>
      <c r="F17" s="0" t="s">
        <v>87</v>
      </c>
      <c r="G17" s="0" t="s">
        <v>88</v>
      </c>
      <c r="L17" s="0" t="s">
        <v>71</v>
      </c>
      <c r="M17" s="0" t="s">
        <v>72</v>
      </c>
      <c r="N17" s="0" t="s">
        <v>73</v>
      </c>
      <c r="O17" s="0" t="s">
        <v>87</v>
      </c>
      <c r="P17" s="0" t="s">
        <v>88</v>
      </c>
    </row>
    <row r="18" customFormat="false" ht="14.4" hidden="false" customHeight="false" outlineLevel="0" collapsed="false">
      <c r="B18" s="0" t="s">
        <v>50</v>
      </c>
      <c r="C18" s="0" t="n">
        <v>1</v>
      </c>
      <c r="D18" s="0" t="n">
        <v>8</v>
      </c>
      <c r="E18" s="0" t="n">
        <v>8</v>
      </c>
      <c r="K18" s="0" t="s">
        <v>50</v>
      </c>
      <c r="L18" s="0" t="n">
        <v>1</v>
      </c>
      <c r="M18" s="0" t="n">
        <v>8</v>
      </c>
      <c r="N18" s="0" t="n">
        <v>8</v>
      </c>
    </row>
    <row r="19" customFormat="false" ht="14.4" hidden="false" customHeight="false" outlineLevel="0" collapsed="false">
      <c r="B19" s="0" t="s">
        <v>50</v>
      </c>
      <c r="C19" s="0" t="n">
        <v>2</v>
      </c>
      <c r="D19" s="0" t="n">
        <v>8</v>
      </c>
      <c r="E19" s="0" t="n">
        <v>16</v>
      </c>
      <c r="K19" s="0" t="s">
        <v>50</v>
      </c>
      <c r="L19" s="0" t="n">
        <v>2</v>
      </c>
      <c r="M19" s="0" t="n">
        <v>8</v>
      </c>
      <c r="N19" s="0" t="n">
        <v>16</v>
      </c>
    </row>
    <row r="20" customFormat="false" ht="14.4" hidden="false" customHeight="false" outlineLevel="0" collapsed="false">
      <c r="B20" s="0" t="s">
        <v>50</v>
      </c>
      <c r="C20" s="0" t="n">
        <v>4</v>
      </c>
      <c r="D20" s="0" t="n">
        <v>8</v>
      </c>
      <c r="E20" s="0" t="n">
        <v>32</v>
      </c>
      <c r="K20" s="0" t="s">
        <v>50</v>
      </c>
      <c r="L20" s="0" t="n">
        <v>4</v>
      </c>
      <c r="M20" s="0" t="n">
        <v>8</v>
      </c>
      <c r="N20" s="0" t="n">
        <v>32</v>
      </c>
    </row>
    <row r="21" customFormat="false" ht="14.4" hidden="false" customHeight="false" outlineLevel="0" collapsed="false">
      <c r="B21" s="0" t="s">
        <v>50</v>
      </c>
      <c r="C21" s="0" t="n">
        <v>8</v>
      </c>
      <c r="D21" s="0" t="n">
        <v>8</v>
      </c>
      <c r="E21" s="0" t="n">
        <v>64</v>
      </c>
      <c r="K21" s="0" t="s">
        <v>50</v>
      </c>
      <c r="L21" s="0" t="n">
        <v>8</v>
      </c>
      <c r="M21" s="0" t="n">
        <v>8</v>
      </c>
      <c r="N21" s="0" t="n">
        <v>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R42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E39" activeCellId="0" sqref="E39"/>
    </sheetView>
  </sheetViews>
  <sheetFormatPr defaultRowHeight="14.4"/>
  <cols>
    <col collapsed="false" hidden="false" max="1" min="1" style="0" width="8.5748987854251"/>
    <col collapsed="false" hidden="false" max="2" min="2" style="0" width="25.8866396761134"/>
    <col collapsed="false" hidden="false" max="3" min="3" style="0" width="9.11336032388664"/>
    <col collapsed="false" hidden="false" max="4" min="4" style="0" width="8.5748987854251"/>
    <col collapsed="false" hidden="false" max="5" min="5" style="0" width="10.1133603238866"/>
    <col collapsed="false" hidden="false" max="7" min="6" style="0" width="8.5748987854251"/>
    <col collapsed="false" hidden="false" max="8" min="8" style="0" width="19.2186234817814"/>
    <col collapsed="false" hidden="false" max="9" min="9" style="0" width="8.5748987854251"/>
    <col collapsed="false" hidden="false" max="11" min="10" style="0" width="9.11336032388664"/>
    <col collapsed="false" hidden="false" max="13" min="12" style="0" width="8.5748987854251"/>
    <col collapsed="false" hidden="false" max="14" min="14" style="0" width="31"/>
    <col collapsed="false" hidden="false" max="15" min="15" style="0" width="8.5748987854251"/>
    <col collapsed="false" hidden="false" max="17" min="16" style="0" width="9.11336032388664"/>
    <col collapsed="false" hidden="false" max="1025" min="18" style="0" width="8.5748987854251"/>
  </cols>
  <sheetData>
    <row r="3" customFormat="false" ht="14.4" hidden="false" customHeight="false" outlineLevel="0" collapsed="false">
      <c r="B3" s="23" t="s">
        <v>90</v>
      </c>
      <c r="C3" s="24" t="n">
        <v>8</v>
      </c>
      <c r="D3" s="24" t="n">
        <v>4</v>
      </c>
      <c r="E3" s="24" t="n">
        <v>2</v>
      </c>
      <c r="F3" s="24" t="n">
        <v>1</v>
      </c>
      <c r="H3" s="23" t="s">
        <v>91</v>
      </c>
      <c r="I3" s="24" t="n">
        <v>8</v>
      </c>
      <c r="J3" s="24" t="n">
        <v>4</v>
      </c>
      <c r="K3" s="24" t="n">
        <v>2</v>
      </c>
      <c r="L3" s="24" t="n">
        <v>1</v>
      </c>
      <c r="N3" s="23" t="s">
        <v>92</v>
      </c>
      <c r="O3" s="24" t="n">
        <v>8</v>
      </c>
      <c r="P3" s="24" t="n">
        <v>4</v>
      </c>
      <c r="Q3" s="24" t="n">
        <v>2</v>
      </c>
      <c r="R3" s="24" t="n">
        <v>1</v>
      </c>
    </row>
    <row r="4" customFormat="false" ht="14.4" hidden="false" customHeight="false" outlineLevel="0" collapsed="false">
      <c r="B4" s="25" t="s">
        <v>93</v>
      </c>
      <c r="C4" s="26" t="n">
        <v>0.000462962962962963</v>
      </c>
      <c r="D4" s="26" t="n">
        <v>0.000462962962962963</v>
      </c>
      <c r="E4" s="26" t="n">
        <v>0.000532407407407407</v>
      </c>
      <c r="F4" s="26" t="n">
        <v>0.00394675925925926</v>
      </c>
      <c r="H4" s="25" t="s">
        <v>94</v>
      </c>
      <c r="I4" s="22" t="n">
        <v>0.00471064814814815</v>
      </c>
      <c r="J4" s="22" t="n">
        <v>0.00467592592592593</v>
      </c>
      <c r="K4" s="22" t="n">
        <v>0.00454861111111111</v>
      </c>
      <c r="L4" s="22" t="n">
        <v>0.0046412037037037</v>
      </c>
      <c r="N4" s="25" t="s">
        <v>84</v>
      </c>
      <c r="O4" s="22" t="n">
        <v>0.00341435185185185</v>
      </c>
      <c r="P4" s="22" t="n">
        <v>0.00322916666666667</v>
      </c>
      <c r="Q4" s="22" t="n">
        <v>0.0034837962962963</v>
      </c>
      <c r="R4" s="22" t="n">
        <v>0.00337962962962963</v>
      </c>
    </row>
    <row r="5" customFormat="false" ht="14.4" hidden="false" customHeight="false" outlineLevel="0" collapsed="false">
      <c r="B5" s="25" t="s">
        <v>95</v>
      </c>
      <c r="C5" s="26" t="n">
        <v>0.000474537037037037</v>
      </c>
      <c r="D5" s="26" t="n">
        <v>0.000474537037037037</v>
      </c>
      <c r="E5" s="26" t="n">
        <v>0.000555555555555556</v>
      </c>
      <c r="F5" s="26" t="n">
        <v>0.000474537037037037</v>
      </c>
      <c r="N5" s="25" t="s">
        <v>83</v>
      </c>
      <c r="O5" s="22" t="n">
        <v>0.00037037037037037</v>
      </c>
      <c r="P5" s="22" t="n">
        <v>0.000347222222222222</v>
      </c>
      <c r="Q5" s="22" t="n">
        <v>0.000405092592592593</v>
      </c>
      <c r="R5" s="22" t="n">
        <v>0.000347222222222222</v>
      </c>
    </row>
    <row r="6" customFormat="false" ht="14.4" hidden="false" customHeight="false" outlineLevel="0" collapsed="false">
      <c r="B6" s="25" t="s">
        <v>96</v>
      </c>
      <c r="C6" s="26" t="n">
        <v>0.000150462962962963</v>
      </c>
      <c r="D6" s="26" t="n">
        <v>0.000150462962962963</v>
      </c>
      <c r="E6" s="26" t="n">
        <v>0.000231481481481481</v>
      </c>
      <c r="F6" s="26" t="n">
        <v>0.000138888888888889</v>
      </c>
    </row>
    <row r="7" customFormat="false" ht="14.4" hidden="false" customHeight="false" outlineLevel="0" collapsed="false">
      <c r="B7" s="25" t="s">
        <v>97</v>
      </c>
      <c r="C7" s="26" t="n">
        <v>0.0158333333333333</v>
      </c>
      <c r="D7" s="26" t="n">
        <v>0.0102199074074074</v>
      </c>
      <c r="E7" s="26" t="n">
        <v>0.0125925925925926</v>
      </c>
      <c r="F7" s="26" t="n">
        <v>0.0174652777777778</v>
      </c>
    </row>
    <row r="8" customFormat="false" ht="14.4" hidden="false" customHeight="false" outlineLevel="0" collapsed="false">
      <c r="B8" s="25" t="s">
        <v>98</v>
      </c>
      <c r="C8" s="26" t="n">
        <v>0.0277777777777778</v>
      </c>
      <c r="D8" s="26" t="n">
        <v>0.0236111111111111</v>
      </c>
      <c r="E8" s="26" t="n">
        <v>0.0201388888888889</v>
      </c>
      <c r="F8" s="26" t="n">
        <v>0.01875</v>
      </c>
      <c r="K8" s="22"/>
      <c r="O8" s="22"/>
    </row>
    <row r="9" customFormat="false" ht="14.4" hidden="false" customHeight="false" outlineLevel="0" collapsed="false">
      <c r="B9" s="25" t="s">
        <v>99</v>
      </c>
      <c r="C9" s="26" t="n">
        <v>0.001875</v>
      </c>
      <c r="D9" s="26" t="n">
        <v>0.00248842592592593</v>
      </c>
      <c r="E9" s="26" t="n">
        <v>0.00203703703703704</v>
      </c>
      <c r="F9" s="26" t="n">
        <v>0.00336805555555555</v>
      </c>
      <c r="K9" s="22"/>
      <c r="O9" s="22"/>
    </row>
    <row r="10" customFormat="false" ht="14.4" hidden="false" customHeight="false" outlineLevel="0" collapsed="false">
      <c r="K10" s="22"/>
      <c r="O10" s="22"/>
    </row>
    <row r="11" customFormat="false" ht="14.4" hidden="false" customHeight="false" outlineLevel="0" collapsed="false">
      <c r="K11" s="22"/>
      <c r="O11" s="22"/>
    </row>
    <row r="34" customFormat="false" ht="14.4" hidden="false" customHeight="false" outlineLevel="0" collapsed="false">
      <c r="B34" s="0" t="s">
        <v>100</v>
      </c>
      <c r="C34" s="0" t="n">
        <v>64</v>
      </c>
      <c r="D34" s="0" t="n">
        <v>32</v>
      </c>
      <c r="E34" s="0" t="n">
        <v>16</v>
      </c>
      <c r="F34" s="0" t="n">
        <v>8</v>
      </c>
      <c r="G34" s="0" t="n">
        <v>4</v>
      </c>
      <c r="H34" s="0" t="n">
        <v>2</v>
      </c>
      <c r="I34" s="0" t="n">
        <v>1</v>
      </c>
    </row>
    <row r="35" customFormat="false" ht="14.4" hidden="false" customHeight="false" outlineLevel="0" collapsed="false">
      <c r="B35" s="0" t="s">
        <v>96</v>
      </c>
      <c r="C35" s="22"/>
      <c r="D35" s="22"/>
      <c r="E35" s="22" t="n">
        <v>0.000219907407407407</v>
      </c>
      <c r="F35" s="22"/>
      <c r="G35" s="22"/>
      <c r="H35" s="22"/>
      <c r="I35" s="22"/>
    </row>
    <row r="36" customFormat="false" ht="14.4" hidden="false" customHeight="false" outlineLevel="0" collapsed="false">
      <c r="B36" s="0" t="s">
        <v>101</v>
      </c>
      <c r="C36" s="22"/>
      <c r="D36" s="22"/>
      <c r="E36" s="22" t="n">
        <v>0.00591435185185185</v>
      </c>
      <c r="F36" s="22"/>
      <c r="G36" s="22"/>
      <c r="H36" s="22"/>
      <c r="I36" s="22"/>
    </row>
    <row r="37" customFormat="false" ht="14.4" hidden="false" customHeight="false" outlineLevel="0" collapsed="false">
      <c r="B37" s="0" t="s">
        <v>102</v>
      </c>
      <c r="C37" s="22"/>
      <c r="D37" s="22"/>
      <c r="E37" s="22" t="n">
        <v>0.00902777777777778</v>
      </c>
      <c r="F37" s="22"/>
      <c r="G37" s="22"/>
      <c r="H37" s="22"/>
      <c r="I37" s="22"/>
    </row>
    <row r="38" customFormat="false" ht="14.4" hidden="false" customHeight="false" outlineLevel="0" collapsed="false">
      <c r="B38" s="0" t="s">
        <v>98</v>
      </c>
      <c r="C38" s="22"/>
      <c r="D38" s="22"/>
      <c r="E38" s="22" t="n">
        <v>0.0222222222222222</v>
      </c>
      <c r="F38" s="22"/>
      <c r="G38" s="22"/>
      <c r="H38" s="22"/>
      <c r="I38" s="22"/>
    </row>
    <row r="39" customFormat="false" ht="14.4" hidden="false" customHeight="false" outlineLevel="0" collapsed="false">
      <c r="B39" s="0" t="s">
        <v>103</v>
      </c>
      <c r="C39" s="22"/>
      <c r="D39" s="22"/>
      <c r="E39" s="22" t="n">
        <v>0.00165509259259259</v>
      </c>
      <c r="F39" s="22"/>
      <c r="G39" s="22"/>
      <c r="H39" s="22"/>
      <c r="I39" s="22"/>
    </row>
    <row r="40" customFormat="false" ht="14.4" hidden="false" customHeight="false" outlineLevel="0" collapsed="false">
      <c r="B40" s="0" t="s">
        <v>104</v>
      </c>
      <c r="C40" s="22"/>
      <c r="D40" s="22"/>
      <c r="E40" s="22" t="n">
        <v>0.00398148148148148</v>
      </c>
      <c r="F40" s="22"/>
      <c r="G40" s="22"/>
      <c r="H40" s="22"/>
      <c r="I40" s="22"/>
    </row>
    <row r="41" customFormat="false" ht="14.4" hidden="false" customHeight="false" outlineLevel="0" collapsed="false">
      <c r="B41" s="0" t="s">
        <v>105</v>
      </c>
      <c r="C41" s="22"/>
      <c r="D41" s="22"/>
      <c r="E41" s="22" t="n">
        <v>0.000613425925925926</v>
      </c>
      <c r="F41" s="22"/>
      <c r="G41" s="22"/>
      <c r="H41" s="22"/>
      <c r="I41" s="22"/>
    </row>
    <row r="42" customFormat="false" ht="14.4" hidden="false" customHeight="false" outlineLevel="0" collapsed="false">
      <c r="B42" s="20" t="s">
        <v>106</v>
      </c>
      <c r="E42" s="22" t="n">
        <f aca="false">SUM(E35:E41)</f>
        <v>0.0436342592592593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en-IN</dc:language>
  <dcterms:modified xsi:type="dcterms:W3CDTF">2015-06-05T21:02:12Z</dcterms:modified>
  <cp:revision>0</cp:revision>
</cp:coreProperties>
</file>